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A13E6296-379D-4D05-A3D3-D7C9F9732B08}" xr6:coauthVersionLast="47" xr6:coauthVersionMax="47" xr10:uidLastSave="{00000000-0000-0000-0000-000000000000}"/>
  <bookViews>
    <workbookView xWindow="-110" yWindow="-110" windowWidth="19420" windowHeight="10300" tabRatio="894" xr2:uid="{00000000-000D-0000-FFFF-FFFF00000000}"/>
  </bookViews>
  <sheets>
    <sheet name="Home" sheetId="15" r:id="rId1"/>
    <sheet name="AdjP&amp;L" sheetId="2" r:id="rId2"/>
    <sheet name="P&amp;L" sheetId="3" r:id="rId3"/>
    <sheet name="BalanceSheet" sheetId="4" r:id="rId4"/>
    <sheet name="CashFlow" sheetId="5" r:id="rId5"/>
    <sheet name="Operational" sheetId="10" r:id="rId6"/>
    <sheet name="MaturationCurves" sheetId="13" r:id="rId7"/>
    <sheet name="Proceeds" sheetId="14" r:id="rId8"/>
    <sheet name="IFRS_AdjP&amp;L" sheetId="6" r:id="rId9"/>
    <sheet name="IFRS_P&amp;L" sheetId="7" r:id="rId10"/>
    <sheet name="IFRS_BalanceSheet" sheetId="8" r:id="rId11"/>
    <sheet name="IFRS_CashFlow" sheetId="9" r:id="rId12"/>
  </sheets>
  <definedNames>
    <definedName name="_xlnm._FilterDatabase" localSheetId="3" hidden="1">BalanceSheet!$A$1:$B$3</definedName>
    <definedName name="_xlnm._FilterDatabase" localSheetId="5" hidden="1">Operational!$A$20:$W$23</definedName>
    <definedName name="_xlnm._FilterDatabase" localSheetId="7" hidden="1">Proceeds!$A$12:$G$12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6" i="7" l="1"/>
  <c r="AF6" i="7"/>
  <c r="A51" i="9"/>
  <c r="A50" i="5"/>
  <c r="F2" i="15"/>
  <c r="BF51" i="5"/>
  <c r="BE51" i="5"/>
  <c r="BD51" i="5"/>
  <c r="BC51" i="5"/>
  <c r="BB51" i="5"/>
  <c r="BA51" i="5"/>
  <c r="AZ51" i="5"/>
  <c r="AY51" i="5"/>
  <c r="AX51" i="5"/>
  <c r="AW51" i="5"/>
  <c r="AV51" i="5"/>
  <c r="AU51" i="5"/>
  <c r="AT51" i="5"/>
  <c r="AS51" i="5"/>
  <c r="AR51" i="5"/>
  <c r="AQ51" i="5"/>
  <c r="AP51" i="5"/>
  <c r="AO51" i="5"/>
  <c r="AN51" i="5"/>
  <c r="AM51" i="5"/>
  <c r="AL51" i="5"/>
  <c r="AK51" i="5"/>
  <c r="AJ51" i="5"/>
  <c r="AI51" i="5"/>
  <c r="AH51" i="5"/>
  <c r="AG51" i="5"/>
  <c r="AF51" i="5"/>
  <c r="AE51" i="5"/>
  <c r="AD51" i="5"/>
  <c r="AC51" i="5"/>
  <c r="AB51" i="5"/>
  <c r="AA51" i="5"/>
  <c r="Z51" i="5"/>
  <c r="Y51" i="5"/>
  <c r="X51" i="5"/>
  <c r="W51" i="5"/>
  <c r="V51" i="5"/>
  <c r="U51" i="5"/>
  <c r="T51" i="5"/>
  <c r="S51" i="5"/>
  <c r="R51" i="5"/>
  <c r="Q51" i="5"/>
  <c r="P51" i="5"/>
  <c r="O51" i="5"/>
  <c r="N51" i="5"/>
  <c r="M51" i="5"/>
  <c r="L51" i="5"/>
  <c r="K51" i="5"/>
  <c r="J51" i="5"/>
  <c r="I51" i="5"/>
  <c r="H51" i="5"/>
  <c r="G51" i="5"/>
  <c r="F51" i="5"/>
  <c r="E51" i="5"/>
  <c r="D51" i="5"/>
  <c r="C51" i="5"/>
  <c r="B51" i="5"/>
  <c r="BF60" i="5"/>
  <c r="BG60" i="5"/>
  <c r="BG51" i="5"/>
  <c r="BG21" i="5"/>
  <c r="BG33" i="5" s="1"/>
  <c r="BG38" i="5" s="1"/>
  <c r="BG1" i="5"/>
  <c r="AE52" i="9"/>
  <c r="AE1" i="9"/>
  <c r="AE61" i="9"/>
  <c r="AE22" i="9"/>
  <c r="AE33" i="9" s="1"/>
  <c r="AE39" i="9" s="1"/>
  <c r="AI1" i="8"/>
  <c r="AI58" i="8"/>
  <c r="AI47" i="8"/>
  <c r="AI39" i="8"/>
  <c r="AI25" i="8"/>
  <c r="AI15" i="8"/>
  <c r="AK3" i="7"/>
  <c r="AL3" i="7"/>
  <c r="AM3" i="7"/>
  <c r="AN3" i="7"/>
  <c r="AO3" i="7"/>
  <c r="AP3" i="7"/>
  <c r="AQ3" i="7"/>
  <c r="AR3" i="7"/>
  <c r="BG62" i="5" l="1"/>
  <c r="AE63" i="9"/>
  <c r="AI27" i="8"/>
  <c r="AI3" i="8"/>
  <c r="AI1" i="7" l="1"/>
  <c r="AI26" i="7"/>
  <c r="AI16" i="7"/>
  <c r="AI6" i="7"/>
  <c r="AI10" i="7" s="1"/>
  <c r="AI1" i="6"/>
  <c r="AI26" i="6"/>
  <c r="AI16" i="6"/>
  <c r="AI6" i="6"/>
  <c r="AI10" i="6" s="1"/>
  <c r="BF38" i="4"/>
  <c r="BG38" i="4"/>
  <c r="BG1" i="4"/>
  <c r="BG56" i="4"/>
  <c r="BG45" i="4"/>
  <c r="BG25" i="4"/>
  <c r="BG15" i="4"/>
  <c r="BG26" i="3"/>
  <c r="BG16" i="3"/>
  <c r="BG10" i="3"/>
  <c r="BG6" i="3"/>
  <c r="BG1" i="3"/>
  <c r="BF26" i="2"/>
  <c r="BG26" i="2"/>
  <c r="BG16" i="2"/>
  <c r="BG6" i="2"/>
  <c r="BG10" i="2" s="1"/>
  <c r="BG1" i="2"/>
  <c r="BG47" i="10"/>
  <c r="BG43" i="10"/>
  <c r="BG39" i="10"/>
  <c r="BG35" i="10"/>
  <c r="BG31" i="10"/>
  <c r="BG27" i="10"/>
  <c r="BG23" i="10"/>
  <c r="BG12" i="10"/>
  <c r="BG8" i="10"/>
  <c r="BG1" i="10"/>
  <c r="BI15" i="3"/>
  <c r="BJ15" i="3"/>
  <c r="BK15" i="3"/>
  <c r="BL15" i="3"/>
  <c r="BM15" i="3"/>
  <c r="BN15" i="3"/>
  <c r="BO15" i="3"/>
  <c r="BP15" i="3"/>
  <c r="BQ15" i="3"/>
  <c r="BR15" i="3"/>
  <c r="BS15" i="3"/>
  <c r="BT15" i="3"/>
  <c r="BU15" i="3"/>
  <c r="BV15" i="3"/>
  <c r="BV36" i="3"/>
  <c r="BU36" i="3"/>
  <c r="BT36" i="3"/>
  <c r="BS36" i="3"/>
  <c r="BR36" i="3"/>
  <c r="BQ36" i="3"/>
  <c r="BP36" i="3"/>
  <c r="BO36" i="3"/>
  <c r="BN36" i="3"/>
  <c r="BM36" i="3"/>
  <c r="BL36" i="3"/>
  <c r="BK36" i="3"/>
  <c r="BJ36" i="3"/>
  <c r="BI36" i="3"/>
  <c r="BV32" i="3"/>
  <c r="BU32" i="3"/>
  <c r="BT32" i="3"/>
  <c r="BS32" i="3"/>
  <c r="BR32" i="3"/>
  <c r="BQ32" i="3"/>
  <c r="BP32" i="3"/>
  <c r="BO32" i="3"/>
  <c r="BN32" i="3"/>
  <c r="BM32" i="3"/>
  <c r="BL32" i="3"/>
  <c r="BK32" i="3"/>
  <c r="BJ32" i="3"/>
  <c r="BI32" i="3"/>
  <c r="BV28" i="3"/>
  <c r="BU28" i="3"/>
  <c r="BT28" i="3"/>
  <c r="BS28" i="3"/>
  <c r="BR28" i="3"/>
  <c r="BQ28" i="3"/>
  <c r="BP28" i="3"/>
  <c r="BO28" i="3"/>
  <c r="BN28" i="3"/>
  <c r="BM28" i="3"/>
  <c r="BL28" i="3"/>
  <c r="BK28" i="3"/>
  <c r="BJ28" i="3"/>
  <c r="BI28" i="3"/>
  <c r="BV25" i="3"/>
  <c r="BV26" i="3" s="1"/>
  <c r="BU25" i="3"/>
  <c r="BT25" i="3"/>
  <c r="BT26" i="3" s="1"/>
  <c r="BS25" i="3"/>
  <c r="BS26" i="3" s="1"/>
  <c r="BR25" i="3"/>
  <c r="BQ25" i="3"/>
  <c r="BP25" i="3"/>
  <c r="BO25" i="3"/>
  <c r="BN25" i="3"/>
  <c r="BN26" i="3" s="1"/>
  <c r="BM25" i="3"/>
  <c r="BM26" i="3" s="1"/>
  <c r="BL25" i="3"/>
  <c r="BL26" i="3" s="1"/>
  <c r="BK25" i="3"/>
  <c r="BK26" i="3" s="1"/>
  <c r="BJ25" i="3"/>
  <c r="BI25" i="3"/>
  <c r="BV24" i="3"/>
  <c r="BU24" i="3"/>
  <c r="BU26" i="3" s="1"/>
  <c r="BT24" i="3"/>
  <c r="BS24" i="3"/>
  <c r="BR24" i="3"/>
  <c r="BQ24" i="3"/>
  <c r="BP24" i="3"/>
  <c r="BO24" i="3"/>
  <c r="BN24" i="3"/>
  <c r="BM24" i="3"/>
  <c r="BL24" i="3"/>
  <c r="BK24" i="3"/>
  <c r="BJ24" i="3"/>
  <c r="BI24" i="3"/>
  <c r="BV20" i="3"/>
  <c r="BU20" i="3"/>
  <c r="BT20" i="3"/>
  <c r="BS20" i="3"/>
  <c r="BR20" i="3"/>
  <c r="BQ20" i="3"/>
  <c r="BP20" i="3"/>
  <c r="BO20" i="3"/>
  <c r="BN20" i="3"/>
  <c r="BM20" i="3"/>
  <c r="BL20" i="3"/>
  <c r="BK20" i="3"/>
  <c r="BJ20" i="3"/>
  <c r="BI20" i="3"/>
  <c r="BI16" i="3"/>
  <c r="BV14" i="3"/>
  <c r="BU14" i="3"/>
  <c r="BT14" i="3"/>
  <c r="BS14" i="3"/>
  <c r="BR14" i="3"/>
  <c r="BQ14" i="3"/>
  <c r="BP14" i="3"/>
  <c r="BO14" i="3"/>
  <c r="BO16" i="3" s="1"/>
  <c r="BN14" i="3"/>
  <c r="BM14" i="3"/>
  <c r="BL14" i="3"/>
  <c r="BK14" i="3"/>
  <c r="BJ14" i="3"/>
  <c r="BI14" i="3"/>
  <c r="BV13" i="3"/>
  <c r="BU13" i="3"/>
  <c r="BU16" i="3" s="1"/>
  <c r="BT13" i="3"/>
  <c r="BS13" i="3"/>
  <c r="BR13" i="3"/>
  <c r="BQ13" i="3"/>
  <c r="BP13" i="3"/>
  <c r="BO13" i="3"/>
  <c r="BN13" i="3"/>
  <c r="BM13" i="3"/>
  <c r="BM16" i="3" s="1"/>
  <c r="BL13" i="3"/>
  <c r="BK13" i="3"/>
  <c r="BJ13" i="3"/>
  <c r="BI13" i="3"/>
  <c r="BV8" i="3"/>
  <c r="BU8" i="3"/>
  <c r="BT8" i="3"/>
  <c r="BS8" i="3"/>
  <c r="BR8" i="3"/>
  <c r="BQ8" i="3"/>
  <c r="BP8" i="3"/>
  <c r="BO8" i="3"/>
  <c r="BN8" i="3"/>
  <c r="BM8" i="3"/>
  <c r="BL8" i="3"/>
  <c r="BK8" i="3"/>
  <c r="BJ8" i="3"/>
  <c r="BI8" i="3"/>
  <c r="BO6" i="3"/>
  <c r="BO10" i="3" s="1"/>
  <c r="BV4" i="3"/>
  <c r="BU4" i="3"/>
  <c r="BT4" i="3"/>
  <c r="BS4" i="3"/>
  <c r="BR4" i="3"/>
  <c r="BQ4" i="3"/>
  <c r="BP4" i="3"/>
  <c r="BO4" i="3"/>
  <c r="BN4" i="3"/>
  <c r="BM4" i="3"/>
  <c r="BL4" i="3"/>
  <c r="BK4" i="3"/>
  <c r="BJ4" i="3"/>
  <c r="BI4" i="3"/>
  <c r="BV3" i="3"/>
  <c r="BV6" i="3" s="1"/>
  <c r="BV10" i="3" s="1"/>
  <c r="BU3" i="3"/>
  <c r="BU6" i="3" s="1"/>
  <c r="BU10" i="3" s="1"/>
  <c r="BT3" i="3"/>
  <c r="BS3" i="3"/>
  <c r="BS6" i="3" s="1"/>
  <c r="BR3" i="3"/>
  <c r="BR6" i="3" s="1"/>
  <c r="BR10" i="3" s="1"/>
  <c r="BQ3" i="3"/>
  <c r="BQ6" i="3" s="1"/>
  <c r="BQ10" i="3" s="1"/>
  <c r="BP3" i="3"/>
  <c r="BO3" i="3"/>
  <c r="BN3" i="3"/>
  <c r="BN6" i="3" s="1"/>
  <c r="BN10" i="3" s="1"/>
  <c r="BM3" i="3"/>
  <c r="BM6" i="3" s="1"/>
  <c r="BM10" i="3" s="1"/>
  <c r="BL3" i="3"/>
  <c r="BK3" i="3"/>
  <c r="BK6" i="3" s="1"/>
  <c r="BJ3" i="3"/>
  <c r="BJ6" i="3" s="1"/>
  <c r="BJ10" i="3" s="1"/>
  <c r="BI3" i="3"/>
  <c r="BI6" i="3" s="1"/>
  <c r="BI10" i="3" s="1"/>
  <c r="BV2" i="3"/>
  <c r="BT2" i="3"/>
  <c r="BK1" i="3"/>
  <c r="BL1" i="3" s="1"/>
  <c r="BM1" i="3" s="1"/>
  <c r="BN1" i="3" s="1"/>
  <c r="BO1" i="3" s="1"/>
  <c r="BP1" i="3" s="1"/>
  <c r="BQ1" i="3" s="1"/>
  <c r="BR1" i="3" s="1"/>
  <c r="BS1" i="3" s="1"/>
  <c r="BT1" i="3" s="1"/>
  <c r="BU1" i="3" s="1"/>
  <c r="BV1" i="3" s="1"/>
  <c r="BJ1" i="3"/>
  <c r="BI32" i="2"/>
  <c r="BI36" i="2"/>
  <c r="BN26" i="2"/>
  <c r="BT2" i="2"/>
  <c r="BV2" i="2"/>
  <c r="BV16" i="2"/>
  <c r="BO16" i="2"/>
  <c r="BN16" i="2"/>
  <c r="BR6" i="2"/>
  <c r="BR10" i="2" s="1"/>
  <c r="BP6" i="2"/>
  <c r="BP10" i="2" s="1"/>
  <c r="BJ6" i="2"/>
  <c r="BJ10" i="2" s="1"/>
  <c r="BV36" i="2"/>
  <c r="BV32" i="2"/>
  <c r="BV28" i="2"/>
  <c r="BV25" i="2"/>
  <c r="BV26" i="2" s="1"/>
  <c r="BV24" i="2"/>
  <c r="BV20" i="2"/>
  <c r="BV14" i="2"/>
  <c r="BV13" i="2"/>
  <c r="BV8" i="2"/>
  <c r="BV4" i="2"/>
  <c r="BV3" i="2"/>
  <c r="BV6" i="2" s="1"/>
  <c r="BV10" i="2" s="1"/>
  <c r="BU36" i="2"/>
  <c r="BU32" i="2"/>
  <c r="BU28" i="2"/>
  <c r="BU25" i="2"/>
  <c r="BU26" i="2" s="1"/>
  <c r="BU24" i="2"/>
  <c r="BU20" i="2"/>
  <c r="BU14" i="2"/>
  <c r="BU13" i="2"/>
  <c r="BU16" i="2" s="1"/>
  <c r="BU8" i="2"/>
  <c r="BU4" i="2"/>
  <c r="BU6" i="2" s="1"/>
  <c r="BU10" i="2" s="1"/>
  <c r="BU18" i="2" s="1"/>
  <c r="BU22" i="2" s="1"/>
  <c r="BU3" i="2"/>
  <c r="BT36" i="2"/>
  <c r="BT32" i="2"/>
  <c r="BT28" i="2"/>
  <c r="BT25" i="2"/>
  <c r="BT26" i="2" s="1"/>
  <c r="BT24" i="2"/>
  <c r="BT20" i="2"/>
  <c r="BT14" i="2"/>
  <c r="BT16" i="2" s="1"/>
  <c r="BT13" i="2"/>
  <c r="BT8" i="2"/>
  <c r="BT4" i="2"/>
  <c r="BT3" i="2"/>
  <c r="BT6" i="2" s="1"/>
  <c r="BT10" i="2" s="1"/>
  <c r="BS36" i="2"/>
  <c r="BS32" i="2"/>
  <c r="BS28" i="2"/>
  <c r="BS25" i="2"/>
  <c r="BS26" i="2" s="1"/>
  <c r="BS24" i="2"/>
  <c r="BS20" i="2"/>
  <c r="BS14" i="2"/>
  <c r="BS13" i="2"/>
  <c r="BS16" i="2" s="1"/>
  <c r="BS8" i="2"/>
  <c r="BS4" i="2"/>
  <c r="BS6" i="2" s="1"/>
  <c r="BS10" i="2" s="1"/>
  <c r="BS18" i="2" s="1"/>
  <c r="BS22" i="2" s="1"/>
  <c r="BS3" i="2"/>
  <c r="BR36" i="2"/>
  <c r="BR32" i="2"/>
  <c r="BR28" i="2"/>
  <c r="BR25" i="2"/>
  <c r="BR26" i="2" s="1"/>
  <c r="BR24" i="2"/>
  <c r="BR20" i="2"/>
  <c r="BR14" i="2"/>
  <c r="BR13" i="2"/>
  <c r="BR16" i="2" s="1"/>
  <c r="BR8" i="2"/>
  <c r="BR4" i="2"/>
  <c r="BR3" i="2"/>
  <c r="BQ36" i="2"/>
  <c r="BQ32" i="2"/>
  <c r="BQ28" i="2"/>
  <c r="BQ25" i="2"/>
  <c r="BQ26" i="2" s="1"/>
  <c r="BQ24" i="2"/>
  <c r="BQ20" i="2"/>
  <c r="BQ14" i="2"/>
  <c r="BQ13" i="2"/>
  <c r="BQ16" i="2" s="1"/>
  <c r="BQ8" i="2"/>
  <c r="BQ4" i="2"/>
  <c r="BQ3" i="2"/>
  <c r="BQ6" i="2" s="1"/>
  <c r="BQ10" i="2" s="1"/>
  <c r="BP36" i="2"/>
  <c r="BP32" i="2"/>
  <c r="BP28" i="2"/>
  <c r="BP25" i="2"/>
  <c r="BP26" i="2" s="1"/>
  <c r="BP24" i="2"/>
  <c r="BP20" i="2"/>
  <c r="BP14" i="2"/>
  <c r="BP13" i="2"/>
  <c r="BP16" i="2" s="1"/>
  <c r="BP18" i="2" s="1"/>
  <c r="BP22" i="2" s="1"/>
  <c r="BP8" i="2"/>
  <c r="BP4" i="2"/>
  <c r="BP3" i="2"/>
  <c r="BO36" i="2"/>
  <c r="BO32" i="2"/>
  <c r="BO28" i="2"/>
  <c r="BO25" i="2"/>
  <c r="BO26" i="2" s="1"/>
  <c r="BO24" i="2"/>
  <c r="BO20" i="2"/>
  <c r="BO14" i="2"/>
  <c r="BO13" i="2"/>
  <c r="BO8" i="2"/>
  <c r="BO4" i="2"/>
  <c r="BO3" i="2"/>
  <c r="BO6" i="2" s="1"/>
  <c r="BO10" i="2" s="1"/>
  <c r="BN36" i="2"/>
  <c r="BN32" i="2"/>
  <c r="BN28" i="2"/>
  <c r="BN25" i="2"/>
  <c r="BN24" i="2"/>
  <c r="BN20" i="2"/>
  <c r="BN14" i="2"/>
  <c r="BN13" i="2"/>
  <c r="BN8" i="2"/>
  <c r="BN4" i="2"/>
  <c r="BN3" i="2"/>
  <c r="BN6" i="2" s="1"/>
  <c r="BN10" i="2" s="1"/>
  <c r="BM36" i="2"/>
  <c r="BM32" i="2"/>
  <c r="BM28" i="2"/>
  <c r="BM25" i="2"/>
  <c r="BM26" i="2" s="1"/>
  <c r="BM24" i="2"/>
  <c r="BM20" i="2"/>
  <c r="BM14" i="2"/>
  <c r="BM13" i="2"/>
  <c r="BM16" i="2" s="1"/>
  <c r="BM8" i="2"/>
  <c r="BM4" i="2"/>
  <c r="BM6" i="2" s="1"/>
  <c r="BM10" i="2" s="1"/>
  <c r="BM18" i="2" s="1"/>
  <c r="BM22" i="2" s="1"/>
  <c r="BM3" i="2"/>
  <c r="BL36" i="2"/>
  <c r="BL32" i="2"/>
  <c r="BL28" i="2"/>
  <c r="BL25" i="2"/>
  <c r="BL26" i="2" s="1"/>
  <c r="BL24" i="2"/>
  <c r="BL20" i="2"/>
  <c r="BL14" i="2"/>
  <c r="BL13" i="2"/>
  <c r="BL16" i="2" s="1"/>
  <c r="BL8" i="2"/>
  <c r="BL4" i="2"/>
  <c r="BL3" i="2"/>
  <c r="BL6" i="2" s="1"/>
  <c r="BL10" i="2" s="1"/>
  <c r="BK36" i="2"/>
  <c r="BK32" i="2"/>
  <c r="BK28" i="2"/>
  <c r="BK25" i="2"/>
  <c r="BK26" i="2" s="1"/>
  <c r="BK24" i="2"/>
  <c r="BK20" i="2"/>
  <c r="BK14" i="2"/>
  <c r="BK13" i="2"/>
  <c r="BK16" i="2" s="1"/>
  <c r="BK8" i="2"/>
  <c r="BK4" i="2"/>
  <c r="BK6" i="2" s="1"/>
  <c r="BK10" i="2" s="1"/>
  <c r="BK18" i="2" s="1"/>
  <c r="BK22" i="2" s="1"/>
  <c r="BK3" i="2"/>
  <c r="AP15" i="7"/>
  <c r="AK15" i="7"/>
  <c r="AO15" i="7"/>
  <c r="AQ15" i="7"/>
  <c r="AR15" i="7"/>
  <c r="AN15" i="7"/>
  <c r="AM15" i="7"/>
  <c r="AL15" i="7"/>
  <c r="BJ36" i="2"/>
  <c r="BJ32" i="2"/>
  <c r="BJ28" i="2"/>
  <c r="BJ25" i="2"/>
  <c r="BJ26" i="2" s="1"/>
  <c r="BJ24" i="2"/>
  <c r="BJ20" i="2"/>
  <c r="BJ14" i="2"/>
  <c r="BJ13" i="2"/>
  <c r="BJ16" i="2" s="1"/>
  <c r="BJ8" i="2"/>
  <c r="BJ4" i="2"/>
  <c r="BJ3" i="2"/>
  <c r="BI16" i="2"/>
  <c r="BI26" i="2"/>
  <c r="BI28" i="2"/>
  <c r="BI25" i="2"/>
  <c r="BI24" i="2"/>
  <c r="BI20" i="2"/>
  <c r="BI14" i="2"/>
  <c r="BI13" i="2"/>
  <c r="BI8" i="2"/>
  <c r="BI4" i="2"/>
  <c r="BI3" i="2"/>
  <c r="BI6" i="2" s="1"/>
  <c r="BI10" i="2" s="1"/>
  <c r="BJ1" i="2"/>
  <c r="BK1" i="2" s="1"/>
  <c r="BL1" i="2" s="1"/>
  <c r="BM1" i="2" s="1"/>
  <c r="BN1" i="2" s="1"/>
  <c r="BO1" i="2" s="1"/>
  <c r="BP1" i="2" s="1"/>
  <c r="BQ1" i="2" s="1"/>
  <c r="BR1" i="2" s="1"/>
  <c r="BS1" i="2" s="1"/>
  <c r="BT1" i="2" s="1"/>
  <c r="BU1" i="2" s="1"/>
  <c r="BV1" i="2" s="1"/>
  <c r="AR36" i="7"/>
  <c r="AQ36" i="7"/>
  <c r="AP36" i="7"/>
  <c r="AO36" i="7"/>
  <c r="AN36" i="7"/>
  <c r="AM36" i="7"/>
  <c r="AL36" i="7"/>
  <c r="AK36" i="7"/>
  <c r="AR32" i="7"/>
  <c r="AQ32" i="7"/>
  <c r="AP32" i="7"/>
  <c r="AO32" i="7"/>
  <c r="AN32" i="7"/>
  <c r="AM32" i="7"/>
  <c r="AL32" i="7"/>
  <c r="AK32" i="7"/>
  <c r="AR28" i="7"/>
  <c r="AQ28" i="7"/>
  <c r="AP28" i="7"/>
  <c r="AO28" i="7"/>
  <c r="AN28" i="7"/>
  <c r="AM28" i="7"/>
  <c r="AL28" i="7"/>
  <c r="AK28" i="7"/>
  <c r="AR25" i="7"/>
  <c r="AQ25" i="7"/>
  <c r="AP25" i="7"/>
  <c r="AO25" i="7"/>
  <c r="AO26" i="7" s="1"/>
  <c r="AN25" i="7"/>
  <c r="AM25" i="7"/>
  <c r="AL25" i="7"/>
  <c r="AK25" i="7"/>
  <c r="AR24" i="7"/>
  <c r="AQ24" i="7"/>
  <c r="AP24" i="7"/>
  <c r="AO24" i="7"/>
  <c r="AN24" i="7"/>
  <c r="AM24" i="7"/>
  <c r="AL24" i="7"/>
  <c r="AK24" i="7"/>
  <c r="AR20" i="7"/>
  <c r="AQ20" i="7"/>
  <c r="AP20" i="7"/>
  <c r="AO20" i="7"/>
  <c r="AN20" i="7"/>
  <c r="AM20" i="7"/>
  <c r="AL20" i="7"/>
  <c r="AK20" i="7"/>
  <c r="AR14" i="7"/>
  <c r="AQ14" i="7"/>
  <c r="AP14" i="7"/>
  <c r="AO14" i="7"/>
  <c r="AN14" i="7"/>
  <c r="AM14" i="7"/>
  <c r="AL14" i="7"/>
  <c r="AK14" i="7"/>
  <c r="AR13" i="7"/>
  <c r="AR16" i="7" s="1"/>
  <c r="AQ13" i="7"/>
  <c r="AQ16" i="7" s="1"/>
  <c r="AP13" i="7"/>
  <c r="AO13" i="7"/>
  <c r="AN13" i="7"/>
  <c r="AM13" i="7"/>
  <c r="AL13" i="7"/>
  <c r="AK13" i="7"/>
  <c r="AR8" i="7"/>
  <c r="AQ8" i="7"/>
  <c r="AP8" i="7"/>
  <c r="AO8" i="7"/>
  <c r="AN8" i="7"/>
  <c r="AM8" i="7"/>
  <c r="AL8" i="7"/>
  <c r="AK8" i="7"/>
  <c r="AR4" i="7"/>
  <c r="AQ4" i="7"/>
  <c r="AP4" i="7"/>
  <c r="AO4" i="7"/>
  <c r="AO6" i="7" s="1"/>
  <c r="AO10" i="7" s="1"/>
  <c r="AN4" i="7"/>
  <c r="AM4" i="7"/>
  <c r="AL4" i="7"/>
  <c r="AK4" i="7"/>
  <c r="AQ6" i="7"/>
  <c r="AQ10" i="7" s="1"/>
  <c r="AP6" i="7"/>
  <c r="AP10" i="7" s="1"/>
  <c r="AN6" i="7"/>
  <c r="AN10" i="7" s="1"/>
  <c r="AM6" i="7"/>
  <c r="AM10" i="7" s="1"/>
  <c r="AL6" i="7"/>
  <c r="AL10" i="7" s="1"/>
  <c r="AR2" i="7"/>
  <c r="AP2" i="7"/>
  <c r="AI18" i="7" l="1"/>
  <c r="AI22" i="7" s="1"/>
  <c r="AI30" i="7" s="1"/>
  <c r="AI34" i="7" s="1"/>
  <c r="AI37" i="7" s="1"/>
  <c r="AI18" i="6"/>
  <c r="AI22" i="6" s="1"/>
  <c r="AI30" i="6" s="1"/>
  <c r="AI34" i="6" s="1"/>
  <c r="AI37" i="6" s="1"/>
  <c r="AP26" i="7"/>
  <c r="AQ26" i="7"/>
  <c r="AR26" i="7"/>
  <c r="AK26" i="7"/>
  <c r="AK6" i="7"/>
  <c r="AK10" i="7" s="1"/>
  <c r="AL26" i="7"/>
  <c r="AM26" i="7"/>
  <c r="AR6" i="7"/>
  <c r="AR10" i="7" s="1"/>
  <c r="AN16" i="7"/>
  <c r="AN18" i="7" s="1"/>
  <c r="AN22" i="7" s="1"/>
  <c r="AN30" i="7" s="1"/>
  <c r="AN34" i="7" s="1"/>
  <c r="AN37" i="7" s="1"/>
  <c r="AN26" i="7"/>
  <c r="BG27" i="4"/>
  <c r="BG3" i="4"/>
  <c r="BG18" i="3"/>
  <c r="BG22" i="3" s="1"/>
  <c r="BG30" i="3" s="1"/>
  <c r="BG34" i="3" s="1"/>
  <c r="BG37" i="3" s="1"/>
  <c r="BK10" i="3"/>
  <c r="BL6" i="3"/>
  <c r="BL10" i="3" s="1"/>
  <c r="BT6" i="3"/>
  <c r="BT10" i="3" s="1"/>
  <c r="BS10" i="3"/>
  <c r="BP16" i="3"/>
  <c r="BJ16" i="3"/>
  <c r="BJ18" i="3" s="1"/>
  <c r="BR16" i="3"/>
  <c r="BR18" i="3" s="1"/>
  <c r="BR22" i="3" s="1"/>
  <c r="BP26" i="3"/>
  <c r="BP6" i="3"/>
  <c r="BP10" i="3" s="1"/>
  <c r="BK16" i="3"/>
  <c r="BK18" i="3" s="1"/>
  <c r="BK22" i="3" s="1"/>
  <c r="BK30" i="3" s="1"/>
  <c r="BK34" i="3" s="1"/>
  <c r="BK37" i="3" s="1"/>
  <c r="BS16" i="3"/>
  <c r="BS18" i="3" s="1"/>
  <c r="BS22" i="3" s="1"/>
  <c r="BS30" i="3" s="1"/>
  <c r="BS34" i="3" s="1"/>
  <c r="BS37" i="3" s="1"/>
  <c r="BO26" i="3"/>
  <c r="BI26" i="3"/>
  <c r="BQ26" i="3"/>
  <c r="BJ26" i="3"/>
  <c r="BR26" i="3"/>
  <c r="BR30" i="3" s="1"/>
  <c r="BR34" i="3" s="1"/>
  <c r="BR37" i="3" s="1"/>
  <c r="BQ16" i="3"/>
  <c r="BQ18" i="3" s="1"/>
  <c r="BQ22" i="3" s="1"/>
  <c r="BQ30" i="3" s="1"/>
  <c r="BQ34" i="3" s="1"/>
  <c r="BQ37" i="3" s="1"/>
  <c r="BG18" i="2"/>
  <c r="BG22" i="2" s="1"/>
  <c r="BG30" i="2" s="1"/>
  <c r="BG34" i="2" s="1"/>
  <c r="BG37" i="2" s="1"/>
  <c r="BU30" i="2"/>
  <c r="BU34" i="2" s="1"/>
  <c r="BU37" i="2" s="1"/>
  <c r="BK30" i="2"/>
  <c r="BK34" i="2" s="1"/>
  <c r="BK37" i="2" s="1"/>
  <c r="BS30" i="2"/>
  <c r="BS34" i="2" s="1"/>
  <c r="BS37" i="2" s="1"/>
  <c r="BM30" i="2"/>
  <c r="BM34" i="2" s="1"/>
  <c r="BM37" i="2" s="1"/>
  <c r="BP30" i="2"/>
  <c r="BP34" i="2" s="1"/>
  <c r="BP37" i="2" s="1"/>
  <c r="BL18" i="2"/>
  <c r="BL22" i="2" s="1"/>
  <c r="BL30" i="2" s="1"/>
  <c r="BL34" i="2" s="1"/>
  <c r="BL37" i="2" s="1"/>
  <c r="BT18" i="2"/>
  <c r="BT22" i="2" s="1"/>
  <c r="BT30" i="2" s="1"/>
  <c r="BT34" i="2" s="1"/>
  <c r="BT37" i="2" s="1"/>
  <c r="BO18" i="2"/>
  <c r="BO22" i="2" s="1"/>
  <c r="BN18" i="2"/>
  <c r="BN22" i="2" s="1"/>
  <c r="BV18" i="2"/>
  <c r="BV22" i="2" s="1"/>
  <c r="BN16" i="3"/>
  <c r="BV16" i="3"/>
  <c r="BV18" i="3" s="1"/>
  <c r="BV22" i="3" s="1"/>
  <c r="BV30" i="3" s="1"/>
  <c r="BV34" i="3" s="1"/>
  <c r="BV37" i="3" s="1"/>
  <c r="BI18" i="3"/>
  <c r="BI22" i="3" s="1"/>
  <c r="BL16" i="3"/>
  <c r="BT16" i="3"/>
  <c r="BJ22" i="3"/>
  <c r="BJ30" i="3" s="1"/>
  <c r="BJ34" i="3" s="1"/>
  <c r="BJ37" i="3" s="1"/>
  <c r="BM30" i="3"/>
  <c r="BM34" i="3" s="1"/>
  <c r="BM37" i="3" s="1"/>
  <c r="BM18" i="3"/>
  <c r="BM22" i="3" s="1"/>
  <c r="BU18" i="3"/>
  <c r="BU22" i="3" s="1"/>
  <c r="BU30" i="3" s="1"/>
  <c r="BU34" i="3" s="1"/>
  <c r="BU37" i="3" s="1"/>
  <c r="BN18" i="3"/>
  <c r="BN22" i="3" s="1"/>
  <c r="BN30" i="3" s="1"/>
  <c r="BN34" i="3" s="1"/>
  <c r="BN37" i="3" s="1"/>
  <c r="BO18" i="3"/>
  <c r="BO22" i="3" s="1"/>
  <c r="BO30" i="3" s="1"/>
  <c r="BO34" i="3" s="1"/>
  <c r="BO37" i="3" s="1"/>
  <c r="BN30" i="2"/>
  <c r="BN34" i="2" s="1"/>
  <c r="BN37" i="2" s="1"/>
  <c r="BV30" i="2"/>
  <c r="BV34" i="2" s="1"/>
  <c r="BV37" i="2" s="1"/>
  <c r="BO30" i="2"/>
  <c r="BO34" i="2" s="1"/>
  <c r="BO37" i="2" s="1"/>
  <c r="BJ18" i="2"/>
  <c r="BJ22" i="2" s="1"/>
  <c r="BJ30" i="2" s="1"/>
  <c r="BJ34" i="2" s="1"/>
  <c r="BJ37" i="2" s="1"/>
  <c r="BR18" i="2"/>
  <c r="BR22" i="2" s="1"/>
  <c r="BR30" i="2" s="1"/>
  <c r="BR34" i="2" s="1"/>
  <c r="BR37" i="2" s="1"/>
  <c r="BQ18" i="2"/>
  <c r="BQ22" i="2" s="1"/>
  <c r="BQ30" i="2" s="1"/>
  <c r="BQ34" i="2" s="1"/>
  <c r="BQ37" i="2" s="1"/>
  <c r="AP16" i="7"/>
  <c r="AP18" i="7" s="1"/>
  <c r="AP22" i="7" s="1"/>
  <c r="AO16" i="7"/>
  <c r="AM16" i="7"/>
  <c r="AM18" i="7" s="1"/>
  <c r="AM22" i="7" s="1"/>
  <c r="AL16" i="7"/>
  <c r="AL18" i="7" s="1"/>
  <c r="AL22" i="7" s="1"/>
  <c r="AL30" i="7" s="1"/>
  <c r="AL34" i="7" s="1"/>
  <c r="AL37" i="7" s="1"/>
  <c r="AK16" i="7"/>
  <c r="BI18" i="2"/>
  <c r="BI22" i="2" s="1"/>
  <c r="BI30" i="2" s="1"/>
  <c r="BI34" i="2" s="1"/>
  <c r="BI37" i="2" s="1"/>
  <c r="AQ18" i="7"/>
  <c r="AQ22" i="7" s="1"/>
  <c r="AQ30" i="7" s="1"/>
  <c r="AQ34" i="7" s="1"/>
  <c r="AQ37" i="7" s="1"/>
  <c r="AR18" i="7"/>
  <c r="AR22" i="7" s="1"/>
  <c r="AR30" i="7" s="1"/>
  <c r="AR34" i="7" s="1"/>
  <c r="AR37" i="7" s="1"/>
  <c r="AO18" i="7"/>
  <c r="AO22" i="7" s="1"/>
  <c r="AO30" i="7" s="1"/>
  <c r="AO34" i="7" s="1"/>
  <c r="AO37" i="7" s="1"/>
  <c r="AK18" i="7" l="1"/>
  <c r="AK22" i="7" s="1"/>
  <c r="AK30" i="7" s="1"/>
  <c r="AK34" i="7" s="1"/>
  <c r="AK37" i="7" s="1"/>
  <c r="AM30" i="7"/>
  <c r="AM34" i="7" s="1"/>
  <c r="AM37" i="7" s="1"/>
  <c r="AP30" i="7"/>
  <c r="AP34" i="7" s="1"/>
  <c r="AP37" i="7" s="1"/>
  <c r="BI30" i="3"/>
  <c r="BI34" i="3" s="1"/>
  <c r="BI37" i="3" s="1"/>
  <c r="BL18" i="3"/>
  <c r="BL22" i="3" s="1"/>
  <c r="BL30" i="3" s="1"/>
  <c r="BL34" i="3" s="1"/>
  <c r="BL37" i="3" s="1"/>
  <c r="BT18" i="3"/>
  <c r="BT22" i="3" s="1"/>
  <c r="BT30" i="3" s="1"/>
  <c r="BT34" i="3" s="1"/>
  <c r="BT37" i="3" s="1"/>
  <c r="BP18" i="3"/>
  <c r="BP22" i="3" s="1"/>
  <c r="BP30" i="3" s="1"/>
  <c r="BP34" i="3" s="1"/>
  <c r="BP37" i="3" s="1"/>
  <c r="AQ26" i="6"/>
  <c r="AQ16" i="6"/>
  <c r="AR36" i="6"/>
  <c r="AR28" i="6"/>
  <c r="AR25" i="6"/>
  <c r="AR26" i="6" s="1"/>
  <c r="AR24" i="6"/>
  <c r="AR20" i="6"/>
  <c r="AR14" i="6"/>
  <c r="AR13" i="6"/>
  <c r="AR16" i="6" s="1"/>
  <c r="AR8" i="6"/>
  <c r="AR4" i="6"/>
  <c r="AR3" i="6"/>
  <c r="AR6" i="6" s="1"/>
  <c r="AR10" i="6" s="1"/>
  <c r="AQ36" i="6"/>
  <c r="AQ28" i="6"/>
  <c r="AQ25" i="6"/>
  <c r="AQ24" i="6"/>
  <c r="AQ20" i="6"/>
  <c r="AQ14" i="6"/>
  <c r="AQ13" i="6"/>
  <c r="AQ8" i="6"/>
  <c r="AQ4" i="6"/>
  <c r="AQ6" i="6" s="1"/>
  <c r="AQ10" i="6" s="1"/>
  <c r="AQ3" i="6"/>
  <c r="AP36" i="6"/>
  <c r="AP28" i="6"/>
  <c r="AP25" i="6"/>
  <c r="AP26" i="6" s="1"/>
  <c r="AP24" i="6"/>
  <c r="AP20" i="6"/>
  <c r="AP14" i="6"/>
  <c r="AP13" i="6"/>
  <c r="AP16" i="6" s="1"/>
  <c r="AP8" i="6"/>
  <c r="AP4" i="6"/>
  <c r="AP3" i="6"/>
  <c r="AP6" i="6" s="1"/>
  <c r="AP10" i="6" s="1"/>
  <c r="AP2" i="6"/>
  <c r="AO36" i="6"/>
  <c r="AO28" i="6"/>
  <c r="AO25" i="6"/>
  <c r="AO26" i="6" s="1"/>
  <c r="AO24" i="6"/>
  <c r="AO20" i="6"/>
  <c r="AO14" i="6"/>
  <c r="AO13" i="6"/>
  <c r="AO16" i="6" s="1"/>
  <c r="AO8" i="6"/>
  <c r="AO4" i="6"/>
  <c r="AO3" i="6"/>
  <c r="AO6" i="6" s="1"/>
  <c r="AO10" i="6" s="1"/>
  <c r="AO18" i="6" s="1"/>
  <c r="AO22" i="6" s="1"/>
  <c r="AN36" i="6"/>
  <c r="AN28" i="6"/>
  <c r="AN25" i="6"/>
  <c r="AN26" i="6" s="1"/>
  <c r="AN24" i="6"/>
  <c r="AN20" i="6"/>
  <c r="AN14" i="6"/>
  <c r="AN13" i="6"/>
  <c r="AN8" i="6"/>
  <c r="AN4" i="6"/>
  <c r="AN6" i="6" s="1"/>
  <c r="AN10" i="6" s="1"/>
  <c r="AN3" i="6"/>
  <c r="AM36" i="6"/>
  <c r="AM28" i="6"/>
  <c r="AM25" i="6"/>
  <c r="AM26" i="6" s="1"/>
  <c r="AM24" i="6"/>
  <c r="AM20" i="6"/>
  <c r="AM14" i="6"/>
  <c r="AM13" i="6"/>
  <c r="AM16" i="6" s="1"/>
  <c r="AM8" i="6"/>
  <c r="AM4" i="6"/>
  <c r="AM3" i="6"/>
  <c r="AK3" i="6"/>
  <c r="AL36" i="6"/>
  <c r="AL28" i="6"/>
  <c r="AL25" i="6"/>
  <c r="AL24" i="6"/>
  <c r="AL26" i="6" s="1"/>
  <c r="AL20" i="6"/>
  <c r="AL14" i="6"/>
  <c r="AL13" i="6"/>
  <c r="AL8" i="6"/>
  <c r="AL4" i="6"/>
  <c r="AL3" i="6"/>
  <c r="AR2" i="6"/>
  <c r="AK36" i="6"/>
  <c r="AK28" i="6"/>
  <c r="AK25" i="6"/>
  <c r="AK24" i="6"/>
  <c r="AK20" i="6"/>
  <c r="AK14" i="6"/>
  <c r="AK13" i="6"/>
  <c r="AK16" i="6" s="1"/>
  <c r="AK8" i="6"/>
  <c r="AK4" i="6"/>
  <c r="A21" i="9"/>
  <c r="AC22" i="9"/>
  <c r="AB22" i="9"/>
  <c r="AA22" i="9"/>
  <c r="Z22" i="9"/>
  <c r="Y22" i="9"/>
  <c r="X22" i="9"/>
  <c r="W22" i="9"/>
  <c r="V22" i="9"/>
  <c r="U22" i="9"/>
  <c r="T22" i="9"/>
  <c r="S22" i="9"/>
  <c r="R22" i="9"/>
  <c r="Q22" i="9"/>
  <c r="P22" i="9"/>
  <c r="O22" i="9"/>
  <c r="N22" i="9"/>
  <c r="M22" i="9"/>
  <c r="L22" i="9"/>
  <c r="K22" i="9"/>
  <c r="J22" i="9"/>
  <c r="I22" i="9"/>
  <c r="H22" i="9"/>
  <c r="G22" i="9"/>
  <c r="F22" i="9"/>
  <c r="E22" i="9"/>
  <c r="D22" i="9"/>
  <c r="C22" i="9"/>
  <c r="B22" i="9"/>
  <c r="AD22" i="9"/>
  <c r="A44" i="9"/>
  <c r="AL6" i="6" l="1"/>
  <c r="AL10" i="6" s="1"/>
  <c r="AL18" i="6" s="1"/>
  <c r="AL22" i="6" s="1"/>
  <c r="AL30" i="6" s="1"/>
  <c r="AN16" i="6"/>
  <c r="AN18" i="6" s="1"/>
  <c r="AN22" i="6" s="1"/>
  <c r="AN30" i="6" s="1"/>
  <c r="AL16" i="6"/>
  <c r="AM6" i="6"/>
  <c r="AM10" i="6" s="1"/>
  <c r="AK6" i="6"/>
  <c r="AK10" i="6" s="1"/>
  <c r="AQ18" i="6"/>
  <c r="AQ22" i="6" s="1"/>
  <c r="AQ30" i="6" s="1"/>
  <c r="AR18" i="6"/>
  <c r="AR22" i="6" s="1"/>
  <c r="AR30" i="6" s="1"/>
  <c r="AP18" i="6"/>
  <c r="AP22" i="6" s="1"/>
  <c r="AP30" i="6" s="1"/>
  <c r="AK26" i="6"/>
  <c r="AO30" i="6"/>
  <c r="AM18" i="6"/>
  <c r="AM22" i="6" s="1"/>
  <c r="AM30" i="6" s="1"/>
  <c r="AK18" i="6"/>
  <c r="AK22" i="6" s="1"/>
  <c r="AK30" i="6" l="1"/>
  <c r="AN32" i="6" l="1"/>
  <c r="AN34" i="6" s="1"/>
  <c r="AN37" i="6" s="1"/>
  <c r="AR32" i="6"/>
  <c r="AR34" i="6" s="1"/>
  <c r="AR37" i="6" s="1"/>
  <c r="AL32" i="6"/>
  <c r="AL34" i="6" s="1"/>
  <c r="AL37" i="6" s="1"/>
  <c r="AQ32" i="6"/>
  <c r="AQ34" i="6" s="1"/>
  <c r="AQ37" i="6" s="1"/>
  <c r="AO32" i="6"/>
  <c r="AO34" i="6" s="1"/>
  <c r="AO37" i="6" s="1"/>
  <c r="AM32" i="6"/>
  <c r="AM34" i="6" s="1"/>
  <c r="AM37" i="6" s="1"/>
  <c r="AK32" i="6"/>
  <c r="AK34" i="6" s="1"/>
  <c r="AK37" i="6" s="1"/>
  <c r="AP32" i="6"/>
  <c r="AP34" i="6" s="1"/>
  <c r="AP37" i="6" s="1"/>
  <c r="AG2" i="6"/>
  <c r="AF2" i="6"/>
  <c r="AE2" i="6"/>
  <c r="AD2" i="6"/>
  <c r="BE60" i="5"/>
  <c r="BD60" i="5"/>
  <c r="BC60" i="5"/>
  <c r="BB60" i="5"/>
  <c r="BA60" i="5"/>
  <c r="AZ60" i="5"/>
  <c r="AY60" i="5"/>
  <c r="AX60" i="5"/>
  <c r="AW60" i="5"/>
  <c r="AV60" i="5"/>
  <c r="AU60" i="5"/>
  <c r="AT60" i="5"/>
  <c r="AS60" i="5"/>
  <c r="AR60" i="5"/>
  <c r="AQ60" i="5"/>
  <c r="AP60" i="5"/>
  <c r="AO60" i="5"/>
  <c r="AN60" i="5"/>
  <c r="AM60" i="5"/>
  <c r="AL60" i="5"/>
  <c r="AK60" i="5"/>
  <c r="AJ60" i="5"/>
  <c r="AI60" i="5"/>
  <c r="AH60" i="5"/>
  <c r="AG60" i="5"/>
  <c r="AF60" i="5"/>
  <c r="AE60" i="5"/>
  <c r="AD60" i="5"/>
  <c r="AC60" i="5"/>
  <c r="AB60" i="5"/>
  <c r="AA60" i="5"/>
  <c r="Z60" i="5"/>
  <c r="Y60" i="5"/>
  <c r="X60" i="5"/>
  <c r="W60" i="5"/>
  <c r="V60" i="5"/>
  <c r="U60" i="5"/>
  <c r="T60" i="5"/>
  <c r="S60" i="5"/>
  <c r="R60" i="5"/>
  <c r="Q60" i="5"/>
  <c r="P60" i="5"/>
  <c r="O60" i="5"/>
  <c r="N60" i="5"/>
  <c r="M60" i="5"/>
  <c r="L60" i="5"/>
  <c r="K60" i="5"/>
  <c r="J60" i="5"/>
  <c r="I60" i="5"/>
  <c r="H60" i="5"/>
  <c r="G60" i="5"/>
  <c r="F60" i="5"/>
  <c r="E60" i="5"/>
  <c r="D60" i="5"/>
  <c r="C60" i="5"/>
  <c r="A59" i="5"/>
  <c r="B60" i="5"/>
  <c r="BF1" i="5"/>
  <c r="BF21" i="5"/>
  <c r="BF33" i="5" s="1"/>
  <c r="BF38" i="5" s="1"/>
  <c r="BE21" i="5"/>
  <c r="BD21" i="5"/>
  <c r="BC21" i="5"/>
  <c r="BB21" i="5"/>
  <c r="BA21" i="5"/>
  <c r="AZ21" i="5"/>
  <c r="AY21" i="5"/>
  <c r="AX21" i="5"/>
  <c r="AW21" i="5"/>
  <c r="AV21" i="5"/>
  <c r="AU21" i="5"/>
  <c r="AT21" i="5"/>
  <c r="AS21" i="5"/>
  <c r="AR21" i="5"/>
  <c r="AQ21" i="5"/>
  <c r="AP21" i="5"/>
  <c r="AO21" i="5"/>
  <c r="AN21" i="5"/>
  <c r="AM21" i="5"/>
  <c r="AL21" i="5"/>
  <c r="AK21" i="5"/>
  <c r="AJ21" i="5"/>
  <c r="AI21" i="5"/>
  <c r="AH21" i="5"/>
  <c r="AG21" i="5"/>
  <c r="AF21" i="5"/>
  <c r="AE21" i="5"/>
  <c r="AD21" i="5"/>
  <c r="AC21" i="5"/>
  <c r="AB21" i="5"/>
  <c r="AA21" i="5"/>
  <c r="Z21" i="5"/>
  <c r="Y21" i="5"/>
  <c r="X21" i="5"/>
  <c r="W21" i="5"/>
  <c r="V21" i="5"/>
  <c r="U21" i="5"/>
  <c r="T21" i="5"/>
  <c r="S21" i="5"/>
  <c r="R21" i="5"/>
  <c r="Q21" i="5"/>
  <c r="P21" i="5"/>
  <c r="O21" i="5"/>
  <c r="N21" i="5"/>
  <c r="M21" i="5"/>
  <c r="L21" i="5"/>
  <c r="K21" i="5"/>
  <c r="J21" i="5"/>
  <c r="I21" i="5"/>
  <c r="H21" i="5"/>
  <c r="G21" i="5"/>
  <c r="F21" i="5"/>
  <c r="E21" i="5"/>
  <c r="D21" i="5"/>
  <c r="C21" i="5"/>
  <c r="B21" i="5"/>
  <c r="A20" i="5"/>
  <c r="AG2" i="7"/>
  <c r="AF2" i="7"/>
  <c r="AE2" i="7"/>
  <c r="AD2" i="7"/>
  <c r="BE2" i="3"/>
  <c r="BD2" i="3"/>
  <c r="BC2" i="3"/>
  <c r="BB2" i="3"/>
  <c r="BE2" i="2"/>
  <c r="BD2" i="2"/>
  <c r="BC2" i="2"/>
  <c r="BB2" i="2"/>
  <c r="BF62" i="5" l="1"/>
  <c r="A56" i="9"/>
  <c r="A57" i="9"/>
  <c r="A58" i="9"/>
  <c r="A59" i="9"/>
  <c r="A60" i="9"/>
  <c r="AD1" i="9" l="1"/>
  <c r="AD61" i="9"/>
  <c r="AD52" i="9"/>
  <c r="AD33" i="9"/>
  <c r="AD39" i="9" s="1"/>
  <c r="AD63" i="9" l="1"/>
  <c r="A50" i="8"/>
  <c r="A51" i="8"/>
  <c r="A52" i="8"/>
  <c r="A53" i="8"/>
  <c r="A54" i="8"/>
  <c r="A55" i="8"/>
  <c r="A56" i="8"/>
  <c r="A57" i="8"/>
  <c r="A30" i="8"/>
  <c r="A31" i="8"/>
  <c r="A32" i="8"/>
  <c r="A33" i="8"/>
  <c r="A34" i="8"/>
  <c r="A35" i="8"/>
  <c r="A36" i="8"/>
  <c r="A18" i="8"/>
  <c r="A19" i="8"/>
  <c r="A20" i="8"/>
  <c r="A21" i="8"/>
  <c r="A22" i="8"/>
  <c r="A23" i="8"/>
  <c r="A24" i="8"/>
  <c r="A25" i="8"/>
  <c r="A6" i="8"/>
  <c r="A7" i="8"/>
  <c r="A8" i="8"/>
  <c r="A9" i="8"/>
  <c r="A10" i="8"/>
  <c r="A11" i="8"/>
  <c r="A13" i="8"/>
  <c r="A14" i="8"/>
  <c r="AH26" i="6" l="1"/>
  <c r="AH16" i="6"/>
  <c r="AH6" i="6"/>
  <c r="AH10" i="6" s="1"/>
  <c r="AH26" i="7"/>
  <c r="AG26" i="7"/>
  <c r="AF26" i="7"/>
  <c r="AE26" i="7"/>
  <c r="AH6" i="7"/>
  <c r="AH10" i="7" s="1"/>
  <c r="AG6" i="6"/>
  <c r="AF6" i="6"/>
  <c r="AE6" i="6"/>
  <c r="AH16" i="7"/>
  <c r="AH18" i="6" l="1"/>
  <c r="AH22" i="6" s="1"/>
  <c r="AH30" i="6" s="1"/>
  <c r="AH34" i="6" s="1"/>
  <c r="AH18" i="7"/>
  <c r="AH22" i="7" s="1"/>
  <c r="AH30" i="7" s="1"/>
  <c r="AH34" i="7" s="1"/>
  <c r="AH37" i="7" s="1"/>
  <c r="AG16" i="7"/>
  <c r="AF16" i="7"/>
  <c r="AE16" i="7"/>
  <c r="AD16" i="7"/>
  <c r="AG10" i="7"/>
  <c r="AE10" i="7"/>
  <c r="AF10" i="7"/>
  <c r="AE6" i="7"/>
  <c r="AD6" i="7"/>
  <c r="AD10" i="7" s="1"/>
  <c r="AH1" i="6" l="1"/>
  <c r="AH1" i="7"/>
  <c r="AH1" i="8" l="1"/>
  <c r="AH58" i="8"/>
  <c r="AH47" i="8"/>
  <c r="AH39" i="8"/>
  <c r="AH25" i="8"/>
  <c r="AH15" i="8"/>
  <c r="AH27" i="8" l="1"/>
  <c r="AH3" i="8"/>
  <c r="AG58" i="8"/>
  <c r="AF58" i="8"/>
  <c r="AE58" i="8"/>
  <c r="AD58" i="8"/>
  <c r="AG47" i="8"/>
  <c r="AF47" i="8"/>
  <c r="AE47" i="8"/>
  <c r="AD47" i="8"/>
  <c r="AG39" i="8"/>
  <c r="AF39" i="8"/>
  <c r="AE39" i="8"/>
  <c r="AD39" i="8"/>
  <c r="AG25" i="8"/>
  <c r="AF25" i="8"/>
  <c r="AE25" i="8"/>
  <c r="AD25" i="8"/>
  <c r="AG15" i="8"/>
  <c r="AF15" i="8"/>
  <c r="AE15" i="8"/>
  <c r="AD15" i="8"/>
  <c r="AG1" i="8"/>
  <c r="AF1" i="8"/>
  <c r="AE1" i="8"/>
  <c r="AD1" i="8"/>
  <c r="AE27" i="8" l="1"/>
  <c r="AD27" i="8"/>
  <c r="AF27" i="8"/>
  <c r="AG27" i="8"/>
  <c r="AG3" i="8"/>
  <c r="AD3" i="8"/>
  <c r="AE3" i="8"/>
  <c r="AF3" i="8"/>
  <c r="BF47" i="10"/>
  <c r="BF43" i="10"/>
  <c r="BF39" i="10"/>
  <c r="BF35" i="10"/>
  <c r="BF31" i="10"/>
  <c r="BF27" i="10"/>
  <c r="BF23" i="10"/>
  <c r="A52" i="10"/>
  <c r="BF1" i="10"/>
  <c r="A37" i="8"/>
  <c r="A36" i="4"/>
  <c r="A13" i="4" l="1"/>
  <c r="BF56" i="4"/>
  <c r="BF45" i="4"/>
  <c r="BF25" i="4"/>
  <c r="BF15" i="4"/>
  <c r="BF1" i="4"/>
  <c r="BF6" i="2"/>
  <c r="BF10" i="2" s="1"/>
  <c r="BF16" i="2"/>
  <c r="BF1" i="2"/>
  <c r="BF26" i="3"/>
  <c r="A34" i="7"/>
  <c r="A34" i="6"/>
  <c r="A34" i="3"/>
  <c r="A34" i="2"/>
  <c r="BF16" i="3"/>
  <c r="BF6" i="3"/>
  <c r="BF10" i="3" s="1"/>
  <c r="BF1" i="3"/>
  <c r="AW15" i="4"/>
  <c r="AV15" i="4"/>
  <c r="AU15" i="4"/>
  <c r="AT15" i="4"/>
  <c r="AS15" i="4"/>
  <c r="AR15" i="4"/>
  <c r="AQ15" i="4"/>
  <c r="AP15" i="4"/>
  <c r="AO15" i="4"/>
  <c r="AN15" i="4"/>
  <c r="AM15" i="4"/>
  <c r="AL15" i="4"/>
  <c r="AK15" i="4"/>
  <c r="AJ15" i="4"/>
  <c r="AI15" i="4"/>
  <c r="AH15" i="4"/>
  <c r="AG15" i="4"/>
  <c r="AF15" i="4"/>
  <c r="AE15" i="4"/>
  <c r="AD15" i="4"/>
  <c r="AC15" i="4"/>
  <c r="AB15" i="4"/>
  <c r="AA15" i="4"/>
  <c r="Z15" i="4"/>
  <c r="Y15" i="4"/>
  <c r="X15" i="4"/>
  <c r="W15" i="4"/>
  <c r="V15" i="4"/>
  <c r="U15" i="4"/>
  <c r="T15" i="4"/>
  <c r="S15" i="4"/>
  <c r="R15" i="4"/>
  <c r="Q15" i="4"/>
  <c r="P15" i="4"/>
  <c r="O15" i="4"/>
  <c r="N15" i="4"/>
  <c r="M15" i="4"/>
  <c r="L15" i="4"/>
  <c r="K15" i="4"/>
  <c r="J15" i="4"/>
  <c r="I15" i="4"/>
  <c r="H15" i="4"/>
  <c r="G15" i="4"/>
  <c r="F15" i="4"/>
  <c r="E15" i="4"/>
  <c r="D15" i="4"/>
  <c r="C15" i="4"/>
  <c r="B15" i="4"/>
  <c r="Z15" i="8"/>
  <c r="Y15" i="8"/>
  <c r="X15" i="8"/>
  <c r="W15" i="8"/>
  <c r="V15" i="8"/>
  <c r="U15" i="8"/>
  <c r="T15" i="8"/>
  <c r="S15" i="8"/>
  <c r="R15" i="8"/>
  <c r="Q15" i="8"/>
  <c r="P15" i="8"/>
  <c r="O15" i="8"/>
  <c r="N15" i="8"/>
  <c r="M15" i="8"/>
  <c r="L15" i="8"/>
  <c r="K15" i="8"/>
  <c r="J15" i="8"/>
  <c r="I15" i="8"/>
  <c r="H15" i="8"/>
  <c r="G15" i="8"/>
  <c r="F15" i="8"/>
  <c r="E15" i="8"/>
  <c r="D15" i="8"/>
  <c r="C15" i="8"/>
  <c r="B15" i="8"/>
  <c r="A37" i="7"/>
  <c r="A36" i="7"/>
  <c r="A37" i="6"/>
  <c r="A36" i="6"/>
  <c r="AH37" i="6"/>
  <c r="A37" i="2"/>
  <c r="A36" i="2"/>
  <c r="A36" i="3"/>
  <c r="A37" i="3"/>
  <c r="BF18" i="3" l="1"/>
  <c r="BF22" i="3" s="1"/>
  <c r="BF30" i="3" s="1"/>
  <c r="BF34" i="3" s="1"/>
  <c r="BF37" i="3" s="1"/>
  <c r="BF27" i="4"/>
  <c r="BF3" i="4"/>
  <c r="BF18" i="2"/>
  <c r="BF22" i="2" s="1"/>
  <c r="BF30" i="2" s="1"/>
  <c r="BF34" i="2" s="1"/>
  <c r="BF37" i="2" s="1"/>
  <c r="AW2" i="2" l="1"/>
  <c r="AV2" i="2"/>
  <c r="AU2" i="2"/>
  <c r="AT2" i="2"/>
  <c r="AW1" i="2"/>
  <c r="AV1" i="2"/>
  <c r="AU1" i="2"/>
  <c r="AT1" i="2"/>
  <c r="B1" i="13"/>
  <c r="C1" i="13"/>
  <c r="C2" i="13"/>
  <c r="B2" i="13"/>
  <c r="AW2" i="3"/>
  <c r="AV2" i="3"/>
  <c r="AU2" i="3"/>
  <c r="AT2" i="3"/>
  <c r="AW1" i="3"/>
  <c r="AV1" i="3"/>
  <c r="AU1" i="3"/>
  <c r="AT1" i="3"/>
  <c r="Y2" i="7"/>
  <c r="X2" i="7"/>
  <c r="W2" i="7"/>
  <c r="V2" i="7"/>
  <c r="Y1" i="7"/>
  <c r="X1" i="7"/>
  <c r="W1" i="7"/>
  <c r="V1" i="7"/>
  <c r="Y1" i="6"/>
  <c r="X1" i="6"/>
  <c r="W1" i="6"/>
  <c r="V1" i="6"/>
  <c r="Y2" i="6"/>
  <c r="X2" i="6"/>
  <c r="W2" i="6"/>
  <c r="V2" i="6"/>
  <c r="BF12" i="10" l="1"/>
  <c r="BF8" i="10"/>
  <c r="BE8" i="10"/>
  <c r="BE81" i="10" l="1"/>
  <c r="BE49" i="10"/>
  <c r="A20" i="10"/>
  <c r="BE50" i="10"/>
  <c r="C7" i="15" l="1"/>
  <c r="C10" i="15"/>
  <c r="C26" i="15"/>
  <c r="AB61" i="9" l="1"/>
  <c r="AA61" i="9"/>
  <c r="Z61" i="9"/>
  <c r="Y61" i="9"/>
  <c r="X61" i="9"/>
  <c r="W61" i="9"/>
  <c r="V61" i="9"/>
  <c r="U61" i="9"/>
  <c r="T61" i="9"/>
  <c r="S61" i="9"/>
  <c r="R61" i="9"/>
  <c r="Q61" i="9"/>
  <c r="P61" i="9"/>
  <c r="O61" i="9"/>
  <c r="N61" i="9"/>
  <c r="M61" i="9"/>
  <c r="L61" i="9"/>
  <c r="K61" i="9"/>
  <c r="J61" i="9"/>
  <c r="I61" i="9"/>
  <c r="H61" i="9"/>
  <c r="G61" i="9"/>
  <c r="F61" i="9"/>
  <c r="E61" i="9"/>
  <c r="D61" i="9"/>
  <c r="C61" i="9"/>
  <c r="B61" i="9"/>
  <c r="AC61" i="9"/>
  <c r="A20" i="9"/>
  <c r="A19" i="5"/>
  <c r="A58" i="5"/>
  <c r="BE38" i="4" l="1"/>
  <c r="AC1" i="9" l="1"/>
  <c r="AC52" i="9"/>
  <c r="AC33" i="9"/>
  <c r="AG1" i="7"/>
  <c r="AC39" i="9" l="1"/>
  <c r="AC63" i="9" s="1"/>
  <c r="AG18" i="7"/>
  <c r="AG22" i="7" s="1"/>
  <c r="AG30" i="7" s="1"/>
  <c r="AG34" i="7" s="1"/>
  <c r="AG37" i="7" s="1"/>
  <c r="AG1" i="6" l="1"/>
  <c r="AG26" i="6"/>
  <c r="AG16" i="6"/>
  <c r="AG10" i="6"/>
  <c r="BE1" i="5"/>
  <c r="BE33" i="5"/>
  <c r="BE38" i="5" s="1"/>
  <c r="AG18" i="6" l="1"/>
  <c r="AG22" i="6" s="1"/>
  <c r="AG30" i="6" s="1"/>
  <c r="AG34" i="6" s="1"/>
  <c r="AG37" i="6" s="1"/>
  <c r="P7" i="14" l="1"/>
  <c r="P10" i="14" s="1"/>
  <c r="BE12" i="10"/>
  <c r="BE1" i="4"/>
  <c r="BE56" i="4"/>
  <c r="BE45" i="4"/>
  <c r="BE25" i="4"/>
  <c r="BE15" i="4"/>
  <c r="BE1" i="3"/>
  <c r="BE26" i="3"/>
  <c r="BE16" i="3"/>
  <c r="BE6" i="3"/>
  <c r="BE10" i="3" s="1"/>
  <c r="BE1" i="2"/>
  <c r="BE26" i="2"/>
  <c r="BE16" i="2"/>
  <c r="BE6" i="2"/>
  <c r="BE10" i="2" s="1"/>
  <c r="A78" i="10"/>
  <c r="A74" i="10"/>
  <c r="A70" i="10"/>
  <c r="A66" i="10"/>
  <c r="A62" i="10"/>
  <c r="A58" i="10"/>
  <c r="A54" i="10"/>
  <c r="BE27" i="4" l="1"/>
  <c r="BE3" i="4"/>
  <c r="BE18" i="3"/>
  <c r="BE22" i="3" s="1"/>
  <c r="BE30" i="3" s="1"/>
  <c r="BE34" i="3" s="1"/>
  <c r="BE37" i="3" s="1"/>
  <c r="BE18" i="2"/>
  <c r="BE22" i="2" s="1"/>
  <c r="BE30" i="2" s="1"/>
  <c r="BE34" i="2" s="1"/>
  <c r="BE37" i="2" s="1"/>
  <c r="BE55" i="10"/>
  <c r="BE59" i="10"/>
  <c r="BE63" i="10"/>
  <c r="BE67" i="10"/>
  <c r="BE71" i="10"/>
  <c r="BE75" i="10"/>
  <c r="BE79" i="10"/>
  <c r="BE23" i="10"/>
  <c r="BE27" i="10"/>
  <c r="BE31" i="10"/>
  <c r="BE35" i="10"/>
  <c r="BE39" i="10"/>
  <c r="BE43" i="10"/>
  <c r="BE47" i="10"/>
  <c r="BE1" i="10"/>
  <c r="BD79" i="10"/>
  <c r="BC79" i="10"/>
  <c r="BB79" i="10"/>
  <c r="BA79" i="10"/>
  <c r="AZ79" i="10"/>
  <c r="AY79" i="10"/>
  <c r="AX79" i="10"/>
  <c r="AW79" i="10"/>
  <c r="AV79" i="10"/>
  <c r="AU79" i="10"/>
  <c r="AT79" i="10"/>
  <c r="AS79" i="10"/>
  <c r="AR79" i="10"/>
  <c r="AQ79" i="10"/>
  <c r="AP79" i="10"/>
  <c r="AO79" i="10"/>
  <c r="AN79" i="10"/>
  <c r="AM79" i="10"/>
  <c r="AL79" i="10"/>
  <c r="A79" i="10"/>
  <c r="A77" i="10"/>
  <c r="BD75" i="10"/>
  <c r="BC75" i="10"/>
  <c r="BB75" i="10"/>
  <c r="BA75" i="10"/>
  <c r="AZ75" i="10"/>
  <c r="AY75" i="10"/>
  <c r="AX75" i="10"/>
  <c r="AW75" i="10"/>
  <c r="AV75" i="10"/>
  <c r="AU75" i="10"/>
  <c r="AT75" i="10"/>
  <c r="AS75" i="10"/>
  <c r="AR75" i="10"/>
  <c r="AQ75" i="10"/>
  <c r="AP75" i="10"/>
  <c r="AO75" i="10"/>
  <c r="AN75" i="10"/>
  <c r="AM75" i="10"/>
  <c r="AL75" i="10"/>
  <c r="A75" i="10"/>
  <c r="A73" i="10"/>
  <c r="BD71" i="10"/>
  <c r="BC71" i="10"/>
  <c r="BB71" i="10"/>
  <c r="BA71" i="10"/>
  <c r="AZ71" i="10"/>
  <c r="AY71" i="10"/>
  <c r="AX71" i="10"/>
  <c r="AW71" i="10"/>
  <c r="AV71" i="10"/>
  <c r="AU71" i="10"/>
  <c r="AT71" i="10"/>
  <c r="AS71" i="10"/>
  <c r="AR71" i="10"/>
  <c r="AQ71" i="10"/>
  <c r="AP71" i="10"/>
  <c r="AO71" i="10"/>
  <c r="AN71" i="10"/>
  <c r="AM71" i="10"/>
  <c r="AL71" i="10"/>
  <c r="A71" i="10"/>
  <c r="A69" i="10"/>
  <c r="BD67" i="10"/>
  <c r="BC67" i="10"/>
  <c r="BB67" i="10"/>
  <c r="BA67" i="10"/>
  <c r="AZ67" i="10"/>
  <c r="AY67" i="10"/>
  <c r="AX67" i="10"/>
  <c r="AW67" i="10"/>
  <c r="AV67" i="10"/>
  <c r="AU67" i="10"/>
  <c r="AT67" i="10"/>
  <c r="AS67" i="10"/>
  <c r="AR67" i="10"/>
  <c r="AQ67" i="10"/>
  <c r="AP67" i="10"/>
  <c r="AO67" i="10"/>
  <c r="AN67" i="10"/>
  <c r="AM67" i="10"/>
  <c r="AL67" i="10"/>
  <c r="A67" i="10"/>
  <c r="A65" i="10"/>
  <c r="BD63" i="10"/>
  <c r="BC63" i="10"/>
  <c r="BB63" i="10"/>
  <c r="BA63" i="10"/>
  <c r="AZ63" i="10"/>
  <c r="AY63" i="10"/>
  <c r="AX63" i="10"/>
  <c r="AW63" i="10"/>
  <c r="AV63" i="10"/>
  <c r="AU63" i="10"/>
  <c r="AT63" i="10"/>
  <c r="AS63" i="10"/>
  <c r="AR63" i="10"/>
  <c r="AQ63" i="10"/>
  <c r="AP63" i="10"/>
  <c r="AO63" i="10"/>
  <c r="AN63" i="10"/>
  <c r="AM63" i="10"/>
  <c r="AL63" i="10"/>
  <c r="A63" i="10"/>
  <c r="A61" i="10"/>
  <c r="BD59" i="10"/>
  <c r="BC59" i="10"/>
  <c r="BB59" i="10"/>
  <c r="BA59" i="10"/>
  <c r="AZ59" i="10"/>
  <c r="AY59" i="10"/>
  <c r="AX59" i="10"/>
  <c r="AW59" i="10"/>
  <c r="AV59" i="10"/>
  <c r="AU59" i="10"/>
  <c r="AT59" i="10"/>
  <c r="AS59" i="10"/>
  <c r="AR59" i="10"/>
  <c r="AQ59" i="10"/>
  <c r="AP59" i="10"/>
  <c r="AO59" i="10"/>
  <c r="AN59" i="10"/>
  <c r="AM59" i="10"/>
  <c r="AL59" i="10"/>
  <c r="A59" i="10"/>
  <c r="A57" i="10"/>
  <c r="BD55" i="10"/>
  <c r="BC55" i="10"/>
  <c r="BB55" i="10"/>
  <c r="BA55" i="10"/>
  <c r="AZ55" i="10"/>
  <c r="AY55" i="10"/>
  <c r="AX55" i="10"/>
  <c r="AW55" i="10"/>
  <c r="AV55" i="10"/>
  <c r="AU55" i="10"/>
  <c r="AT55" i="10"/>
  <c r="AS55" i="10"/>
  <c r="AR55" i="10"/>
  <c r="AQ55" i="10"/>
  <c r="AP55" i="10"/>
  <c r="AO55" i="10"/>
  <c r="AN55" i="10"/>
  <c r="AM55" i="10"/>
  <c r="AL55" i="10"/>
  <c r="A55" i="10"/>
  <c r="A53" i="10"/>
  <c r="AF1" i="6" l="1"/>
  <c r="AF26" i="6"/>
  <c r="AF16" i="6"/>
  <c r="AF10" i="6"/>
  <c r="AF18" i="6" l="1"/>
  <c r="AF22" i="6" s="1"/>
  <c r="AF30" i="6" s="1"/>
  <c r="AF34" i="6" s="1"/>
  <c r="AF37" i="6" s="1"/>
  <c r="AB1" i="9" l="1"/>
  <c r="AB52" i="9"/>
  <c r="AB33" i="9"/>
  <c r="AB39" i="9" l="1"/>
  <c r="AB63" i="9" s="1"/>
  <c r="AF1" i="7" l="1"/>
  <c r="BD1" i="10"/>
  <c r="BD12" i="10"/>
  <c r="BD8" i="10"/>
  <c r="BD1" i="5"/>
  <c r="BD33" i="5"/>
  <c r="BD38" i="5" s="1"/>
  <c r="BD1" i="4"/>
  <c r="BD56" i="4"/>
  <c r="BD45" i="4"/>
  <c r="BD38" i="4"/>
  <c r="BD25" i="4"/>
  <c r="BD15" i="4"/>
  <c r="BD1" i="3"/>
  <c r="BD26" i="3"/>
  <c r="BD16" i="3"/>
  <c r="BD6" i="3"/>
  <c r="BD10" i="3" s="1"/>
  <c r="AF18" i="7" l="1"/>
  <c r="AF22" i="7" s="1"/>
  <c r="AF30" i="7" s="1"/>
  <c r="AF34" i="7" s="1"/>
  <c r="AF37" i="7" s="1"/>
  <c r="BD62" i="5"/>
  <c r="BD27" i="4"/>
  <c r="BD3" i="4"/>
  <c r="BD18" i="3"/>
  <c r="BD22" i="3" s="1"/>
  <c r="BD30" i="3" s="1"/>
  <c r="BD34" i="3" s="1"/>
  <c r="BD37" i="3" s="1"/>
  <c r="BD1" i="2" l="1"/>
  <c r="BD26" i="2"/>
  <c r="BD16" i="2"/>
  <c r="BD6" i="2"/>
  <c r="BD10" i="2" s="1"/>
  <c r="AA52" i="9"/>
  <c r="AA33" i="9" l="1"/>
  <c r="AA39" i="9" s="1"/>
  <c r="AA63" i="9" s="1"/>
  <c r="BD18" i="2"/>
  <c r="BD22" i="2" s="1"/>
  <c r="BD30" i="2" s="1"/>
  <c r="BD34" i="2" s="1"/>
  <c r="BD37" i="2" s="1"/>
  <c r="AA1" i="9"/>
  <c r="BC33" i="5" l="1"/>
  <c r="BC38" i="5" s="1"/>
  <c r="BC1" i="5"/>
  <c r="BC56" i="4"/>
  <c r="BC45" i="4"/>
  <c r="BC38" i="4"/>
  <c r="BC25" i="4"/>
  <c r="BC15" i="4"/>
  <c r="BC1" i="4"/>
  <c r="BC12" i="10"/>
  <c r="BC8" i="10"/>
  <c r="BC62" i="5" l="1"/>
  <c r="BC3" i="4"/>
  <c r="BC27" i="4"/>
  <c r="BC1" i="10"/>
  <c r="BC26" i="3"/>
  <c r="BC16" i="3"/>
  <c r="BC6" i="3"/>
  <c r="BC10" i="3" s="1"/>
  <c r="BC1" i="3"/>
  <c r="AE1" i="7"/>
  <c r="AE26" i="6"/>
  <c r="AE16" i="6"/>
  <c r="AE10" i="6"/>
  <c r="BC1" i="2"/>
  <c r="AE1" i="6"/>
  <c r="AE18" i="7" l="1"/>
  <c r="AE22" i="7" s="1"/>
  <c r="AE30" i="7" s="1"/>
  <c r="AE34" i="7" s="1"/>
  <c r="AE37" i="7" s="1"/>
  <c r="AE18" i="6"/>
  <c r="AE22" i="6" s="1"/>
  <c r="AE30" i="6" s="1"/>
  <c r="AE34" i="6" s="1"/>
  <c r="AE37" i="6" s="1"/>
  <c r="BC18" i="3"/>
  <c r="BC22" i="3" s="1"/>
  <c r="BC30" i="3" s="1"/>
  <c r="BC34" i="3" s="1"/>
  <c r="BC37" i="3" s="1"/>
  <c r="BC26" i="2"/>
  <c r="BC16" i="2"/>
  <c r="BC6" i="2"/>
  <c r="BC10" i="2" s="1"/>
  <c r="BC18" i="2" l="1"/>
  <c r="BC22" i="2" s="1"/>
  <c r="BC30" i="2" s="1"/>
  <c r="BC34" i="2" s="1"/>
  <c r="BC37" i="2" s="1"/>
  <c r="Y65" i="9" l="1"/>
  <c r="AD26" i="7" l="1"/>
  <c r="AD1" i="7"/>
  <c r="AD18" i="7" l="1"/>
  <c r="AD22" i="7" s="1"/>
  <c r="AD30" i="7" s="1"/>
  <c r="AD34" i="7" s="1"/>
  <c r="AD37" i="7" s="1"/>
  <c r="Z1" i="9" l="1"/>
  <c r="Z52" i="9"/>
  <c r="BB1" i="5"/>
  <c r="BB33" i="5"/>
  <c r="BB38" i="5" s="1"/>
  <c r="BB1" i="4"/>
  <c r="BB56" i="4"/>
  <c r="BB45" i="4"/>
  <c r="BB38" i="4"/>
  <c r="BB25" i="4"/>
  <c r="BB15" i="4"/>
  <c r="AD26" i="6"/>
  <c r="AD16" i="6"/>
  <c r="AD6" i="6"/>
  <c r="AD10" i="6" s="1"/>
  <c r="AD1" i="6"/>
  <c r="BB26" i="3"/>
  <c r="BB16" i="3"/>
  <c r="BB6" i="3"/>
  <c r="BB10" i="3" s="1"/>
  <c r="BB1" i="3"/>
  <c r="BB1" i="2"/>
  <c r="BB26" i="2"/>
  <c r="BB16" i="2"/>
  <c r="BB6" i="2"/>
  <c r="BB10" i="2" s="1"/>
  <c r="Z33" i="9" l="1"/>
  <c r="Z39" i="9" s="1"/>
  <c r="Z63" i="9" s="1"/>
  <c r="BB62" i="5"/>
  <c r="BB27" i="4"/>
  <c r="BB3" i="4"/>
  <c r="AD18" i="6"/>
  <c r="AD22" i="6" s="1"/>
  <c r="AD30" i="6" s="1"/>
  <c r="AD34" i="6" s="1"/>
  <c r="AD37" i="6" s="1"/>
  <c r="BB18" i="3"/>
  <c r="BB22" i="3" s="1"/>
  <c r="BB30" i="3" s="1"/>
  <c r="BB34" i="3" s="1"/>
  <c r="BB37" i="3" s="1"/>
  <c r="BB18" i="2"/>
  <c r="BB22" i="2" s="1"/>
  <c r="BB30" i="2" s="1"/>
  <c r="BB34" i="2" s="1"/>
  <c r="BB37" i="2" s="1"/>
  <c r="BB1" i="10" l="1"/>
  <c r="BB12" i="10"/>
  <c r="BB8" i="10"/>
  <c r="AC26" i="7" l="1"/>
  <c r="AC16" i="7"/>
  <c r="AC6" i="7"/>
  <c r="AC10" i="7" s="1"/>
  <c r="AB26" i="6"/>
  <c r="AB16" i="6"/>
  <c r="AB6" i="6"/>
  <c r="AB10" i="6" s="1"/>
  <c r="AA26" i="6"/>
  <c r="AA16" i="6"/>
  <c r="AA6" i="6"/>
  <c r="AA10" i="6" s="1"/>
  <c r="AC18" i="7" l="1"/>
  <c r="AC22" i="7" s="1"/>
  <c r="AC30" i="7" s="1"/>
  <c r="AB18" i="6"/>
  <c r="AB22" i="6" s="1"/>
  <c r="AB30" i="6" s="1"/>
  <c r="AA18" i="6"/>
  <c r="AA22" i="6" s="1"/>
  <c r="AA30" i="6" s="1"/>
  <c r="A47" i="9" l="1"/>
  <c r="A46" i="5"/>
  <c r="A9" i="14" l="1"/>
  <c r="AC39" i="8" l="1"/>
  <c r="AZ38" i="4" l="1"/>
  <c r="BA38" i="4"/>
  <c r="Y1" i="9"/>
  <c r="Y52" i="9"/>
  <c r="AC1" i="8"/>
  <c r="AC58" i="8"/>
  <c r="AC47" i="8"/>
  <c r="AC25" i="8"/>
  <c r="AC15" i="8"/>
  <c r="AC1" i="7"/>
  <c r="AC1" i="6"/>
  <c r="AC26" i="6"/>
  <c r="AC16" i="6"/>
  <c r="AC6" i="6"/>
  <c r="AC10" i="6" s="1"/>
  <c r="O7" i="14"/>
  <c r="O10" i="14" s="1"/>
  <c r="BA1" i="10"/>
  <c r="BA12" i="10"/>
  <c r="BA8" i="10"/>
  <c r="BA1" i="5"/>
  <c r="BA33" i="5"/>
  <c r="BA38" i="5" s="1"/>
  <c r="BA1" i="4"/>
  <c r="BA56" i="4"/>
  <c r="BA45" i="4"/>
  <c r="BA25" i="4"/>
  <c r="BA15" i="4"/>
  <c r="BA1" i="3"/>
  <c r="BA26" i="3"/>
  <c r="BA16" i="3"/>
  <c r="BA6" i="3"/>
  <c r="BA10" i="3" s="1"/>
  <c r="BA1" i="2"/>
  <c r="BA26" i="2"/>
  <c r="BA16" i="2"/>
  <c r="BA6" i="2"/>
  <c r="BA10" i="2" s="1"/>
  <c r="Y33" i="9" l="1"/>
  <c r="Y39" i="9" s="1"/>
  <c r="Y63" i="9" s="1"/>
  <c r="Y66" i="9" s="1"/>
  <c r="Z65" i="9" s="1"/>
  <c r="Z66" i="9" s="1"/>
  <c r="BA62" i="5"/>
  <c r="BA18" i="2"/>
  <c r="BA22" i="2" s="1"/>
  <c r="BA30" i="2" s="1"/>
  <c r="BA34" i="2" s="1"/>
  <c r="BA37" i="2" s="1"/>
  <c r="AC27" i="8"/>
  <c r="AC3" i="8"/>
  <c r="AC34" i="7"/>
  <c r="AC37" i="7" s="1"/>
  <c r="AC18" i="6"/>
  <c r="AC22" i="6" s="1"/>
  <c r="AC30" i="6" s="1"/>
  <c r="AC34" i="6" s="1"/>
  <c r="AC37" i="6" s="1"/>
  <c r="BA27" i="4"/>
  <c r="BA3" i="4"/>
  <c r="BA18" i="3"/>
  <c r="BA22" i="3" s="1"/>
  <c r="BA30" i="3" s="1"/>
  <c r="BA34" i="3" s="1"/>
  <c r="BA37" i="3" s="1"/>
  <c r="AB16" i="7"/>
  <c r="AB6" i="7"/>
  <c r="AB10" i="7" s="1"/>
  <c r="AB26" i="7"/>
  <c r="AA34" i="6" l="1"/>
  <c r="AA37" i="6" s="1"/>
  <c r="AB18" i="7"/>
  <c r="AB22" i="7" s="1"/>
  <c r="AB30" i="7" s="1"/>
  <c r="AB34" i="7" s="1"/>
  <c r="AB37" i="7" s="1"/>
  <c r="X52" i="9" l="1"/>
  <c r="W52" i="9"/>
  <c r="X33" i="9"/>
  <c r="X39" i="9" s="1"/>
  <c r="W33" i="9"/>
  <c r="W39" i="9" s="1"/>
  <c r="V33" i="9"/>
  <c r="X63" i="9" l="1"/>
  <c r="AB58" i="8"/>
  <c r="AB47" i="8"/>
  <c r="AA47" i="8"/>
  <c r="AB39" i="8"/>
  <c r="AA39" i="8"/>
  <c r="AB25" i="8"/>
  <c r="AB3" i="8" s="1"/>
  <c r="AA25" i="8"/>
  <c r="AB15" i="8"/>
  <c r="AA15" i="8"/>
  <c r="AA3" i="8" l="1"/>
  <c r="AB27" i="8"/>
  <c r="Z58" i="8"/>
  <c r="Z47" i="8"/>
  <c r="Z39" i="8"/>
  <c r="Z25" i="8"/>
  <c r="AA58" i="8" l="1"/>
  <c r="AA27" i="8" s="1"/>
  <c r="AA26" i="7" l="1"/>
  <c r="AA16" i="7"/>
  <c r="AA6" i="7"/>
  <c r="AA10" i="7" s="1"/>
  <c r="AA18" i="7" l="1"/>
  <c r="AA22" i="7" s="1"/>
  <c r="AA30" i="7" s="1"/>
  <c r="AA34" i="7" s="1"/>
  <c r="AA37" i="7" s="1"/>
  <c r="Z26" i="7"/>
  <c r="Z16" i="7"/>
  <c r="Z6" i="7"/>
  <c r="Z10" i="7" s="1"/>
  <c r="AB34" i="6"/>
  <c r="AB37" i="6" s="1"/>
  <c r="Z26" i="6"/>
  <c r="Z16" i="6"/>
  <c r="Z6" i="6"/>
  <c r="Z10" i="6" s="1"/>
  <c r="Z18" i="6" l="1"/>
  <c r="Z22" i="6" s="1"/>
  <c r="Z30" i="6" s="1"/>
  <c r="Z18" i="7"/>
  <c r="Z22" i="7" s="1"/>
  <c r="Z30" i="7" s="1"/>
  <c r="Z34" i="7" s="1"/>
  <c r="Z37" i="7" s="1"/>
  <c r="AZ33" i="5"/>
  <c r="AZ38" i="5" s="1"/>
  <c r="AY33" i="5"/>
  <c r="AY38" i="5" s="1"/>
  <c r="AX33" i="5"/>
  <c r="AX38" i="5" s="1"/>
  <c r="AW33" i="5"/>
  <c r="AW38" i="5" s="1"/>
  <c r="AX38" i="4"/>
  <c r="AY38" i="4"/>
  <c r="AX45" i="4"/>
  <c r="AY45" i="4"/>
  <c r="AZ45" i="4"/>
  <c r="AX56" i="4"/>
  <c r="AY56" i="4"/>
  <c r="AZ56" i="4"/>
  <c r="AW56" i="4"/>
  <c r="AW45" i="4"/>
  <c r="AW38" i="4"/>
  <c r="AZ25" i="4"/>
  <c r="AY25" i="4"/>
  <c r="AX25" i="4"/>
  <c r="AW25" i="4"/>
  <c r="AZ15" i="4"/>
  <c r="AY15" i="4"/>
  <c r="AZ26" i="2"/>
  <c r="AY26" i="2"/>
  <c r="AX26" i="2"/>
  <c r="AZ16" i="2"/>
  <c r="AY16" i="2"/>
  <c r="AX16" i="2"/>
  <c r="AZ6" i="2"/>
  <c r="AZ10" i="2" s="1"/>
  <c r="AY6" i="2"/>
  <c r="AY10" i="2" s="1"/>
  <c r="AX6" i="2"/>
  <c r="AX10" i="2" s="1"/>
  <c r="AZ26" i="3"/>
  <c r="AY26" i="3"/>
  <c r="AX26" i="3"/>
  <c r="AZ16" i="3"/>
  <c r="AY16" i="3"/>
  <c r="AX16" i="3"/>
  <c r="AW16" i="3"/>
  <c r="AZ6" i="3"/>
  <c r="AZ10" i="3" s="1"/>
  <c r="AY6" i="3"/>
  <c r="AY10" i="3" s="1"/>
  <c r="AX6" i="3"/>
  <c r="AX10" i="3" s="1"/>
  <c r="AX18" i="2" l="1"/>
  <c r="AX22" i="2" s="1"/>
  <c r="AX18" i="3"/>
  <c r="AX22" i="3" s="1"/>
  <c r="AX30" i="3" s="1"/>
  <c r="AX34" i="3" s="1"/>
  <c r="AX37" i="3" s="1"/>
  <c r="AY18" i="2"/>
  <c r="AY22" i="2" s="1"/>
  <c r="AY30" i="2" s="1"/>
  <c r="AY34" i="2" s="1"/>
  <c r="AY37" i="2" s="1"/>
  <c r="AY3" i="4"/>
  <c r="AX30" i="2"/>
  <c r="AX34" i="2" s="1"/>
  <c r="AX37" i="2" s="1"/>
  <c r="AW27" i="4"/>
  <c r="AX62" i="5"/>
  <c r="AY62" i="5"/>
  <c r="AZ18" i="3"/>
  <c r="AZ22" i="3" s="1"/>
  <c r="AZ30" i="3" s="1"/>
  <c r="AZ34" i="3" s="1"/>
  <c r="AZ37" i="3" s="1"/>
  <c r="AZ18" i="2"/>
  <c r="AZ22" i="2" s="1"/>
  <c r="AZ30" i="2" s="1"/>
  <c r="AZ34" i="2" s="1"/>
  <c r="AZ37" i="2" s="1"/>
  <c r="AZ3" i="4"/>
  <c r="AZ62" i="5"/>
  <c r="AW62" i="5"/>
  <c r="AY18" i="3"/>
  <c r="AY22" i="3" s="1"/>
  <c r="AY30" i="3" s="1"/>
  <c r="AY34" i="3" s="1"/>
  <c r="AY37" i="3" s="1"/>
  <c r="AZ27" i="4"/>
  <c r="AY27" i="4"/>
  <c r="AX27" i="4"/>
  <c r="AX15" i="4"/>
  <c r="AX3" i="4" s="1"/>
  <c r="Y26" i="6" l="1"/>
  <c r="Z34" i="6"/>
  <c r="Z37" i="6" s="1"/>
  <c r="Y16" i="6"/>
  <c r="AZ12" i="10" l="1"/>
  <c r="AY12" i="10"/>
  <c r="AY8" i="10"/>
  <c r="AZ8" i="10"/>
  <c r="X1" i="9" l="1"/>
  <c r="AB1" i="8"/>
  <c r="AB1" i="7"/>
  <c r="AB1" i="6"/>
  <c r="AZ1" i="10"/>
  <c r="AZ1" i="5"/>
  <c r="AZ1" i="4"/>
  <c r="AZ1" i="3"/>
  <c r="AZ1" i="2"/>
  <c r="A43" i="5" l="1"/>
  <c r="W63" i="9"/>
  <c r="AA1" i="7" l="1"/>
  <c r="A12" i="4" l="1"/>
  <c r="AY1" i="10" l="1"/>
  <c r="V52" i="9"/>
  <c r="W1" i="9"/>
  <c r="Z27" i="8"/>
  <c r="AA1" i="8"/>
  <c r="AA1" i="6"/>
  <c r="Z3" i="8" l="1"/>
  <c r="AY1" i="5" l="1"/>
  <c r="AY1" i="4"/>
  <c r="AY1" i="3"/>
  <c r="AY1" i="2"/>
  <c r="D29" i="15"/>
  <c r="U1" i="9" l="1"/>
  <c r="T1" i="9"/>
  <c r="S1" i="9"/>
  <c r="R1" i="9"/>
  <c r="Y1" i="8" l="1"/>
  <c r="X1" i="8"/>
  <c r="W1" i="8"/>
  <c r="V1" i="8"/>
  <c r="Y38" i="8" l="1"/>
  <c r="V1" i="9" l="1"/>
  <c r="Z1" i="8"/>
  <c r="Z1" i="7"/>
  <c r="AW12" i="10" l="1"/>
  <c r="AV12" i="10"/>
  <c r="AU12" i="10"/>
  <c r="AT12" i="10"/>
  <c r="AS12" i="10"/>
  <c r="AR12" i="10"/>
  <c r="AQ12" i="10"/>
  <c r="AP12" i="10"/>
  <c r="AO12" i="10"/>
  <c r="AN12" i="10"/>
  <c r="AM12" i="10"/>
  <c r="AL12" i="10"/>
  <c r="AK12" i="10"/>
  <c r="AJ12" i="10"/>
  <c r="AI12" i="10"/>
  <c r="AH12" i="10"/>
  <c r="AG12" i="10"/>
  <c r="AF12" i="10"/>
  <c r="AE12" i="10"/>
  <c r="AD12" i="10"/>
  <c r="AC12" i="10"/>
  <c r="AB12" i="10"/>
  <c r="AA12" i="10"/>
  <c r="Z12" i="10"/>
  <c r="Y12" i="10"/>
  <c r="X12" i="10"/>
  <c r="W12" i="10"/>
  <c r="V12" i="10"/>
  <c r="U12" i="10"/>
  <c r="T12" i="10"/>
  <c r="S12" i="10"/>
  <c r="R12" i="10"/>
  <c r="Q12" i="10"/>
  <c r="P12" i="10"/>
  <c r="O12" i="10"/>
  <c r="N12" i="10"/>
  <c r="M12" i="10"/>
  <c r="L12" i="10"/>
  <c r="K12" i="10"/>
  <c r="J12" i="10"/>
  <c r="I12" i="10"/>
  <c r="H12" i="10"/>
  <c r="G12" i="10"/>
  <c r="F12" i="10"/>
  <c r="E12" i="10"/>
  <c r="D12" i="10"/>
  <c r="C12" i="10"/>
  <c r="B12" i="10"/>
  <c r="AX12" i="10"/>
  <c r="AW8" i="10"/>
  <c r="AV8" i="10"/>
  <c r="AU8" i="10"/>
  <c r="AT8" i="10"/>
  <c r="AS8" i="10"/>
  <c r="AR8" i="10"/>
  <c r="AQ8" i="10"/>
  <c r="AP8" i="10"/>
  <c r="AO8" i="10"/>
  <c r="AN8" i="10"/>
  <c r="AM8" i="10"/>
  <c r="AL8" i="10"/>
  <c r="AK8" i="10"/>
  <c r="AJ8" i="10"/>
  <c r="AI8" i="10"/>
  <c r="AH8" i="10"/>
  <c r="AG8" i="10"/>
  <c r="AF8" i="10"/>
  <c r="AE8" i="10"/>
  <c r="AD8" i="10"/>
  <c r="AC8" i="10"/>
  <c r="AB8" i="10"/>
  <c r="AA8" i="10"/>
  <c r="Z8" i="10"/>
  <c r="Y8" i="10"/>
  <c r="X8" i="10"/>
  <c r="W8" i="10"/>
  <c r="V8" i="10"/>
  <c r="U8" i="10"/>
  <c r="T8" i="10"/>
  <c r="S8" i="10"/>
  <c r="R8" i="10"/>
  <c r="Q8" i="10"/>
  <c r="P8" i="10"/>
  <c r="O8" i="10"/>
  <c r="N8" i="10"/>
  <c r="M8" i="10"/>
  <c r="L8" i="10"/>
  <c r="K8" i="10"/>
  <c r="J8" i="10"/>
  <c r="I8" i="10"/>
  <c r="H8" i="10"/>
  <c r="G8" i="10"/>
  <c r="F8" i="10"/>
  <c r="E8" i="10"/>
  <c r="D8" i="10"/>
  <c r="C8" i="10"/>
  <c r="B8" i="10"/>
  <c r="AX8" i="10"/>
  <c r="U52" i="9" l="1"/>
  <c r="T52" i="9"/>
  <c r="S52" i="9"/>
  <c r="R52" i="9"/>
  <c r="Q52" i="9"/>
  <c r="P52" i="9"/>
  <c r="O52" i="9"/>
  <c r="N52" i="9"/>
  <c r="M52" i="9"/>
  <c r="L52" i="9"/>
  <c r="K52" i="9"/>
  <c r="J52" i="9"/>
  <c r="I52" i="9"/>
  <c r="H52" i="9"/>
  <c r="G52" i="9"/>
  <c r="F52" i="9"/>
  <c r="E52" i="9"/>
  <c r="D52" i="9"/>
  <c r="C52" i="9"/>
  <c r="B52" i="9"/>
  <c r="U33" i="9"/>
  <c r="U39" i="9" s="1"/>
  <c r="T33" i="9"/>
  <c r="T39" i="9" s="1"/>
  <c r="S33" i="9"/>
  <c r="S39" i="9" s="1"/>
  <c r="Q33" i="9"/>
  <c r="Q39" i="9" s="1"/>
  <c r="P33" i="9"/>
  <c r="P39" i="9" s="1"/>
  <c r="O33" i="9"/>
  <c r="O39" i="9" s="1"/>
  <c r="N33" i="9"/>
  <c r="N39" i="9" s="1"/>
  <c r="M33" i="9"/>
  <c r="M39" i="9" s="1"/>
  <c r="L33" i="9"/>
  <c r="L39" i="9" s="1"/>
  <c r="K33" i="9"/>
  <c r="K39" i="9" s="1"/>
  <c r="J33" i="9"/>
  <c r="J39" i="9" s="1"/>
  <c r="I33" i="9"/>
  <c r="I39" i="9" s="1"/>
  <c r="H33" i="9"/>
  <c r="H39" i="9" s="1"/>
  <c r="G33" i="9"/>
  <c r="G39" i="9" s="1"/>
  <c r="F33" i="9"/>
  <c r="F39" i="9" s="1"/>
  <c r="E33" i="9"/>
  <c r="E39" i="9" s="1"/>
  <c r="D33" i="9"/>
  <c r="D39" i="9" s="1"/>
  <c r="C33" i="9"/>
  <c r="C39" i="9" s="1"/>
  <c r="B33" i="9"/>
  <c r="B39" i="9" s="1"/>
  <c r="V39" i="9"/>
  <c r="V63" i="9" s="1"/>
  <c r="Y58" i="8"/>
  <c r="X58" i="8"/>
  <c r="W58" i="8"/>
  <c r="V58" i="8"/>
  <c r="U58" i="8"/>
  <c r="T58" i="8"/>
  <c r="S58" i="8"/>
  <c r="R58" i="8"/>
  <c r="Q58" i="8"/>
  <c r="P58" i="8"/>
  <c r="O58" i="8"/>
  <c r="N58" i="8"/>
  <c r="M58" i="8"/>
  <c r="L58" i="8"/>
  <c r="K58" i="8"/>
  <c r="J58" i="8"/>
  <c r="I58" i="8"/>
  <c r="H58" i="8"/>
  <c r="G58" i="8"/>
  <c r="F58" i="8"/>
  <c r="E58" i="8"/>
  <c r="D58" i="8"/>
  <c r="C58" i="8"/>
  <c r="B58" i="8"/>
  <c r="Y47" i="8"/>
  <c r="X47" i="8"/>
  <c r="W47" i="8"/>
  <c r="V47" i="8"/>
  <c r="U47" i="8"/>
  <c r="T47" i="8"/>
  <c r="S47" i="8"/>
  <c r="R47" i="8"/>
  <c r="Q47" i="8"/>
  <c r="P47" i="8"/>
  <c r="O47" i="8"/>
  <c r="N47" i="8"/>
  <c r="M47" i="8"/>
  <c r="L47" i="8"/>
  <c r="K47" i="8"/>
  <c r="J47" i="8"/>
  <c r="I47" i="8"/>
  <c r="H47" i="8"/>
  <c r="G47" i="8"/>
  <c r="F47" i="8"/>
  <c r="E47" i="8"/>
  <c r="D47" i="8"/>
  <c r="C47" i="8"/>
  <c r="B47" i="8"/>
  <c r="Y39" i="8"/>
  <c r="X39" i="8"/>
  <c r="W39" i="8"/>
  <c r="W27" i="8" s="1"/>
  <c r="V39" i="8"/>
  <c r="U39" i="8"/>
  <c r="T39" i="8"/>
  <c r="T27" i="8" s="1"/>
  <c r="S39" i="8"/>
  <c r="R39" i="8"/>
  <c r="Q39" i="8"/>
  <c r="P39" i="8"/>
  <c r="O39" i="8"/>
  <c r="N39" i="8"/>
  <c r="M39" i="8"/>
  <c r="L39" i="8"/>
  <c r="L27" i="8" s="1"/>
  <c r="K39" i="8"/>
  <c r="J39" i="8"/>
  <c r="I39" i="8"/>
  <c r="H39" i="8"/>
  <c r="G39" i="8"/>
  <c r="F39" i="8"/>
  <c r="E39" i="8"/>
  <c r="D39" i="8"/>
  <c r="D27" i="8" s="1"/>
  <c r="C39" i="8"/>
  <c r="B39" i="8"/>
  <c r="I27" i="8"/>
  <c r="Y25" i="8"/>
  <c r="X25" i="8"/>
  <c r="W25" i="8"/>
  <c r="V25" i="8"/>
  <c r="U25" i="8"/>
  <c r="T25" i="8"/>
  <c r="S25" i="8"/>
  <c r="S3" i="8" s="1"/>
  <c r="R25" i="8"/>
  <c r="Q25" i="8"/>
  <c r="P25" i="8"/>
  <c r="O25" i="8"/>
  <c r="N25" i="8"/>
  <c r="M25" i="8"/>
  <c r="M3" i="8" s="1"/>
  <c r="L25" i="8"/>
  <c r="K25" i="8"/>
  <c r="J25" i="8"/>
  <c r="I25" i="8"/>
  <c r="H25" i="8"/>
  <c r="G25" i="8"/>
  <c r="G3" i="8" s="1"/>
  <c r="F25" i="8"/>
  <c r="E25" i="8"/>
  <c r="E3" i="8" s="1"/>
  <c r="D25" i="8"/>
  <c r="C25" i="8"/>
  <c r="C3" i="8" s="1"/>
  <c r="B25" i="8"/>
  <c r="Q3" i="8"/>
  <c r="P3" i="8"/>
  <c r="K3" i="8"/>
  <c r="Y26" i="7"/>
  <c r="X26" i="7"/>
  <c r="W26" i="7"/>
  <c r="V26" i="7"/>
  <c r="U26" i="7"/>
  <c r="T26" i="7"/>
  <c r="S26" i="7"/>
  <c r="R26" i="7"/>
  <c r="Q26" i="7"/>
  <c r="P26" i="7"/>
  <c r="O26" i="7"/>
  <c r="N26" i="7"/>
  <c r="M26" i="7"/>
  <c r="L26" i="7"/>
  <c r="K26" i="7"/>
  <c r="J26" i="7"/>
  <c r="I26" i="7"/>
  <c r="H26" i="7"/>
  <c r="G26" i="7"/>
  <c r="F26" i="7"/>
  <c r="E26" i="7"/>
  <c r="D26" i="7"/>
  <c r="C26" i="7"/>
  <c r="B26" i="7"/>
  <c r="Y16" i="7"/>
  <c r="X16" i="7"/>
  <c r="W16" i="7"/>
  <c r="V16" i="7"/>
  <c r="U16" i="7"/>
  <c r="T16" i="7"/>
  <c r="S16" i="7"/>
  <c r="R16" i="7"/>
  <c r="Q16" i="7"/>
  <c r="P16" i="7"/>
  <c r="O16" i="7"/>
  <c r="N16" i="7"/>
  <c r="M16" i="7"/>
  <c r="L16" i="7"/>
  <c r="K16" i="7"/>
  <c r="J16" i="7"/>
  <c r="I16" i="7"/>
  <c r="H16" i="7"/>
  <c r="G16" i="7"/>
  <c r="F16" i="7"/>
  <c r="E16" i="7"/>
  <c r="D16" i="7"/>
  <c r="C16" i="7"/>
  <c r="B16" i="7"/>
  <c r="Y6" i="7"/>
  <c r="Y10" i="7" s="1"/>
  <c r="X6" i="7"/>
  <c r="X10" i="7" s="1"/>
  <c r="W6" i="7"/>
  <c r="W10" i="7" s="1"/>
  <c r="V6" i="7"/>
  <c r="V10" i="7" s="1"/>
  <c r="U6" i="7"/>
  <c r="U10" i="7" s="1"/>
  <c r="T6" i="7"/>
  <c r="T10" i="7" s="1"/>
  <c r="S6" i="7"/>
  <c r="S10" i="7" s="1"/>
  <c r="R6" i="7"/>
  <c r="R10" i="7" s="1"/>
  <c r="Q6" i="7"/>
  <c r="Q10" i="7" s="1"/>
  <c r="P6" i="7"/>
  <c r="P10" i="7" s="1"/>
  <c r="O6" i="7"/>
  <c r="O10" i="7" s="1"/>
  <c r="N6" i="7"/>
  <c r="N10" i="7" s="1"/>
  <c r="M6" i="7"/>
  <c r="M10" i="7" s="1"/>
  <c r="L6" i="7"/>
  <c r="L10" i="7" s="1"/>
  <c r="K6" i="7"/>
  <c r="K10" i="7" s="1"/>
  <c r="J6" i="7"/>
  <c r="J10" i="7" s="1"/>
  <c r="I6" i="7"/>
  <c r="I10" i="7" s="1"/>
  <c r="H6" i="7"/>
  <c r="H10" i="7" s="1"/>
  <c r="G6" i="7"/>
  <c r="G10" i="7" s="1"/>
  <c r="F6" i="7"/>
  <c r="F10" i="7" s="1"/>
  <c r="E6" i="7"/>
  <c r="E10" i="7" s="1"/>
  <c r="D6" i="7"/>
  <c r="D10" i="7" s="1"/>
  <c r="C6" i="7"/>
  <c r="C10" i="7" s="1"/>
  <c r="B6" i="7"/>
  <c r="B10" i="7" s="1"/>
  <c r="J27" i="8" l="1"/>
  <c r="E27" i="8"/>
  <c r="M27" i="8"/>
  <c r="U27" i="8"/>
  <c r="N27" i="8"/>
  <c r="F27" i="8"/>
  <c r="V27" i="8"/>
  <c r="S27" i="8"/>
  <c r="U3" i="8"/>
  <c r="C27" i="8"/>
  <c r="O3" i="8"/>
  <c r="K27" i="8"/>
  <c r="W3" i="8"/>
  <c r="B27" i="8"/>
  <c r="R27" i="8"/>
  <c r="X27" i="8"/>
  <c r="P27" i="8"/>
  <c r="Y27" i="8"/>
  <c r="Q27" i="8"/>
  <c r="O27" i="8"/>
  <c r="S63" i="9"/>
  <c r="L63" i="9"/>
  <c r="I63" i="9"/>
  <c r="Q63" i="9"/>
  <c r="N63" i="9"/>
  <c r="B63" i="9"/>
  <c r="B66" i="9" s="1"/>
  <c r="C65" i="9" s="1"/>
  <c r="J63" i="9"/>
  <c r="O63" i="9"/>
  <c r="H18" i="7"/>
  <c r="H22" i="7" s="1"/>
  <c r="H30" i="7" s="1"/>
  <c r="H34" i="7" s="1"/>
  <c r="H37" i="7" s="1"/>
  <c r="P18" i="7"/>
  <c r="P22" i="7" s="1"/>
  <c r="P30" i="7" s="1"/>
  <c r="P34" i="7" s="1"/>
  <c r="P37" i="7" s="1"/>
  <c r="I18" i="7"/>
  <c r="I22" i="7" s="1"/>
  <c r="I30" i="7" s="1"/>
  <c r="I34" i="7" s="1"/>
  <c r="I37" i="7" s="1"/>
  <c r="Q18" i="7"/>
  <c r="Q22" i="7" s="1"/>
  <c r="Q30" i="7" s="1"/>
  <c r="Q34" i="7" s="1"/>
  <c r="Q37" i="7" s="1"/>
  <c r="B18" i="7"/>
  <c r="B22" i="7" s="1"/>
  <c r="B30" i="7" s="1"/>
  <c r="B34" i="7" s="1"/>
  <c r="B37" i="7" s="1"/>
  <c r="D63" i="9"/>
  <c r="H63" i="9"/>
  <c r="P63" i="9"/>
  <c r="C18" i="7"/>
  <c r="C22" i="7" s="1"/>
  <c r="C30" i="7" s="1"/>
  <c r="C34" i="7" s="1"/>
  <c r="C37" i="7" s="1"/>
  <c r="K18" i="7"/>
  <c r="K22" i="7" s="1"/>
  <c r="K30" i="7" s="1"/>
  <c r="K34" i="7" s="1"/>
  <c r="K37" i="7" s="1"/>
  <c r="S18" i="7"/>
  <c r="S22" i="7" s="1"/>
  <c r="S30" i="7" s="1"/>
  <c r="S34" i="7" s="1"/>
  <c r="S37" i="7" s="1"/>
  <c r="E63" i="9"/>
  <c r="M63" i="9"/>
  <c r="D18" i="7"/>
  <c r="D22" i="7" s="1"/>
  <c r="D30" i="7" s="1"/>
  <c r="D34" i="7" s="1"/>
  <c r="D37" i="7" s="1"/>
  <c r="T18" i="7"/>
  <c r="T22" i="7" s="1"/>
  <c r="T30" i="7" s="1"/>
  <c r="T34" i="7" s="1"/>
  <c r="T37" i="7" s="1"/>
  <c r="F63" i="9"/>
  <c r="R18" i="7"/>
  <c r="R22" i="7" s="1"/>
  <c r="R30" i="7" s="1"/>
  <c r="R34" i="7" s="1"/>
  <c r="R37" i="7" s="1"/>
  <c r="M18" i="7"/>
  <c r="M22" i="7" s="1"/>
  <c r="M30" i="7" s="1"/>
  <c r="M34" i="7" s="1"/>
  <c r="M37" i="7" s="1"/>
  <c r="U18" i="7"/>
  <c r="U22" i="7" s="1"/>
  <c r="U30" i="7" s="1"/>
  <c r="U34" i="7" s="1"/>
  <c r="U37" i="7" s="1"/>
  <c r="G63" i="9"/>
  <c r="C63" i="9"/>
  <c r="K63" i="9"/>
  <c r="J18" i="7"/>
  <c r="J22" i="7" s="1"/>
  <c r="J30" i="7" s="1"/>
  <c r="J34" i="7" s="1"/>
  <c r="J37" i="7" s="1"/>
  <c r="E18" i="7"/>
  <c r="E22" i="7" s="1"/>
  <c r="E30" i="7" s="1"/>
  <c r="E34" i="7" s="1"/>
  <c r="E37" i="7" s="1"/>
  <c r="F18" i="7"/>
  <c r="F22" i="7" s="1"/>
  <c r="F30" i="7" s="1"/>
  <c r="F34" i="7" s="1"/>
  <c r="F37" i="7" s="1"/>
  <c r="N18" i="7"/>
  <c r="N22" i="7" s="1"/>
  <c r="N30" i="7" s="1"/>
  <c r="N34" i="7" s="1"/>
  <c r="N37" i="7" s="1"/>
  <c r="L18" i="7"/>
  <c r="L22" i="7" s="1"/>
  <c r="L30" i="7" s="1"/>
  <c r="L34" i="7" s="1"/>
  <c r="L37" i="7" s="1"/>
  <c r="G18" i="7"/>
  <c r="G22" i="7" s="1"/>
  <c r="G30" i="7" s="1"/>
  <c r="G34" i="7" s="1"/>
  <c r="G37" i="7" s="1"/>
  <c r="O18" i="7"/>
  <c r="O22" i="7" s="1"/>
  <c r="O30" i="7" s="1"/>
  <c r="O34" i="7" s="1"/>
  <c r="O37" i="7" s="1"/>
  <c r="R33" i="9"/>
  <c r="R39" i="9" s="1"/>
  <c r="R63" i="9" s="1"/>
  <c r="F3" i="8"/>
  <c r="N3" i="8"/>
  <c r="V3" i="8"/>
  <c r="G27" i="8"/>
  <c r="T63" i="9"/>
  <c r="U63" i="9"/>
  <c r="V18" i="7"/>
  <c r="V22" i="7" s="1"/>
  <c r="V30" i="7" s="1"/>
  <c r="V34" i="7" s="1"/>
  <c r="V37" i="7" s="1"/>
  <c r="W18" i="7"/>
  <c r="W22" i="7" s="1"/>
  <c r="W30" i="7" s="1"/>
  <c r="W34" i="7" s="1"/>
  <c r="W37" i="7" s="1"/>
  <c r="X18" i="7"/>
  <c r="X22" i="7" s="1"/>
  <c r="X30" i="7" s="1"/>
  <c r="X34" i="7" s="1"/>
  <c r="X37" i="7" s="1"/>
  <c r="Y18" i="7"/>
  <c r="Y22" i="7" s="1"/>
  <c r="Y30" i="7" s="1"/>
  <c r="Y34" i="7" s="1"/>
  <c r="Y37" i="7" s="1"/>
  <c r="H27" i="8"/>
  <c r="H3" i="8"/>
  <c r="X3" i="8"/>
  <c r="I3" i="8"/>
  <c r="Y3" i="8"/>
  <c r="J3" i="8"/>
  <c r="D3" i="8"/>
  <c r="B3" i="8"/>
  <c r="R3" i="8"/>
  <c r="L3" i="8"/>
  <c r="T3" i="8"/>
  <c r="C66" i="9" l="1"/>
  <c r="D65" i="9" s="1"/>
  <c r="D66" i="9" s="1"/>
  <c r="E65" i="9" s="1"/>
  <c r="E66" i="9" s="1"/>
  <c r="F65" i="9" s="1"/>
  <c r="F66" i="9" s="1"/>
  <c r="G65" i="9" s="1"/>
  <c r="G66" i="9" s="1"/>
  <c r="H65" i="9" s="1"/>
  <c r="H66" i="9" s="1"/>
  <c r="I65" i="9" s="1"/>
  <c r="I66" i="9" s="1"/>
  <c r="J65" i="9" s="1"/>
  <c r="J66" i="9" s="1"/>
  <c r="K65" i="9" s="1"/>
  <c r="K66" i="9" s="1"/>
  <c r="L65" i="9" s="1"/>
  <c r="L66" i="9" s="1"/>
  <c r="M65" i="9" s="1"/>
  <c r="M66" i="9" s="1"/>
  <c r="N65" i="9" s="1"/>
  <c r="N66" i="9" s="1"/>
  <c r="O65" i="9" s="1"/>
  <c r="O66" i="9" s="1"/>
  <c r="P65" i="9" s="1"/>
  <c r="P66" i="9" s="1"/>
  <c r="Q65" i="9" s="1"/>
  <c r="Q66" i="9" s="1"/>
  <c r="R65" i="9" s="1"/>
  <c r="R66" i="9" s="1"/>
  <c r="S65" i="9" s="1"/>
  <c r="S66" i="9" s="1"/>
  <c r="T65" i="9" s="1"/>
  <c r="X26" i="6"/>
  <c r="W26" i="6"/>
  <c r="V26" i="6"/>
  <c r="U26" i="6"/>
  <c r="T26" i="6"/>
  <c r="S26" i="6"/>
  <c r="R26" i="6"/>
  <c r="Q26" i="6"/>
  <c r="P26" i="6"/>
  <c r="O26" i="6"/>
  <c r="N26" i="6"/>
  <c r="M26" i="6"/>
  <c r="L26" i="6"/>
  <c r="K26" i="6"/>
  <c r="J26" i="6"/>
  <c r="I26" i="6"/>
  <c r="H26" i="6"/>
  <c r="G26" i="6"/>
  <c r="F26" i="6"/>
  <c r="E26" i="6"/>
  <c r="D26" i="6"/>
  <c r="C26" i="6"/>
  <c r="B26" i="6"/>
  <c r="X16" i="6"/>
  <c r="W16" i="6"/>
  <c r="V16" i="6"/>
  <c r="U16" i="6"/>
  <c r="T16" i="6"/>
  <c r="S16" i="6"/>
  <c r="R16" i="6"/>
  <c r="Q16" i="6"/>
  <c r="P16" i="6"/>
  <c r="O16" i="6"/>
  <c r="N16" i="6"/>
  <c r="M16" i="6"/>
  <c r="L16" i="6"/>
  <c r="K16" i="6"/>
  <c r="J16" i="6"/>
  <c r="I16" i="6"/>
  <c r="H16" i="6"/>
  <c r="G16" i="6"/>
  <c r="F16" i="6"/>
  <c r="E16" i="6"/>
  <c r="D16" i="6"/>
  <c r="C16" i="6"/>
  <c r="B16" i="6"/>
  <c r="Y6" i="6"/>
  <c r="Y10" i="6" s="1"/>
  <c r="Y18" i="6" s="1"/>
  <c r="Y22" i="6" s="1"/>
  <c r="Y30" i="6" s="1"/>
  <c r="Y34" i="6" s="1"/>
  <c r="Y37" i="6" s="1"/>
  <c r="X6" i="6"/>
  <c r="X10" i="6" s="1"/>
  <c r="W6" i="6"/>
  <c r="W10" i="6" s="1"/>
  <c r="V6" i="6"/>
  <c r="V10" i="6" s="1"/>
  <c r="U6" i="6"/>
  <c r="U10" i="6" s="1"/>
  <c r="U18" i="6" s="1"/>
  <c r="U22" i="6" s="1"/>
  <c r="T6" i="6"/>
  <c r="T10" i="6" s="1"/>
  <c r="S6" i="6"/>
  <c r="S10" i="6" s="1"/>
  <c r="R6" i="6"/>
  <c r="R10" i="6" s="1"/>
  <c r="Q6" i="6"/>
  <c r="Q10" i="6" s="1"/>
  <c r="P6" i="6"/>
  <c r="P10" i="6" s="1"/>
  <c r="O6" i="6"/>
  <c r="O10" i="6" s="1"/>
  <c r="N6" i="6"/>
  <c r="N10" i="6" s="1"/>
  <c r="M6" i="6"/>
  <c r="M10" i="6" s="1"/>
  <c r="M18" i="6" s="1"/>
  <c r="M22" i="6" s="1"/>
  <c r="L6" i="6"/>
  <c r="L10" i="6" s="1"/>
  <c r="K6" i="6"/>
  <c r="K10" i="6" s="1"/>
  <c r="J6" i="6"/>
  <c r="J10" i="6" s="1"/>
  <c r="I6" i="6"/>
  <c r="I10" i="6" s="1"/>
  <c r="H6" i="6"/>
  <c r="H10" i="6" s="1"/>
  <c r="G6" i="6"/>
  <c r="G10" i="6" s="1"/>
  <c r="F6" i="6"/>
  <c r="F10" i="6" s="1"/>
  <c r="E6" i="6"/>
  <c r="E10" i="6" s="1"/>
  <c r="E18" i="6" s="1"/>
  <c r="E22" i="6" s="1"/>
  <c r="D6" i="6"/>
  <c r="D10" i="6" s="1"/>
  <c r="C6" i="6"/>
  <c r="C10" i="6" s="1"/>
  <c r="B6" i="6"/>
  <c r="B10" i="6" s="1"/>
  <c r="I18" i="6" l="1"/>
  <c r="I22" i="6" s="1"/>
  <c r="Q18" i="6"/>
  <c r="Q22" i="6" s="1"/>
  <c r="S18" i="6"/>
  <c r="S22" i="6" s="1"/>
  <c r="S30" i="6" s="1"/>
  <c r="S34" i="6" s="1"/>
  <c r="S37" i="6" s="1"/>
  <c r="T18" i="6"/>
  <c r="T22" i="6" s="1"/>
  <c r="T30" i="6" s="1"/>
  <c r="T34" i="6" s="1"/>
  <c r="T37" i="6" s="1"/>
  <c r="M30" i="6"/>
  <c r="M34" i="6" s="1"/>
  <c r="M37" i="6" s="1"/>
  <c r="U30" i="6"/>
  <c r="U34" i="6" s="1"/>
  <c r="U37" i="6" s="1"/>
  <c r="L18" i="6"/>
  <c r="L22" i="6" s="1"/>
  <c r="L30" i="6" s="1"/>
  <c r="L34" i="6" s="1"/>
  <c r="L37" i="6" s="1"/>
  <c r="J18" i="6"/>
  <c r="J22" i="6" s="1"/>
  <c r="J30" i="6" s="1"/>
  <c r="J34" i="6" s="1"/>
  <c r="J37" i="6" s="1"/>
  <c r="C18" i="6"/>
  <c r="C22" i="6" s="1"/>
  <c r="C30" i="6" s="1"/>
  <c r="C34" i="6" s="1"/>
  <c r="C37" i="6" s="1"/>
  <c r="F18" i="6"/>
  <c r="F22" i="6" s="1"/>
  <c r="F30" i="6" s="1"/>
  <c r="F34" i="6" s="1"/>
  <c r="F37" i="6" s="1"/>
  <c r="N18" i="6"/>
  <c r="N22" i="6" s="1"/>
  <c r="N30" i="6" s="1"/>
  <c r="N34" i="6" s="1"/>
  <c r="N37" i="6" s="1"/>
  <c r="R18" i="6"/>
  <c r="R22" i="6" s="1"/>
  <c r="R30" i="6" s="1"/>
  <c r="R34" i="6" s="1"/>
  <c r="R37" i="6" s="1"/>
  <c r="K18" i="6"/>
  <c r="K22" i="6" s="1"/>
  <c r="K30" i="6" s="1"/>
  <c r="K34" i="6" s="1"/>
  <c r="K37" i="6" s="1"/>
  <c r="D18" i="6"/>
  <c r="D22" i="6" s="1"/>
  <c r="D30" i="6" s="1"/>
  <c r="D34" i="6" s="1"/>
  <c r="D37" i="6" s="1"/>
  <c r="E30" i="6"/>
  <c r="E34" i="6" s="1"/>
  <c r="E37" i="6" s="1"/>
  <c r="G18" i="6"/>
  <c r="G22" i="6" s="1"/>
  <c r="G30" i="6" s="1"/>
  <c r="G34" i="6" s="1"/>
  <c r="G37" i="6" s="1"/>
  <c r="O18" i="6"/>
  <c r="O22" i="6" s="1"/>
  <c r="O30" i="6" s="1"/>
  <c r="O34" i="6" s="1"/>
  <c r="O37" i="6" s="1"/>
  <c r="B18" i="6"/>
  <c r="B22" i="6" s="1"/>
  <c r="B30" i="6" s="1"/>
  <c r="B34" i="6" s="1"/>
  <c r="B37" i="6" s="1"/>
  <c r="H18" i="6"/>
  <c r="H22" i="6" s="1"/>
  <c r="H30" i="6" s="1"/>
  <c r="H34" i="6" s="1"/>
  <c r="H37" i="6" s="1"/>
  <c r="P18" i="6"/>
  <c r="P22" i="6" s="1"/>
  <c r="P30" i="6" s="1"/>
  <c r="P34" i="6" s="1"/>
  <c r="P37" i="6" s="1"/>
  <c r="I30" i="6"/>
  <c r="I34" i="6" s="1"/>
  <c r="I37" i="6" s="1"/>
  <c r="Q30" i="6"/>
  <c r="Q34" i="6" s="1"/>
  <c r="Q37" i="6" s="1"/>
  <c r="T66" i="9"/>
  <c r="U65" i="9" s="1"/>
  <c r="V18" i="6"/>
  <c r="V22" i="6" s="1"/>
  <c r="V30" i="6" s="1"/>
  <c r="V34" i="6" s="1"/>
  <c r="V37" i="6" s="1"/>
  <c r="W18" i="6"/>
  <c r="W22" i="6" s="1"/>
  <c r="W30" i="6" s="1"/>
  <c r="W34" i="6" s="1"/>
  <c r="W37" i="6" s="1"/>
  <c r="X18" i="6"/>
  <c r="X22" i="6" s="1"/>
  <c r="X30" i="6" s="1"/>
  <c r="X34" i="6" s="1"/>
  <c r="X37" i="6" s="1"/>
  <c r="U66" i="9" l="1"/>
  <c r="V65" i="9" s="1"/>
  <c r="V66" i="9" s="1"/>
  <c r="W65" i="9" s="1"/>
  <c r="W66" i="9" s="1"/>
  <c r="AV33" i="5" l="1"/>
  <c r="AV38" i="5" s="1"/>
  <c r="AU33" i="5"/>
  <c r="AU38" i="5" s="1"/>
  <c r="AU62" i="5" s="1"/>
  <c r="AT33" i="5"/>
  <c r="AT38" i="5" s="1"/>
  <c r="AS33" i="5"/>
  <c r="AS38" i="5" s="1"/>
  <c r="AR33" i="5"/>
  <c r="AR38" i="5" s="1"/>
  <c r="AQ33" i="5"/>
  <c r="AQ38" i="5" s="1"/>
  <c r="AP33" i="5"/>
  <c r="AP38" i="5" s="1"/>
  <c r="AO33" i="5"/>
  <c r="AO38" i="5" s="1"/>
  <c r="AN33" i="5"/>
  <c r="AN38" i="5" s="1"/>
  <c r="AM33" i="5"/>
  <c r="AM38" i="5" s="1"/>
  <c r="AM62" i="5" s="1"/>
  <c r="AL33" i="5"/>
  <c r="AL38" i="5" s="1"/>
  <c r="AK33" i="5"/>
  <c r="AK38" i="5" s="1"/>
  <c r="AJ33" i="5"/>
  <c r="AJ38" i="5" s="1"/>
  <c r="AI33" i="5"/>
  <c r="AI38" i="5" s="1"/>
  <c r="AH33" i="5"/>
  <c r="AH38" i="5" s="1"/>
  <c r="AG33" i="5"/>
  <c r="AG38" i="5" s="1"/>
  <c r="AF33" i="5"/>
  <c r="AF38" i="5" s="1"/>
  <c r="AE33" i="5"/>
  <c r="AE38" i="5" s="1"/>
  <c r="AE62" i="5" s="1"/>
  <c r="AD33" i="5"/>
  <c r="AD38" i="5" s="1"/>
  <c r="AC33" i="5"/>
  <c r="AC38" i="5" s="1"/>
  <c r="AB33" i="5"/>
  <c r="AB38" i="5" s="1"/>
  <c r="AA33" i="5"/>
  <c r="AA38" i="5" s="1"/>
  <c r="Z33" i="5"/>
  <c r="Z38" i="5" s="1"/>
  <c r="Y33" i="5"/>
  <c r="Y38" i="5" s="1"/>
  <c r="X33" i="5"/>
  <c r="X38" i="5" s="1"/>
  <c r="W33" i="5"/>
  <c r="W38" i="5" s="1"/>
  <c r="W62" i="5" s="1"/>
  <c r="V33" i="5"/>
  <c r="V38" i="5" s="1"/>
  <c r="U33" i="5"/>
  <c r="U38" i="5" s="1"/>
  <c r="T33" i="5"/>
  <c r="T38" i="5" s="1"/>
  <c r="S33" i="5"/>
  <c r="S38" i="5" s="1"/>
  <c r="R33" i="5"/>
  <c r="R38" i="5" s="1"/>
  <c r="Q33" i="5"/>
  <c r="Q38" i="5" s="1"/>
  <c r="P33" i="5"/>
  <c r="P38" i="5" s="1"/>
  <c r="O33" i="5"/>
  <c r="O38" i="5" s="1"/>
  <c r="O62" i="5" s="1"/>
  <c r="N33" i="5"/>
  <c r="N38" i="5" s="1"/>
  <c r="M33" i="5"/>
  <c r="M38" i="5" s="1"/>
  <c r="L33" i="5"/>
  <c r="L38" i="5" s="1"/>
  <c r="K33" i="5"/>
  <c r="K38" i="5" s="1"/>
  <c r="J33" i="5"/>
  <c r="J38" i="5" s="1"/>
  <c r="I33" i="5"/>
  <c r="I38" i="5" s="1"/>
  <c r="H33" i="5"/>
  <c r="H38" i="5" s="1"/>
  <c r="G33" i="5"/>
  <c r="G38" i="5" s="1"/>
  <c r="G62" i="5" s="1"/>
  <c r="F33" i="5"/>
  <c r="F38" i="5" s="1"/>
  <c r="E33" i="5"/>
  <c r="E38" i="5" s="1"/>
  <c r="D33" i="5"/>
  <c r="D38" i="5" s="1"/>
  <c r="C33" i="5"/>
  <c r="C38" i="5" s="1"/>
  <c r="B33" i="5"/>
  <c r="B38" i="5" s="1"/>
  <c r="D62" i="5" l="1"/>
  <c r="T62" i="5"/>
  <c r="AB62" i="5"/>
  <c r="AJ62" i="5"/>
  <c r="E62" i="5"/>
  <c r="M62" i="5"/>
  <c r="U62" i="5"/>
  <c r="AC62" i="5"/>
  <c r="AK62" i="5"/>
  <c r="AS62" i="5"/>
  <c r="F62" i="5"/>
  <c r="N62" i="5"/>
  <c r="V62" i="5"/>
  <c r="AD62" i="5"/>
  <c r="AL62" i="5"/>
  <c r="AT62" i="5"/>
  <c r="AR62" i="5"/>
  <c r="I62" i="5"/>
  <c r="Q62" i="5"/>
  <c r="Y62" i="5"/>
  <c r="AG62" i="5"/>
  <c r="AO62" i="5"/>
  <c r="H62" i="5"/>
  <c r="P62" i="5"/>
  <c r="X62" i="5"/>
  <c r="AF62" i="5"/>
  <c r="AN62" i="5"/>
  <c r="J62" i="5"/>
  <c r="R62" i="5"/>
  <c r="Z62" i="5"/>
  <c r="AH62" i="5"/>
  <c r="AP62" i="5"/>
  <c r="C62" i="5"/>
  <c r="K62" i="5"/>
  <c r="S62" i="5"/>
  <c r="AA62" i="5"/>
  <c r="AI62" i="5"/>
  <c r="AQ62" i="5"/>
  <c r="L62" i="5"/>
  <c r="AV62" i="5"/>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R56" i="4"/>
  <c r="Q56" i="4"/>
  <c r="P56" i="4"/>
  <c r="O56" i="4"/>
  <c r="N56" i="4"/>
  <c r="M56" i="4"/>
  <c r="L56" i="4"/>
  <c r="K56" i="4"/>
  <c r="J56" i="4"/>
  <c r="I56" i="4"/>
  <c r="H56" i="4"/>
  <c r="G56" i="4"/>
  <c r="F56" i="4"/>
  <c r="E56" i="4"/>
  <c r="D56" i="4"/>
  <c r="C56" i="4"/>
  <c r="B56"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R45" i="4"/>
  <c r="Q45" i="4"/>
  <c r="P45" i="4"/>
  <c r="O45" i="4"/>
  <c r="N45" i="4"/>
  <c r="M45" i="4"/>
  <c r="L45" i="4"/>
  <c r="K45" i="4"/>
  <c r="J45" i="4"/>
  <c r="I45" i="4"/>
  <c r="H45" i="4"/>
  <c r="G45" i="4"/>
  <c r="F45" i="4"/>
  <c r="E45" i="4"/>
  <c r="D45" i="4"/>
  <c r="C45" i="4"/>
  <c r="B45" i="4"/>
  <c r="AV38" i="4"/>
  <c r="AU38" i="4"/>
  <c r="AT38" i="4"/>
  <c r="AS38" i="4"/>
  <c r="AR38" i="4"/>
  <c r="AQ38" i="4"/>
  <c r="AP38" i="4"/>
  <c r="AO38" i="4"/>
  <c r="AN38" i="4"/>
  <c r="AM38" i="4"/>
  <c r="AL38" i="4"/>
  <c r="AK38" i="4"/>
  <c r="AJ38" i="4"/>
  <c r="AI38" i="4"/>
  <c r="AH38" i="4"/>
  <c r="AG38" i="4"/>
  <c r="AF38" i="4"/>
  <c r="AE38" i="4"/>
  <c r="AD38" i="4"/>
  <c r="AC38" i="4"/>
  <c r="AC27" i="4" s="1"/>
  <c r="AB38" i="4"/>
  <c r="AA38" i="4"/>
  <c r="Z38" i="4"/>
  <c r="Y38" i="4"/>
  <c r="X38" i="4"/>
  <c r="W38" i="4"/>
  <c r="V38" i="4"/>
  <c r="U38" i="4"/>
  <c r="T38" i="4"/>
  <c r="S38" i="4"/>
  <c r="R38" i="4"/>
  <c r="Q38" i="4"/>
  <c r="P38" i="4"/>
  <c r="O38" i="4"/>
  <c r="N38" i="4"/>
  <c r="M38" i="4"/>
  <c r="L38" i="4"/>
  <c r="K38" i="4"/>
  <c r="J38" i="4"/>
  <c r="I38" i="4"/>
  <c r="H38" i="4"/>
  <c r="G38" i="4"/>
  <c r="F38" i="4"/>
  <c r="E38" i="4"/>
  <c r="D38" i="4"/>
  <c r="C38" i="4"/>
  <c r="B38" i="4"/>
  <c r="AV25" i="4"/>
  <c r="AU25" i="4"/>
  <c r="AT25" i="4"/>
  <c r="AS25" i="4"/>
  <c r="AR25" i="4"/>
  <c r="AQ25" i="4"/>
  <c r="AP25" i="4"/>
  <c r="AO25" i="4"/>
  <c r="AN25" i="4"/>
  <c r="AM25" i="4"/>
  <c r="AM3" i="4" s="1"/>
  <c r="AL25" i="4"/>
  <c r="AK25" i="4"/>
  <c r="AJ25" i="4"/>
  <c r="AI25" i="4"/>
  <c r="AH25" i="4"/>
  <c r="AG25" i="4"/>
  <c r="AF25" i="4"/>
  <c r="AE25" i="4"/>
  <c r="AE3" i="4" s="1"/>
  <c r="AD25" i="4"/>
  <c r="AD3" i="4" s="1"/>
  <c r="AC25" i="4"/>
  <c r="AB25" i="4"/>
  <c r="AA25" i="4"/>
  <c r="Z25" i="4"/>
  <c r="Y25" i="4"/>
  <c r="X25" i="4"/>
  <c r="W25" i="4"/>
  <c r="W3" i="4" s="1"/>
  <c r="V25" i="4"/>
  <c r="U25" i="4"/>
  <c r="U3" i="4" s="1"/>
  <c r="T25" i="4"/>
  <c r="S25" i="4"/>
  <c r="R25" i="4"/>
  <c r="Q25" i="4"/>
  <c r="P25" i="4"/>
  <c r="P3" i="4" s="1"/>
  <c r="O25" i="4"/>
  <c r="O3" i="4" s="1"/>
  <c r="N25" i="4"/>
  <c r="M25" i="4"/>
  <c r="L25" i="4"/>
  <c r="K25" i="4"/>
  <c r="J25" i="4"/>
  <c r="I25" i="4"/>
  <c r="H25" i="4"/>
  <c r="H3" i="4" s="1"/>
  <c r="G25" i="4"/>
  <c r="G3" i="4" s="1"/>
  <c r="F25" i="4"/>
  <c r="E25" i="4"/>
  <c r="D25" i="4"/>
  <c r="C25" i="4"/>
  <c r="B25" i="4"/>
  <c r="AW3" i="4"/>
  <c r="X3" i="4"/>
  <c r="AN3" i="4"/>
  <c r="AF3" i="4"/>
  <c r="AC3" i="4"/>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R26" i="3"/>
  <c r="Q26" i="3"/>
  <c r="P26" i="3"/>
  <c r="O26" i="3"/>
  <c r="N26" i="3"/>
  <c r="M26" i="3"/>
  <c r="L26" i="3"/>
  <c r="K26" i="3"/>
  <c r="J26" i="3"/>
  <c r="I26" i="3"/>
  <c r="H26" i="3"/>
  <c r="G26" i="3"/>
  <c r="F26" i="3"/>
  <c r="E26" i="3"/>
  <c r="D26" i="3"/>
  <c r="C26" i="3"/>
  <c r="B2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V16" i="3"/>
  <c r="U16" i="3"/>
  <c r="T16" i="3"/>
  <c r="S16" i="3"/>
  <c r="R16" i="3"/>
  <c r="Q16" i="3"/>
  <c r="P16" i="3"/>
  <c r="O16" i="3"/>
  <c r="N16" i="3"/>
  <c r="M16" i="3"/>
  <c r="L16" i="3"/>
  <c r="K16" i="3"/>
  <c r="J16" i="3"/>
  <c r="I16" i="3"/>
  <c r="H16" i="3"/>
  <c r="G16" i="3"/>
  <c r="F16" i="3"/>
  <c r="E16" i="3"/>
  <c r="D16" i="3"/>
  <c r="C16" i="3"/>
  <c r="B16" i="3"/>
  <c r="AW6" i="3"/>
  <c r="AW10" i="3" s="1"/>
  <c r="AV6" i="3"/>
  <c r="AV10" i="3" s="1"/>
  <c r="AU6" i="3"/>
  <c r="AU10" i="3" s="1"/>
  <c r="AT6" i="3"/>
  <c r="AT10" i="3" s="1"/>
  <c r="AS6" i="3"/>
  <c r="AS10" i="3" s="1"/>
  <c r="AR6" i="3"/>
  <c r="AR10" i="3" s="1"/>
  <c r="AQ6" i="3"/>
  <c r="AQ10" i="3" s="1"/>
  <c r="AP6" i="3"/>
  <c r="AP10" i="3" s="1"/>
  <c r="AO6" i="3"/>
  <c r="AO10" i="3" s="1"/>
  <c r="AN6" i="3"/>
  <c r="AN10" i="3" s="1"/>
  <c r="AM6" i="3"/>
  <c r="AM10" i="3" s="1"/>
  <c r="AL6" i="3"/>
  <c r="AL10" i="3" s="1"/>
  <c r="AK6" i="3"/>
  <c r="AK10" i="3" s="1"/>
  <c r="AJ6" i="3"/>
  <c r="AJ10" i="3" s="1"/>
  <c r="AI6" i="3"/>
  <c r="AI10" i="3" s="1"/>
  <c r="AH6" i="3"/>
  <c r="AH10" i="3" s="1"/>
  <c r="AG6" i="3"/>
  <c r="AG10" i="3" s="1"/>
  <c r="AF6" i="3"/>
  <c r="AF10" i="3" s="1"/>
  <c r="AE6" i="3"/>
  <c r="AE10" i="3" s="1"/>
  <c r="AD6" i="3"/>
  <c r="AD10" i="3" s="1"/>
  <c r="AC6" i="3"/>
  <c r="AC10" i="3" s="1"/>
  <c r="AB6" i="3"/>
  <c r="AB10" i="3" s="1"/>
  <c r="AA6" i="3"/>
  <c r="AA10" i="3" s="1"/>
  <c r="Z6" i="3"/>
  <c r="Z10" i="3" s="1"/>
  <c r="Y6" i="3"/>
  <c r="Y10" i="3" s="1"/>
  <c r="X6" i="3"/>
  <c r="X10" i="3" s="1"/>
  <c r="W6" i="3"/>
  <c r="W10" i="3" s="1"/>
  <c r="V6" i="3"/>
  <c r="V10" i="3" s="1"/>
  <c r="U6" i="3"/>
  <c r="U10" i="3" s="1"/>
  <c r="T6" i="3"/>
  <c r="T10" i="3" s="1"/>
  <c r="S6" i="3"/>
  <c r="S10" i="3" s="1"/>
  <c r="R6" i="3"/>
  <c r="R10" i="3" s="1"/>
  <c r="Q6" i="3"/>
  <c r="Q10" i="3" s="1"/>
  <c r="P6" i="3"/>
  <c r="P10" i="3" s="1"/>
  <c r="O6" i="3"/>
  <c r="O10" i="3" s="1"/>
  <c r="N6" i="3"/>
  <c r="N10" i="3" s="1"/>
  <c r="M6" i="3"/>
  <c r="M10" i="3" s="1"/>
  <c r="L6" i="3"/>
  <c r="L10" i="3" s="1"/>
  <c r="K6" i="3"/>
  <c r="K10" i="3" s="1"/>
  <c r="J6" i="3"/>
  <c r="J10" i="3" s="1"/>
  <c r="I6" i="3"/>
  <c r="I10" i="3" s="1"/>
  <c r="H6" i="3"/>
  <c r="H10" i="3" s="1"/>
  <c r="G6" i="3"/>
  <c r="G10" i="3" s="1"/>
  <c r="F6" i="3"/>
  <c r="F10" i="3" s="1"/>
  <c r="E6" i="3"/>
  <c r="E10" i="3" s="1"/>
  <c r="D6" i="3"/>
  <c r="D10" i="3" s="1"/>
  <c r="C6" i="3"/>
  <c r="C10" i="3" s="1"/>
  <c r="B6" i="3"/>
  <c r="B10" i="3" s="1"/>
  <c r="AW6" i="2"/>
  <c r="AW10" i="2" s="1"/>
  <c r="AV6" i="2"/>
  <c r="AV10" i="2" s="1"/>
  <c r="AU6" i="2"/>
  <c r="AU10" i="2" s="1"/>
  <c r="AT6" i="2"/>
  <c r="AT10" i="2" s="1"/>
  <c r="AS6" i="2"/>
  <c r="AS10" i="2" s="1"/>
  <c r="AR6" i="2"/>
  <c r="AR10" i="2" s="1"/>
  <c r="AQ6" i="2"/>
  <c r="AQ10" i="2" s="1"/>
  <c r="AP6" i="2"/>
  <c r="AP10" i="2" s="1"/>
  <c r="AO6" i="2"/>
  <c r="AO10" i="2" s="1"/>
  <c r="AN6" i="2"/>
  <c r="AN10" i="2" s="1"/>
  <c r="AM6" i="2"/>
  <c r="AM10" i="2" s="1"/>
  <c r="AL6" i="2"/>
  <c r="AL10" i="2" s="1"/>
  <c r="AK6" i="2"/>
  <c r="AK10" i="2" s="1"/>
  <c r="AJ6" i="2"/>
  <c r="AJ10" i="2" s="1"/>
  <c r="AI6" i="2"/>
  <c r="AI10" i="2" s="1"/>
  <c r="AH6" i="2"/>
  <c r="AH10" i="2" s="1"/>
  <c r="AG6" i="2"/>
  <c r="AG10" i="2" s="1"/>
  <c r="AF6" i="2"/>
  <c r="AE6" i="2"/>
  <c r="AE10" i="2" s="1"/>
  <c r="AD6" i="2"/>
  <c r="AD10" i="2" s="1"/>
  <c r="AC6" i="2"/>
  <c r="AC10" i="2" s="1"/>
  <c r="AB6" i="2"/>
  <c r="AB10" i="2" s="1"/>
  <c r="AA6" i="2"/>
  <c r="AA10" i="2" s="1"/>
  <c r="Z6" i="2"/>
  <c r="Z10" i="2" s="1"/>
  <c r="Y6" i="2"/>
  <c r="Y10" i="2" s="1"/>
  <c r="X6" i="2"/>
  <c r="X10" i="2" s="1"/>
  <c r="W6" i="2"/>
  <c r="W10" i="2" s="1"/>
  <c r="V6" i="2"/>
  <c r="V10" i="2" s="1"/>
  <c r="U6" i="2"/>
  <c r="U10" i="2" s="1"/>
  <c r="T6" i="2"/>
  <c r="T10" i="2" s="1"/>
  <c r="S6" i="2"/>
  <c r="S10" i="2" s="1"/>
  <c r="R6" i="2"/>
  <c r="R10" i="2" s="1"/>
  <c r="Q6" i="2"/>
  <c r="Q10" i="2" s="1"/>
  <c r="P6" i="2"/>
  <c r="P10" i="2" s="1"/>
  <c r="O6" i="2"/>
  <c r="O10" i="2" s="1"/>
  <c r="N6" i="2"/>
  <c r="N10" i="2" s="1"/>
  <c r="M6" i="2"/>
  <c r="M10" i="2" s="1"/>
  <c r="L6" i="2"/>
  <c r="L10" i="2" s="1"/>
  <c r="K6" i="2"/>
  <c r="K10" i="2" s="1"/>
  <c r="J6" i="2"/>
  <c r="J10" i="2" s="1"/>
  <c r="I6" i="2"/>
  <c r="I10" i="2" s="1"/>
  <c r="H6" i="2"/>
  <c r="H10" i="2" s="1"/>
  <c r="G6" i="2"/>
  <c r="G10" i="2" s="1"/>
  <c r="F6" i="2"/>
  <c r="F10" i="2" s="1"/>
  <c r="E6" i="2"/>
  <c r="E10" i="2" s="1"/>
  <c r="D6" i="2"/>
  <c r="D10" i="2" s="1"/>
  <c r="C6" i="2"/>
  <c r="C10" i="2" s="1"/>
  <c r="B6" i="2"/>
  <c r="B10" i="2" s="1"/>
  <c r="AF10" i="2"/>
  <c r="AW16" i="2"/>
  <c r="AV16" i="2"/>
  <c r="AU16" i="2"/>
  <c r="AT16" i="2"/>
  <c r="AS16" i="2"/>
  <c r="AR16" i="2"/>
  <c r="AQ16" i="2"/>
  <c r="AP16" i="2"/>
  <c r="AO16" i="2"/>
  <c r="AN16" i="2"/>
  <c r="AM16" i="2"/>
  <c r="AL16" i="2"/>
  <c r="AK16" i="2"/>
  <c r="AJ16" i="2"/>
  <c r="AI16" i="2"/>
  <c r="AH16" i="2"/>
  <c r="AG16" i="2"/>
  <c r="AF16" i="2"/>
  <c r="AE16" i="2"/>
  <c r="AD16" i="2"/>
  <c r="AC16" i="2"/>
  <c r="AB16" i="2"/>
  <c r="AA16" i="2"/>
  <c r="Z16" i="2"/>
  <c r="Y16" i="2"/>
  <c r="X16" i="2"/>
  <c r="W16" i="2"/>
  <c r="V16" i="2"/>
  <c r="U16" i="2"/>
  <c r="T16" i="2"/>
  <c r="S16" i="2"/>
  <c r="R16" i="2"/>
  <c r="Q16" i="2"/>
  <c r="P16" i="2"/>
  <c r="O16" i="2"/>
  <c r="N16" i="2"/>
  <c r="M16" i="2"/>
  <c r="L16" i="2"/>
  <c r="K16" i="2"/>
  <c r="J16" i="2"/>
  <c r="I16" i="2"/>
  <c r="H16" i="2"/>
  <c r="G16" i="2"/>
  <c r="F16" i="2"/>
  <c r="E16" i="2"/>
  <c r="D16" i="2"/>
  <c r="C16" i="2"/>
  <c r="B16" i="2"/>
  <c r="AW26" i="2"/>
  <c r="AV26" i="2"/>
  <c r="AU26" i="2"/>
  <c r="AT26" i="2"/>
  <c r="AS26" i="2"/>
  <c r="AR26" i="2"/>
  <c r="AQ26" i="2"/>
  <c r="AP26" i="2"/>
  <c r="AO26" i="2"/>
  <c r="AN26" i="2"/>
  <c r="AM26" i="2"/>
  <c r="AL26" i="2"/>
  <c r="AK26" i="2"/>
  <c r="AJ26" i="2"/>
  <c r="AI26" i="2"/>
  <c r="AH26" i="2"/>
  <c r="AG26" i="2"/>
  <c r="AF26" i="2"/>
  <c r="AE26" i="2"/>
  <c r="AD26" i="2"/>
  <c r="AC26" i="2"/>
  <c r="AB26" i="2"/>
  <c r="AA26" i="2"/>
  <c r="Z26" i="2"/>
  <c r="Y26" i="2"/>
  <c r="X26" i="2"/>
  <c r="W26" i="2"/>
  <c r="V26" i="2"/>
  <c r="U26" i="2"/>
  <c r="T26" i="2"/>
  <c r="S26" i="2"/>
  <c r="R26" i="2"/>
  <c r="Q26" i="2"/>
  <c r="P26" i="2"/>
  <c r="O26" i="2"/>
  <c r="N26" i="2"/>
  <c r="M26" i="2"/>
  <c r="L26" i="2"/>
  <c r="K26" i="2"/>
  <c r="J26" i="2"/>
  <c r="I26" i="2"/>
  <c r="H26" i="2"/>
  <c r="G26" i="2"/>
  <c r="F26" i="2"/>
  <c r="E26" i="2"/>
  <c r="D26" i="2"/>
  <c r="C26" i="2"/>
  <c r="B26" i="2"/>
  <c r="W27" i="4" l="1"/>
  <c r="AT27" i="4"/>
  <c r="AM27" i="4"/>
  <c r="AU27" i="4"/>
  <c r="AR18" i="2"/>
  <c r="AR22" i="2" s="1"/>
  <c r="AR30" i="2" s="1"/>
  <c r="AR34" i="2" s="1"/>
  <c r="AR37" i="2" s="1"/>
  <c r="AH3" i="4"/>
  <c r="B3" i="4"/>
  <c r="C27" i="4"/>
  <c r="AA27" i="4"/>
  <c r="AQ27" i="4"/>
  <c r="T27" i="4"/>
  <c r="AB27" i="4"/>
  <c r="AJ27" i="4"/>
  <c r="AR27" i="4"/>
  <c r="R3" i="4"/>
  <c r="Z3" i="4"/>
  <c r="J3" i="4"/>
  <c r="H18" i="2"/>
  <c r="H22" i="2" s="1"/>
  <c r="AP3" i="4"/>
  <c r="O18" i="2"/>
  <c r="O22" i="2" s="1"/>
  <c r="O30" i="2" s="1"/>
  <c r="O34" i="2" s="1"/>
  <c r="O37" i="2" s="1"/>
  <c r="AB3" i="4"/>
  <c r="AF18" i="2"/>
  <c r="AF22" i="2" s="1"/>
  <c r="AF30" i="2" s="1"/>
  <c r="AF34" i="2" s="1"/>
  <c r="AF37" i="2" s="1"/>
  <c r="E3" i="4"/>
  <c r="M3" i="4"/>
  <c r="AK3" i="4"/>
  <c r="AS3" i="4"/>
  <c r="T3" i="4"/>
  <c r="W18" i="2"/>
  <c r="W22" i="2" s="1"/>
  <c r="W30" i="2" s="1"/>
  <c r="W34" i="2" s="1"/>
  <c r="W37" i="2" s="1"/>
  <c r="AE18" i="2"/>
  <c r="AE22" i="2" s="1"/>
  <c r="AE30" i="2" s="1"/>
  <c r="AE34" i="2" s="1"/>
  <c r="AE37" i="2" s="1"/>
  <c r="F3" i="4"/>
  <c r="N3" i="4"/>
  <c r="V3" i="4"/>
  <c r="AL3" i="4"/>
  <c r="AT3" i="4"/>
  <c r="AS18" i="2"/>
  <c r="AS22" i="2" s="1"/>
  <c r="AS30" i="2" s="1"/>
  <c r="AS34" i="2" s="1"/>
  <c r="AS37" i="2" s="1"/>
  <c r="L3" i="4"/>
  <c r="AC18" i="2"/>
  <c r="AC22" i="2" s="1"/>
  <c r="AC30" i="2" s="1"/>
  <c r="AC34" i="2" s="1"/>
  <c r="AC37" i="2" s="1"/>
  <c r="D3" i="4"/>
  <c r="AJ3" i="4"/>
  <c r="AK18" i="2"/>
  <c r="AK22" i="2" s="1"/>
  <c r="AK30" i="2" s="1"/>
  <c r="AK34" i="2" s="1"/>
  <c r="AK37" i="2" s="1"/>
  <c r="AR3" i="4"/>
  <c r="I3" i="4"/>
  <c r="Q3" i="4"/>
  <c r="Y3" i="4"/>
  <c r="AG3" i="4"/>
  <c r="P18" i="2"/>
  <c r="P22" i="2" s="1"/>
  <c r="P30" i="2" s="1"/>
  <c r="P34" i="2" s="1"/>
  <c r="P37" i="2" s="1"/>
  <c r="AB18" i="2"/>
  <c r="AB22" i="2" s="1"/>
  <c r="AB30" i="2" s="1"/>
  <c r="AB34" i="2" s="1"/>
  <c r="AB37" i="2" s="1"/>
  <c r="C3" i="4"/>
  <c r="K3" i="4"/>
  <c r="S3" i="4"/>
  <c r="AA3" i="4"/>
  <c r="AI3" i="4"/>
  <c r="AQ3" i="4"/>
  <c r="L18" i="2"/>
  <c r="L22" i="2" s="1"/>
  <c r="L30" i="2" s="1"/>
  <c r="L34" i="2" s="1"/>
  <c r="L37" i="2" s="1"/>
  <c r="K27" i="4"/>
  <c r="S27" i="4"/>
  <c r="AI27" i="4"/>
  <c r="AJ18" i="2"/>
  <c r="AJ22" i="2" s="1"/>
  <c r="AJ30" i="2" s="1"/>
  <c r="AJ34" i="2" s="1"/>
  <c r="AJ37" i="2" s="1"/>
  <c r="J27" i="4"/>
  <c r="D27" i="4"/>
  <c r="L27" i="4"/>
  <c r="D18" i="2"/>
  <c r="D22" i="2" s="1"/>
  <c r="D30" i="2" s="1"/>
  <c r="D34" i="2" s="1"/>
  <c r="D37" i="2" s="1"/>
  <c r="T18" i="2"/>
  <c r="T22" i="2" s="1"/>
  <c r="T30" i="2" s="1"/>
  <c r="T34" i="2" s="1"/>
  <c r="T37" i="2" s="1"/>
  <c r="H30" i="2"/>
  <c r="H34" i="2" s="1"/>
  <c r="H37" i="2" s="1"/>
  <c r="X18" i="2"/>
  <c r="X22" i="2" s="1"/>
  <c r="X30" i="2" s="1"/>
  <c r="X34" i="2" s="1"/>
  <c r="X37" i="2" s="1"/>
  <c r="AN18" i="2"/>
  <c r="AN22" i="2" s="1"/>
  <c r="AN30" i="2" s="1"/>
  <c r="AN34" i="2" s="1"/>
  <c r="AN37" i="2" s="1"/>
  <c r="B18" i="2"/>
  <c r="B22" i="2" s="1"/>
  <c r="B30" i="2" s="1"/>
  <c r="B34" i="2" s="1"/>
  <c r="B37" i="2" s="1"/>
  <c r="F18" i="3"/>
  <c r="F22" i="3" s="1"/>
  <c r="F30" i="3" s="1"/>
  <c r="F34" i="3" s="1"/>
  <c r="F37" i="3" s="1"/>
  <c r="N18" i="3"/>
  <c r="N22" i="3" s="1"/>
  <c r="N30" i="3" s="1"/>
  <c r="N34" i="3" s="1"/>
  <c r="N37" i="3" s="1"/>
  <c r="V18" i="3"/>
  <c r="V22" i="3" s="1"/>
  <c r="V30" i="3" s="1"/>
  <c r="V34" i="3" s="1"/>
  <c r="V37" i="3" s="1"/>
  <c r="AD18" i="3"/>
  <c r="AD22" i="3" s="1"/>
  <c r="AD30" i="3" s="1"/>
  <c r="AD34" i="3" s="1"/>
  <c r="AD37" i="3" s="1"/>
  <c r="AL18" i="3"/>
  <c r="AL22" i="3" s="1"/>
  <c r="G18" i="3"/>
  <c r="G22" i="3" s="1"/>
  <c r="G30" i="3" s="1"/>
  <c r="G34" i="3" s="1"/>
  <c r="G37" i="3" s="1"/>
  <c r="O18" i="3"/>
  <c r="O22" i="3" s="1"/>
  <c r="O30" i="3" s="1"/>
  <c r="O34" i="3" s="1"/>
  <c r="O37" i="3" s="1"/>
  <c r="W18" i="3"/>
  <c r="W22" i="3" s="1"/>
  <c r="W30" i="3" s="1"/>
  <c r="W34" i="3" s="1"/>
  <c r="W37" i="3" s="1"/>
  <c r="AE18" i="3"/>
  <c r="AE22" i="3" s="1"/>
  <c r="AE30" i="3" s="1"/>
  <c r="AE34" i="3" s="1"/>
  <c r="AE37" i="3" s="1"/>
  <c r="AM18" i="3"/>
  <c r="AM22" i="3" s="1"/>
  <c r="AM30" i="3" s="1"/>
  <c r="AM34" i="3" s="1"/>
  <c r="AM37" i="3" s="1"/>
  <c r="H18" i="3"/>
  <c r="H22" i="3" s="1"/>
  <c r="H30" i="3" s="1"/>
  <c r="H34" i="3" s="1"/>
  <c r="H37" i="3" s="1"/>
  <c r="P18" i="3"/>
  <c r="P22" i="3" s="1"/>
  <c r="P30" i="3" s="1"/>
  <c r="P34" i="3" s="1"/>
  <c r="P37" i="3" s="1"/>
  <c r="X18" i="3"/>
  <c r="X22" i="3" s="1"/>
  <c r="X30" i="3" s="1"/>
  <c r="X34" i="3" s="1"/>
  <c r="X37" i="3" s="1"/>
  <c r="AF18" i="3"/>
  <c r="AF22" i="3" s="1"/>
  <c r="AF30" i="3" s="1"/>
  <c r="AF34" i="3" s="1"/>
  <c r="AF37" i="3" s="1"/>
  <c r="AN18" i="3"/>
  <c r="AN22" i="3" s="1"/>
  <c r="AN30" i="3" s="1"/>
  <c r="AN34" i="3" s="1"/>
  <c r="AN37" i="3" s="1"/>
  <c r="I18" i="3"/>
  <c r="I22" i="3" s="1"/>
  <c r="I30" i="3" s="1"/>
  <c r="I34" i="3" s="1"/>
  <c r="I37" i="3" s="1"/>
  <c r="Q18" i="3"/>
  <c r="Q22" i="3" s="1"/>
  <c r="Q30" i="3" s="1"/>
  <c r="Q34" i="3" s="1"/>
  <c r="Q37" i="3" s="1"/>
  <c r="Y18" i="3"/>
  <c r="Y22" i="3" s="1"/>
  <c r="Y30" i="3" s="1"/>
  <c r="Y34" i="3" s="1"/>
  <c r="Y37" i="3" s="1"/>
  <c r="AG18" i="3"/>
  <c r="AG22" i="3" s="1"/>
  <c r="AG30" i="3" s="1"/>
  <c r="AG34" i="3" s="1"/>
  <c r="AG37" i="3" s="1"/>
  <c r="AO18" i="3"/>
  <c r="AO22" i="3" s="1"/>
  <c r="AO30" i="3" s="1"/>
  <c r="AO34" i="3" s="1"/>
  <c r="AO37" i="3" s="1"/>
  <c r="B18" i="3"/>
  <c r="B22" i="3" s="1"/>
  <c r="B30" i="3" s="1"/>
  <c r="B34" i="3" s="1"/>
  <c r="B37" i="3" s="1"/>
  <c r="J18" i="3"/>
  <c r="J22" i="3" s="1"/>
  <c r="J30" i="3" s="1"/>
  <c r="J34" i="3" s="1"/>
  <c r="J37" i="3" s="1"/>
  <c r="R18" i="3"/>
  <c r="R22" i="3" s="1"/>
  <c r="R30" i="3" s="1"/>
  <c r="R34" i="3" s="1"/>
  <c r="R37" i="3" s="1"/>
  <c r="Z18" i="3"/>
  <c r="Z22" i="3" s="1"/>
  <c r="Z30" i="3" s="1"/>
  <c r="Z34" i="3" s="1"/>
  <c r="Z37" i="3" s="1"/>
  <c r="AH18" i="3"/>
  <c r="AH22" i="3" s="1"/>
  <c r="AH30" i="3" s="1"/>
  <c r="AH34" i="3" s="1"/>
  <c r="AH37" i="3" s="1"/>
  <c r="AP18" i="3"/>
  <c r="AP22" i="3" s="1"/>
  <c r="AP30" i="3" s="1"/>
  <c r="AP34" i="3" s="1"/>
  <c r="AP37" i="3" s="1"/>
  <c r="C18" i="3"/>
  <c r="C22" i="3" s="1"/>
  <c r="C30" i="3" s="1"/>
  <c r="C34" i="3" s="1"/>
  <c r="C37" i="3" s="1"/>
  <c r="K18" i="3"/>
  <c r="K22" i="3" s="1"/>
  <c r="K30" i="3" s="1"/>
  <c r="K34" i="3" s="1"/>
  <c r="K37" i="3" s="1"/>
  <c r="S18" i="3"/>
  <c r="S22" i="3" s="1"/>
  <c r="S30" i="3" s="1"/>
  <c r="S34" i="3" s="1"/>
  <c r="S37" i="3" s="1"/>
  <c r="AA18" i="3"/>
  <c r="AA22" i="3" s="1"/>
  <c r="AA30" i="3" s="1"/>
  <c r="AA34" i="3" s="1"/>
  <c r="AA37" i="3" s="1"/>
  <c r="AI18" i="3"/>
  <c r="AI22" i="3" s="1"/>
  <c r="AI30" i="3" s="1"/>
  <c r="AI34" i="3" s="1"/>
  <c r="AI37" i="3" s="1"/>
  <c r="AQ18" i="3"/>
  <c r="AQ22" i="3" s="1"/>
  <c r="AQ30" i="3" s="1"/>
  <c r="AQ34" i="3" s="1"/>
  <c r="AQ37" i="3" s="1"/>
  <c r="D18" i="3"/>
  <c r="D22" i="3" s="1"/>
  <c r="D30" i="3" s="1"/>
  <c r="D34" i="3" s="1"/>
  <c r="D37" i="3" s="1"/>
  <c r="L18" i="3"/>
  <c r="L22" i="3" s="1"/>
  <c r="L30" i="3" s="1"/>
  <c r="L34" i="3" s="1"/>
  <c r="L37" i="3" s="1"/>
  <c r="T18" i="3"/>
  <c r="T22" i="3" s="1"/>
  <c r="T30" i="3" s="1"/>
  <c r="T34" i="3" s="1"/>
  <c r="T37" i="3" s="1"/>
  <c r="AB18" i="3"/>
  <c r="AB22" i="3" s="1"/>
  <c r="AB30" i="3" s="1"/>
  <c r="AB34" i="3" s="1"/>
  <c r="AB37" i="3" s="1"/>
  <c r="AJ18" i="3"/>
  <c r="AJ22" i="3" s="1"/>
  <c r="AJ30" i="3" s="1"/>
  <c r="AJ34" i="3" s="1"/>
  <c r="AJ37" i="3" s="1"/>
  <c r="AR18" i="3"/>
  <c r="AR22" i="3" s="1"/>
  <c r="AR30" i="3" s="1"/>
  <c r="AR34" i="3" s="1"/>
  <c r="AR37" i="3" s="1"/>
  <c r="E18" i="3"/>
  <c r="E22" i="3" s="1"/>
  <c r="E30" i="3" s="1"/>
  <c r="E34" i="3" s="1"/>
  <c r="E37" i="3" s="1"/>
  <c r="M18" i="3"/>
  <c r="M22" i="3" s="1"/>
  <c r="M30" i="3" s="1"/>
  <c r="M34" i="3" s="1"/>
  <c r="M37" i="3" s="1"/>
  <c r="U18" i="3"/>
  <c r="U22" i="3" s="1"/>
  <c r="U30" i="3" s="1"/>
  <c r="U34" i="3" s="1"/>
  <c r="U37" i="3" s="1"/>
  <c r="AC18" i="3"/>
  <c r="AC22" i="3" s="1"/>
  <c r="AC30" i="3" s="1"/>
  <c r="AC34" i="3" s="1"/>
  <c r="AC37" i="3" s="1"/>
  <c r="AK18" i="3"/>
  <c r="AK22" i="3" s="1"/>
  <c r="AK30" i="3" s="1"/>
  <c r="AK34" i="3" s="1"/>
  <c r="AK37" i="3" s="1"/>
  <c r="AS18" i="3"/>
  <c r="AS22" i="3" s="1"/>
  <c r="AS30" i="3" s="1"/>
  <c r="AS34" i="3" s="1"/>
  <c r="AS37" i="3" s="1"/>
  <c r="AL30" i="3"/>
  <c r="AL34" i="3" s="1"/>
  <c r="AL37" i="3" s="1"/>
  <c r="E18" i="2"/>
  <c r="E22" i="2" s="1"/>
  <c r="E30" i="2" s="1"/>
  <c r="E34" i="2" s="1"/>
  <c r="E37" i="2" s="1"/>
  <c r="AG18" i="2"/>
  <c r="AG22" i="2" s="1"/>
  <c r="AG30" i="2" s="1"/>
  <c r="AG34" i="2" s="1"/>
  <c r="AG37" i="2" s="1"/>
  <c r="AQ18" i="2"/>
  <c r="AQ22" i="2" s="1"/>
  <c r="AQ30" i="2" s="1"/>
  <c r="AQ34" i="2" s="1"/>
  <c r="AQ37" i="2" s="1"/>
  <c r="G18" i="2"/>
  <c r="G22" i="2" s="1"/>
  <c r="G30" i="2" s="1"/>
  <c r="G34" i="2" s="1"/>
  <c r="G37" i="2" s="1"/>
  <c r="Y18" i="2"/>
  <c r="Y22" i="2" s="1"/>
  <c r="Y30" i="2" s="1"/>
  <c r="Y34" i="2" s="1"/>
  <c r="Y37" i="2" s="1"/>
  <c r="AI18" i="2"/>
  <c r="AI22" i="2" s="1"/>
  <c r="AI30" i="2" s="1"/>
  <c r="AI34" i="2" s="1"/>
  <c r="AI37" i="2" s="1"/>
  <c r="Q18" i="2"/>
  <c r="Q22" i="2" s="1"/>
  <c r="Q30" i="2" s="1"/>
  <c r="Q34" i="2" s="1"/>
  <c r="Q37" i="2" s="1"/>
  <c r="AA18" i="2"/>
  <c r="AA22" i="2" s="1"/>
  <c r="AA30" i="2" s="1"/>
  <c r="AA34" i="2" s="1"/>
  <c r="AA37" i="2" s="1"/>
  <c r="I18" i="2"/>
  <c r="I22" i="2" s="1"/>
  <c r="I30" i="2" s="1"/>
  <c r="I34" i="2" s="1"/>
  <c r="I37" i="2" s="1"/>
  <c r="S18" i="2"/>
  <c r="S22" i="2" s="1"/>
  <c r="S30" i="2" s="1"/>
  <c r="S34" i="2" s="1"/>
  <c r="S37" i="2" s="1"/>
  <c r="F18" i="2"/>
  <c r="F22" i="2" s="1"/>
  <c r="F30" i="2" s="1"/>
  <c r="F34" i="2" s="1"/>
  <c r="F37" i="2" s="1"/>
  <c r="K18" i="2"/>
  <c r="K22" i="2" s="1"/>
  <c r="K30" i="2" s="1"/>
  <c r="K34" i="2" s="1"/>
  <c r="K37" i="2" s="1"/>
  <c r="AL18" i="2"/>
  <c r="AL22" i="2" s="1"/>
  <c r="AL30" i="2" s="1"/>
  <c r="AL34" i="2" s="1"/>
  <c r="AL37" i="2" s="1"/>
  <c r="J18" i="2"/>
  <c r="J22" i="2" s="1"/>
  <c r="J30" i="2" s="1"/>
  <c r="J34" i="2" s="1"/>
  <c r="J37" i="2" s="1"/>
  <c r="R18" i="2"/>
  <c r="R22" i="2" s="1"/>
  <c r="R30" i="2" s="1"/>
  <c r="R34" i="2" s="1"/>
  <c r="R37" i="2" s="1"/>
  <c r="Z18" i="2"/>
  <c r="Z22" i="2" s="1"/>
  <c r="Z30" i="2" s="1"/>
  <c r="Z34" i="2" s="1"/>
  <c r="Z37" i="2" s="1"/>
  <c r="AH18" i="2"/>
  <c r="AH22" i="2" s="1"/>
  <c r="AH30" i="2" s="1"/>
  <c r="AH34" i="2" s="1"/>
  <c r="AH37" i="2" s="1"/>
  <c r="AP18" i="2"/>
  <c r="AP22" i="2" s="1"/>
  <c r="AP30" i="2" s="1"/>
  <c r="AP34" i="2" s="1"/>
  <c r="AP37" i="2" s="1"/>
  <c r="U18" i="2"/>
  <c r="U22" i="2" s="1"/>
  <c r="U30" i="2" s="1"/>
  <c r="U34" i="2" s="1"/>
  <c r="U37" i="2" s="1"/>
  <c r="AD18" i="2"/>
  <c r="AD22" i="2" s="1"/>
  <c r="AD30" i="2" s="1"/>
  <c r="AD34" i="2" s="1"/>
  <c r="AD37" i="2" s="1"/>
  <c r="AM18" i="2"/>
  <c r="AM22" i="2" s="1"/>
  <c r="AM30" i="2" s="1"/>
  <c r="AM34" i="2" s="1"/>
  <c r="AM37" i="2" s="1"/>
  <c r="C18" i="2"/>
  <c r="C22" i="2" s="1"/>
  <c r="C30" i="2" s="1"/>
  <c r="C34" i="2" s="1"/>
  <c r="C37" i="2" s="1"/>
  <c r="M18" i="2"/>
  <c r="M22" i="2" s="1"/>
  <c r="M30" i="2" s="1"/>
  <c r="M34" i="2" s="1"/>
  <c r="M37" i="2" s="1"/>
  <c r="V18" i="2"/>
  <c r="V22" i="2" s="1"/>
  <c r="V30" i="2" s="1"/>
  <c r="V34" i="2" s="1"/>
  <c r="V37" i="2" s="1"/>
  <c r="N18" i="2"/>
  <c r="N22" i="2" s="1"/>
  <c r="N30" i="2" s="1"/>
  <c r="N34" i="2" s="1"/>
  <c r="N37" i="2" s="1"/>
  <c r="AO18" i="2"/>
  <c r="AO22" i="2" s="1"/>
  <c r="AO30" i="2" s="1"/>
  <c r="AO34" i="2" s="1"/>
  <c r="AO37" i="2" s="1"/>
  <c r="V27" i="4"/>
  <c r="AN27" i="4"/>
  <c r="I27" i="4"/>
  <c r="G27" i="4"/>
  <c r="O27" i="4"/>
  <c r="AE27" i="4"/>
  <c r="AO3" i="4"/>
  <c r="Q27" i="4"/>
  <c r="Y27" i="4"/>
  <c r="AG27" i="4"/>
  <c r="AO27" i="4"/>
  <c r="F27" i="4"/>
  <c r="AD27" i="4"/>
  <c r="AL27" i="4"/>
  <c r="H27" i="4"/>
  <c r="X27" i="4"/>
  <c r="AV27" i="4"/>
  <c r="E27" i="4"/>
  <c r="M27" i="4"/>
  <c r="AK27" i="4"/>
  <c r="AS27" i="4"/>
  <c r="R27" i="4"/>
  <c r="AU3" i="4"/>
  <c r="AV3" i="4"/>
  <c r="AV18" i="3"/>
  <c r="AV22" i="3" s="1"/>
  <c r="AV30" i="3" s="1"/>
  <c r="AV34" i="3" s="1"/>
  <c r="AV37" i="3" s="1"/>
  <c r="AW18" i="3"/>
  <c r="AW22" i="3" s="1"/>
  <c r="AW30" i="3" s="1"/>
  <c r="AW34" i="3" s="1"/>
  <c r="AW37" i="3" s="1"/>
  <c r="AT18" i="3"/>
  <c r="AT22" i="3" s="1"/>
  <c r="AT30" i="3" s="1"/>
  <c r="AT34" i="3" s="1"/>
  <c r="AT37" i="3" s="1"/>
  <c r="AU18" i="3"/>
  <c r="AU22" i="3" s="1"/>
  <c r="AU30" i="3" s="1"/>
  <c r="AU34" i="3" s="1"/>
  <c r="AU37" i="3" s="1"/>
  <c r="AV18" i="2"/>
  <c r="AV22" i="2" s="1"/>
  <c r="AV30" i="2" s="1"/>
  <c r="AV34" i="2" s="1"/>
  <c r="AV37" i="2" s="1"/>
  <c r="AT18" i="2"/>
  <c r="AT22" i="2" s="1"/>
  <c r="AT30" i="2" s="1"/>
  <c r="AT34" i="2" s="1"/>
  <c r="AT37" i="2" s="1"/>
  <c r="P27" i="4"/>
  <c r="B27" i="4"/>
  <c r="Z27" i="4"/>
  <c r="AH27" i="4"/>
  <c r="AP27" i="4"/>
  <c r="N27" i="4"/>
  <c r="AF27" i="4"/>
  <c r="U27" i="4"/>
  <c r="AU18" i="2"/>
  <c r="AU22" i="2" s="1"/>
  <c r="AU30" i="2" s="1"/>
  <c r="AU34" i="2" s="1"/>
  <c r="AU37" i="2" s="1"/>
  <c r="AW18" i="2"/>
  <c r="AW22" i="2" s="1"/>
  <c r="AW30" i="2" s="1"/>
  <c r="AW34" i="2" s="1"/>
  <c r="AW37" i="2" s="1"/>
  <c r="Z1" i="6" l="1"/>
  <c r="AX1" i="10"/>
  <c r="AW1" i="10"/>
  <c r="AX1" i="5"/>
  <c r="AW1" i="5"/>
  <c r="AX1" i="4"/>
  <c r="AW1" i="4"/>
  <c r="AX1" i="3"/>
  <c r="AX1" i="2"/>
  <c r="A38" i="8" l="1"/>
  <c r="N7" i="14" l="1"/>
  <c r="N10" i="14" s="1"/>
  <c r="B1" i="9" l="1"/>
  <c r="C1" i="9"/>
  <c r="D1" i="9"/>
  <c r="E1" i="9"/>
  <c r="F1" i="9"/>
  <c r="G1" i="9"/>
  <c r="H1" i="9"/>
  <c r="I1" i="9"/>
  <c r="J1" i="9"/>
  <c r="K1" i="9"/>
  <c r="L1" i="9"/>
  <c r="M1" i="9"/>
  <c r="N1" i="9"/>
  <c r="O1" i="9"/>
  <c r="P1" i="9"/>
  <c r="Q1" i="9"/>
  <c r="M65" i="5" l="1"/>
  <c r="N64" i="5" s="1"/>
  <c r="H1" i="8"/>
  <c r="B1" i="8"/>
  <c r="C1" i="8"/>
  <c r="D1" i="8"/>
  <c r="E1" i="8"/>
  <c r="F1" i="8"/>
  <c r="G1" i="8"/>
  <c r="I1" i="8"/>
  <c r="J1" i="8"/>
  <c r="K1" i="8"/>
  <c r="L1" i="8"/>
  <c r="M1" i="8"/>
  <c r="N1" i="8"/>
  <c r="O1" i="8"/>
  <c r="P1" i="8"/>
  <c r="Q1" i="8"/>
  <c r="R1" i="8"/>
  <c r="S1" i="8"/>
  <c r="T1" i="8"/>
  <c r="U1" i="8"/>
  <c r="B1" i="7"/>
  <c r="C1" i="7"/>
  <c r="D1" i="7"/>
  <c r="E1" i="7"/>
  <c r="F1" i="7"/>
  <c r="G1" i="7"/>
  <c r="H1" i="7"/>
  <c r="I1" i="7"/>
  <c r="J1" i="7"/>
  <c r="K1" i="7"/>
  <c r="L1" i="7"/>
  <c r="M1" i="7"/>
  <c r="N1" i="7"/>
  <c r="O1" i="7"/>
  <c r="P1" i="7"/>
  <c r="Q1" i="7"/>
  <c r="R1" i="7"/>
  <c r="S1" i="7"/>
  <c r="T1" i="7"/>
  <c r="U1" i="7"/>
  <c r="B1" i="6"/>
  <c r="C1" i="6"/>
  <c r="D1" i="6"/>
  <c r="E1" i="6"/>
  <c r="F1" i="6"/>
  <c r="G1" i="6"/>
  <c r="H1" i="6"/>
  <c r="I1" i="6"/>
  <c r="J1" i="6"/>
  <c r="K1" i="6"/>
  <c r="L1" i="6"/>
  <c r="M1" i="6"/>
  <c r="N1" i="6"/>
  <c r="O1" i="6"/>
  <c r="P1" i="6"/>
  <c r="Q1" i="6"/>
  <c r="R1" i="6"/>
  <c r="S1" i="6"/>
  <c r="T1" i="6"/>
  <c r="U1" i="6"/>
  <c r="N1" i="10"/>
  <c r="B1" i="10"/>
  <c r="C1" i="10"/>
  <c r="D1" i="10"/>
  <c r="E1" i="10"/>
  <c r="F1" i="10"/>
  <c r="G1" i="10"/>
  <c r="H1" i="10"/>
  <c r="I1" i="10"/>
  <c r="J1" i="10"/>
  <c r="K1" i="10"/>
  <c r="L1" i="10"/>
  <c r="M1" i="10"/>
  <c r="O1" i="10"/>
  <c r="P1" i="10"/>
  <c r="Q1" i="10"/>
  <c r="R1" i="10"/>
  <c r="S1" i="10"/>
  <c r="T1" i="10"/>
  <c r="U1" i="10"/>
  <c r="V1" i="10"/>
  <c r="W1" i="10"/>
  <c r="X1" i="10"/>
  <c r="Y1" i="10"/>
  <c r="Z1" i="10"/>
  <c r="AA1" i="10"/>
  <c r="AB1" i="10"/>
  <c r="AC1" i="10"/>
  <c r="AD1" i="10"/>
  <c r="AE1" i="10"/>
  <c r="AF1" i="10"/>
  <c r="AG1" i="10"/>
  <c r="AH1" i="10"/>
  <c r="AI1" i="10"/>
  <c r="AJ1" i="10"/>
  <c r="AK1" i="10"/>
  <c r="AL1" i="10"/>
  <c r="AM1" i="10"/>
  <c r="AN1" i="10"/>
  <c r="AO1" i="10"/>
  <c r="AP1" i="10"/>
  <c r="AQ1" i="10"/>
  <c r="AR1" i="10"/>
  <c r="AS1" i="10"/>
  <c r="AT1" i="10"/>
  <c r="AU1" i="10"/>
  <c r="AV1" i="10"/>
  <c r="AV1" i="5"/>
  <c r="AV1" i="4"/>
  <c r="N65" i="5" l="1"/>
  <c r="O64" i="5" s="1"/>
  <c r="M19" i="15"/>
  <c r="M16" i="15"/>
  <c r="M13" i="15"/>
  <c r="M10" i="15"/>
  <c r="H17" i="15"/>
  <c r="H14" i="15"/>
  <c r="H11" i="15"/>
  <c r="O65" i="5" l="1"/>
  <c r="P64" i="5" s="1"/>
  <c r="C19" i="15"/>
  <c r="C16" i="15"/>
  <c r="C13" i="15"/>
  <c r="P65" i="5" l="1"/>
  <c r="Q64" i="5" s="1"/>
  <c r="H7" i="15"/>
  <c r="A47" i="5"/>
  <c r="A45" i="5"/>
  <c r="A44" i="5"/>
  <c r="A48" i="9"/>
  <c r="A46" i="9"/>
  <c r="A42" i="5"/>
  <c r="A41" i="5"/>
  <c r="A43" i="9"/>
  <c r="A15" i="5"/>
  <c r="A15" i="9"/>
  <c r="A1" i="9"/>
  <c r="A17" i="9"/>
  <c r="A37" i="9"/>
  <c r="A66" i="9"/>
  <c r="A65" i="9"/>
  <c r="A63" i="9"/>
  <c r="A61" i="9"/>
  <c r="A55" i="9"/>
  <c r="A54" i="9"/>
  <c r="A52" i="9"/>
  <c r="A50" i="9"/>
  <c r="A49" i="9"/>
  <c r="A45" i="9"/>
  <c r="A42" i="9"/>
  <c r="A41" i="9"/>
  <c r="A39" i="9"/>
  <c r="A38" i="9"/>
  <c r="A36" i="9"/>
  <c r="A35" i="9"/>
  <c r="A33" i="9"/>
  <c r="A32" i="9"/>
  <c r="A31" i="9"/>
  <c r="A30" i="9"/>
  <c r="A29" i="9"/>
  <c r="A28" i="9"/>
  <c r="A27" i="9"/>
  <c r="A26" i="9"/>
  <c r="A25" i="9"/>
  <c r="A24" i="9"/>
  <c r="A22" i="9"/>
  <c r="A19" i="9"/>
  <c r="A18" i="9"/>
  <c r="A16" i="9"/>
  <c r="A14" i="9"/>
  <c r="A13" i="9"/>
  <c r="A12" i="9"/>
  <c r="A11" i="9"/>
  <c r="A10" i="9"/>
  <c r="A9" i="9"/>
  <c r="A8" i="9"/>
  <c r="A7" i="9"/>
  <c r="A6" i="9"/>
  <c r="A5" i="9"/>
  <c r="A3" i="9"/>
  <c r="A43" i="8"/>
  <c r="Q65" i="5" l="1"/>
  <c r="R64" i="5" s="1"/>
  <c r="A58" i="8"/>
  <c r="A49" i="8"/>
  <c r="A47" i="8"/>
  <c r="A46" i="8"/>
  <c r="A45" i="8"/>
  <c r="A44" i="8"/>
  <c r="A42" i="8"/>
  <c r="A41" i="8"/>
  <c r="A39" i="8"/>
  <c r="A29" i="8"/>
  <c r="A27" i="8"/>
  <c r="A17" i="8"/>
  <c r="A15" i="8"/>
  <c r="A5" i="8"/>
  <c r="A3" i="8"/>
  <c r="A1" i="8"/>
  <c r="A47" i="4"/>
  <c r="A17" i="4"/>
  <c r="A5" i="4"/>
  <c r="A40" i="4"/>
  <c r="A29" i="4"/>
  <c r="A11" i="4"/>
  <c r="R65" i="5" l="1"/>
  <c r="S64" i="5" s="1"/>
  <c r="A39" i="7"/>
  <c r="A32" i="7"/>
  <c r="A30" i="7"/>
  <c r="A28" i="7"/>
  <c r="A26" i="7"/>
  <c r="A25" i="7"/>
  <c r="A24" i="7"/>
  <c r="A22" i="7"/>
  <c r="A20" i="7"/>
  <c r="A18" i="7"/>
  <c r="A16" i="7"/>
  <c r="A15" i="7"/>
  <c r="A14" i="7"/>
  <c r="A13" i="7"/>
  <c r="A12" i="7"/>
  <c r="A10" i="7"/>
  <c r="A8" i="7"/>
  <c r="A6" i="7"/>
  <c r="A4" i="7"/>
  <c r="A3" i="7"/>
  <c r="A1" i="7"/>
  <c r="A1" i="6"/>
  <c r="A30" i="3"/>
  <c r="A30" i="2"/>
  <c r="A30" i="6"/>
  <c r="A26" i="3"/>
  <c r="A26" i="2"/>
  <c r="A26" i="6"/>
  <c r="A22" i="3"/>
  <c r="A22" i="2"/>
  <c r="A22" i="6"/>
  <c r="A39" i="6"/>
  <c r="A32" i="6"/>
  <c r="A28" i="6"/>
  <c r="A25" i="6"/>
  <c r="A24" i="6"/>
  <c r="A20" i="6"/>
  <c r="A18" i="6"/>
  <c r="A16" i="6"/>
  <c r="A15" i="6"/>
  <c r="A14" i="6"/>
  <c r="A13" i="6"/>
  <c r="A12" i="6"/>
  <c r="A10" i="6"/>
  <c r="A8" i="6"/>
  <c r="A6" i="6"/>
  <c r="A4" i="6"/>
  <c r="A3" i="6"/>
  <c r="S65" i="5" l="1"/>
  <c r="T64" i="5" s="1"/>
  <c r="A10" i="14"/>
  <c r="A7" i="14"/>
  <c r="A5" i="14"/>
  <c r="A3" i="14"/>
  <c r="A1" i="14"/>
  <c r="J1" i="2"/>
  <c r="K1" i="2"/>
  <c r="L1" i="2"/>
  <c r="M1" i="2"/>
  <c r="Z1" i="2"/>
  <c r="AA1" i="2"/>
  <c r="AB1" i="2"/>
  <c r="AC1" i="2"/>
  <c r="J1" i="3"/>
  <c r="K1" i="3"/>
  <c r="L1" i="3"/>
  <c r="M1" i="3"/>
  <c r="Z1" i="3"/>
  <c r="AA1" i="3"/>
  <c r="AB1" i="3"/>
  <c r="AC1" i="3"/>
  <c r="J1" i="4"/>
  <c r="K1" i="4"/>
  <c r="L1" i="4"/>
  <c r="M1" i="4"/>
  <c r="Z1" i="4"/>
  <c r="AA1" i="4"/>
  <c r="AB1" i="4"/>
  <c r="AC1" i="4"/>
  <c r="Z1" i="5"/>
  <c r="AA1" i="5"/>
  <c r="AB1" i="5"/>
  <c r="AC1" i="5"/>
  <c r="M1" i="5"/>
  <c r="L1" i="5"/>
  <c r="K1" i="5"/>
  <c r="J1" i="5"/>
  <c r="N1" i="5"/>
  <c r="B1" i="5"/>
  <c r="C1" i="5"/>
  <c r="D1" i="5"/>
  <c r="E1" i="5"/>
  <c r="F1" i="5"/>
  <c r="G1" i="5"/>
  <c r="H1" i="5"/>
  <c r="I1" i="5"/>
  <c r="O1" i="5"/>
  <c r="P1" i="5"/>
  <c r="Q1" i="5"/>
  <c r="R1" i="5"/>
  <c r="S1" i="5"/>
  <c r="T1" i="5"/>
  <c r="U1" i="5"/>
  <c r="V1" i="5"/>
  <c r="W1" i="5"/>
  <c r="X1" i="5"/>
  <c r="Y1" i="5"/>
  <c r="AD1" i="5"/>
  <c r="AE1" i="5"/>
  <c r="AF1" i="5"/>
  <c r="AG1" i="5"/>
  <c r="AH1" i="5"/>
  <c r="AI1" i="5"/>
  <c r="AJ1" i="5"/>
  <c r="AK1" i="5"/>
  <c r="AL1" i="5"/>
  <c r="AM1" i="5"/>
  <c r="AN1" i="5"/>
  <c r="AO1" i="5"/>
  <c r="AP1" i="5"/>
  <c r="AQ1" i="5"/>
  <c r="AR1" i="5"/>
  <c r="AS1" i="5"/>
  <c r="AT1" i="5"/>
  <c r="AU1" i="5"/>
  <c r="A7" i="13"/>
  <c r="A6" i="13"/>
  <c r="A5" i="13"/>
  <c r="A4" i="13"/>
  <c r="A3" i="13"/>
  <c r="A1" i="13"/>
  <c r="A45" i="10"/>
  <c r="A41" i="10"/>
  <c r="A37" i="10"/>
  <c r="A33" i="10"/>
  <c r="A29" i="10"/>
  <c r="A21" i="10"/>
  <c r="A18" i="10"/>
  <c r="A17" i="10"/>
  <c r="A16" i="10"/>
  <c r="A15" i="10"/>
  <c r="A14" i="10"/>
  <c r="A10" i="10"/>
  <c r="A7" i="10"/>
  <c r="A6" i="10"/>
  <c r="A5" i="10"/>
  <c r="A4" i="10"/>
  <c r="A3" i="10"/>
  <c r="A46" i="10"/>
  <c r="A42" i="10"/>
  <c r="A38" i="10"/>
  <c r="A34" i="10"/>
  <c r="A30" i="10"/>
  <c r="A26" i="10"/>
  <c r="A22" i="10"/>
  <c r="A25" i="10"/>
  <c r="A47" i="10"/>
  <c r="A43" i="10"/>
  <c r="A39" i="10"/>
  <c r="A35" i="10"/>
  <c r="A31" i="10"/>
  <c r="A27" i="10"/>
  <c r="A23" i="10"/>
  <c r="A12" i="10"/>
  <c r="A11" i="10"/>
  <c r="A8" i="10"/>
  <c r="A1" i="10"/>
  <c r="T65" i="5" l="1"/>
  <c r="U64" i="5" s="1"/>
  <c r="A51" i="5"/>
  <c r="A3" i="5"/>
  <c r="A65" i="5"/>
  <c r="A64" i="5"/>
  <c r="A62" i="5"/>
  <c r="A60" i="5"/>
  <c r="A57" i="5"/>
  <c r="A56" i="5"/>
  <c r="A55" i="5"/>
  <c r="A54" i="5"/>
  <c r="A53" i="5"/>
  <c r="A49" i="5"/>
  <c r="A48" i="5"/>
  <c r="A40" i="5"/>
  <c r="A38" i="5"/>
  <c r="A37" i="5"/>
  <c r="A36" i="5"/>
  <c r="A35" i="5"/>
  <c r="A33" i="5"/>
  <c r="A32" i="5"/>
  <c r="A31" i="5"/>
  <c r="A30" i="5"/>
  <c r="A29" i="5"/>
  <c r="A28" i="5"/>
  <c r="A27" i="5"/>
  <c r="A26" i="5"/>
  <c r="A25" i="5"/>
  <c r="A24" i="5"/>
  <c r="A23" i="5"/>
  <c r="A18" i="5"/>
  <c r="A17" i="5"/>
  <c r="A16" i="5"/>
  <c r="A14" i="5"/>
  <c r="A13" i="5"/>
  <c r="A12" i="5"/>
  <c r="A11" i="5"/>
  <c r="A10" i="5"/>
  <c r="A9" i="5"/>
  <c r="A8" i="5"/>
  <c r="A7" i="5"/>
  <c r="A6" i="5"/>
  <c r="A5" i="5"/>
  <c r="A21" i="5"/>
  <c r="A1" i="5"/>
  <c r="A27" i="4"/>
  <c r="A55" i="4"/>
  <c r="A54" i="4"/>
  <c r="A53" i="4"/>
  <c r="A52" i="4"/>
  <c r="A51" i="4"/>
  <c r="A50" i="4"/>
  <c r="A49" i="4"/>
  <c r="A48" i="4"/>
  <c r="A44" i="4"/>
  <c r="A43" i="4"/>
  <c r="A42" i="4"/>
  <c r="A41" i="4"/>
  <c r="A37" i="4"/>
  <c r="A35" i="4"/>
  <c r="A34" i="4"/>
  <c r="A33" i="4"/>
  <c r="A32" i="4"/>
  <c r="A31" i="4"/>
  <c r="A30" i="4"/>
  <c r="A56" i="4"/>
  <c r="A45" i="4"/>
  <c r="A38" i="4"/>
  <c r="A25" i="4"/>
  <c r="A24" i="4"/>
  <c r="A23" i="4"/>
  <c r="A22" i="4"/>
  <c r="A21" i="4"/>
  <c r="A20" i="4"/>
  <c r="A19" i="4"/>
  <c r="A18" i="4"/>
  <c r="A15" i="4"/>
  <c r="A14" i="4"/>
  <c r="A10" i="4"/>
  <c r="A9" i="4"/>
  <c r="A8" i="4"/>
  <c r="A6" i="4"/>
  <c r="A7" i="4"/>
  <c r="A3" i="4"/>
  <c r="A58" i="4"/>
  <c r="A1" i="4"/>
  <c r="AF1" i="4"/>
  <c r="B1" i="4"/>
  <c r="C1" i="4"/>
  <c r="D1" i="4"/>
  <c r="E1" i="4"/>
  <c r="F1" i="4"/>
  <c r="G1" i="4"/>
  <c r="H1" i="4"/>
  <c r="I1" i="4"/>
  <c r="N1" i="4"/>
  <c r="O1" i="4"/>
  <c r="P1" i="4"/>
  <c r="Q1" i="4"/>
  <c r="R1" i="4"/>
  <c r="S1" i="4"/>
  <c r="T1" i="4"/>
  <c r="U1" i="4"/>
  <c r="V1" i="4"/>
  <c r="W1" i="4"/>
  <c r="X1" i="4"/>
  <c r="Y1" i="4"/>
  <c r="AD1" i="4"/>
  <c r="AE1" i="4"/>
  <c r="AG1" i="4"/>
  <c r="AH1" i="4"/>
  <c r="AI1" i="4"/>
  <c r="AJ1" i="4"/>
  <c r="AK1" i="4"/>
  <c r="AL1" i="4"/>
  <c r="AM1" i="4"/>
  <c r="AN1" i="4"/>
  <c r="AO1" i="4"/>
  <c r="AP1" i="4"/>
  <c r="AQ1" i="4"/>
  <c r="AR1" i="4"/>
  <c r="AS1" i="4"/>
  <c r="AT1" i="4"/>
  <c r="AU1" i="4"/>
  <c r="B1" i="3"/>
  <c r="C1" i="3"/>
  <c r="D1" i="3"/>
  <c r="E1" i="3"/>
  <c r="F1" i="3"/>
  <c r="G1" i="3"/>
  <c r="H1" i="3"/>
  <c r="I1" i="3"/>
  <c r="N1" i="3"/>
  <c r="O1" i="3"/>
  <c r="P1" i="3"/>
  <c r="Q1" i="3"/>
  <c r="R1" i="3"/>
  <c r="S1" i="3"/>
  <c r="T1" i="3"/>
  <c r="U1" i="3"/>
  <c r="V1" i="3"/>
  <c r="W1" i="3"/>
  <c r="X1" i="3"/>
  <c r="Y1" i="3"/>
  <c r="AD1" i="3"/>
  <c r="AE1" i="3"/>
  <c r="AF1" i="3"/>
  <c r="AG1" i="3"/>
  <c r="AH1" i="3"/>
  <c r="AI1" i="3"/>
  <c r="AJ1" i="3"/>
  <c r="AK1" i="3"/>
  <c r="AL1" i="3"/>
  <c r="AM1" i="3"/>
  <c r="AN1" i="3"/>
  <c r="AO1" i="3"/>
  <c r="AP1" i="3"/>
  <c r="AQ1" i="3"/>
  <c r="AR1" i="3"/>
  <c r="AS1" i="3"/>
  <c r="A1" i="3"/>
  <c r="A40" i="3"/>
  <c r="A39" i="3"/>
  <c r="A32" i="3"/>
  <c r="A28" i="3"/>
  <c r="A25" i="3"/>
  <c r="A24" i="3"/>
  <c r="A20" i="3"/>
  <c r="A18" i="3"/>
  <c r="A16" i="3"/>
  <c r="A15" i="3"/>
  <c r="A14" i="3"/>
  <c r="A13" i="3"/>
  <c r="A12" i="3"/>
  <c r="A10" i="3"/>
  <c r="A8" i="3"/>
  <c r="A6" i="3"/>
  <c r="A4" i="3"/>
  <c r="A3" i="3"/>
  <c r="B1" i="2"/>
  <c r="C1" i="2"/>
  <c r="D1" i="2"/>
  <c r="E1" i="2"/>
  <c r="F1" i="2"/>
  <c r="G1" i="2"/>
  <c r="H1" i="2"/>
  <c r="I1" i="2"/>
  <c r="N1" i="2"/>
  <c r="O1" i="2"/>
  <c r="P1" i="2"/>
  <c r="Q1" i="2"/>
  <c r="R1" i="2"/>
  <c r="S1" i="2"/>
  <c r="T1" i="2"/>
  <c r="U1" i="2"/>
  <c r="V1" i="2"/>
  <c r="W1" i="2"/>
  <c r="X1" i="2"/>
  <c r="Y1" i="2"/>
  <c r="AD1" i="2"/>
  <c r="AE1" i="2"/>
  <c r="AF1" i="2"/>
  <c r="AG1" i="2"/>
  <c r="AH1" i="2"/>
  <c r="AI1" i="2"/>
  <c r="AJ1" i="2"/>
  <c r="AK1" i="2"/>
  <c r="AL1" i="2"/>
  <c r="AM1" i="2"/>
  <c r="AN1" i="2"/>
  <c r="AO1" i="2"/>
  <c r="AP1" i="2"/>
  <c r="AQ1" i="2"/>
  <c r="AR1" i="2"/>
  <c r="AS1" i="2"/>
  <c r="A1" i="2"/>
  <c r="A40" i="2"/>
  <c r="U65" i="5" l="1"/>
  <c r="V64" i="5" s="1"/>
  <c r="A39" i="2"/>
  <c r="A32" i="2"/>
  <c r="A28" i="2"/>
  <c r="A25" i="2"/>
  <c r="A24" i="2"/>
  <c r="A20" i="2"/>
  <c r="A18" i="2"/>
  <c r="A16" i="2"/>
  <c r="A15" i="2"/>
  <c r="A14" i="2"/>
  <c r="A13" i="2"/>
  <c r="A12" i="2"/>
  <c r="A10" i="2"/>
  <c r="A8" i="2"/>
  <c r="A6" i="2"/>
  <c r="A4" i="2"/>
  <c r="V65" i="5" l="1"/>
  <c r="W64" i="5" s="1"/>
  <c r="A3" i="2"/>
  <c r="W65" i="5" l="1"/>
  <c r="X64" i="5" s="1"/>
  <c r="L7" i="14"/>
  <c r="L10" i="14" s="1"/>
  <c r="M7" i="14"/>
  <c r="M10" i="14" s="1"/>
  <c r="X65" i="5" l="1"/>
  <c r="Y64" i="5" s="1"/>
  <c r="K7" i="14"/>
  <c r="K10" i="14" s="1"/>
  <c r="J7" i="14"/>
  <c r="J10" i="14" s="1"/>
  <c r="I7" i="14"/>
  <c r="I10" i="14" s="1"/>
  <c r="H7" i="14"/>
  <c r="H10" i="14" s="1"/>
  <c r="G7" i="14"/>
  <c r="G10" i="14" s="1"/>
  <c r="F7" i="14"/>
  <c r="F10" i="14" s="1"/>
  <c r="E7" i="14"/>
  <c r="E10" i="14" s="1"/>
  <c r="D7" i="14"/>
  <c r="D10" i="14" s="1"/>
  <c r="C7" i="14"/>
  <c r="C10" i="14" s="1"/>
  <c r="B7" i="14"/>
  <c r="B10" i="14" s="1"/>
  <c r="Y65" i="5" l="1"/>
  <c r="Z64" i="5" s="1"/>
  <c r="Z65" i="5" l="1"/>
  <c r="AA64" i="5" s="1"/>
  <c r="AA65" i="5" l="1"/>
  <c r="AB64" i="5" s="1"/>
  <c r="AB65" i="5" l="1"/>
  <c r="AC64" i="5" s="1"/>
  <c r="AC65" i="5" l="1"/>
  <c r="AD64" i="5" s="1"/>
  <c r="AD65" i="5" l="1"/>
  <c r="AE64" i="5" s="1"/>
  <c r="AE65" i="5" l="1"/>
  <c r="AF64" i="5" s="1"/>
  <c r="AF65" i="5" l="1"/>
  <c r="AG64" i="5" s="1"/>
  <c r="AG65" i="5" l="1"/>
  <c r="AH64" i="5" s="1"/>
  <c r="AH65" i="5" l="1"/>
  <c r="AI64" i="5" s="1"/>
  <c r="AI65" i="5" l="1"/>
  <c r="AJ64" i="5" s="1"/>
  <c r="AJ65" i="5" l="1"/>
  <c r="AK64" i="5" s="1"/>
  <c r="AK65" i="5" l="1"/>
  <c r="AL64" i="5" s="1"/>
  <c r="AL65" i="5" l="1"/>
  <c r="AM64" i="5" s="1"/>
  <c r="AM65" i="5" l="1"/>
  <c r="AN64" i="5" s="1"/>
  <c r="AN65" i="5" l="1"/>
  <c r="AO64" i="5" s="1"/>
  <c r="AO65" i="5" l="1"/>
  <c r="AP64" i="5" s="1"/>
  <c r="AP65" i="5" l="1"/>
  <c r="AQ64" i="5" s="1"/>
  <c r="AQ65" i="5" l="1"/>
  <c r="AR64" i="5" s="1"/>
  <c r="AR65" i="5" l="1"/>
  <c r="AS64" i="5" s="1"/>
  <c r="AS65" i="5" l="1"/>
  <c r="AT65" i="5" l="1"/>
  <c r="AU64" i="5" s="1"/>
  <c r="AU65" i="5" l="1"/>
  <c r="AV64" i="5" s="1"/>
  <c r="AV65" i="5" l="1"/>
  <c r="AW64" i="5" s="1"/>
  <c r="AW65" i="5" l="1"/>
  <c r="AX64" i="5" s="1"/>
  <c r="AX65" i="5" s="1"/>
  <c r="AY64" i="5" s="1"/>
  <c r="AY65" i="5" s="1"/>
  <c r="BE62" i="5" l="1"/>
  <c r="B62" i="5"/>
  <c r="B65" i="5" s="1"/>
  <c r="C64" i="5" s="1"/>
  <c r="C65" i="5" s="1"/>
  <c r="D64" i="5" s="1"/>
  <c r="D65" i="5" s="1"/>
  <c r="E64" i="5" s="1"/>
  <c r="E65" i="5" s="1"/>
  <c r="F64" i="5" s="1"/>
  <c r="F65" i="5" s="1"/>
  <c r="G64" i="5" s="1"/>
  <c r="G65" i="5" s="1"/>
  <c r="H64" i="5" s="1"/>
  <c r="H65" i="5" s="1"/>
  <c r="I64" i="5" s="1"/>
  <c r="I65" i="5" s="1"/>
  <c r="J64" i="5" s="1"/>
  <c r="J65" i="5" s="1"/>
  <c r="K64" i="5" s="1"/>
  <c r="K65" i="5" s="1"/>
  <c r="L64" i="5" s="1"/>
  <c r="L65" i="5" s="1"/>
</calcChain>
</file>

<file path=xl/sharedStrings.xml><?xml version="1.0" encoding="utf-8"?>
<sst xmlns="http://schemas.openxmlformats.org/spreadsheetml/2006/main" count="13" uniqueCount="7">
  <si>
    <t>*Includes 4Bio as of 1Q15.</t>
  </si>
  <si>
    <t>PORT</t>
  </si>
  <si>
    <t>ENG</t>
  </si>
  <si>
    <r>
      <t xml:space="preserve">Selecione o idioma
</t>
    </r>
    <r>
      <rPr>
        <b/>
        <i/>
        <sz val="8"/>
        <color theme="1" tint="0.249977111117893"/>
        <rFont val="Calibri"/>
        <family val="2"/>
        <scheme val="minor"/>
      </rPr>
      <t>Choose Language</t>
    </r>
  </si>
  <si>
    <t>Depósitos Judiciais</t>
  </si>
  <si>
    <t>Reapresentado</t>
  </si>
  <si>
    <t>Ex-4Bio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</si>
</sst>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9">
    <numFmt numFmtId="5" formatCode="&quot;R$&quot;\ #,##0;\-&quot;R$&quot;\ #,##0"/>
    <numFmt numFmtId="6" formatCode="&quot;R$&quot;\ #,##0;[Red]\-&quot;R$&quot;\ #,##0"/>
    <numFmt numFmtId="8" formatCode="&quot;R$&quot;\ #,##0.00;[Red]\-&quot;R$&quot;\ #,##0.00"/>
    <numFmt numFmtId="42" formatCode="_-&quot;R$&quot;\ * #,##0_-;\-&quot;R$&quot;\ * #,##0_-;_-&quot;R$&quot;\ * &quot;-&quot;_-;_-@_-"/>
    <numFmt numFmtId="41" formatCode="_-* #,##0_-;\-* #,##0_-;_-* &quot;-&quot;_-;_-@_-"/>
    <numFmt numFmtId="43" formatCode="_-* #,##0.00_-;\-* #,##0.00_-;_-* &quot;-&quot;??_-;_-@_-"/>
    <numFmt numFmtId="164" formatCode="#,##0.0"/>
    <numFmt numFmtId="165" formatCode="#,##0;\(#,##0\)"/>
    <numFmt numFmtId="166" formatCode="0.0%"/>
    <numFmt numFmtId="167" formatCode="\+0.0\ &quot;pp&quot;;\-0.0\ &quot;pp&quot;;&quot;-&quot;"/>
    <numFmt numFmtId="168" formatCode="#,##0.0;\-#,##0.0;&quot;-&quot;"/>
    <numFmt numFmtId="169" formatCode="#,###\-"/>
    <numFmt numFmtId="170" formatCode="#,##0%"/>
    <numFmt numFmtId="171" formatCode="#,##0.0%"/>
    <numFmt numFmtId="172" formatCode="0.0_)\%;\(0.0\)\%;0.0_)\%;@_)_%"/>
    <numFmt numFmtId="173" formatCode="#,##0.0_)_%;\(#,##0.0\)_%;0.0_)_%;@_)_%"/>
    <numFmt numFmtId="174" formatCode="#,##0.0_);\(#,##0.0\);#,##0.0_);@_)"/>
    <numFmt numFmtId="175" formatCode="&quot;$&quot;_(#,##0.00_);&quot;$&quot;\(#,##0.00\);&quot;$&quot;_(0.00_);@_)"/>
    <numFmt numFmtId="176" formatCode="#,##0.00_);\(#,##0.00\);0.00_);@_)"/>
    <numFmt numFmtId="177" formatCode="\€_(#,##0.00_);\€\(#,##0.00\);\€_(0.00_);@_)"/>
    <numFmt numFmtId="178" formatCode="#,##0_)\x;\(#,##0\)\x;0_)\x;@_)_x"/>
    <numFmt numFmtId="179" formatCode="#,##0_)_x;\(#,##0\)_x;0_)_x;@_)_x"/>
    <numFmt numFmtId="180" formatCode="#,##0.0&quot;x&quot;"/>
    <numFmt numFmtId="181" formatCode="0.0000"/>
    <numFmt numFmtId="182" formatCode="General_)"/>
    <numFmt numFmtId="183" formatCode="#\ ###\ ###\ ##0\ "/>
    <numFmt numFmtId="184" formatCode="0.00_);\(0.00\);0.00"/>
    <numFmt numFmtId="185" formatCode="_-&quot;$&quot;* #,##0_-;\-&quot;$&quot;* #,##0_-;_-&quot;$&quot;* &quot;-&quot;_-;_-@_-"/>
    <numFmt numFmtId="186" formatCode="_-&quot;$&quot;* #,##0.00_-;\-&quot;$&quot;* #,##0.00_-;_-&quot;$&quot;* &quot;-&quot;??_-;_-@_-"/>
    <numFmt numFmtId="187" formatCode="#,##0.00\ ;&quot; (&quot;#,##0.00\);&quot; -&quot;#\ ;@\ "/>
    <numFmt numFmtId="188" formatCode="#,#00"/>
    <numFmt numFmtId="189" formatCode="&quot;HK$&quot;#,##0"/>
    <numFmt numFmtId="190" formatCode="&quot;HK$&quot;#,##0.00"/>
    <numFmt numFmtId="191" formatCode="0.00000000"/>
    <numFmt numFmtId="192" formatCode="0.00_);\(0.00\);0.00_)"/>
    <numFmt numFmtId="193" formatCode="&quot;Cr$&quot;#,##0_);\(&quot;Cr$&quot;#,##0\)"/>
    <numFmt numFmtId="194" formatCode="&quot;Cr$&quot;#,##0_);[Red]\(&quot;Cr$&quot;#,##0\)"/>
    <numFmt numFmtId="195" formatCode="_(&quot;Cr$&quot;* #,##0_);_(&quot;Cr$&quot;* \(#,##0\);_(&quot;Cr$&quot;* &quot;-&quot;_);_(@_)"/>
    <numFmt numFmtId="196" formatCode="_(&quot;Cr$&quot;* #,##0.00_);_(&quot;Cr$&quot;* \(#,##0.00\);_(&quot;Cr$&quot;* &quot;-&quot;??_);_(@_)"/>
    <numFmt numFmtId="197" formatCode="0.000000000"/>
    <numFmt numFmtId="198" formatCode="0.00\%;\-0.00\%;0.00\%"/>
    <numFmt numFmtId="199" formatCode="%#,#00"/>
    <numFmt numFmtId="200" formatCode="#.##000"/>
    <numFmt numFmtId="201" formatCode="0.00\x;\-0.00\x;0.00\x"/>
    <numFmt numFmtId="202" formatCode="##0.00000"/>
    <numFmt numFmtId="203" formatCode="#,"/>
    <numFmt numFmtId="204" formatCode="&quot;US$&quot;#,##0"/>
    <numFmt numFmtId="205" formatCode="&quot;US$&quot;#,##0.00"/>
    <numFmt numFmtId="206" formatCode="0.00_)"/>
    <numFmt numFmtId="207" formatCode="0&quot;E&quot;"/>
    <numFmt numFmtId="208" formatCode="_(&quot;R$ &quot;* #,##0.00_);_(&quot;R$ &quot;* \(#,##0.00\);_(&quot;R$ &quot;* &quot;-&quot;??_);_(@_)"/>
    <numFmt numFmtId="209" formatCode="_ * #,##0.00_ ;_ * \-#,##0.00_ ;_ * &quot;-&quot;??_ ;_ @_ "/>
    <numFmt numFmtId="210" formatCode="0."/>
    <numFmt numFmtId="211" formatCode="0%_);\(0%\)"/>
    <numFmt numFmtId="212" formatCode="_-* #,##0.00_-;_-* \-#,##0.00_-;_-* &quot;-&quot;_-;_-* @_-"/>
    <numFmt numFmtId="213" formatCode="_-* #,##0\ &quot;DM&quot;_-;\-* #,##0\ &quot;DM&quot;_-;_-* &quot;-&quot;\ &quot;DM&quot;_-;_-@_-"/>
    <numFmt numFmtId="214" formatCode="_-* #,##0\ &quot;zł&quot;_-;\-* #,##0\ &quot;zł&quot;_-;_-* &quot;-&quot;\ &quot;zł&quot;_-;_-@_-"/>
    <numFmt numFmtId="215" formatCode="_-* #,##0.00\ &quot;zł&quot;_-;\-* #,##0.00\ &quot;zł&quot;_-;_-* &quot;-&quot;??\ &quot;zł&quot;_-;_-@_-"/>
    <numFmt numFmtId="216" formatCode="#,##0;\-#,##0;&quot;-&quot;"/>
  </numFmts>
  <fonts count="168">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i/>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color theme="1"/>
      <name val="Calibri"/>
      <family val="2"/>
    </font>
    <font>
      <sz val="9"/>
      <color rgb="FF4F4F4F"/>
      <name val="Calibri"/>
      <family val="2"/>
      <scheme val="minor"/>
    </font>
    <font>
      <sz val="10"/>
      <name val="Arial"/>
      <family val="2"/>
    </font>
    <font>
      <sz val="10"/>
      <name val="Verdana"/>
      <family val="2"/>
    </font>
    <font>
      <sz val="11"/>
      <color indexed="8"/>
      <name val="Calibri"/>
      <family val="2"/>
    </font>
    <font>
      <sz val="8"/>
      <color theme="1"/>
      <name val="Calibri"/>
      <family val="2"/>
      <scheme val="minor"/>
    </font>
    <font>
      <sz val="9"/>
      <name val="Times New Roman"/>
      <family val="1"/>
    </font>
    <font>
      <sz val="10"/>
      <color theme="1"/>
      <name val="Arial"/>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color indexed="9"/>
      <name val="Calibri"/>
      <family val="2"/>
    </font>
    <font>
      <sz val="8"/>
      <color indexed="12"/>
      <name val="Helv"/>
    </font>
    <font>
      <sz val="10"/>
      <name val="Geneva"/>
      <family val="2"/>
    </font>
    <font>
      <sz val="10"/>
      <name val="Courier"/>
      <family val="3"/>
    </font>
    <font>
      <sz val="11"/>
      <color indexed="20"/>
      <name val="Calibri"/>
      <family val="2"/>
    </font>
    <font>
      <sz val="10"/>
      <color indexed="9"/>
      <name val="Arial"/>
      <family val="2"/>
    </font>
    <font>
      <sz val="8"/>
      <name val="SwitzerlandLight"/>
    </font>
    <font>
      <sz val="7"/>
      <name val="Times New Roman"/>
      <family val="1"/>
    </font>
    <font>
      <sz val="11"/>
      <color indexed="17"/>
      <name val="Calibri"/>
      <family val="2"/>
    </font>
    <font>
      <b/>
      <sz val="11"/>
      <color indexed="52"/>
      <name val="Calibri"/>
      <family val="2"/>
    </font>
    <font>
      <b/>
      <sz val="11"/>
      <color indexed="9"/>
      <name val="Calibri"/>
      <family val="2"/>
    </font>
    <font>
      <sz val="11"/>
      <color indexed="52"/>
      <name val="Calibri"/>
      <family val="2"/>
    </font>
    <font>
      <sz val="10"/>
      <name val="MS Sans Serif"/>
      <family val="2"/>
    </font>
    <font>
      <u/>
      <sz val="10"/>
      <color indexed="12"/>
      <name val="Arial"/>
      <family val="2"/>
    </font>
    <font>
      <sz val="12"/>
      <name val="Times New Roman"/>
      <family val="1"/>
    </font>
    <font>
      <sz val="10"/>
      <name val="BERNHARD"/>
    </font>
    <font>
      <sz val="10"/>
      <name val="Helv"/>
    </font>
    <font>
      <sz val="24"/>
      <name val="MS Sans Serif"/>
      <family val="2"/>
    </font>
    <font>
      <sz val="9"/>
      <name val="Arial"/>
      <family val="2"/>
    </font>
    <font>
      <sz val="7.5"/>
      <color indexed="12"/>
      <name val="Arial"/>
      <family val="2"/>
    </font>
    <font>
      <b/>
      <sz val="12"/>
      <name val="Times New Roman"/>
      <family val="1"/>
    </font>
    <font>
      <sz val="1"/>
      <color indexed="8"/>
      <name val="Courier"/>
      <family val="3"/>
    </font>
    <font>
      <b/>
      <sz val="1"/>
      <color indexed="8"/>
      <name val="Courier"/>
      <family val="3"/>
    </font>
    <font>
      <sz val="11"/>
      <color indexed="62"/>
      <name val="Calibri"/>
      <family val="2"/>
    </font>
    <font>
      <sz val="10"/>
      <color indexed="8"/>
      <name val="MS Sans Serif"/>
      <family val="2"/>
    </font>
    <font>
      <i/>
      <sz val="11"/>
      <color indexed="23"/>
      <name val="Calibri"/>
      <family val="2"/>
    </font>
    <font>
      <sz val="11"/>
      <name val="Arial"/>
      <family val="2"/>
    </font>
    <font>
      <b/>
      <sz val="48"/>
      <color indexed="12"/>
      <name val="Lucida Console"/>
      <family val="3"/>
    </font>
    <font>
      <sz val="10"/>
      <color indexed="18"/>
      <name val="Arial"/>
      <family val="2"/>
    </font>
    <font>
      <sz val="8"/>
      <name val="Arial"/>
      <family val="2"/>
    </font>
    <font>
      <sz val="18"/>
      <name val="Times New Roman"/>
      <family val="1"/>
    </font>
    <font>
      <sz val="8"/>
      <name val="Times New Roman"/>
      <family val="1"/>
    </font>
    <font>
      <b/>
      <sz val="11"/>
      <color indexed="56"/>
      <name val="Calibri"/>
      <family val="2"/>
    </font>
    <font>
      <sz val="9"/>
      <color indexed="12"/>
      <name val="Helv"/>
    </font>
    <font>
      <sz val="10"/>
      <name val="Times New Roman"/>
      <family val="1"/>
    </font>
    <font>
      <b/>
      <sz val="10"/>
      <name val="Arial"/>
      <family val="2"/>
    </font>
    <font>
      <sz val="8"/>
      <color indexed="8"/>
      <name val="Helv"/>
    </font>
    <font>
      <sz val="10"/>
      <color indexed="20"/>
      <name val="Times New Roman"/>
      <family val="1"/>
    </font>
    <font>
      <sz val="11"/>
      <color indexed="60"/>
      <name val="Calibri"/>
      <family val="2"/>
    </font>
    <font>
      <sz val="7"/>
      <name val="Small Fonts"/>
      <family val="2"/>
    </font>
    <font>
      <b/>
      <sz val="11"/>
      <color indexed="63"/>
      <name val="Calibri"/>
      <family val="2"/>
    </font>
    <font>
      <b/>
      <sz val="10"/>
      <name val="MS Sans Serif"/>
      <family val="2"/>
    </font>
    <font>
      <sz val="10"/>
      <color indexed="10"/>
      <name val="MS Sans Serif"/>
      <family val="2"/>
    </font>
    <font>
      <sz val="8"/>
      <name val="Helv"/>
    </font>
    <font>
      <b/>
      <sz val="12"/>
      <color indexed="9"/>
      <name val="Arial"/>
      <family val="2"/>
    </font>
    <font>
      <b/>
      <i/>
      <sz val="12"/>
      <color indexed="8"/>
      <name val="Arial"/>
      <family val="2"/>
    </font>
    <font>
      <sz val="10"/>
      <color indexed="8"/>
      <name val="Arial"/>
      <family val="2"/>
    </font>
    <font>
      <sz val="11"/>
      <color indexed="9"/>
      <name val="Comic Sans MS"/>
      <family val="4"/>
    </font>
    <font>
      <sz val="12"/>
      <color indexed="8"/>
      <name val="Arial"/>
      <family val="2"/>
    </font>
    <font>
      <b/>
      <sz val="12"/>
      <color indexed="8"/>
      <name val="Arial"/>
      <family val="2"/>
    </font>
    <font>
      <i/>
      <sz val="12"/>
      <color indexed="8"/>
      <name val="Arial"/>
      <family val="2"/>
    </font>
    <font>
      <sz val="12"/>
      <color indexed="49"/>
      <name val="Arial"/>
      <family val="2"/>
    </font>
    <font>
      <sz val="8"/>
      <color indexed="8"/>
      <name val="Arial"/>
      <family val="2"/>
    </font>
    <font>
      <sz val="18"/>
      <color indexed="49"/>
      <name val="Comic Sans MS"/>
      <family val="4"/>
    </font>
    <font>
      <sz val="12"/>
      <color indexed="14"/>
      <name val="Arial"/>
      <family val="2"/>
    </font>
    <font>
      <b/>
      <sz val="12"/>
      <name val="MS Sans Serif"/>
      <family val="2"/>
    </font>
    <font>
      <sz val="11"/>
      <color indexed="10"/>
      <name val="Calibri"/>
      <family val="2"/>
    </font>
    <font>
      <b/>
      <sz val="18"/>
      <color indexed="56"/>
      <name val="Cambria"/>
      <family val="2"/>
    </font>
    <font>
      <b/>
      <sz val="14"/>
      <name val="Times New Roman"/>
      <family val="1"/>
    </font>
    <font>
      <b/>
      <sz val="15"/>
      <color indexed="56"/>
      <name val="Calibri"/>
      <family val="2"/>
    </font>
    <font>
      <b/>
      <sz val="13"/>
      <color indexed="56"/>
      <name val="Calibri"/>
      <family val="2"/>
    </font>
    <font>
      <b/>
      <sz val="11"/>
      <color indexed="8"/>
      <name val="Calibri"/>
      <family val="2"/>
    </font>
    <font>
      <sz val="10"/>
      <color rgb="FF000000"/>
      <name val="Arial"/>
      <family val="2"/>
    </font>
    <font>
      <sz val="10"/>
      <name val="Century Gothic"/>
      <family val="2"/>
    </font>
    <font>
      <sz val="12"/>
      <name val="Courier"/>
      <family val="3"/>
    </font>
    <font>
      <sz val="11"/>
      <color indexed="18"/>
      <name val="Calibri"/>
      <family val="2"/>
    </font>
    <font>
      <u/>
      <sz val="8.5"/>
      <color indexed="36"/>
      <name val="MS Sans Serif"/>
      <family val="2"/>
    </font>
    <font>
      <b/>
      <sz val="12"/>
      <name val="Tahoma"/>
      <family val="2"/>
    </font>
    <font>
      <u/>
      <sz val="10"/>
      <color indexed="36"/>
      <name val="Arial"/>
      <family val="2"/>
    </font>
    <font>
      <sz val="10"/>
      <name val="Tahoma"/>
      <family val="2"/>
    </font>
    <font>
      <sz val="10"/>
      <color indexed="64"/>
      <name val="Arial"/>
      <family val="2"/>
    </font>
    <font>
      <sz val="10"/>
      <name val="SansSerif"/>
      <charset val="2"/>
    </font>
    <font>
      <sz val="10"/>
      <name val="Arial CE"/>
    </font>
    <font>
      <sz val="11"/>
      <color theme="1"/>
      <name val="Cambria"/>
      <family val="2"/>
    </font>
    <font>
      <sz val="9"/>
      <color indexed="20"/>
      <name val="Arial"/>
      <family val="2"/>
    </font>
    <font>
      <b/>
      <sz val="8.0500000000000007"/>
      <color indexed="8"/>
      <name val="Abadi MT Condensed Light"/>
      <family val="2"/>
    </font>
    <font>
      <sz val="9"/>
      <name val="SansSerif"/>
      <charset val="2"/>
    </font>
    <font>
      <b/>
      <sz val="10"/>
      <name val="Tahoma"/>
      <family val="2"/>
    </font>
    <font>
      <b/>
      <sz val="10"/>
      <color indexed="10"/>
      <name val="Arial"/>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b/>
      <sz val="11"/>
      <color indexed="18"/>
      <name val="Calibri"/>
      <family val="2"/>
    </font>
    <font>
      <sz val="8"/>
      <color indexed="18"/>
      <name val="Times New Roman"/>
      <family val="1"/>
    </font>
    <font>
      <sz val="8"/>
      <name val="Calibri"/>
      <family val="2"/>
      <scheme val="minor"/>
    </font>
    <font>
      <b/>
      <sz val="18"/>
      <name val="Arial"/>
      <family val="2"/>
    </font>
    <font>
      <sz val="10"/>
      <name val="Univers (W1)"/>
    </font>
    <font>
      <sz val="8"/>
      <name val="Trebuchet MS"/>
      <family val="2"/>
    </font>
    <font>
      <sz val="10"/>
      <color theme="1"/>
      <name val="Verdana"/>
      <family val="2"/>
    </font>
    <font>
      <sz val="10"/>
      <color theme="0"/>
      <name val="Verdana"/>
      <family val="2"/>
    </font>
    <font>
      <sz val="12"/>
      <color indexed="9"/>
      <name val="Arial"/>
      <family val="2"/>
    </font>
    <font>
      <sz val="10"/>
      <color rgb="FF006100"/>
      <name val="Verdana"/>
      <family val="2"/>
    </font>
    <font>
      <sz val="12"/>
      <color indexed="17"/>
      <name val="Arial"/>
      <family val="2"/>
    </font>
    <font>
      <b/>
      <sz val="10"/>
      <color rgb="FFFA7D00"/>
      <name val="Verdana"/>
      <family val="2"/>
    </font>
    <font>
      <b/>
      <sz val="12"/>
      <color indexed="52"/>
      <name val="Arial"/>
      <family val="2"/>
    </font>
    <font>
      <b/>
      <sz val="10"/>
      <color theme="0"/>
      <name val="Verdana"/>
      <family val="2"/>
    </font>
    <font>
      <sz val="10"/>
      <color rgb="FFFA7D00"/>
      <name val="Verdana"/>
      <family val="2"/>
    </font>
    <font>
      <sz val="12"/>
      <color indexed="52"/>
      <name val="Arial"/>
      <family val="2"/>
    </font>
    <font>
      <sz val="10"/>
      <color rgb="FF3F3F76"/>
      <name val="Verdana"/>
      <family val="2"/>
    </font>
    <font>
      <sz val="12"/>
      <color indexed="62"/>
      <name val="Arial"/>
      <family val="2"/>
    </font>
    <font>
      <sz val="10"/>
      <color rgb="FF9C0006"/>
      <name val="Verdana"/>
      <family val="2"/>
    </font>
    <font>
      <sz val="12"/>
      <color indexed="20"/>
      <name val="Arial"/>
      <family val="2"/>
    </font>
    <font>
      <sz val="10"/>
      <color indexed="8"/>
      <name val="Verdana"/>
      <family val="2"/>
    </font>
    <font>
      <sz val="10"/>
      <color rgb="FF9C6500"/>
      <name val="Verdana"/>
      <family val="2"/>
    </font>
    <font>
      <sz val="12"/>
      <color indexed="60"/>
      <name val="Arial"/>
      <family val="2"/>
    </font>
    <font>
      <sz val="12"/>
      <name val="Arial"/>
      <family val="2"/>
    </font>
    <font>
      <b/>
      <sz val="10"/>
      <color rgb="FF3F3F3F"/>
      <name val="Verdana"/>
      <family val="2"/>
    </font>
    <font>
      <b/>
      <sz val="12"/>
      <color indexed="63"/>
      <name val="Arial"/>
      <family val="2"/>
    </font>
    <font>
      <sz val="10"/>
      <color rgb="FFFF0000"/>
      <name val="Verdana"/>
      <family val="2"/>
    </font>
    <font>
      <sz val="12"/>
      <color indexed="10"/>
      <name val="Arial"/>
      <family val="2"/>
    </font>
    <font>
      <i/>
      <sz val="10"/>
      <color rgb="FF7F7F7F"/>
      <name val="Verdana"/>
      <family val="2"/>
    </font>
    <font>
      <i/>
      <sz val="12"/>
      <color indexed="23"/>
      <name val="Arial"/>
      <family val="2"/>
    </font>
    <font>
      <b/>
      <sz val="15"/>
      <color theme="3"/>
      <name val="Verdana"/>
      <family val="2"/>
    </font>
    <font>
      <b/>
      <sz val="15"/>
      <color indexed="56"/>
      <name val="Arial"/>
      <family val="2"/>
    </font>
    <font>
      <b/>
      <sz val="13"/>
      <color theme="3"/>
      <name val="Verdana"/>
      <family val="2"/>
    </font>
    <font>
      <b/>
      <sz val="13"/>
      <color indexed="56"/>
      <name val="Arial"/>
      <family val="2"/>
    </font>
    <font>
      <b/>
      <sz val="11"/>
      <color theme="3"/>
      <name val="Verdana"/>
      <family val="2"/>
    </font>
    <font>
      <b/>
      <sz val="11"/>
      <color indexed="56"/>
      <name val="Arial"/>
      <family val="2"/>
    </font>
    <font>
      <b/>
      <sz val="10"/>
      <color theme="1"/>
      <name val="Verdana"/>
      <family val="2"/>
    </font>
    <font>
      <sz val="10"/>
      <color theme="1" tint="0.249977111117893"/>
      <name val="Calibri"/>
      <family val="2"/>
      <scheme val="minor"/>
    </font>
    <font>
      <i/>
      <sz val="10"/>
      <color theme="1" tint="0.249977111117893"/>
      <name val="Calibri"/>
      <family val="2"/>
      <scheme val="minor"/>
    </font>
    <font>
      <u/>
      <sz val="11"/>
      <color theme="10"/>
      <name val="Calibri"/>
      <family val="2"/>
      <scheme val="minor"/>
    </font>
    <font>
      <b/>
      <sz val="18"/>
      <color theme="1" tint="0.249977111117893"/>
      <name val="Calibri"/>
      <family val="2"/>
      <scheme val="minor"/>
    </font>
    <font>
      <b/>
      <sz val="12"/>
      <color theme="1" tint="0.249977111117893"/>
      <name val="Calibri"/>
      <family val="2"/>
      <scheme val="minor"/>
    </font>
    <font>
      <b/>
      <sz val="11"/>
      <color theme="1" tint="0.249977111117893"/>
      <name val="Calibri"/>
      <family val="2"/>
      <scheme val="minor"/>
    </font>
    <font>
      <b/>
      <sz val="8"/>
      <color theme="1" tint="0.249977111117893"/>
      <name val="Calibri"/>
      <family val="2"/>
      <scheme val="minor"/>
    </font>
    <font>
      <b/>
      <i/>
      <sz val="8"/>
      <color theme="1" tint="0.249977111117893"/>
      <name val="Calibri"/>
      <family val="2"/>
      <scheme val="minor"/>
    </font>
    <font>
      <b/>
      <sz val="20"/>
      <color theme="1" tint="0.249977111117893"/>
      <name val="Calibri"/>
      <family val="2"/>
      <scheme val="minor"/>
    </font>
    <font>
      <sz val="11"/>
      <color rgb="FF0A2F2A"/>
      <name val="Calibri"/>
      <family val="2"/>
      <scheme val="minor"/>
    </font>
    <font>
      <b/>
      <sz val="11"/>
      <color rgb="FF0A2F2A"/>
      <name val="Calibri"/>
      <family val="2"/>
      <scheme val="minor"/>
    </font>
    <font>
      <i/>
      <sz val="10"/>
      <color rgb="FF0A2F2A"/>
      <name val="Calibri"/>
      <family val="2"/>
      <scheme val="minor"/>
    </font>
    <font>
      <sz val="10"/>
      <color rgb="FF0A2F2A"/>
      <name val="Calibri"/>
      <family val="2"/>
      <scheme val="minor"/>
    </font>
    <font>
      <b/>
      <sz val="11"/>
      <color rgb="FFD66F28"/>
      <name val="Calibri"/>
      <family val="2"/>
      <scheme val="minor"/>
    </font>
    <font>
      <sz val="11"/>
      <color rgb="FFD66F28"/>
      <name val="Calibri"/>
      <family val="2"/>
      <scheme val="minor"/>
    </font>
    <font>
      <sz val="8"/>
      <color rgb="FF0A2F2A"/>
      <name val="Calibri"/>
      <family val="2"/>
      <scheme val="minor"/>
    </font>
    <font>
      <i/>
      <sz val="11"/>
      <color rgb="FF0A2F2A"/>
      <name val="Calibri"/>
      <family val="2"/>
      <scheme val="minor"/>
    </font>
  </fonts>
  <fills count="90">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bgColor indexed="64"/>
      </patternFill>
    </fill>
    <fill>
      <patternFill patternType="solid">
        <fgColor indexed="42"/>
        <bgColor indexed="64"/>
      </patternFill>
    </fill>
    <fill>
      <patternFill patternType="solid">
        <fgColor indexed="22"/>
      </patternFill>
    </fill>
    <fill>
      <patternFill patternType="solid">
        <fgColor indexed="18"/>
        <bgColor indexed="64"/>
      </patternFill>
    </fill>
    <fill>
      <patternFill patternType="solid">
        <fgColor indexed="44"/>
        <bgColor indexed="64"/>
      </patternFill>
    </fill>
    <fill>
      <patternFill patternType="solid">
        <fgColor indexed="27"/>
        <bgColor indexed="64"/>
      </patternFill>
    </fill>
    <fill>
      <patternFill patternType="solid">
        <fgColor indexed="55"/>
      </patternFill>
    </fill>
    <fill>
      <patternFill patternType="lightGray">
        <fgColor indexed="12"/>
      </patternFill>
    </fill>
    <fill>
      <patternFill patternType="solid">
        <fgColor indexed="43"/>
        <bgColor indexed="64"/>
      </patternFill>
    </fill>
    <fill>
      <patternFill patternType="solid">
        <fgColor indexed="22"/>
        <bgColor indexed="64"/>
      </patternFill>
    </fill>
    <fill>
      <patternFill patternType="gray0625"/>
    </fill>
    <fill>
      <patternFill patternType="solid">
        <fgColor indexed="48"/>
        <bgColor indexed="64"/>
      </patternFill>
    </fill>
    <fill>
      <patternFill patternType="darkTrellis">
        <fgColor indexed="13"/>
        <bgColor indexed="9"/>
      </patternFill>
    </fill>
    <fill>
      <patternFill patternType="solid">
        <fgColor indexed="13"/>
        <bgColor indexed="64"/>
      </patternFill>
    </fill>
    <fill>
      <patternFill patternType="solid">
        <fgColor indexed="26"/>
      </patternFill>
    </fill>
    <fill>
      <patternFill patternType="solid">
        <fgColor indexed="53"/>
        <bgColor indexed="64"/>
      </patternFill>
    </fill>
    <fill>
      <patternFill patternType="mediumGray">
        <fgColor indexed="22"/>
      </patternFill>
    </fill>
    <fill>
      <patternFill patternType="solid">
        <fgColor indexed="49"/>
        <bgColor indexed="47"/>
      </patternFill>
    </fill>
    <fill>
      <patternFill patternType="solid">
        <fgColor indexed="35"/>
        <bgColor indexed="47"/>
      </patternFill>
    </fill>
    <fill>
      <patternFill patternType="solid">
        <fgColor indexed="49"/>
        <bgColor indexed="58"/>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54"/>
        <bgColor indexed="64"/>
      </patternFill>
    </fill>
    <fill>
      <patternFill patternType="solid">
        <fgColor indexed="41"/>
        <bgColor indexed="64"/>
      </patternFill>
    </fill>
    <fill>
      <patternFill patternType="solid">
        <fgColor indexed="9"/>
      </patternFill>
    </fill>
    <fill>
      <patternFill patternType="solid">
        <fgColor indexed="54"/>
      </patternFill>
    </fill>
    <fill>
      <patternFill patternType="solid">
        <fgColor indexed="14"/>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hair">
        <color indexed="64"/>
      </right>
      <top/>
      <bottom/>
      <diagonal/>
    </border>
    <border>
      <left/>
      <right/>
      <top style="hair">
        <color indexed="8"/>
      </top>
      <bottom style="hair">
        <color indexed="8"/>
      </bottom>
      <diagonal/>
    </border>
    <border>
      <left/>
      <right/>
      <top/>
      <bottom style="medium">
        <color indexed="18"/>
      </bottom>
      <diagonal/>
    </border>
    <border>
      <left style="double">
        <color indexed="64"/>
      </left>
      <right/>
      <top style="double">
        <color indexed="64"/>
      </top>
      <bottom/>
      <diagonal/>
    </border>
    <border>
      <left style="thin">
        <color indexed="64"/>
      </left>
      <right style="thin">
        <color indexed="64"/>
      </right>
      <top/>
      <bottom/>
      <diagonal/>
    </border>
    <border>
      <left/>
      <right style="hair">
        <color indexed="64"/>
      </right>
      <top/>
      <bottom style="thin">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right/>
      <top style="thin">
        <color indexed="64"/>
      </top>
      <bottom style="thick">
        <color indexed="64"/>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style="double">
        <color indexed="64"/>
      </right>
      <top style="double">
        <color indexed="64"/>
      </top>
      <bottom style="double">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hair">
        <color indexed="64"/>
      </left>
      <right style="hair">
        <color indexed="64"/>
      </right>
      <top style="hair">
        <color indexed="64"/>
      </top>
      <bottom style="hair">
        <color indexed="64"/>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hair">
        <color auto="1"/>
      </left>
      <right style="hair">
        <color auto="1"/>
      </right>
      <top style="hair">
        <color auto="1"/>
      </top>
      <bottom style="hair">
        <color auto="1"/>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style="medium">
        <color theme="9" tint="-0.249977111117893"/>
      </bottom>
      <diagonal/>
    </border>
    <border>
      <left style="thin">
        <color theme="0"/>
      </left>
      <right/>
      <top/>
      <bottom style="thin">
        <color theme="0"/>
      </bottom>
      <diagonal/>
    </border>
    <border>
      <left style="thin">
        <color theme="0"/>
      </left>
      <right/>
      <top style="thin">
        <color theme="0"/>
      </top>
      <bottom/>
      <diagonal/>
    </border>
    <border>
      <left style="thin">
        <color theme="0"/>
      </left>
      <right/>
      <top style="medium">
        <color theme="9" tint="-0.249977111117893"/>
      </top>
      <bottom style="thin">
        <color theme="0"/>
      </bottom>
      <diagonal/>
    </border>
    <border>
      <left style="thick">
        <color theme="0"/>
      </left>
      <right style="thick">
        <color theme="0"/>
      </right>
      <top style="thin">
        <color theme="0"/>
      </top>
      <bottom/>
      <diagonal/>
    </border>
    <border>
      <left style="thick">
        <color theme="0"/>
      </left>
      <right style="thick">
        <color theme="0"/>
      </right>
      <top style="thin">
        <color theme="0"/>
      </top>
      <bottom style="medium">
        <color theme="9" tint="-0.249977111117893"/>
      </bottom>
      <diagonal/>
    </border>
    <border>
      <left style="thick">
        <color theme="0"/>
      </left>
      <right style="thick">
        <color theme="0"/>
      </right>
      <top/>
      <bottom style="thin">
        <color theme="0"/>
      </bottom>
      <diagonal/>
    </border>
    <border>
      <left style="thick">
        <color theme="0"/>
      </left>
      <right style="thick">
        <color theme="0"/>
      </right>
      <top style="thin">
        <color theme="0"/>
      </top>
      <bottom style="thin">
        <color theme="0"/>
      </bottom>
      <diagonal/>
    </border>
    <border>
      <left style="thick">
        <color theme="0"/>
      </left>
      <right style="thick">
        <color theme="0"/>
      </right>
      <top style="medium">
        <color theme="9" tint="-0.249977111117893"/>
      </top>
      <bottom style="thin">
        <color theme="0"/>
      </bottom>
      <diagonal/>
    </border>
    <border>
      <left/>
      <right/>
      <top style="thin">
        <color theme="0"/>
      </top>
      <bottom style="thin">
        <color theme="0"/>
      </bottom>
      <diagonal/>
    </border>
    <border>
      <left/>
      <right/>
      <top/>
      <bottom style="thin">
        <color theme="0"/>
      </bottom>
      <diagonal/>
    </border>
  </borders>
  <cellStyleXfs count="1099">
    <xf numFmtId="0" fontId="0"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19" fillId="0" borderId="0" applyNumberFormat="0" applyFill="0" applyBorder="0" applyAlignment="0" applyProtection="0"/>
    <xf numFmtId="0" fontId="3" fillId="0" borderId="0"/>
    <xf numFmtId="0" fontId="20" fillId="0" borderId="0"/>
    <xf numFmtId="0" fontId="3" fillId="0" borderId="0"/>
    <xf numFmtId="0" fontId="3" fillId="0" borderId="0"/>
    <xf numFmtId="0" fontId="20" fillId="0" borderId="0"/>
    <xf numFmtId="0" fontId="3" fillId="0" borderId="0"/>
    <xf numFmtId="0" fontId="21" fillId="0" borderId="0"/>
    <xf numFmtId="9" fontId="20" fillId="0" borderId="0" applyFont="0" applyFill="0" applyBorder="0" applyAlignment="0" applyProtection="0"/>
    <xf numFmtId="9" fontId="20" fillId="0" borderId="0" applyFont="0" applyFill="0" applyBorder="0" applyAlignment="0" applyProtection="0"/>
    <xf numFmtId="9" fontId="21"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0" fontId="20" fillId="0" borderId="0"/>
    <xf numFmtId="0" fontId="22" fillId="34" borderId="0" applyNumberFormat="0" applyBorder="0" applyAlignment="0" applyProtection="0"/>
    <xf numFmtId="0" fontId="23" fillId="0" borderId="0"/>
    <xf numFmtId="43" fontId="24" fillId="0" borderId="0" applyFont="0" applyFill="0" applyBorder="0" applyAlignment="0" applyProtection="0"/>
    <xf numFmtId="0" fontId="24" fillId="0" borderId="0"/>
    <xf numFmtId="0" fontId="20" fillId="0" borderId="0" applyNumberFormat="0" applyFill="0" applyBorder="0" applyAlignment="0" applyProtection="0"/>
    <xf numFmtId="169" fontId="20" fillId="0" borderId="0" applyFont="0" applyFill="0" applyBorder="0" applyAlignment="0" applyProtection="0"/>
    <xf numFmtId="3" fontId="20" fillId="0" borderId="0" applyFont="0" applyFill="0" applyBorder="0" applyAlignment="0" applyProtection="0"/>
    <xf numFmtId="170" fontId="20" fillId="0" borderId="0" applyFont="0" applyFill="0" applyBorder="0" applyAlignment="0" applyProtection="0"/>
    <xf numFmtId="171" fontId="20" fillId="0" borderId="0" applyFont="0" applyFill="0" applyBorder="0" applyAlignment="0" applyProtection="0"/>
    <xf numFmtId="37" fontId="20"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xf numFmtId="174" fontId="20" fillId="0" borderId="0" applyFont="0" applyFill="0" applyBorder="0" applyAlignment="0" applyProtection="0"/>
    <xf numFmtId="175" fontId="20" fillId="0" borderId="0" applyFont="0" applyFill="0" applyBorder="0" applyAlignment="0" applyProtection="0"/>
    <xf numFmtId="176" fontId="20" fillId="0" borderId="0" applyFont="0" applyFill="0" applyBorder="0" applyAlignment="0" applyProtection="0"/>
    <xf numFmtId="37" fontId="20" fillId="0" borderId="0">
      <alignment horizontal="left"/>
    </xf>
    <xf numFmtId="0" fontId="25" fillId="0" borderId="0">
      <alignment horizontal="left" wrapText="1"/>
    </xf>
    <xf numFmtId="0" fontId="25" fillId="0" borderId="0">
      <alignment horizontal="left" wrapText="1"/>
    </xf>
    <xf numFmtId="177" fontId="20" fillId="0" borderId="0" applyFont="0" applyFill="0" applyBorder="0" applyAlignment="0" applyProtection="0"/>
    <xf numFmtId="0" fontId="26" fillId="0" borderId="0" applyNumberFormat="0" applyFill="0" applyBorder="0" applyAlignment="0" applyProtection="0"/>
    <xf numFmtId="0" fontId="20" fillId="35" borderId="0" applyNumberFormat="0" applyFont="0" applyAlignment="0" applyProtection="0"/>
    <xf numFmtId="178" fontId="20" fillId="0" borderId="0" applyFont="0" applyFill="0" applyBorder="0" applyAlignment="0" applyProtection="0"/>
    <xf numFmtId="179" fontId="20" fillId="0" borderId="0" applyFont="0" applyFill="0" applyBorder="0" applyProtection="0">
      <alignment horizontal="right"/>
    </xf>
    <xf numFmtId="0" fontId="27" fillId="0" borderId="0" applyNumberFormat="0" applyFill="0" applyBorder="0" applyProtection="0">
      <alignment vertical="top"/>
    </xf>
    <xf numFmtId="0" fontId="28" fillId="0" borderId="13" applyNumberFormat="0" applyFill="0" applyAlignment="0" applyProtection="0"/>
    <xf numFmtId="0" fontId="29" fillId="0" borderId="14" applyNumberFormat="0" applyFill="0" applyProtection="0">
      <alignment horizontal="center"/>
    </xf>
    <xf numFmtId="0" fontId="29" fillId="0" borderId="0" applyNumberFormat="0" applyFill="0" applyBorder="0" applyProtection="0">
      <alignment horizontal="left"/>
    </xf>
    <xf numFmtId="0" fontId="30" fillId="0" borderId="0" applyNumberFormat="0" applyFill="0" applyBorder="0" applyProtection="0">
      <alignment horizontal="centerContinuous"/>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80" fontId="20" fillId="0" borderId="0" applyFont="0" applyFill="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4" borderId="0" applyNumberFormat="0" applyBorder="0" applyAlignment="0" applyProtection="0"/>
    <xf numFmtId="0" fontId="22" fillId="40"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4"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39"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39"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10" fontId="20" fillId="53" borderId="0" applyFont="0" applyBorder="0" applyAlignment="0">
      <protection locked="0"/>
    </xf>
    <xf numFmtId="181" fontId="20" fillId="53" borderId="0" applyBorder="0" applyAlignment="0">
      <protection locked="0"/>
    </xf>
    <xf numFmtId="14" fontId="29" fillId="54" borderId="15" applyNumberFormat="0" applyFont="0" applyBorder="0" applyAlignment="0" applyProtection="0">
      <alignment horizontal="center" vertical="center"/>
    </xf>
    <xf numFmtId="0" fontId="32" fillId="0" borderId="16">
      <protection hidden="1"/>
    </xf>
    <xf numFmtId="0" fontId="33" fillId="55" borderId="16" applyNumberFormat="0" applyFont="0" applyBorder="0" applyAlignment="0" applyProtection="0">
      <protection hidden="1"/>
    </xf>
    <xf numFmtId="0" fontId="20" fillId="0" borderId="0"/>
    <xf numFmtId="182" fontId="34" fillId="0" borderId="17"/>
    <xf numFmtId="0" fontId="35" fillId="37" borderId="0" applyNumberFormat="0" applyBorder="0" applyAlignment="0" applyProtection="0"/>
    <xf numFmtId="0" fontId="36" fillId="56" borderId="0" applyNumberFormat="0" applyBorder="0" applyAlignment="0">
      <protection hidden="1"/>
    </xf>
    <xf numFmtId="182" fontId="37" fillId="0" borderId="0">
      <alignment vertical="top"/>
    </xf>
    <xf numFmtId="183" fontId="20" fillId="0" borderId="12"/>
    <xf numFmtId="182" fontId="38" fillId="0" borderId="0">
      <alignment horizontal="left"/>
    </xf>
    <xf numFmtId="0" fontId="39" fillId="38" borderId="0" applyNumberFormat="0" applyBorder="0" applyAlignment="0" applyProtection="0"/>
    <xf numFmtId="14" fontId="29" fillId="57" borderId="18" applyBorder="0" applyAlignment="0">
      <alignment horizontal="center" vertical="center"/>
    </xf>
    <xf numFmtId="0" fontId="29" fillId="58" borderId="18" applyNumberFormat="0" applyBorder="0" applyAlignment="0">
      <alignment horizontal="center" vertical="center"/>
    </xf>
    <xf numFmtId="0" fontId="40" fillId="55" borderId="19" applyNumberFormat="0" applyAlignment="0" applyProtection="0"/>
    <xf numFmtId="0" fontId="40" fillId="55" borderId="19" applyNumberFormat="0" applyAlignment="0" applyProtection="0"/>
    <xf numFmtId="0" fontId="41" fillId="59" borderId="20" applyNumberFormat="0" applyAlignment="0" applyProtection="0"/>
    <xf numFmtId="0" fontId="42" fillId="0" borderId="21" applyNumberFormat="0" applyFill="0" applyAlignment="0" applyProtection="0"/>
    <xf numFmtId="0" fontId="41" fillId="59" borderId="20" applyNumberFormat="0" applyAlignment="0" applyProtection="0"/>
    <xf numFmtId="0" fontId="43" fillId="0" borderId="0">
      <alignment horizontal="center" wrapText="1"/>
      <protection hidden="1"/>
    </xf>
    <xf numFmtId="0" fontId="44" fillId="0" borderId="0" applyNumberFormat="0" applyFill="0" applyBorder="0" applyAlignment="0" applyProtection="0">
      <alignment vertical="top"/>
      <protection locked="0"/>
    </xf>
    <xf numFmtId="4" fontId="20" fillId="0" borderId="0" applyFont="0" applyFill="0" applyBorder="0" applyAlignment="0" applyProtection="0"/>
    <xf numFmtId="43" fontId="20" fillId="0" borderId="0" applyFont="0" applyFill="0" applyBorder="0" applyAlignment="0" applyProtection="0"/>
    <xf numFmtId="3" fontId="45" fillId="0" borderId="0" applyFont="0" applyFill="0" applyBorder="0" applyAlignment="0" applyProtection="0"/>
    <xf numFmtId="0" fontId="46" fillId="0" borderId="0"/>
    <xf numFmtId="0" fontId="47" fillId="0" borderId="0"/>
    <xf numFmtId="0" fontId="46" fillId="0" borderId="0"/>
    <xf numFmtId="0" fontId="47" fillId="0" borderId="0"/>
    <xf numFmtId="0" fontId="48" fillId="60" borderId="0">
      <alignment horizontal="center" vertical="center" wrapText="1"/>
    </xf>
    <xf numFmtId="43" fontId="20" fillId="61" borderId="0" applyNumberFormat="0" applyFont="0" applyBorder="0" applyAlignment="0" applyProtection="0"/>
    <xf numFmtId="184" fontId="20" fillId="0" borderId="0" applyFill="0" applyBorder="0">
      <alignment horizontal="right"/>
      <protection locked="0"/>
    </xf>
    <xf numFmtId="185" fontId="20" fillId="0" borderId="0" applyFont="0" applyFill="0" applyBorder="0" applyAlignment="0" applyProtection="0"/>
    <xf numFmtId="186" fontId="20" fillId="0" borderId="0" applyFont="0" applyFill="0" applyBorder="0" applyAlignment="0" applyProtection="0"/>
    <xf numFmtId="5" fontId="49" fillId="0" borderId="0" applyFont="0" applyFill="0" applyBorder="0" applyAlignment="0" applyProtection="0"/>
    <xf numFmtId="0" fontId="20" fillId="0" borderId="0">
      <protection locked="0"/>
    </xf>
    <xf numFmtId="0" fontId="45" fillId="0" borderId="0" applyFont="0" applyFill="0" applyBorder="0" applyAlignment="0" applyProtection="0"/>
    <xf numFmtId="0" fontId="50" fillId="62" borderId="22" applyNumberFormat="0" applyBorder="0" applyAlignment="0">
      <alignment horizontal="center"/>
    </xf>
    <xf numFmtId="37" fontId="51" fillId="63" borderId="23" applyNumberFormat="0" applyAlignment="0">
      <alignment horizontal="left"/>
    </xf>
    <xf numFmtId="0" fontId="52" fillId="0" borderId="0">
      <protection locked="0"/>
    </xf>
    <xf numFmtId="0" fontId="20" fillId="0" borderId="0"/>
    <xf numFmtId="0" fontId="53" fillId="0" borderId="0">
      <protection locked="0"/>
    </xf>
    <xf numFmtId="0" fontId="53" fillId="0" borderId="0">
      <protection locked="0"/>
    </xf>
    <xf numFmtId="0" fontId="31" fillId="49"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0" fontId="54" fillId="40" borderId="19" applyNumberFormat="0" applyAlignment="0" applyProtection="0"/>
    <xf numFmtId="0" fontId="55" fillId="0" borderId="0" applyNumberFormat="0" applyFill="0" applyBorder="0" applyAlignment="0" applyProtection="0"/>
    <xf numFmtId="6" fontId="49" fillId="0" borderId="0" applyFont="0" applyFill="0" applyBorder="0" applyAlignment="0" applyProtection="0"/>
    <xf numFmtId="187" fontId="20" fillId="0" borderId="0" applyFont="0" applyFill="0" applyAlignment="0" applyProtection="0"/>
    <xf numFmtId="0" fontId="56" fillId="0" borderId="0" applyNumberForma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47" fillId="0" borderId="0"/>
    <xf numFmtId="0" fontId="52" fillId="0" borderId="0">
      <protection locked="0"/>
    </xf>
    <xf numFmtId="0" fontId="52" fillId="0" borderId="0">
      <protection locked="0"/>
    </xf>
    <xf numFmtId="0" fontId="52" fillId="0" borderId="0">
      <protection locked="0"/>
    </xf>
    <xf numFmtId="2" fontId="45" fillId="0" borderId="0" applyFont="0" applyFill="0" applyBorder="0" applyAlignment="0" applyProtection="0"/>
    <xf numFmtId="188" fontId="20" fillId="0" borderId="0">
      <protection locked="0"/>
    </xf>
    <xf numFmtId="0" fontId="57" fillId="0" borderId="0"/>
    <xf numFmtId="0" fontId="58" fillId="53" borderId="0" applyNumberFormat="0" applyFont="0" applyBorder="0" applyAlignment="0" applyProtection="0">
      <alignment horizontal="centerContinuous"/>
    </xf>
    <xf numFmtId="0" fontId="58" fillId="64" borderId="0" applyNumberFormat="0" applyFont="0" applyBorder="0" applyAlignment="0" applyProtection="0">
      <alignment horizontal="centerContinuous"/>
    </xf>
    <xf numFmtId="0" fontId="59" fillId="62" borderId="24" applyNumberFormat="0" applyFont="0" applyBorder="0" applyAlignment="0"/>
    <xf numFmtId="0" fontId="20" fillId="53" borderId="25" applyNumberFormat="0" applyFont="0" applyBorder="0" applyAlignment="0" applyProtection="0"/>
    <xf numFmtId="10" fontId="20" fillId="53" borderId="0" applyNumberFormat="0" applyFont="0" applyBorder="0" applyAlignment="0"/>
    <xf numFmtId="0" fontId="20" fillId="57" borderId="0" applyNumberFormat="0" applyFont="0" applyBorder="0" applyAlignment="0" applyProtection="0"/>
    <xf numFmtId="0" fontId="39" fillId="38" borderId="0" applyNumberFormat="0" applyBorder="0" applyAlignment="0" applyProtection="0"/>
    <xf numFmtId="38" fontId="60" fillId="62" borderId="0" applyNumberFormat="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26" applyNumberFormat="0" applyFill="0" applyAlignment="0" applyProtection="0"/>
    <xf numFmtId="0" fontId="63" fillId="0" borderId="0" applyNumberForma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35" fillId="37" borderId="0" applyNumberFormat="0" applyBorder="0" applyAlignment="0" applyProtection="0"/>
    <xf numFmtId="0" fontId="34" fillId="0" borderId="0"/>
    <xf numFmtId="1" fontId="64" fillId="0" borderId="0" applyNumberFormat="0" applyFill="0" applyBorder="0" applyAlignment="0" applyProtection="0"/>
    <xf numFmtId="191" fontId="45" fillId="0" borderId="0"/>
    <xf numFmtId="8" fontId="49" fillId="0" borderId="0"/>
    <xf numFmtId="42" fontId="49" fillId="0" borderId="0"/>
    <xf numFmtId="10" fontId="60" fillId="53" borderId="1" applyNumberFormat="0" applyBorder="0" applyAlignment="0" applyProtection="0"/>
    <xf numFmtId="0" fontId="54" fillId="40" borderId="19" applyNumberFormat="0" applyAlignment="0" applyProtection="0"/>
    <xf numFmtId="9" fontId="65" fillId="65" borderId="1" applyProtection="0">
      <alignment horizontal="right"/>
      <protection locked="0"/>
    </xf>
    <xf numFmtId="0" fontId="20" fillId="0" borderId="0" applyFill="0" applyBorder="0">
      <alignment horizontal="right"/>
      <protection locked="0"/>
    </xf>
    <xf numFmtId="192" fontId="20" fillId="0" borderId="0" applyFill="0" applyBorder="0">
      <alignment horizontal="right"/>
      <protection locked="0"/>
    </xf>
    <xf numFmtId="0" fontId="66" fillId="66" borderId="27">
      <alignment horizontal="left" vertical="center" wrapText="1"/>
    </xf>
    <xf numFmtId="0" fontId="20" fillId="0" borderId="0"/>
    <xf numFmtId="0" fontId="42" fillId="0" borderId="21" applyNumberFormat="0" applyFill="0" applyAlignment="0" applyProtection="0"/>
    <xf numFmtId="0" fontId="67" fillId="0" borderId="16">
      <alignment horizontal="left"/>
      <protection locked="0"/>
    </xf>
    <xf numFmtId="41" fontId="20" fillId="0" borderId="0" applyFont="0" applyFill="0" applyBorder="0" applyAlignment="0" applyProtection="0"/>
    <xf numFmtId="38" fontId="43" fillId="0" borderId="0" applyFont="0" applyFill="0" applyBorder="0" applyAlignment="0" applyProtection="0"/>
    <xf numFmtId="0" fontId="68" fillId="0" borderId="0" applyBorder="0"/>
    <xf numFmtId="193" fontId="49"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196" fontId="49" fillId="0" borderId="0" applyFont="0" applyFill="0" applyBorder="0" applyAlignment="0" applyProtection="0"/>
    <xf numFmtId="0" fontId="52" fillId="0" borderId="0">
      <protection locked="0"/>
    </xf>
    <xf numFmtId="0" fontId="69" fillId="35" borderId="0" applyNumberFormat="0" applyBorder="0" applyAlignment="0" applyProtection="0"/>
    <xf numFmtId="0" fontId="69" fillId="35" borderId="0" applyNumberFormat="0" applyBorder="0" applyAlignment="0" applyProtection="0"/>
    <xf numFmtId="37" fontId="70" fillId="0" borderId="0"/>
    <xf numFmtId="0" fontId="20" fillId="0" borderId="0"/>
    <xf numFmtId="191" fontId="45" fillId="0" borderId="0"/>
    <xf numFmtId="8" fontId="49" fillId="0" borderId="0"/>
    <xf numFmtId="42" fontId="49" fillId="0" borderId="0"/>
    <xf numFmtId="197" fontId="45" fillId="0" borderId="0">
      <alignment horizontal="right"/>
    </xf>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65" fillId="0" borderId="0"/>
    <xf numFmtId="0" fontId="20" fillId="67" borderId="28" applyNumberFormat="0" applyFont="0" applyAlignment="0" applyProtection="0"/>
    <xf numFmtId="0" fontId="22" fillId="67" borderId="28" applyNumberFormat="0" applyFont="0" applyAlignment="0" applyProtection="0"/>
    <xf numFmtId="0" fontId="71" fillId="55" borderId="29" applyNumberFormat="0" applyAlignment="0" applyProtection="0"/>
    <xf numFmtId="0" fontId="65" fillId="0" borderId="0" applyProtection="0"/>
    <xf numFmtId="10" fontId="20" fillId="0" borderId="0" applyFont="0" applyFill="0" applyBorder="0" applyAlignment="0" applyProtection="0"/>
    <xf numFmtId="2" fontId="20" fillId="0" borderId="0" applyFont="0" applyFill="0" applyAlignment="0" applyProtection="0"/>
    <xf numFmtId="198" fontId="20" fillId="0" borderId="0" applyFill="0" applyBorder="0">
      <alignment horizontal="right"/>
      <protection locked="0"/>
    </xf>
    <xf numFmtId="199" fontId="20" fillId="0" borderId="0">
      <protection locked="0"/>
    </xf>
    <xf numFmtId="200" fontId="20" fillId="0" borderId="0">
      <protection locked="0"/>
    </xf>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2" fillId="0" borderId="0">
      <protection locked="0"/>
    </xf>
    <xf numFmtId="0" fontId="66" fillId="57" borderId="15" applyNumberFormat="0" applyFont="0" applyBorder="0" applyAlignment="0" applyProtection="0"/>
    <xf numFmtId="14" fontId="29" fillId="68" borderId="30" applyNumberFormat="0" applyFont="0" applyBorder="0" applyAlignment="0" applyProtection="0">
      <alignment horizontal="center" vertical="center"/>
    </xf>
    <xf numFmtId="0" fontId="43" fillId="0" borderId="0" applyNumberFormat="0" applyFont="0" applyFill="0" applyBorder="0" applyAlignment="0" applyProtection="0">
      <alignment horizontal="left"/>
    </xf>
    <xf numFmtId="15" fontId="43" fillId="0" borderId="0" applyFont="0" applyFill="0" applyBorder="0" applyAlignment="0" applyProtection="0"/>
    <xf numFmtId="4" fontId="43" fillId="0" borderId="0" applyFont="0" applyFill="0" applyBorder="0" applyAlignment="0" applyProtection="0"/>
    <xf numFmtId="0" fontId="72" fillId="0" borderId="31">
      <alignment horizontal="center"/>
    </xf>
    <xf numFmtId="3" fontId="43" fillId="0" borderId="0" applyFont="0" applyFill="0" applyBorder="0" applyAlignment="0" applyProtection="0"/>
    <xf numFmtId="0" fontId="43" fillId="69" borderId="0" applyNumberFormat="0" applyFont="0" applyBorder="0" applyAlignment="0" applyProtection="0"/>
    <xf numFmtId="3" fontId="20" fillId="0" borderId="0" applyFont="0" applyFill="0" applyBorder="0" applyAlignment="0" applyProtection="0"/>
    <xf numFmtId="0" fontId="47" fillId="0" borderId="0"/>
    <xf numFmtId="201" fontId="20" fillId="0" borderId="0">
      <alignment horizontal="right"/>
      <protection locked="0"/>
    </xf>
    <xf numFmtId="0" fontId="73" fillId="0" borderId="16" applyNumberFormat="0" applyFill="0" applyBorder="0" applyAlignment="0" applyProtection="0">
      <protection hidden="1"/>
    </xf>
    <xf numFmtId="38" fontId="74" fillId="0" borderId="0"/>
    <xf numFmtId="38" fontId="29" fillId="0" borderId="0" applyFont="0" applyFill="0" applyBorder="0" applyAlignment="0" applyProtection="0"/>
    <xf numFmtId="183" fontId="38" fillId="0" borderId="0"/>
    <xf numFmtId="0" fontId="71" fillId="55" borderId="29" applyNumberFormat="0" applyAlignment="0" applyProtection="0"/>
    <xf numFmtId="4" fontId="75" fillId="70" borderId="32" applyNumberFormat="0" applyProtection="0">
      <alignment vertical="center"/>
    </xf>
    <xf numFmtId="4" fontId="76" fillId="61" borderId="32" applyNumberFormat="0" applyProtection="0">
      <alignment vertical="center"/>
    </xf>
    <xf numFmtId="4" fontId="77" fillId="71" borderId="32" applyNumberFormat="0" applyProtection="0">
      <alignment horizontal="left" vertical="center" wrapText="1"/>
    </xf>
    <xf numFmtId="4" fontId="78" fillId="72" borderId="33" applyNumberFormat="0" applyProtection="0">
      <alignment horizontal="left" vertical="center"/>
    </xf>
    <xf numFmtId="4" fontId="78" fillId="72" borderId="33" applyNumberFormat="0" applyProtection="0">
      <alignment horizontal="left" vertical="center"/>
    </xf>
    <xf numFmtId="4" fontId="79" fillId="73" borderId="32" applyNumberFormat="0" applyProtection="0">
      <alignment horizontal="right" vertical="center"/>
    </xf>
    <xf numFmtId="4" fontId="79" fillId="74" borderId="32" applyNumberFormat="0" applyProtection="0">
      <alignment horizontal="right" vertical="center"/>
    </xf>
    <xf numFmtId="4" fontId="79" fillId="75" borderId="32" applyNumberFormat="0" applyProtection="0">
      <alignment horizontal="right" vertical="center"/>
    </xf>
    <xf numFmtId="4" fontId="79" fillId="54" borderId="32" applyNumberFormat="0" applyProtection="0">
      <alignment horizontal="right" vertical="center"/>
    </xf>
    <xf numFmtId="4" fontId="79" fillId="76" borderId="32" applyNumberFormat="0" applyProtection="0">
      <alignment horizontal="right" vertical="center"/>
    </xf>
    <xf numFmtId="4" fontId="79" fillId="77" borderId="32" applyNumberFormat="0" applyProtection="0">
      <alignment horizontal="right" vertical="center"/>
    </xf>
    <xf numFmtId="4" fontId="79" fillId="78" borderId="32" applyNumberFormat="0" applyProtection="0">
      <alignment horizontal="right" vertical="center"/>
    </xf>
    <xf numFmtId="4" fontId="79" fillId="79" borderId="32" applyNumberFormat="0" applyProtection="0">
      <alignment horizontal="right" vertical="center"/>
    </xf>
    <xf numFmtId="4" fontId="79" fillId="80" borderId="32" applyNumberFormat="0" applyProtection="0">
      <alignment horizontal="right" vertical="center"/>
    </xf>
    <xf numFmtId="4" fontId="80" fillId="81" borderId="34" applyNumberFormat="0" applyProtection="0">
      <alignment horizontal="left" vertical="center"/>
    </xf>
    <xf numFmtId="4" fontId="80" fillId="43" borderId="0" applyNumberFormat="0" applyProtection="0">
      <alignment horizontal="left" vertical="center"/>
    </xf>
    <xf numFmtId="4" fontId="80" fillId="82" borderId="0" applyNumberFormat="0" applyProtection="0">
      <alignment horizontal="left" vertical="center"/>
    </xf>
    <xf numFmtId="4" fontId="79" fillId="57" borderId="32" applyNumberFormat="0" applyProtection="0">
      <alignment horizontal="right" vertical="center"/>
    </xf>
    <xf numFmtId="4" fontId="77" fillId="57" borderId="0" applyNumberFormat="0" applyProtection="0">
      <alignment horizontal="left" vertical="center"/>
    </xf>
    <xf numFmtId="4" fontId="77" fillId="82" borderId="0" applyNumberFormat="0" applyProtection="0">
      <alignment horizontal="left" vertical="center"/>
    </xf>
    <xf numFmtId="4" fontId="79" fillId="83" borderId="32" applyNumberFormat="0" applyProtection="0">
      <alignment vertical="center"/>
    </xf>
    <xf numFmtId="4" fontId="81" fillId="83" borderId="32" applyNumberFormat="0" applyProtection="0">
      <alignment vertical="center"/>
    </xf>
    <xf numFmtId="4" fontId="80" fillId="57" borderId="35" applyNumberFormat="0" applyProtection="0">
      <alignment horizontal="left" vertical="center"/>
    </xf>
    <xf numFmtId="4" fontId="82" fillId="0" borderId="1" applyNumberFormat="0" applyProtection="0">
      <alignment horizontal="right" vertical="center"/>
    </xf>
    <xf numFmtId="4" fontId="81" fillId="83" borderId="32" applyNumberFormat="0" applyProtection="0">
      <alignment horizontal="right" vertical="center"/>
    </xf>
    <xf numFmtId="4" fontId="83" fillId="43" borderId="1" applyNumberFormat="0" applyProtection="0">
      <alignment horizontal="left" vertical="center" wrapText="1"/>
    </xf>
    <xf numFmtId="4" fontId="84" fillId="0" borderId="0" applyNumberFormat="0" applyProtection="0">
      <alignment horizontal="left" vertical="center"/>
    </xf>
    <xf numFmtId="4" fontId="85" fillId="83" borderId="32" applyNumberFormat="0" applyProtection="0">
      <alignment horizontal="right" vertical="center"/>
    </xf>
    <xf numFmtId="0" fontId="20" fillId="0" borderId="0" applyNumberFormat="0" applyFont="0" applyFill="0" applyBorder="0" applyAlignment="0" applyProtection="0"/>
    <xf numFmtId="202" fontId="20" fillId="0" borderId="0" applyFill="0" applyBorder="0">
      <alignment horizontal="right"/>
      <protection hidden="1"/>
    </xf>
    <xf numFmtId="0" fontId="86" fillId="60" borderId="1">
      <alignment horizontal="center" vertical="center" wrapText="1"/>
      <protection hidden="1"/>
    </xf>
    <xf numFmtId="38" fontId="43" fillId="0" borderId="0" applyFont="0" applyFill="0" applyBorder="0" applyAlignment="0" applyProtection="0"/>
    <xf numFmtId="43" fontId="20" fillId="0" borderId="0" applyFon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0" fillId="0" borderId="0"/>
    <xf numFmtId="0" fontId="88" fillId="0" borderId="0" applyNumberFormat="0" applyFill="0" applyBorder="0" applyAlignment="0" applyProtection="0"/>
    <xf numFmtId="0" fontId="43" fillId="0" borderId="0" applyBorder="0"/>
    <xf numFmtId="182" fontId="89" fillId="0" borderId="11"/>
    <xf numFmtId="0" fontId="90" fillId="0" borderId="36" applyNumberFormat="0" applyFill="0" applyAlignment="0" applyProtection="0"/>
    <xf numFmtId="0" fontId="91" fillId="0" borderId="37" applyNumberFormat="0" applyFill="0" applyAlignment="0" applyProtection="0"/>
    <xf numFmtId="0" fontId="63" fillId="0" borderId="26" applyNumberFormat="0" applyFill="0" applyAlignment="0" applyProtection="0"/>
    <xf numFmtId="0" fontId="63" fillId="0" borderId="0" applyNumberFormat="0" applyFill="0" applyBorder="0" applyAlignment="0" applyProtection="0"/>
    <xf numFmtId="0" fontId="88" fillId="0" borderId="0" applyNumberFormat="0" applyFill="0" applyBorder="0" applyAlignment="0" applyProtection="0"/>
    <xf numFmtId="203" fontId="20" fillId="0" borderId="0">
      <protection locked="0"/>
    </xf>
    <xf numFmtId="203" fontId="20" fillId="0" borderId="0">
      <protection locked="0"/>
    </xf>
    <xf numFmtId="0" fontId="74" fillId="55" borderId="16"/>
    <xf numFmtId="0" fontId="92" fillId="0" borderId="38" applyNumberFormat="0" applyFill="0" applyAlignment="0" applyProtection="0"/>
    <xf numFmtId="204" fontId="20" fillId="0" borderId="0" applyFont="0" applyFill="0" applyBorder="0" applyAlignment="0" applyProtection="0"/>
    <xf numFmtId="205" fontId="20" fillId="0" borderId="0" applyFont="0" applyFill="0" applyBorder="0" applyAlignment="0" applyProtection="0"/>
    <xf numFmtId="206" fontId="65" fillId="0" borderId="0" applyFont="0" applyFill="0" applyBorder="0" applyAlignment="0" applyProtection="0"/>
    <xf numFmtId="206" fontId="6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0" fontId="87" fillId="0" borderId="0" applyNumberFormat="0" applyFill="0" applyBorder="0" applyAlignment="0" applyProtection="0"/>
    <xf numFmtId="1" fontId="20" fillId="0" borderId="0" applyFont="0" applyFill="0" applyBorder="0" applyAlignment="0" applyProtection="0"/>
    <xf numFmtId="207" fontId="20" fillId="0" borderId="0" applyFont="0" applyFill="0" applyBorder="0" applyAlignment="0" applyProtection="0"/>
    <xf numFmtId="0" fontId="3"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93" fillId="0" borderId="0"/>
    <xf numFmtId="0" fontId="93" fillId="0" borderId="0"/>
    <xf numFmtId="0" fontId="3" fillId="0" borderId="0"/>
    <xf numFmtId="0" fontId="3" fillId="0" borderId="0"/>
    <xf numFmtId="0" fontId="93" fillId="0" borderId="0"/>
    <xf numFmtId="0" fontId="93" fillId="0" borderId="0"/>
    <xf numFmtId="0" fontId="93" fillId="0" borderId="0"/>
    <xf numFmtId="0" fontId="93" fillId="0" borderId="0"/>
    <xf numFmtId="0" fontId="94" fillId="0" borderId="0"/>
    <xf numFmtId="9" fontId="94" fillId="0" borderId="0" applyFont="0" applyFill="0" applyBorder="0" applyAlignment="0" applyProtection="0"/>
    <xf numFmtId="43" fontId="94" fillId="0" borderId="0" applyFont="0" applyFill="0" applyBorder="0" applyAlignment="0" applyProtection="0"/>
    <xf numFmtId="0" fontId="94" fillId="0" borderId="0"/>
    <xf numFmtId="37" fontId="95" fillId="0" borderId="0"/>
    <xf numFmtId="37" fontId="95" fillId="0" borderId="0"/>
    <xf numFmtId="0" fontId="3" fillId="0" borderId="0"/>
    <xf numFmtId="43" fontId="3" fillId="0" borderId="0" applyFont="0" applyFill="0" applyBorder="0" applyAlignment="0" applyProtection="0"/>
    <xf numFmtId="0" fontId="24" fillId="0" borderId="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4" fillId="0" borderId="0" applyFont="0" applyFill="0" applyBorder="0" applyAlignment="0" applyProtection="0"/>
    <xf numFmtId="0" fontId="28" fillId="0" borderId="13" applyNumberFormat="0" applyFill="0" applyAlignment="0" applyProtection="0"/>
    <xf numFmtId="0" fontId="28" fillId="0" borderId="13" applyNumberFormat="0" applyFill="0" applyAlignment="0" applyProtection="0"/>
    <xf numFmtId="4" fontId="78" fillId="72" borderId="39" applyNumberFormat="0" applyProtection="0">
      <alignment horizontal="left" vertical="center"/>
    </xf>
    <xf numFmtId="0" fontId="72" fillId="0" borderId="31">
      <alignment horizontal="center"/>
    </xf>
    <xf numFmtId="4" fontId="78" fillId="72" borderId="39" applyNumberFormat="0" applyProtection="0">
      <alignment horizontal="left" vertical="center"/>
    </xf>
    <xf numFmtId="0" fontId="96" fillId="84" borderId="0" applyNumberFormat="0" applyBorder="0" applyAlignment="0" applyProtection="0"/>
    <xf numFmtId="0" fontId="96" fillId="84" borderId="0" applyNumberFormat="0" applyBorder="0" applyAlignment="0" applyProtection="0"/>
    <xf numFmtId="0" fontId="96" fillId="84"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96" fillId="67" borderId="0" applyNumberFormat="0" applyBorder="0" applyAlignment="0" applyProtection="0"/>
    <xf numFmtId="0" fontId="96" fillId="67" borderId="0" applyNumberFormat="0" applyBorder="0" applyAlignment="0" applyProtection="0"/>
    <xf numFmtId="0" fontId="96" fillId="67" borderId="0" applyNumberFormat="0" applyBorder="0" applyAlignment="0" applyProtection="0"/>
    <xf numFmtId="0" fontId="96" fillId="84" borderId="0" applyNumberFormat="0" applyBorder="0" applyAlignment="0" applyProtection="0"/>
    <xf numFmtId="0" fontId="96" fillId="84" borderId="0" applyNumberFormat="0" applyBorder="0" applyAlignment="0" applyProtection="0"/>
    <xf numFmtId="0" fontId="96" fillId="84" borderId="0" applyNumberFormat="0" applyBorder="0" applyAlignment="0" applyProtection="0"/>
    <xf numFmtId="0" fontId="96" fillId="34" borderId="0" applyNumberFormat="0" applyBorder="0" applyAlignment="0" applyProtection="0"/>
    <xf numFmtId="0" fontId="96" fillId="34" borderId="0" applyNumberFormat="0" applyBorder="0" applyAlignment="0" applyProtection="0"/>
    <xf numFmtId="0" fontId="96" fillId="34"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96" fillId="55" borderId="0" applyNumberFormat="0" applyBorder="0" applyAlignment="0" applyProtection="0"/>
    <xf numFmtId="0" fontId="96" fillId="55" borderId="0" applyNumberFormat="0" applyBorder="0" applyAlignment="0" applyProtection="0"/>
    <xf numFmtId="0" fontId="96" fillId="55" borderId="0" applyNumberFormat="0" applyBorder="0" applyAlignment="0" applyProtection="0"/>
    <xf numFmtId="0" fontId="96" fillId="42" borderId="0" applyNumberFormat="0" applyBorder="0" applyAlignment="0" applyProtection="0"/>
    <xf numFmtId="0" fontId="96" fillId="42" borderId="0" applyNumberFormat="0" applyBorder="0" applyAlignment="0" applyProtection="0"/>
    <xf numFmtId="0" fontId="96" fillId="42" borderId="0" applyNumberFormat="0" applyBorder="0" applyAlignment="0" applyProtection="0"/>
    <xf numFmtId="0" fontId="96" fillId="35" borderId="0" applyNumberFormat="0" applyBorder="0" applyAlignment="0" applyProtection="0"/>
    <xf numFmtId="0" fontId="96" fillId="35" borderId="0" applyNumberFormat="0" applyBorder="0" applyAlignment="0" applyProtection="0"/>
    <xf numFmtId="0" fontId="96" fillId="35" borderId="0" applyNumberFormat="0" applyBorder="0" applyAlignment="0" applyProtection="0"/>
    <xf numFmtId="0" fontId="96" fillId="55" borderId="0" applyNumberFormat="0" applyBorder="0" applyAlignment="0" applyProtection="0"/>
    <xf numFmtId="0" fontId="96" fillId="55" borderId="0" applyNumberFormat="0" applyBorder="0" applyAlignment="0" applyProtection="0"/>
    <xf numFmtId="0" fontId="96" fillId="55" borderId="0" applyNumberFormat="0" applyBorder="0" applyAlignment="0" applyProtection="0"/>
    <xf numFmtId="0" fontId="96" fillId="41" borderId="0" applyNumberFormat="0" applyBorder="0" applyAlignment="0" applyProtection="0"/>
    <xf numFmtId="0" fontId="96" fillId="41" borderId="0" applyNumberFormat="0" applyBorder="0" applyAlignment="0" applyProtection="0"/>
    <xf numFmtId="0" fontId="96" fillId="41"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7" fillId="0" borderId="0" applyNumberFormat="0" applyFill="0" applyBorder="0" applyAlignment="0" applyProtection="0">
      <alignment vertical="top"/>
      <protection locked="0"/>
    </xf>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40" fillId="84" borderId="19" applyNumberFormat="0" applyAlignment="0" applyProtection="0"/>
    <xf numFmtId="0" fontId="40" fillId="84" borderId="19" applyNumberFormat="0" applyAlignment="0" applyProtection="0"/>
    <xf numFmtId="0" fontId="40" fillId="84" borderId="19" applyNumberFormat="0" applyAlignment="0" applyProtection="0"/>
    <xf numFmtId="0" fontId="41" fillId="59" borderId="20" applyNumberFormat="0" applyAlignment="0" applyProtection="0"/>
    <xf numFmtId="0" fontId="41" fillId="59" borderId="20" applyNumberFormat="0" applyAlignment="0" applyProtection="0"/>
    <xf numFmtId="0" fontId="41" fillId="59" borderId="20" applyNumberFormat="0" applyAlignment="0" applyProtection="0"/>
    <xf numFmtId="0" fontId="42" fillId="0" borderId="21" applyNumberFormat="0" applyFill="0" applyAlignment="0" applyProtection="0"/>
    <xf numFmtId="0" fontId="42" fillId="0" borderId="21" applyNumberFormat="0" applyFill="0" applyAlignment="0" applyProtection="0"/>
    <xf numFmtId="0" fontId="42" fillId="0" borderId="21" applyNumberFormat="0" applyFill="0" applyAlignment="0" applyProtection="0"/>
    <xf numFmtId="43" fontId="3" fillId="0" borderId="0" applyFont="0" applyFill="0" applyBorder="0" applyAlignment="0" applyProtection="0"/>
    <xf numFmtId="209"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0" fontId="66" fillId="62" borderId="0" applyNumberFormat="0" applyFont="0" applyFill="0" applyBorder="0" applyProtection="0">
      <alignment horizontal="left"/>
    </xf>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85" borderId="0" applyNumberFormat="0" applyBorder="0" applyAlignment="0" applyProtection="0"/>
    <xf numFmtId="0" fontId="31" fillId="85" borderId="0" applyNumberFormat="0" applyBorder="0" applyAlignment="0" applyProtection="0"/>
    <xf numFmtId="0" fontId="31" fillId="85"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54" fillId="40" borderId="19" applyNumberFormat="0" applyAlignment="0" applyProtection="0"/>
    <xf numFmtId="0" fontId="54" fillId="40" borderId="19" applyNumberFormat="0" applyAlignment="0" applyProtection="0"/>
    <xf numFmtId="0" fontId="54" fillId="40" borderId="19" applyNumberFormat="0" applyAlignment="0" applyProtection="0"/>
    <xf numFmtId="210" fontId="98" fillId="53" borderId="0">
      <alignment horizontal="left" vertical="top"/>
    </xf>
    <xf numFmtId="0" fontId="44"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35" fillId="37"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xf numFmtId="0" fontId="100" fillId="53" borderId="0">
      <alignment horizontal="left" wrapText="1" indent="2"/>
    </xf>
    <xf numFmtId="208" fontId="20" fillId="0" borderId="0" applyFont="0" applyFill="0" applyBorder="0" applyAlignment="0" applyProtection="0"/>
    <xf numFmtId="0" fontId="69" fillId="35" borderId="0" applyNumberFormat="0" applyBorder="0" applyAlignment="0" applyProtection="0"/>
    <xf numFmtId="0" fontId="69" fillId="35" borderId="0" applyNumberFormat="0" applyBorder="0" applyAlignment="0" applyProtection="0"/>
    <xf numFmtId="0" fontId="69" fillId="35" borderId="0" applyNumberFormat="0" applyBorder="0" applyAlignment="0" applyProtection="0"/>
    <xf numFmtId="0" fontId="55" fillId="0" borderId="0"/>
    <xf numFmtId="0" fontId="94" fillId="0" borderId="0"/>
    <xf numFmtId="0" fontId="20" fillId="0" borderId="0"/>
    <xf numFmtId="0" fontId="20" fillId="0" borderId="0"/>
    <xf numFmtId="0" fontId="25" fillId="0" borderId="0"/>
    <xf numFmtId="0" fontId="20" fillId="0" borderId="0"/>
    <xf numFmtId="0" fontId="3" fillId="0" borderId="0"/>
    <xf numFmtId="0" fontId="3" fillId="0" borderId="0"/>
    <xf numFmtId="0" fontId="3" fillId="0" borderId="0"/>
    <xf numFmtId="0" fontId="3" fillId="0" borderId="0"/>
    <xf numFmtId="0" fontId="20" fillId="0" borderId="0"/>
    <xf numFmtId="0" fontId="101" fillId="0" borderId="0"/>
    <xf numFmtId="0" fontId="20" fillId="0" borderId="0"/>
    <xf numFmtId="0" fontId="25" fillId="0" borderId="0"/>
    <xf numFmtId="0" fontId="101" fillId="0" borderId="0"/>
    <xf numFmtId="0" fontId="3" fillId="0" borderId="0"/>
    <xf numFmtId="0" fontId="3" fillId="0" borderId="0"/>
    <xf numFmtId="0" fontId="3" fillId="0" borderId="0"/>
    <xf numFmtId="0" fontId="20" fillId="0" borderId="0"/>
    <xf numFmtId="0" fontId="10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2" fillId="0" borderId="0"/>
    <xf numFmtId="0" fontId="43" fillId="0" borderId="0"/>
    <xf numFmtId="0" fontId="43" fillId="0" borderId="0"/>
    <xf numFmtId="0" fontId="20" fillId="0" borderId="0"/>
    <xf numFmtId="0" fontId="3" fillId="0" borderId="0"/>
    <xf numFmtId="0" fontId="3" fillId="0" borderId="0"/>
    <xf numFmtId="5" fontId="34" fillId="0" borderId="0"/>
    <xf numFmtId="5" fontId="34" fillId="0" borderId="0"/>
    <xf numFmtId="0" fontId="103" fillId="0" borderId="0"/>
    <xf numFmtId="0" fontId="96" fillId="67" borderId="28" applyNumberFormat="0" applyFont="0" applyAlignment="0" applyProtection="0"/>
    <xf numFmtId="0" fontId="96" fillId="67" borderId="28" applyNumberFormat="0" applyFont="0" applyAlignment="0" applyProtection="0"/>
    <xf numFmtId="0" fontId="96" fillId="67" borderId="28" applyNumberFormat="0" applyFont="0" applyAlignment="0" applyProtection="0"/>
    <xf numFmtId="211" fontId="20" fillId="0" borderId="0" applyFont="0" applyFill="0" applyBorder="0" applyAlignment="0" applyProtection="0"/>
    <xf numFmtId="9" fontId="4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4" fillId="0" borderId="0" applyFont="0" applyFill="0" applyBorder="0" applyAlignment="0" applyProtection="0"/>
    <xf numFmtId="9" fontId="43" fillId="0" borderId="0" applyFont="0" applyFill="0" applyBorder="0" applyAlignment="0" applyProtection="0"/>
    <xf numFmtId="9" fontId="20" fillId="0" borderId="0" applyFont="0" applyFill="0" applyBorder="0" applyAlignment="0" applyProtection="0"/>
    <xf numFmtId="0" fontId="71" fillId="84" borderId="29" applyNumberFormat="0" applyAlignment="0" applyProtection="0"/>
    <xf numFmtId="0" fontId="71" fillId="84" borderId="29" applyNumberFormat="0" applyAlignment="0" applyProtection="0"/>
    <xf numFmtId="0" fontId="71" fillId="84" borderId="29" applyNumberFormat="0" applyAlignment="0" applyProtection="0"/>
    <xf numFmtId="0" fontId="105" fillId="86" borderId="0"/>
    <xf numFmtId="43" fontId="106" fillId="0" borderId="0" applyFont="0" applyFill="0" applyBorder="0" applyAlignment="0" applyProtection="0"/>
    <xf numFmtId="43" fontId="101" fillId="0" borderId="0" applyFont="0" applyFill="0" applyBorder="0" applyAlignment="0" applyProtection="0"/>
    <xf numFmtId="43" fontId="65" fillId="0" borderId="0" applyFont="0" applyFill="0" applyBorder="0" applyAlignment="0" applyProtection="0"/>
    <xf numFmtId="43" fontId="20" fillId="0" borderId="0" applyFont="0" applyFill="0" applyBorder="0" applyAlignment="0" applyProtection="0"/>
    <xf numFmtId="43" fontId="101" fillId="0" borderId="0" applyFont="0" applyFill="0" applyBorder="0" applyAlignment="0" applyProtection="0"/>
    <xf numFmtId="212" fontId="107" fillId="0" borderId="0" applyFont="0" applyFill="0" applyBorder="0" applyAlignment="0" applyProtection="0"/>
    <xf numFmtId="0" fontId="55" fillId="0" borderId="0"/>
    <xf numFmtId="0" fontId="47" fillId="0" borderId="0"/>
    <xf numFmtId="0" fontId="47" fillId="0" borderId="0"/>
    <xf numFmtId="0" fontId="108" fillId="53" borderId="0">
      <alignment wrapText="1"/>
    </xf>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109" fillId="0" borderId="0" applyFill="0" applyBorder="0" applyProtection="0">
      <alignment horizontal="left" vertical="top"/>
    </xf>
    <xf numFmtId="0" fontId="110" fillId="0" borderId="40" applyNumberFormat="0" applyFill="0" applyAlignment="0" applyProtection="0"/>
    <xf numFmtId="0" fontId="110" fillId="0" borderId="40" applyNumberFormat="0" applyFill="0" applyAlignment="0" applyProtection="0"/>
    <xf numFmtId="0" fontId="110" fillId="0" borderId="40" applyNumberFormat="0" applyFill="0" applyAlignment="0" applyProtection="0"/>
    <xf numFmtId="0" fontId="111" fillId="0" borderId="37" applyNumberFormat="0" applyFill="0" applyAlignment="0" applyProtection="0"/>
    <xf numFmtId="0" fontId="111" fillId="0" borderId="37" applyNumberFormat="0" applyFill="0" applyAlignment="0" applyProtection="0"/>
    <xf numFmtId="0" fontId="111" fillId="0" borderId="37" applyNumberFormat="0" applyFill="0" applyAlignment="0" applyProtection="0"/>
    <xf numFmtId="0" fontId="112" fillId="0" borderId="41" applyNumberFormat="0" applyFill="0" applyAlignment="0" applyProtection="0"/>
    <xf numFmtId="0" fontId="112" fillId="0" borderId="41" applyNumberFormat="0" applyFill="0" applyAlignment="0" applyProtection="0"/>
    <xf numFmtId="0" fontId="112" fillId="0" borderId="41"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4" fillId="0" borderId="42" applyNumberFormat="0" applyFill="0" applyAlignment="0" applyProtection="0"/>
    <xf numFmtId="0" fontId="114" fillId="0" borderId="42" applyNumberFormat="0" applyFill="0" applyAlignment="0" applyProtection="0"/>
    <xf numFmtId="0" fontId="114" fillId="0" borderId="42" applyNumberFormat="0" applyFill="0" applyAlignment="0" applyProtection="0"/>
    <xf numFmtId="38" fontId="115" fillId="0" borderId="0" applyNumberFormat="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13" fontId="20" fillId="0" borderId="0" applyFont="0" applyFill="0" applyBorder="0" applyAlignment="0" applyProtection="0"/>
    <xf numFmtId="214" fontId="103" fillId="0" borderId="0" applyFont="0" applyFill="0" applyBorder="0" applyAlignment="0" applyProtection="0"/>
    <xf numFmtId="215" fontId="103" fillId="0" borderId="0" applyFont="0" applyFill="0" applyBorder="0" applyAlignment="0" applyProtection="0"/>
    <xf numFmtId="209" fontId="65" fillId="0" borderId="0" applyFont="0" applyFill="0" applyBorder="0" applyAlignment="0" applyProtection="0"/>
    <xf numFmtId="43" fontId="94" fillId="0" borderId="0" applyFont="0" applyFill="0" applyBorder="0" applyAlignment="0" applyProtection="0"/>
    <xf numFmtId="0" fontId="116" fillId="0" borderId="0">
      <alignment vertical="center"/>
    </xf>
    <xf numFmtId="9" fontId="21" fillId="0" borderId="0" applyFont="0" applyFill="0" applyBorder="0" applyAlignment="0" applyProtection="0"/>
    <xf numFmtId="43" fontId="21" fillId="0" borderId="0" applyFont="0" applyFill="0" applyBorder="0" applyAlignment="0" applyProtection="0"/>
    <xf numFmtId="0" fontId="24" fillId="0" borderId="0"/>
    <xf numFmtId="0" fontId="21" fillId="0" borderId="0"/>
    <xf numFmtId="9" fontId="94" fillId="0" borderId="0" applyFont="0" applyFill="0" applyBorder="0" applyAlignment="0" applyProtection="0"/>
    <xf numFmtId="43" fontId="94" fillId="0" borderId="0" applyFont="0" applyFill="0" applyBorder="0" applyAlignment="0" applyProtection="0"/>
    <xf numFmtId="0" fontId="94" fillId="0" borderId="0"/>
    <xf numFmtId="0" fontId="72" fillId="0" borderId="31">
      <alignment horizontal="center"/>
    </xf>
    <xf numFmtId="43" fontId="94" fillId="0" borderId="0" applyFont="0" applyFill="0" applyBorder="0" applyAlignment="0" applyProtection="0"/>
    <xf numFmtId="0" fontId="94" fillId="0" borderId="0"/>
    <xf numFmtId="43" fontId="94" fillId="0" borderId="0" applyFont="0" applyFill="0" applyBorder="0" applyAlignment="0" applyProtection="0"/>
    <xf numFmtId="43" fontId="94" fillId="0" borderId="0" applyFont="0" applyFill="0" applyBorder="0" applyAlignment="0" applyProtection="0"/>
    <xf numFmtId="0" fontId="65" fillId="0" borderId="0"/>
    <xf numFmtId="0" fontId="28" fillId="0" borderId="13" applyNumberFormat="0" applyFill="0" applyAlignment="0" applyProtection="0"/>
    <xf numFmtId="43" fontId="20" fillId="0" borderId="0" applyFont="0" applyFill="0" applyBorder="0" applyAlignment="0" applyProtection="0"/>
    <xf numFmtId="43" fontId="20" fillId="61" borderId="0" applyNumberFormat="0" applyFont="0" applyBorder="0" applyAlignment="0" applyProtection="0"/>
    <xf numFmtId="5" fontId="49" fillId="0" borderId="0" applyFont="0" applyFill="0" applyBorder="0" applyAlignment="0" applyProtection="0"/>
    <xf numFmtId="6" fontId="49" fillId="0" borderId="0" applyFont="0" applyFill="0" applyBorder="0" applyAlignment="0" applyProtection="0"/>
    <xf numFmtId="8" fontId="49" fillId="0" borderId="0"/>
    <xf numFmtId="42" fontId="49" fillId="0" borderId="0"/>
    <xf numFmtId="8" fontId="49" fillId="0" borderId="0"/>
    <xf numFmtId="42" fontId="49" fillId="0" borderId="0"/>
    <xf numFmtId="0" fontId="20" fillId="0" borderId="0"/>
    <xf numFmtId="0" fontId="94" fillId="0" borderId="0"/>
    <xf numFmtId="0" fontId="20" fillId="0" borderId="0" applyNumberFormat="0" applyFill="0" applyBorder="0" applyAlignment="0" applyProtection="0"/>
    <xf numFmtId="0" fontId="23" fillId="0" borderId="0"/>
    <xf numFmtId="0" fontId="3" fillId="0" borderId="0"/>
    <xf numFmtId="0" fontId="3" fillId="0" borderId="0"/>
    <xf numFmtId="0" fontId="3" fillId="0" borderId="0"/>
    <xf numFmtId="0" fontId="3" fillId="0" borderId="0"/>
    <xf numFmtId="0" fontId="3" fillId="0" borderId="0"/>
    <xf numFmtId="0" fontId="3" fillId="0" borderId="0"/>
    <xf numFmtId="0" fontId="94"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17" fillId="0" borderId="0" applyNumberFormat="0" applyFill="0" applyBorder="0" applyAlignment="0" applyProtection="0"/>
    <xf numFmtId="9" fontId="20" fillId="0" borderId="0" applyFont="0" applyFill="0" applyBorder="0" applyAlignment="0" applyProtection="0"/>
    <xf numFmtId="9" fontId="9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0" fontId="1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9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24" fillId="0" borderId="0" applyFont="0" applyFill="0" applyBorder="0" applyAlignment="0" applyProtection="0"/>
    <xf numFmtId="4" fontId="78" fillId="72" borderId="33" applyNumberFormat="0" applyProtection="0">
      <alignment horizontal="left" vertical="center"/>
    </xf>
    <xf numFmtId="4" fontId="78" fillId="72" borderId="33" applyNumberFormat="0" applyProtection="0">
      <alignment horizontal="left" vertical="center"/>
    </xf>
    <xf numFmtId="4" fontId="78" fillId="72" borderId="33" applyNumberFormat="0" applyProtection="0">
      <alignment horizontal="left" vertical="center"/>
    </xf>
    <xf numFmtId="4" fontId="78" fillId="72" borderId="33" applyNumberFormat="0" applyProtection="0">
      <alignment horizontal="left" vertical="center"/>
    </xf>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0" fontId="28" fillId="0" borderId="13" applyNumberFormat="0" applyFill="0" applyAlignment="0" applyProtection="0"/>
    <xf numFmtId="0" fontId="28" fillId="0" borderId="13" applyNumberFormat="0" applyFill="0" applyAlignment="0" applyProtection="0"/>
    <xf numFmtId="5" fontId="34" fillId="0" borderId="0"/>
    <xf numFmtId="5" fontId="34" fillId="0" borderId="0"/>
    <xf numFmtId="43" fontId="106" fillId="0" borderId="0" applyFont="0" applyFill="0" applyBorder="0" applyAlignment="0" applyProtection="0"/>
    <xf numFmtId="43" fontId="101" fillId="0" borderId="0" applyFont="0" applyFill="0" applyBorder="0" applyAlignment="0" applyProtection="0"/>
    <xf numFmtId="43" fontId="65" fillId="0" borderId="0" applyFont="0" applyFill="0" applyBorder="0" applyAlignment="0" applyProtection="0"/>
    <xf numFmtId="43" fontId="20" fillId="0" borderId="0" applyFont="0" applyFill="0" applyBorder="0" applyAlignment="0" applyProtection="0"/>
    <xf numFmtId="43" fontId="101" fillId="0" borderId="0" applyFont="0" applyFill="0" applyBorder="0" applyAlignment="0" applyProtection="0"/>
    <xf numFmtId="0" fontId="28" fillId="0" borderId="13"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0" fontId="18" fillId="0" borderId="0"/>
    <xf numFmtId="0" fontId="18" fillId="0" borderId="0"/>
    <xf numFmtId="9" fontId="116" fillId="0" borderId="0" applyFont="0" applyFill="0" applyBorder="0" applyAlignment="0" applyProtection="0"/>
    <xf numFmtId="0" fontId="18" fillId="0" borderId="0"/>
    <xf numFmtId="0" fontId="18" fillId="0" borderId="0"/>
    <xf numFmtId="0" fontId="116" fillId="0" borderId="0">
      <alignment vertical="center"/>
    </xf>
    <xf numFmtId="0" fontId="23" fillId="0" borderId="0"/>
    <xf numFmtId="0" fontId="119" fillId="0" borderId="0"/>
    <xf numFmtId="0" fontId="18" fillId="0" borderId="0"/>
    <xf numFmtId="0" fontId="25" fillId="0" borderId="0"/>
    <xf numFmtId="43" fontId="25" fillId="0" borderId="0" applyFont="0" applyFill="0" applyBorder="0" applyAlignment="0" applyProtection="0"/>
    <xf numFmtId="0" fontId="25" fillId="0" borderId="0"/>
    <xf numFmtId="43" fontId="2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25" fillId="0" borderId="0" applyFont="0" applyFill="0" applyBorder="0" applyAlignment="0" applyProtection="0"/>
    <xf numFmtId="0" fontId="120" fillId="11" borderId="0" applyNumberFormat="0" applyBorder="0" applyAlignment="0" applyProtection="0"/>
    <xf numFmtId="0" fontId="3" fillId="11" borderId="0" applyNumberFormat="0" applyBorder="0" applyAlignment="0" applyProtection="0"/>
    <xf numFmtId="0" fontId="120" fillId="36" borderId="0" applyNumberFormat="0" applyBorder="0" applyAlignment="0" applyProtection="0"/>
    <xf numFmtId="0" fontId="120" fillId="36" borderId="0" applyNumberFormat="0" applyBorder="0" applyAlignment="0" applyProtection="0"/>
    <xf numFmtId="0" fontId="3" fillId="11" borderId="0" applyNumberFormat="0" applyBorder="0" applyAlignment="0" applyProtection="0"/>
    <xf numFmtId="0" fontId="79" fillId="36" borderId="0" applyNumberFormat="0" applyBorder="0" applyAlignment="0" applyProtection="0"/>
    <xf numFmtId="0" fontId="120" fillId="36" borderId="0" applyNumberFormat="0" applyBorder="0" applyAlignment="0" applyProtection="0"/>
    <xf numFmtId="0" fontId="120" fillId="15" borderId="0" applyNumberFormat="0" applyBorder="0" applyAlignment="0" applyProtection="0"/>
    <xf numFmtId="0" fontId="3" fillId="15" borderId="0" applyNumberFormat="0" applyBorder="0" applyAlignment="0" applyProtection="0"/>
    <xf numFmtId="0" fontId="120" fillId="37" borderId="0" applyNumberFormat="0" applyBorder="0" applyAlignment="0" applyProtection="0"/>
    <xf numFmtId="0" fontId="120" fillId="37" borderId="0" applyNumberFormat="0" applyBorder="0" applyAlignment="0" applyProtection="0"/>
    <xf numFmtId="0" fontId="3" fillId="15" borderId="0" applyNumberFormat="0" applyBorder="0" applyAlignment="0" applyProtection="0"/>
    <xf numFmtId="0" fontId="79" fillId="37" borderId="0" applyNumberFormat="0" applyBorder="0" applyAlignment="0" applyProtection="0"/>
    <xf numFmtId="0" fontId="120" fillId="37" borderId="0" applyNumberFormat="0" applyBorder="0" applyAlignment="0" applyProtection="0"/>
    <xf numFmtId="0" fontId="120" fillId="19" borderId="0" applyNumberFormat="0" applyBorder="0" applyAlignment="0" applyProtection="0"/>
    <xf numFmtId="0" fontId="3" fillId="19" borderId="0" applyNumberFormat="0" applyBorder="0" applyAlignment="0" applyProtection="0"/>
    <xf numFmtId="0" fontId="120" fillId="38" borderId="0" applyNumberFormat="0" applyBorder="0" applyAlignment="0" applyProtection="0"/>
    <xf numFmtId="0" fontId="120" fillId="38" borderId="0" applyNumberFormat="0" applyBorder="0" applyAlignment="0" applyProtection="0"/>
    <xf numFmtId="0" fontId="3" fillId="19" borderId="0" applyNumberFormat="0" applyBorder="0" applyAlignment="0" applyProtection="0"/>
    <xf numFmtId="0" fontId="79" fillId="38" borderId="0" applyNumberFormat="0" applyBorder="0" applyAlignment="0" applyProtection="0"/>
    <xf numFmtId="0" fontId="120" fillId="38" borderId="0" applyNumberFormat="0" applyBorder="0" applyAlignment="0" applyProtection="0"/>
    <xf numFmtId="0" fontId="120" fillId="23" borderId="0" applyNumberFormat="0" applyBorder="0" applyAlignment="0" applyProtection="0"/>
    <xf numFmtId="0" fontId="3" fillId="23" borderId="0" applyNumberFormat="0" applyBorder="0" applyAlignment="0" applyProtection="0"/>
    <xf numFmtId="0" fontId="120" fillId="39" borderId="0" applyNumberFormat="0" applyBorder="0" applyAlignment="0" applyProtection="0"/>
    <xf numFmtId="0" fontId="120" fillId="39" borderId="0" applyNumberFormat="0" applyBorder="0" applyAlignment="0" applyProtection="0"/>
    <xf numFmtId="0" fontId="3" fillId="23" borderId="0" applyNumberFormat="0" applyBorder="0" applyAlignment="0" applyProtection="0"/>
    <xf numFmtId="0" fontId="79" fillId="39" borderId="0" applyNumberFormat="0" applyBorder="0" applyAlignment="0" applyProtection="0"/>
    <xf numFmtId="0" fontId="120" fillId="39" borderId="0" applyNumberFormat="0" applyBorder="0" applyAlignment="0" applyProtection="0"/>
    <xf numFmtId="0" fontId="120" fillId="27" borderId="0" applyNumberFormat="0" applyBorder="0" applyAlignment="0" applyProtection="0"/>
    <xf numFmtId="0" fontId="120" fillId="27" borderId="0" applyNumberFormat="0" applyBorder="0" applyAlignment="0" applyProtection="0"/>
    <xf numFmtId="0" fontId="3" fillId="27" borderId="0" applyNumberFormat="0" applyBorder="0" applyAlignment="0" applyProtection="0"/>
    <xf numFmtId="0" fontId="79" fillId="34" borderId="0" applyNumberFormat="0" applyBorder="0" applyAlignment="0" applyProtection="0"/>
    <xf numFmtId="0" fontId="120" fillId="27" borderId="0" applyNumberFormat="0" applyBorder="0" applyAlignment="0" applyProtection="0"/>
    <xf numFmtId="0" fontId="120" fillId="31" borderId="0" applyNumberFormat="0" applyBorder="0" applyAlignment="0" applyProtection="0"/>
    <xf numFmtId="0" fontId="120" fillId="31" borderId="0" applyNumberFormat="0" applyBorder="0" applyAlignment="0" applyProtection="0"/>
    <xf numFmtId="0" fontId="3" fillId="31" borderId="0" applyNumberFormat="0" applyBorder="0" applyAlignment="0" applyProtection="0"/>
    <xf numFmtId="0" fontId="79" fillId="40" borderId="0" applyNumberFormat="0" applyBorder="0" applyAlignment="0" applyProtection="0"/>
    <xf numFmtId="0" fontId="120" fillId="31" borderId="0" applyNumberFormat="0" applyBorder="0" applyAlignment="0" applyProtection="0"/>
    <xf numFmtId="0" fontId="120" fillId="12" borderId="0" applyNumberFormat="0" applyBorder="0" applyAlignment="0" applyProtection="0"/>
    <xf numFmtId="0" fontId="120" fillId="12" borderId="0" applyNumberFormat="0" applyBorder="0" applyAlignment="0" applyProtection="0"/>
    <xf numFmtId="0" fontId="3" fillId="12" borderId="0" applyNumberFormat="0" applyBorder="0" applyAlignment="0" applyProtection="0"/>
    <xf numFmtId="0" fontId="79" fillId="41" borderId="0" applyNumberFormat="0" applyBorder="0" applyAlignment="0" applyProtection="0"/>
    <xf numFmtId="0" fontId="120" fillId="12" borderId="0" applyNumberFormat="0" applyBorder="0" applyAlignment="0" applyProtection="0"/>
    <xf numFmtId="0" fontId="120" fillId="16" borderId="0" applyNumberFormat="0" applyBorder="0" applyAlignment="0" applyProtection="0"/>
    <xf numFmtId="0" fontId="120" fillId="16" borderId="0" applyNumberFormat="0" applyBorder="0" applyAlignment="0" applyProtection="0"/>
    <xf numFmtId="0" fontId="3" fillId="16" borderId="0" applyNumberFormat="0" applyBorder="0" applyAlignment="0" applyProtection="0"/>
    <xf numFmtId="0" fontId="79" fillId="42" borderId="0" applyNumberFormat="0" applyBorder="0" applyAlignment="0" applyProtection="0"/>
    <xf numFmtId="0" fontId="120" fillId="16" borderId="0" applyNumberFormat="0" applyBorder="0" applyAlignment="0" applyProtection="0"/>
    <xf numFmtId="0" fontId="120" fillId="20" borderId="0" applyNumberFormat="0" applyBorder="0" applyAlignment="0" applyProtection="0"/>
    <xf numFmtId="0" fontId="3" fillId="20" borderId="0" applyNumberFormat="0" applyBorder="0" applyAlignment="0" applyProtection="0"/>
    <xf numFmtId="0" fontId="120" fillId="43" borderId="0" applyNumberFormat="0" applyBorder="0" applyAlignment="0" applyProtection="0"/>
    <xf numFmtId="0" fontId="120" fillId="43" borderId="0" applyNumberFormat="0" applyBorder="0" applyAlignment="0" applyProtection="0"/>
    <xf numFmtId="0" fontId="3" fillId="20" borderId="0" applyNumberFormat="0" applyBorder="0" applyAlignment="0" applyProtection="0"/>
    <xf numFmtId="0" fontId="79" fillId="43" borderId="0" applyNumberFormat="0" applyBorder="0" applyAlignment="0" applyProtection="0"/>
    <xf numFmtId="0" fontId="120" fillId="43" borderId="0" applyNumberFormat="0" applyBorder="0" applyAlignment="0" applyProtection="0"/>
    <xf numFmtId="0" fontId="120" fillId="24" borderId="0" applyNumberFormat="0" applyBorder="0" applyAlignment="0" applyProtection="0"/>
    <xf numFmtId="0" fontId="120" fillId="24" borderId="0" applyNumberFormat="0" applyBorder="0" applyAlignment="0" applyProtection="0"/>
    <xf numFmtId="0" fontId="3" fillId="24" borderId="0" applyNumberFormat="0" applyBorder="0" applyAlignment="0" applyProtection="0"/>
    <xf numFmtId="0" fontId="79" fillId="39" borderId="0" applyNumberFormat="0" applyBorder="0" applyAlignment="0" applyProtection="0"/>
    <xf numFmtId="0" fontId="120" fillId="24" borderId="0" applyNumberFormat="0" applyBorder="0" applyAlignment="0" applyProtection="0"/>
    <xf numFmtId="0" fontId="120" fillId="28" borderId="0" applyNumberFormat="0" applyBorder="0" applyAlignment="0" applyProtection="0"/>
    <xf numFmtId="0" fontId="120" fillId="28" borderId="0" applyNumberFormat="0" applyBorder="0" applyAlignment="0" applyProtection="0"/>
    <xf numFmtId="0" fontId="3" fillId="28" borderId="0" applyNumberFormat="0" applyBorder="0" applyAlignment="0" applyProtection="0"/>
    <xf numFmtId="0" fontId="79" fillId="41" borderId="0" applyNumberFormat="0" applyBorder="0" applyAlignment="0" applyProtection="0"/>
    <xf numFmtId="0" fontId="120" fillId="28" borderId="0" applyNumberFormat="0" applyBorder="0" applyAlignment="0" applyProtection="0"/>
    <xf numFmtId="0" fontId="120" fillId="32" borderId="0" applyNumberFormat="0" applyBorder="0" applyAlignment="0" applyProtection="0"/>
    <xf numFmtId="0" fontId="120" fillId="32" borderId="0" applyNumberFormat="0" applyBorder="0" applyAlignment="0" applyProtection="0"/>
    <xf numFmtId="0" fontId="3" fillId="32" borderId="0" applyNumberFormat="0" applyBorder="0" applyAlignment="0" applyProtection="0"/>
    <xf numFmtId="0" fontId="79" fillId="44" borderId="0" applyNumberFormat="0" applyBorder="0" applyAlignment="0" applyProtection="0"/>
    <xf numFmtId="0" fontId="120" fillId="32" borderId="0" applyNumberFormat="0" applyBorder="0" applyAlignment="0" applyProtection="0"/>
    <xf numFmtId="0" fontId="121" fillId="13" borderId="0" applyNumberFormat="0" applyBorder="0" applyAlignment="0" applyProtection="0"/>
    <xf numFmtId="0" fontId="121" fillId="13" borderId="0" applyNumberFormat="0" applyBorder="0" applyAlignment="0" applyProtection="0"/>
    <xf numFmtId="0" fontId="17" fillId="13" borderId="0" applyNumberFormat="0" applyBorder="0" applyAlignment="0" applyProtection="0"/>
    <xf numFmtId="0" fontId="122" fillId="45" borderId="0" applyNumberFormat="0" applyBorder="0" applyAlignment="0" applyProtection="0"/>
    <xf numFmtId="0" fontId="121" fillId="13" borderId="0" applyNumberFormat="0" applyBorder="0" applyAlignment="0" applyProtection="0"/>
    <xf numFmtId="0" fontId="121" fillId="17" borderId="0" applyNumberFormat="0" applyBorder="0" applyAlignment="0" applyProtection="0"/>
    <xf numFmtId="0" fontId="121" fillId="17" borderId="0" applyNumberFormat="0" applyBorder="0" applyAlignment="0" applyProtection="0"/>
    <xf numFmtId="0" fontId="17" fillId="17" borderId="0" applyNumberFormat="0" applyBorder="0" applyAlignment="0" applyProtection="0"/>
    <xf numFmtId="0" fontId="122" fillId="42" borderId="0" applyNumberFormat="0" applyBorder="0" applyAlignment="0" applyProtection="0"/>
    <xf numFmtId="0" fontId="121" fillId="17" borderId="0" applyNumberFormat="0" applyBorder="0" applyAlignment="0" applyProtection="0"/>
    <xf numFmtId="0" fontId="121" fillId="21" borderId="0" applyNumberFormat="0" applyBorder="0" applyAlignment="0" applyProtection="0"/>
    <xf numFmtId="0" fontId="17" fillId="21" borderId="0" applyNumberFormat="0" applyBorder="0" applyAlignment="0" applyProtection="0"/>
    <xf numFmtId="0" fontId="121" fillId="43" borderId="0" applyNumberFormat="0" applyBorder="0" applyAlignment="0" applyProtection="0"/>
    <xf numFmtId="0" fontId="121" fillId="43" borderId="0" applyNumberFormat="0" applyBorder="0" applyAlignment="0" applyProtection="0"/>
    <xf numFmtId="0" fontId="17" fillId="21" borderId="0" applyNumberFormat="0" applyBorder="0" applyAlignment="0" applyProtection="0"/>
    <xf numFmtId="0" fontId="122" fillId="43" borderId="0" applyNumberFormat="0" applyBorder="0" applyAlignment="0" applyProtection="0"/>
    <xf numFmtId="0" fontId="121" fillId="43" borderId="0" applyNumberFormat="0" applyBorder="0" applyAlignment="0" applyProtection="0"/>
    <xf numFmtId="0" fontId="121" fillId="25" borderId="0" applyNumberFormat="0" applyBorder="0" applyAlignment="0" applyProtection="0"/>
    <xf numFmtId="0" fontId="17" fillId="25" borderId="0" applyNumberFormat="0" applyBorder="0" applyAlignment="0" applyProtection="0"/>
    <xf numFmtId="0" fontId="121" fillId="46" borderId="0" applyNumberFormat="0" applyBorder="0" applyAlignment="0" applyProtection="0"/>
    <xf numFmtId="0" fontId="121" fillId="46" borderId="0" applyNumberFormat="0" applyBorder="0" applyAlignment="0" applyProtection="0"/>
    <xf numFmtId="0" fontId="17" fillId="25" borderId="0" applyNumberFormat="0" applyBorder="0" applyAlignment="0" applyProtection="0"/>
    <xf numFmtId="0" fontId="122" fillId="46" borderId="0" applyNumberFormat="0" applyBorder="0" applyAlignment="0" applyProtection="0"/>
    <xf numFmtId="0" fontId="121" fillId="46" borderId="0" applyNumberFormat="0" applyBorder="0" applyAlignment="0" applyProtection="0"/>
    <xf numFmtId="0" fontId="121" fillId="29" borderId="0" applyNumberFormat="0" applyBorder="0" applyAlignment="0" applyProtection="0"/>
    <xf numFmtId="0" fontId="121" fillId="29" borderId="0" applyNumberFormat="0" applyBorder="0" applyAlignment="0" applyProtection="0"/>
    <xf numFmtId="0" fontId="17" fillId="29" borderId="0" applyNumberFormat="0" applyBorder="0" applyAlignment="0" applyProtection="0"/>
    <xf numFmtId="0" fontId="122" fillId="47" borderId="0" applyNumberFormat="0" applyBorder="0" applyAlignment="0" applyProtection="0"/>
    <xf numFmtId="0" fontId="121" fillId="29" borderId="0" applyNumberFormat="0" applyBorder="0" applyAlignment="0" applyProtection="0"/>
    <xf numFmtId="0" fontId="121" fillId="33" borderId="0" applyNumberFormat="0" applyBorder="0" applyAlignment="0" applyProtection="0"/>
    <xf numFmtId="0" fontId="17" fillId="33" borderId="0" applyNumberFormat="0" applyBorder="0" applyAlignment="0" applyProtection="0"/>
    <xf numFmtId="0" fontId="121" fillId="48" borderId="0" applyNumberFormat="0" applyBorder="0" applyAlignment="0" applyProtection="0"/>
    <xf numFmtId="0" fontId="121" fillId="48" borderId="0" applyNumberFormat="0" applyBorder="0" applyAlignment="0" applyProtection="0"/>
    <xf numFmtId="0" fontId="17" fillId="33" borderId="0" applyNumberFormat="0" applyBorder="0" applyAlignment="0" applyProtection="0"/>
    <xf numFmtId="0" fontId="122" fillId="48" borderId="0" applyNumberFormat="0" applyBorder="0" applyAlignment="0" applyProtection="0"/>
    <xf numFmtId="0" fontId="121" fillId="48" borderId="0" applyNumberFormat="0" applyBorder="0" applyAlignment="0" applyProtection="0"/>
    <xf numFmtId="0" fontId="123" fillId="3" borderId="0" applyNumberFormat="0" applyBorder="0" applyAlignment="0" applyProtection="0"/>
    <xf numFmtId="0" fontId="123" fillId="3" borderId="0" applyNumberFormat="0" applyBorder="0" applyAlignment="0" applyProtection="0"/>
    <xf numFmtId="0" fontId="8" fillId="3" borderId="0" applyNumberFormat="0" applyBorder="0" applyAlignment="0" applyProtection="0"/>
    <xf numFmtId="0" fontId="124" fillId="38" borderId="0" applyNumberFormat="0" applyBorder="0" applyAlignment="0" applyProtection="0"/>
    <xf numFmtId="0" fontId="123" fillId="3" borderId="0" applyNumberFormat="0" applyBorder="0" applyAlignment="0" applyProtection="0"/>
    <xf numFmtId="0" fontId="125" fillId="7" borderId="5" applyNumberFormat="0" applyAlignment="0" applyProtection="0"/>
    <xf numFmtId="0" fontId="125" fillId="7" borderId="5" applyNumberFormat="0" applyAlignment="0" applyProtection="0"/>
    <xf numFmtId="0" fontId="13" fillId="7" borderId="5" applyNumberFormat="0" applyAlignment="0" applyProtection="0"/>
    <xf numFmtId="0" fontId="126" fillId="55" borderId="19" applyNumberFormat="0" applyAlignment="0" applyProtection="0"/>
    <xf numFmtId="0" fontId="125" fillId="7" borderId="5" applyNumberFormat="0" applyAlignment="0" applyProtection="0"/>
    <xf numFmtId="0" fontId="127" fillId="8" borderId="8" applyNumberFormat="0" applyAlignment="0" applyProtection="0"/>
    <xf numFmtId="0" fontId="127" fillId="8" borderId="8" applyNumberFormat="0" applyAlignment="0" applyProtection="0"/>
    <xf numFmtId="0" fontId="1" fillId="8" borderId="8" applyNumberFormat="0" applyAlignment="0" applyProtection="0"/>
    <xf numFmtId="0" fontId="75" fillId="59" borderId="20" applyNumberFormat="0" applyAlignment="0" applyProtection="0"/>
    <xf numFmtId="0" fontId="127" fillId="8" borderId="8" applyNumberFormat="0" applyAlignment="0" applyProtection="0"/>
    <xf numFmtId="0" fontId="128" fillId="0" borderId="7" applyNumberFormat="0" applyFill="0" applyAlignment="0" applyProtection="0"/>
    <xf numFmtId="0" fontId="128" fillId="0" borderId="7" applyNumberFormat="0" applyFill="0" applyAlignment="0" applyProtection="0"/>
    <xf numFmtId="0" fontId="14" fillId="0" borderId="7" applyNumberFormat="0" applyFill="0" applyAlignment="0" applyProtection="0"/>
    <xf numFmtId="0" fontId="129" fillId="0" borderId="21" applyNumberFormat="0" applyFill="0" applyAlignment="0" applyProtection="0"/>
    <xf numFmtId="0" fontId="128" fillId="0" borderId="7" applyNumberFormat="0" applyFill="0" applyAlignment="0" applyProtection="0"/>
    <xf numFmtId="208" fontId="3" fillId="0" borderId="0" applyFont="0" applyFill="0" applyBorder="0" applyAlignment="0" applyProtection="0"/>
    <xf numFmtId="0" fontId="121" fillId="10" borderId="0" applyNumberFormat="0" applyBorder="0" applyAlignment="0" applyProtection="0"/>
    <xf numFmtId="0" fontId="121" fillId="10" borderId="0" applyNumberFormat="0" applyBorder="0" applyAlignment="0" applyProtection="0"/>
    <xf numFmtId="0" fontId="17" fillId="10" borderId="0" applyNumberFormat="0" applyBorder="0" applyAlignment="0" applyProtection="0"/>
    <xf numFmtId="0" fontId="122" fillId="49"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14" borderId="0" applyNumberFormat="0" applyBorder="0" applyAlignment="0" applyProtection="0"/>
    <xf numFmtId="0" fontId="17" fillId="14" borderId="0" applyNumberFormat="0" applyBorder="0" applyAlignment="0" applyProtection="0"/>
    <xf numFmtId="0" fontId="122" fillId="50"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7" fillId="18" borderId="0" applyNumberFormat="0" applyBorder="0" applyAlignment="0" applyProtection="0"/>
    <xf numFmtId="0" fontId="122" fillId="51"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21" fillId="22" borderId="0" applyNumberFormat="0" applyBorder="0" applyAlignment="0" applyProtection="0"/>
    <xf numFmtId="0" fontId="17" fillId="22" borderId="0" applyNumberFormat="0" applyBorder="0" applyAlignment="0" applyProtection="0"/>
    <xf numFmtId="0" fontId="122" fillId="46"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26" borderId="0" applyNumberFormat="0" applyBorder="0" applyAlignment="0" applyProtection="0"/>
    <xf numFmtId="0" fontId="17" fillId="26" borderId="0" applyNumberFormat="0" applyBorder="0" applyAlignment="0" applyProtection="0"/>
    <xf numFmtId="0" fontId="122" fillId="47"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0" fontId="121" fillId="30" borderId="0" applyNumberFormat="0" applyBorder="0" applyAlignment="0" applyProtection="0"/>
    <xf numFmtId="0" fontId="17" fillId="30" borderId="0" applyNumberFormat="0" applyBorder="0" applyAlignment="0" applyProtection="0"/>
    <xf numFmtId="0" fontId="122" fillId="52" borderId="0" applyNumberFormat="0" applyBorder="0" applyAlignment="0" applyProtection="0"/>
    <xf numFmtId="0" fontId="121" fillId="30" borderId="0" applyNumberFormat="0" applyBorder="0" applyAlignment="0" applyProtection="0"/>
    <xf numFmtId="0" fontId="130" fillId="6" borderId="5" applyNumberFormat="0" applyAlignment="0" applyProtection="0"/>
    <xf numFmtId="0" fontId="130" fillId="6" borderId="5" applyNumberFormat="0" applyAlignment="0" applyProtection="0"/>
    <xf numFmtId="0" fontId="11" fillId="6" borderId="5" applyNumberFormat="0" applyAlignment="0" applyProtection="0"/>
    <xf numFmtId="0" fontId="131" fillId="40" borderId="19" applyNumberFormat="0" applyAlignment="0" applyProtection="0"/>
    <xf numFmtId="0" fontId="130" fillId="6" borderId="5" applyNumberFormat="0" applyAlignment="0" applyProtection="0"/>
    <xf numFmtId="0" fontId="132" fillId="4" borderId="0" applyNumberFormat="0" applyBorder="0" applyAlignment="0" applyProtection="0"/>
    <xf numFmtId="0" fontId="132" fillId="4" borderId="0" applyNumberFormat="0" applyBorder="0" applyAlignment="0" applyProtection="0"/>
    <xf numFmtId="0" fontId="9" fillId="4" borderId="0" applyNumberFormat="0" applyBorder="0" applyAlignment="0" applyProtection="0"/>
    <xf numFmtId="0" fontId="133" fillId="37" borderId="0" applyNumberFormat="0" applyBorder="0" applyAlignment="0" applyProtection="0"/>
    <xf numFmtId="0" fontId="132" fillId="4" borderId="0" applyNumberFormat="0" applyBorder="0" applyAlignment="0" applyProtection="0"/>
    <xf numFmtId="208" fontId="134" fillId="0" borderId="0" applyFont="0" applyFill="0" applyBorder="0" applyAlignment="0" applyProtection="0"/>
    <xf numFmtId="208" fontId="3" fillId="0" borderId="0" applyFont="0" applyFill="0" applyBorder="0" applyAlignment="0" applyProtection="0"/>
    <xf numFmtId="208" fontId="22" fillId="0" borderId="0" applyFont="0" applyFill="0" applyBorder="0" applyAlignment="0" applyProtection="0"/>
    <xf numFmtId="208" fontId="134" fillId="0" borderId="0" applyFont="0" applyFill="0" applyBorder="0" applyAlignment="0" applyProtection="0"/>
    <xf numFmtId="0" fontId="135" fillId="5" borderId="0" applyNumberFormat="0" applyBorder="0" applyAlignment="0" applyProtection="0"/>
    <xf numFmtId="0" fontId="135" fillId="5" borderId="0" applyNumberFormat="0" applyBorder="0" applyAlignment="0" applyProtection="0"/>
    <xf numFmtId="0" fontId="10" fillId="5" borderId="0" applyNumberFormat="0" applyBorder="0" applyAlignment="0" applyProtection="0"/>
    <xf numFmtId="0" fontId="136" fillId="35" borderId="0" applyNumberFormat="0" applyBorder="0" applyAlignment="0" applyProtection="0"/>
    <xf numFmtId="0" fontId="135" fillId="5" borderId="0" applyNumberFormat="0" applyBorder="0" applyAlignment="0" applyProtection="0"/>
    <xf numFmtId="0" fontId="20" fillId="0" borderId="0"/>
    <xf numFmtId="0" fontId="137" fillId="0" borderId="0"/>
    <xf numFmtId="0" fontId="120" fillId="0" borderId="0"/>
    <xf numFmtId="0" fontId="22" fillId="0" borderId="0"/>
    <xf numFmtId="0" fontId="120" fillId="0" borderId="0"/>
    <xf numFmtId="0" fontId="20" fillId="0" borderId="0"/>
    <xf numFmtId="0" fontId="20" fillId="0" borderId="0"/>
    <xf numFmtId="0" fontId="20" fillId="0" borderId="0"/>
    <xf numFmtId="0" fontId="20" fillId="0" borderId="0"/>
    <xf numFmtId="0" fontId="120" fillId="0" borderId="0"/>
    <xf numFmtId="0" fontId="120" fillId="9" borderId="9" applyNumberFormat="0" applyFont="0" applyAlignment="0" applyProtection="0"/>
    <xf numFmtId="0" fontId="3" fillId="9" borderId="9" applyNumberFormat="0" applyFont="0" applyAlignment="0" applyProtection="0"/>
    <xf numFmtId="0" fontId="134" fillId="9" borderId="9" applyNumberFormat="0" applyFont="0" applyAlignment="0" applyProtection="0"/>
    <xf numFmtId="0" fontId="134" fillId="9" borderId="9" applyNumberFormat="0" applyFont="0" applyAlignment="0" applyProtection="0"/>
    <xf numFmtId="0" fontId="3" fillId="9" borderId="9" applyNumberFormat="0" applyFont="0" applyAlignment="0" applyProtection="0"/>
    <xf numFmtId="0" fontId="22" fillId="67" borderId="28" applyNumberFormat="0" applyFont="0" applyAlignment="0" applyProtection="0"/>
    <xf numFmtId="0" fontId="134" fillId="9" borderId="9" applyNumberFormat="0" applyFont="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134" fillId="0" borderId="0" applyFont="0" applyFill="0" applyBorder="0" applyAlignment="0" applyProtection="0"/>
    <xf numFmtId="0" fontId="138" fillId="7" borderId="6" applyNumberFormat="0" applyAlignment="0" applyProtection="0"/>
    <xf numFmtId="0" fontId="138" fillId="7" borderId="6" applyNumberFormat="0" applyAlignment="0" applyProtection="0"/>
    <xf numFmtId="0" fontId="12" fillId="7" borderId="6" applyNumberFormat="0" applyAlignment="0" applyProtection="0"/>
    <xf numFmtId="0" fontId="139" fillId="55" borderId="29" applyNumberFormat="0" applyAlignment="0" applyProtection="0"/>
    <xf numFmtId="0" fontId="138" fillId="7" borderId="6" applyNumberFormat="0" applyAlignment="0" applyProtection="0"/>
    <xf numFmtId="43" fontId="3" fillId="0" borderId="0" applyFon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5" fillId="0" borderId="0" applyNumberFormat="0" applyFill="0" applyBorder="0" applyAlignment="0" applyProtection="0"/>
    <xf numFmtId="0" fontId="141" fillId="0" borderId="0" applyNumberFormat="0" applyFill="0" applyBorder="0" applyAlignment="0" applyProtection="0"/>
    <xf numFmtId="0" fontId="14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6" fillId="0" borderId="0" applyNumberFormat="0" applyFill="0" applyBorder="0" applyAlignment="0" applyProtection="0"/>
    <xf numFmtId="0" fontId="143" fillId="0" borderId="0" applyNumberFormat="0" applyFill="0" applyBorder="0" applyAlignment="0" applyProtection="0"/>
    <xf numFmtId="0" fontId="142" fillId="0" borderId="0" applyNumberFormat="0" applyFill="0" applyBorder="0" applyAlignment="0" applyProtection="0"/>
    <xf numFmtId="0" fontId="144" fillId="0" borderId="2" applyNumberFormat="0" applyFill="0" applyAlignment="0" applyProtection="0"/>
    <xf numFmtId="0" fontId="144" fillId="0" borderId="2" applyNumberFormat="0" applyFill="0" applyAlignment="0" applyProtection="0"/>
    <xf numFmtId="0" fontId="5" fillId="0" borderId="2" applyNumberFormat="0" applyFill="0" applyAlignment="0" applyProtection="0"/>
    <xf numFmtId="0" fontId="145" fillId="0" borderId="36" applyNumberFormat="0" applyFill="0" applyAlignment="0" applyProtection="0"/>
    <xf numFmtId="0" fontId="144" fillId="0" borderId="2" applyNumberFormat="0" applyFill="0" applyAlignment="0" applyProtection="0"/>
    <xf numFmtId="0" fontId="146" fillId="0" borderId="3" applyNumberFormat="0" applyFill="0" applyAlignment="0" applyProtection="0"/>
    <xf numFmtId="0" fontId="146" fillId="0" borderId="3" applyNumberFormat="0" applyFill="0" applyAlignment="0" applyProtection="0"/>
    <xf numFmtId="0" fontId="6" fillId="0" borderId="3" applyNumberFormat="0" applyFill="0" applyAlignment="0" applyProtection="0"/>
    <xf numFmtId="0" fontId="147" fillId="0" borderId="37" applyNumberFormat="0" applyFill="0" applyAlignment="0" applyProtection="0"/>
    <xf numFmtId="0" fontId="146" fillId="0" borderId="3" applyNumberFormat="0" applyFill="0" applyAlignment="0" applyProtection="0"/>
    <xf numFmtId="0" fontId="148" fillId="0" borderId="4" applyNumberFormat="0" applyFill="0" applyAlignment="0" applyProtection="0"/>
    <xf numFmtId="0" fontId="148" fillId="0" borderId="4" applyNumberFormat="0" applyFill="0" applyAlignment="0" applyProtection="0"/>
    <xf numFmtId="0" fontId="7" fillId="0" borderId="4" applyNumberFormat="0" applyFill="0" applyAlignment="0" applyProtection="0"/>
    <xf numFmtId="0" fontId="149" fillId="0" borderId="26" applyNumberFormat="0" applyFill="0" applyAlignment="0" applyProtection="0"/>
    <xf numFmtId="0" fontId="148" fillId="0" borderId="4" applyNumberFormat="0" applyFill="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7" fillId="0" borderId="0" applyNumberFormat="0" applyFill="0" applyBorder="0" applyAlignment="0" applyProtection="0"/>
    <xf numFmtId="0" fontId="149" fillId="0" borderId="0" applyNumberFormat="0" applyFill="0" applyBorder="0" applyAlignment="0" applyProtection="0"/>
    <xf numFmtId="0" fontId="148" fillId="0" borderId="0" applyNumberFormat="0" applyFill="0" applyBorder="0" applyAlignment="0" applyProtection="0"/>
    <xf numFmtId="0" fontId="150" fillId="0" borderId="10" applyNumberFormat="0" applyFill="0" applyAlignment="0" applyProtection="0"/>
    <xf numFmtId="0" fontId="150" fillId="0" borderId="10" applyNumberFormat="0" applyFill="0" applyAlignment="0" applyProtection="0"/>
    <xf numFmtId="0" fontId="2" fillId="0" borderId="10" applyNumberFormat="0" applyFill="0" applyAlignment="0" applyProtection="0"/>
    <xf numFmtId="0" fontId="80" fillId="0" borderId="38" applyNumberFormat="0" applyFill="0" applyAlignment="0" applyProtection="0"/>
    <xf numFmtId="0" fontId="150" fillId="0" borderId="10" applyNumberFormat="0" applyFill="0" applyAlignment="0" applyProtection="0"/>
    <xf numFmtId="43" fontId="134" fillId="0" borderId="0" applyFont="0" applyFill="0" applyBorder="0" applyAlignment="0" applyProtection="0"/>
    <xf numFmtId="43" fontId="134"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134" fillId="0" borderId="0" applyFont="0" applyFill="0" applyBorder="0" applyAlignment="0" applyProtection="0"/>
    <xf numFmtId="43" fontId="25" fillId="0" borderId="0" applyFont="0" applyFill="0" applyBorder="0" applyAlignment="0" applyProtection="0"/>
    <xf numFmtId="0" fontId="3" fillId="0" borderId="0"/>
    <xf numFmtId="9"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0" fontId="24" fillId="0" borderId="0"/>
    <xf numFmtId="0" fontId="25" fillId="0" borderId="0"/>
    <xf numFmtId="0" fontId="24" fillId="0" borderId="0"/>
    <xf numFmtId="0" fontId="25" fillId="0" borderId="0"/>
    <xf numFmtId="0" fontId="120" fillId="0" borderId="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0" fontId="28" fillId="0" borderId="13" applyNumberFormat="0" applyFill="0" applyAlignment="0" applyProtection="0"/>
    <xf numFmtId="0" fontId="63" fillId="0" borderId="26" applyNumberFormat="0" applyFill="0" applyAlignment="0" applyProtection="0"/>
    <xf numFmtId="0" fontId="72" fillId="0" borderId="31">
      <alignment horizontal="center"/>
    </xf>
    <xf numFmtId="0" fontId="63" fillId="0" borderId="26" applyNumberFormat="0" applyFill="0" applyAlignment="0" applyProtection="0"/>
    <xf numFmtId="43" fontId="22" fillId="0" borderId="0" applyFont="0" applyFill="0" applyBorder="0" applyAlignment="0" applyProtection="0"/>
    <xf numFmtId="43" fontId="21" fillId="0" borderId="0" applyFont="0" applyFill="0" applyBorder="0" applyAlignment="0" applyProtection="0"/>
    <xf numFmtId="0" fontId="28" fillId="0" borderId="13" applyNumberFormat="0" applyFill="0" applyAlignment="0" applyProtection="0"/>
    <xf numFmtId="0" fontId="28" fillId="0" borderId="13"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0" fontId="72" fillId="0" borderId="31">
      <alignment horizontal="center"/>
    </xf>
    <xf numFmtId="43" fontId="94" fillId="0" borderId="0" applyFont="0" applyFill="0" applyBorder="0" applyAlignment="0" applyProtection="0"/>
    <xf numFmtId="0" fontId="28" fillId="0" borderId="13" applyNumberFormat="0" applyFill="0" applyAlignment="0" applyProtection="0"/>
    <xf numFmtId="43" fontId="20" fillId="0" borderId="0" applyFont="0" applyFill="0" applyBorder="0" applyAlignment="0" applyProtection="0"/>
    <xf numFmtId="43" fontId="20" fillId="61" borderId="0" applyNumberFormat="0" applyFont="0" applyBorder="0" applyAlignment="0" applyProtection="0"/>
    <xf numFmtId="5" fontId="49" fillId="0" borderId="0" applyFont="0" applyFill="0" applyBorder="0" applyAlignment="0" applyProtection="0"/>
    <xf numFmtId="6" fontId="49" fillId="0" borderId="0" applyFont="0" applyFill="0" applyBorder="0" applyAlignment="0" applyProtection="0"/>
    <xf numFmtId="8" fontId="49" fillId="0" borderId="0"/>
    <xf numFmtId="42" fontId="49" fillId="0" borderId="0"/>
    <xf numFmtId="8" fontId="49" fillId="0" borderId="0"/>
    <xf numFmtId="42" fontId="49"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9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24" fillId="0" borderId="0" applyFont="0" applyFill="0" applyBorder="0" applyAlignment="0" applyProtection="0"/>
    <xf numFmtId="4" fontId="78" fillId="72" borderId="33" applyNumberFormat="0" applyProtection="0">
      <alignment horizontal="left" vertical="center"/>
    </xf>
    <xf numFmtId="4" fontId="78" fillId="72" borderId="33" applyNumberFormat="0" applyProtection="0">
      <alignment horizontal="left" vertical="center"/>
    </xf>
    <xf numFmtId="4" fontId="78" fillId="72" borderId="33" applyNumberFormat="0" applyProtection="0">
      <alignment horizontal="left" vertical="center"/>
    </xf>
    <xf numFmtId="4" fontId="78" fillId="72" borderId="33" applyNumberFormat="0" applyProtection="0">
      <alignment horizontal="left" vertical="center"/>
    </xf>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0" fontId="28" fillId="0" borderId="13" applyNumberFormat="0" applyFill="0" applyAlignment="0" applyProtection="0"/>
    <xf numFmtId="0" fontId="28" fillId="0" borderId="13" applyNumberFormat="0" applyFill="0" applyAlignment="0" applyProtection="0"/>
    <xf numFmtId="5" fontId="34" fillId="0" borderId="0"/>
    <xf numFmtId="5" fontId="34" fillId="0" borderId="0"/>
    <xf numFmtId="43" fontId="106" fillId="0" borderId="0" applyFont="0" applyFill="0" applyBorder="0" applyAlignment="0" applyProtection="0"/>
    <xf numFmtId="43" fontId="101" fillId="0" borderId="0" applyFont="0" applyFill="0" applyBorder="0" applyAlignment="0" applyProtection="0"/>
    <xf numFmtId="43" fontId="65" fillId="0" borderId="0" applyFont="0" applyFill="0" applyBorder="0" applyAlignment="0" applyProtection="0"/>
    <xf numFmtId="43" fontId="20" fillId="0" borderId="0" applyFont="0" applyFill="0" applyBorder="0" applyAlignment="0" applyProtection="0"/>
    <xf numFmtId="43" fontId="101" fillId="0" borderId="0" applyFont="0" applyFill="0" applyBorder="0" applyAlignment="0" applyProtection="0"/>
    <xf numFmtId="0" fontId="28" fillId="0" borderId="13"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0" fontId="149" fillId="0" borderId="26" applyNumberFormat="0" applyFill="0" applyAlignment="0" applyProtection="0"/>
    <xf numFmtId="43" fontId="134" fillId="0" borderId="0" applyFont="0" applyFill="0" applyBorder="0" applyAlignment="0" applyProtection="0"/>
    <xf numFmtId="43" fontId="134"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134"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0" fontId="153" fillId="0" borderId="0" applyNumberFormat="0" applyFill="0" applyBorder="0" applyAlignment="0" applyProtection="0"/>
  </cellStyleXfs>
  <cellXfs count="130">
    <xf numFmtId="0" fontId="0" fillId="0" borderId="0" xfId="0"/>
    <xf numFmtId="0" fontId="0" fillId="0" borderId="0" xfId="0" applyBorder="1"/>
    <xf numFmtId="0" fontId="155" fillId="0" borderId="0" xfId="0" applyFont="1" applyAlignment="1">
      <alignment vertical="top" wrapText="1"/>
    </xf>
    <xf numFmtId="0" fontId="0" fillId="0" borderId="0" xfId="0" applyBorder="1" applyProtection="1">
      <protection locked="0" hidden="1"/>
    </xf>
    <xf numFmtId="0" fontId="155" fillId="0" borderId="0" xfId="0" applyFont="1" applyBorder="1" applyAlignment="1" applyProtection="1">
      <alignment vertical="top" wrapText="1"/>
      <protection locked="0" hidden="1"/>
    </xf>
    <xf numFmtId="0" fontId="0" fillId="0" borderId="0" xfId="0" applyProtection="1">
      <protection locked="0" hidden="1"/>
    </xf>
    <xf numFmtId="0" fontId="156" fillId="0" borderId="0" xfId="0" applyFont="1" applyAlignment="1" applyProtection="1">
      <alignment vertical="top" wrapText="1"/>
      <protection locked="0" hidden="1"/>
    </xf>
    <xf numFmtId="0" fontId="0" fillId="0" borderId="0" xfId="0" applyBorder="1" applyAlignment="1" applyProtection="1">
      <protection locked="0" hidden="1"/>
    </xf>
    <xf numFmtId="0" fontId="17" fillId="0" borderId="0" xfId="0" applyFont="1" applyBorder="1" applyProtection="1">
      <protection locked="0" hidden="1"/>
    </xf>
    <xf numFmtId="0" fontId="152" fillId="0" borderId="0" xfId="1098" applyFont="1" applyBorder="1" applyAlignment="1" applyProtection="1">
      <protection locked="0" hidden="1"/>
    </xf>
    <xf numFmtId="0" fontId="17" fillId="0" borderId="0" xfId="0" applyFont="1" applyProtection="1">
      <protection locked="0" hidden="1"/>
    </xf>
    <xf numFmtId="0" fontId="155" fillId="0" borderId="0" xfId="0" applyFont="1" applyBorder="1" applyAlignment="1" applyProtection="1">
      <alignment horizontal="center" vertical="center"/>
      <protection locked="0" hidden="1"/>
    </xf>
    <xf numFmtId="0" fontId="154" fillId="0" borderId="0" xfId="0" applyFont="1" applyBorder="1" applyAlignment="1" applyProtection="1">
      <alignment horizontal="center" vertical="center"/>
      <protection locked="0" hidden="1"/>
    </xf>
    <xf numFmtId="0" fontId="2" fillId="89" borderId="44" xfId="0" applyFont="1" applyFill="1" applyBorder="1" applyAlignment="1">
      <alignment horizontal="left" vertical="center"/>
    </xf>
    <xf numFmtId="0" fontId="0" fillId="0" borderId="43" xfId="0" applyBorder="1" applyAlignment="1">
      <alignment horizontal="center" vertical="center"/>
    </xf>
    <xf numFmtId="0" fontId="0" fillId="0" borderId="43" xfId="0" applyBorder="1" applyAlignment="1">
      <alignment vertical="center"/>
    </xf>
    <xf numFmtId="0" fontId="164" fillId="0" borderId="43" xfId="0" applyFont="1" applyFill="1" applyBorder="1" applyAlignment="1">
      <alignment vertical="center"/>
    </xf>
    <xf numFmtId="0" fontId="160" fillId="0" borderId="43" xfId="0" applyFont="1" applyBorder="1" applyAlignment="1">
      <alignment horizontal="left" vertical="center"/>
    </xf>
    <xf numFmtId="3" fontId="160" fillId="0" borderId="43" xfId="0" applyNumberFormat="1" applyFont="1" applyBorder="1" applyAlignment="1">
      <alignment horizontal="right" vertical="center"/>
    </xf>
    <xf numFmtId="0" fontId="161" fillId="0" borderId="43" xfId="0" applyFont="1" applyBorder="1" applyAlignment="1">
      <alignment horizontal="left" vertical="center"/>
    </xf>
    <xf numFmtId="3" fontId="161" fillId="0" borderId="43" xfId="0" applyNumberFormat="1" applyFont="1" applyBorder="1" applyAlignment="1">
      <alignment horizontal="right" vertical="center"/>
    </xf>
    <xf numFmtId="0" fontId="0" fillId="0" borderId="43" xfId="0" applyBorder="1" applyAlignment="1">
      <alignment horizontal="left" vertical="center"/>
    </xf>
    <xf numFmtId="3" fontId="0" fillId="0" borderId="43" xfId="0" applyNumberFormat="1" applyBorder="1" applyAlignment="1">
      <alignment vertical="center"/>
    </xf>
    <xf numFmtId="0" fontId="162" fillId="0" borderId="43" xfId="0" applyFont="1" applyBorder="1" applyAlignment="1">
      <alignment vertical="center"/>
    </xf>
    <xf numFmtId="0" fontId="4" fillId="0" borderId="43" xfId="0" applyFont="1" applyBorder="1" applyAlignment="1">
      <alignment horizontal="left" vertical="center"/>
    </xf>
    <xf numFmtId="0" fontId="160" fillId="0" borderId="43" xfId="0" applyFont="1" applyBorder="1" applyAlignment="1">
      <alignment vertical="center"/>
    </xf>
    <xf numFmtId="3" fontId="160" fillId="0" borderId="43" xfId="0" applyNumberFormat="1" applyFont="1" applyBorder="1" applyAlignment="1">
      <alignment vertical="center"/>
    </xf>
    <xf numFmtId="3" fontId="160" fillId="0" borderId="43" xfId="0" applyNumberFormat="1" applyFont="1" applyBorder="1" applyAlignment="1">
      <alignment horizontal="center" vertical="center"/>
    </xf>
    <xf numFmtId="0" fontId="161" fillId="0" borderId="43" xfId="0" applyFont="1" applyBorder="1" applyAlignment="1">
      <alignment vertical="center"/>
    </xf>
    <xf numFmtId="164" fontId="160" fillId="0" borderId="43" xfId="0" applyNumberFormat="1" applyFont="1" applyBorder="1" applyAlignment="1">
      <alignment vertical="center"/>
    </xf>
    <xf numFmtId="0" fontId="162" fillId="0" borderId="43" xfId="0" applyFont="1" applyBorder="1" applyAlignment="1">
      <alignment vertical="center" wrapText="1"/>
    </xf>
    <xf numFmtId="3" fontId="0" fillId="0" borderId="43" xfId="0" applyNumberFormat="1" applyBorder="1" applyAlignment="1">
      <alignment horizontal="center" vertical="center"/>
    </xf>
    <xf numFmtId="3" fontId="160" fillId="0" borderId="43" xfId="0" applyNumberFormat="1" applyFont="1" applyFill="1" applyBorder="1" applyAlignment="1">
      <alignment horizontal="right" vertical="center"/>
    </xf>
    <xf numFmtId="9" fontId="160" fillId="0" borderId="43" xfId="1" applyFont="1" applyBorder="1" applyAlignment="1">
      <alignment vertical="center"/>
    </xf>
    <xf numFmtId="166" fontId="160" fillId="0" borderId="43" xfId="1" applyNumberFormat="1" applyFont="1" applyBorder="1" applyAlignment="1">
      <alignment horizontal="right" vertical="center"/>
    </xf>
    <xf numFmtId="166" fontId="160" fillId="0" borderId="43" xfId="0" applyNumberFormat="1" applyFont="1" applyBorder="1" applyAlignment="1">
      <alignment vertical="center"/>
    </xf>
    <xf numFmtId="166" fontId="161" fillId="0" borderId="43" xfId="1" applyNumberFormat="1" applyFont="1" applyBorder="1" applyAlignment="1">
      <alignment horizontal="right" vertical="center"/>
    </xf>
    <xf numFmtId="167" fontId="160" fillId="0" borderId="43" xfId="1" applyNumberFormat="1" applyFont="1" applyBorder="1" applyAlignment="1">
      <alignment horizontal="right" vertical="center"/>
    </xf>
    <xf numFmtId="0" fontId="163" fillId="0" borderId="43" xfId="0" applyFont="1" applyBorder="1" applyAlignment="1">
      <alignment vertical="center"/>
    </xf>
    <xf numFmtId="0" fontId="162" fillId="0" borderId="43" xfId="0" applyFont="1" applyBorder="1" applyAlignment="1">
      <alignment horizontal="right" vertical="center"/>
    </xf>
    <xf numFmtId="0" fontId="1" fillId="88" borderId="43" xfId="0" applyFont="1" applyFill="1" applyBorder="1" applyAlignment="1">
      <alignment vertical="center"/>
    </xf>
    <xf numFmtId="0" fontId="17" fillId="88" borderId="43" xfId="0" applyFont="1" applyFill="1" applyBorder="1" applyAlignment="1">
      <alignment vertical="center"/>
    </xf>
    <xf numFmtId="166" fontId="17" fillId="88" borderId="43" xfId="0" applyNumberFormat="1" applyFont="1" applyFill="1" applyBorder="1" applyAlignment="1">
      <alignment vertical="center"/>
    </xf>
    <xf numFmtId="0" fontId="161" fillId="87" borderId="43" xfId="0" applyFont="1" applyFill="1" applyBorder="1" applyAlignment="1">
      <alignment vertical="center"/>
    </xf>
    <xf numFmtId="166" fontId="161" fillId="87" borderId="43" xfId="1" applyNumberFormat="1" applyFont="1" applyFill="1" applyBorder="1" applyAlignment="1">
      <alignment horizontal="right" vertical="center"/>
    </xf>
    <xf numFmtId="0" fontId="160" fillId="87" borderId="43" xfId="0" applyFont="1" applyFill="1" applyBorder="1" applyAlignment="1">
      <alignment horizontal="left" vertical="center"/>
    </xf>
    <xf numFmtId="166" fontId="160" fillId="87" borderId="43" xfId="1" applyNumberFormat="1" applyFont="1" applyFill="1" applyBorder="1" applyAlignment="1">
      <alignment horizontal="right" vertical="center"/>
    </xf>
    <xf numFmtId="167" fontId="160" fillId="87" borderId="43" xfId="1" applyNumberFormat="1" applyFont="1" applyFill="1" applyBorder="1" applyAlignment="1">
      <alignment horizontal="right" vertical="center"/>
    </xf>
    <xf numFmtId="0" fontId="163" fillId="87" borderId="43" xfId="0" applyFont="1" applyFill="1" applyBorder="1" applyAlignment="1">
      <alignment vertical="center"/>
    </xf>
    <xf numFmtId="0" fontId="160" fillId="0" borderId="43" xfId="0" applyFont="1" applyFill="1" applyBorder="1" applyAlignment="1">
      <alignment horizontal="left" vertical="center"/>
    </xf>
    <xf numFmtId="0" fontId="162" fillId="0" borderId="43" xfId="0" applyFont="1" applyBorder="1" applyAlignment="1">
      <alignment horizontal="left" vertical="center"/>
    </xf>
    <xf numFmtId="0" fontId="0" fillId="0" borderId="43" xfId="0" applyBorder="1"/>
    <xf numFmtId="166" fontId="160" fillId="0" borderId="43" xfId="1" applyNumberFormat="1" applyFont="1" applyBorder="1" applyAlignment="1">
      <alignment horizontal="center" vertical="center"/>
    </xf>
    <xf numFmtId="0" fontId="0" fillId="0" borderId="43" xfId="0" applyFill="1" applyBorder="1" applyAlignment="1">
      <alignment vertical="center"/>
    </xf>
    <xf numFmtId="166" fontId="0" fillId="0" borderId="43" xfId="1" applyNumberFormat="1" applyFont="1" applyBorder="1" applyAlignment="1">
      <alignment horizontal="center" vertical="center"/>
    </xf>
    <xf numFmtId="9" fontId="0" fillId="0" borderId="43" xfId="1" applyFont="1" applyBorder="1" applyAlignment="1">
      <alignment vertical="center"/>
    </xf>
    <xf numFmtId="0" fontId="160" fillId="0" borderId="43" xfId="0" applyFont="1" applyBorder="1"/>
    <xf numFmtId="168" fontId="160" fillId="0" borderId="43" xfId="0" applyNumberFormat="1" applyFont="1" applyBorder="1" applyAlignment="1">
      <alignment horizontal="center" vertical="center"/>
    </xf>
    <xf numFmtId="166" fontId="160" fillId="0" borderId="43" xfId="0" applyNumberFormat="1" applyFont="1" applyBorder="1" applyAlignment="1">
      <alignment horizontal="center" vertical="center"/>
    </xf>
    <xf numFmtId="166" fontId="0" fillId="0" borderId="43" xfId="0" applyNumberFormat="1" applyFont="1" applyBorder="1" applyAlignment="1">
      <alignment horizontal="center" vertical="center"/>
    </xf>
    <xf numFmtId="3" fontId="0" fillId="0" borderId="43" xfId="0" applyNumberFormat="1" applyBorder="1" applyAlignment="1">
      <alignment horizontal="left" vertical="center"/>
    </xf>
    <xf numFmtId="165" fontId="2" fillId="0" borderId="45" xfId="0" quotePrefix="1" applyNumberFormat="1" applyFont="1" applyFill="1" applyBorder="1" applyAlignment="1">
      <alignment horizontal="right"/>
    </xf>
    <xf numFmtId="0" fontId="0" fillId="0" borderId="46" xfId="0" applyBorder="1" applyAlignment="1">
      <alignment vertical="center"/>
    </xf>
    <xf numFmtId="0" fontId="0" fillId="0" borderId="44" xfId="0" applyBorder="1" applyAlignment="1">
      <alignment vertical="center"/>
    </xf>
    <xf numFmtId="0" fontId="164" fillId="0" borderId="44" xfId="0" applyFont="1" applyFill="1" applyBorder="1" applyAlignment="1">
      <alignment vertical="center"/>
    </xf>
    <xf numFmtId="0" fontId="160" fillId="0" borderId="44" xfId="0" applyFont="1" applyBorder="1" applyAlignment="1">
      <alignment horizontal="left" vertical="center"/>
    </xf>
    <xf numFmtId="0" fontId="160" fillId="0" borderId="47" xfId="0" applyFont="1" applyBorder="1" applyAlignment="1">
      <alignment horizontal="left" vertical="center"/>
    </xf>
    <xf numFmtId="0" fontId="161" fillId="0" borderId="48" xfId="0" applyFont="1" applyBorder="1" applyAlignment="1">
      <alignment horizontal="left" vertical="center"/>
    </xf>
    <xf numFmtId="0" fontId="0" fillId="0" borderId="44" xfId="0" applyBorder="1" applyAlignment="1">
      <alignment horizontal="left" vertical="center"/>
    </xf>
    <xf numFmtId="0" fontId="162" fillId="0" borderId="44" xfId="0" applyFont="1" applyBorder="1" applyAlignment="1">
      <alignment vertical="center"/>
    </xf>
    <xf numFmtId="165" fontId="2" fillId="0" borderId="50" xfId="0" quotePrefix="1" applyNumberFormat="1" applyFont="1" applyFill="1" applyBorder="1" applyAlignment="1">
      <alignment horizontal="center"/>
    </xf>
    <xf numFmtId="3" fontId="2" fillId="89" borderId="52" xfId="0" applyNumberFormat="1" applyFont="1" applyFill="1" applyBorder="1" applyAlignment="1">
      <alignment horizontal="right" vertical="center"/>
    </xf>
    <xf numFmtId="0" fontId="0" fillId="0" borderId="52" xfId="0" applyBorder="1" applyAlignment="1">
      <alignment vertical="center"/>
    </xf>
    <xf numFmtId="0" fontId="0" fillId="0" borderId="52" xfId="0" applyBorder="1" applyAlignment="1">
      <alignment horizontal="left" vertical="center"/>
    </xf>
    <xf numFmtId="3" fontId="0" fillId="0" borderId="52" xfId="0" applyNumberFormat="1" applyBorder="1" applyAlignment="1">
      <alignment vertical="center"/>
    </xf>
    <xf numFmtId="0" fontId="4" fillId="0" borderId="52" xfId="0" applyFont="1" applyBorder="1" applyAlignment="1">
      <alignment horizontal="left" vertical="center"/>
    </xf>
    <xf numFmtId="0" fontId="23" fillId="0" borderId="43" xfId="0" applyFont="1" applyBorder="1" applyAlignment="1">
      <alignment horizontal="center"/>
    </xf>
    <xf numFmtId="1" fontId="2" fillId="0" borderId="50" xfId="0" quotePrefix="1" applyNumberFormat="1" applyFont="1" applyFill="1" applyBorder="1" applyAlignment="1">
      <alignment horizontal="center"/>
    </xf>
    <xf numFmtId="216" fontId="160" fillId="0" borderId="43" xfId="0" applyNumberFormat="1" applyFont="1" applyBorder="1" applyAlignment="1">
      <alignment vertical="center"/>
    </xf>
    <xf numFmtId="216" fontId="166" fillId="0" borderId="43" xfId="0" applyNumberFormat="1" applyFont="1" applyBorder="1" applyAlignment="1">
      <alignment horizontal="center" vertical="center"/>
    </xf>
    <xf numFmtId="216" fontId="160" fillId="0" borderId="43" xfId="0" applyNumberFormat="1" applyFont="1" applyBorder="1" applyAlignment="1">
      <alignment horizontal="right" vertical="center"/>
    </xf>
    <xf numFmtId="216" fontId="161" fillId="0" borderId="43" xfId="0" applyNumberFormat="1" applyFont="1" applyBorder="1" applyAlignment="1">
      <alignment horizontal="right" vertical="center"/>
    </xf>
    <xf numFmtId="216" fontId="161" fillId="0" borderId="43" xfId="0" applyNumberFormat="1" applyFont="1" applyBorder="1" applyAlignment="1">
      <alignment vertical="center"/>
    </xf>
    <xf numFmtId="216" fontId="160" fillId="0" borderId="43" xfId="0" applyNumberFormat="1" applyFont="1" applyBorder="1" applyAlignment="1">
      <alignment horizontal="left" vertical="center"/>
    </xf>
    <xf numFmtId="216" fontId="160" fillId="0" borderId="43" xfId="0" applyNumberFormat="1" applyFont="1" applyBorder="1" applyAlignment="1">
      <alignment horizontal="center" vertical="center"/>
    </xf>
    <xf numFmtId="216" fontId="0" fillId="0" borderId="51" xfId="0" applyNumberFormat="1" applyBorder="1" applyAlignment="1">
      <alignment vertical="center"/>
    </xf>
    <xf numFmtId="216" fontId="2" fillId="89" borderId="52" xfId="0" applyNumberFormat="1" applyFont="1" applyFill="1" applyBorder="1" applyAlignment="1">
      <alignment horizontal="right" vertical="center"/>
    </xf>
    <xf numFmtId="216" fontId="0" fillId="0" borderId="52" xfId="0" applyNumberFormat="1" applyBorder="1" applyAlignment="1">
      <alignment vertical="center"/>
    </xf>
    <xf numFmtId="216" fontId="165" fillId="0" borderId="52" xfId="0" applyNumberFormat="1" applyFont="1" applyFill="1" applyBorder="1" applyAlignment="1">
      <alignment vertical="center"/>
    </xf>
    <xf numFmtId="216" fontId="164" fillId="0" borderId="52" xfId="0" applyNumberFormat="1" applyFont="1" applyFill="1" applyBorder="1" applyAlignment="1">
      <alignment vertical="center"/>
    </xf>
    <xf numFmtId="216" fontId="160" fillId="0" borderId="52" xfId="0" applyNumberFormat="1" applyFont="1" applyBorder="1" applyAlignment="1">
      <alignment horizontal="right" vertical="center"/>
    </xf>
    <xf numFmtId="216" fontId="160" fillId="0" borderId="49" xfId="0" applyNumberFormat="1" applyFont="1" applyBorder="1" applyAlignment="1">
      <alignment horizontal="right" vertical="center"/>
    </xf>
    <xf numFmtId="216" fontId="161" fillId="0" borderId="53" xfId="0" applyNumberFormat="1" applyFont="1" applyBorder="1" applyAlignment="1">
      <alignment horizontal="right" vertical="center"/>
    </xf>
    <xf numFmtId="216" fontId="0" fillId="0" borderId="52" xfId="0" applyNumberFormat="1" applyBorder="1" applyAlignment="1">
      <alignment horizontal="left" vertical="center"/>
    </xf>
    <xf numFmtId="0" fontId="161" fillId="89" borderId="43" xfId="0" applyFont="1" applyFill="1" applyBorder="1" applyAlignment="1">
      <alignment horizontal="left" vertical="center"/>
    </xf>
    <xf numFmtId="216" fontId="161" fillId="89" borderId="43" xfId="0" applyNumberFormat="1" applyFont="1" applyFill="1" applyBorder="1" applyAlignment="1">
      <alignment horizontal="right" vertical="center"/>
    </xf>
    <xf numFmtId="216" fontId="0" fillId="0" borderId="43" xfId="0" applyNumberFormat="1" applyBorder="1" applyAlignment="1">
      <alignment vertical="center"/>
    </xf>
    <xf numFmtId="216" fontId="165" fillId="0" borderId="43" xfId="0" applyNumberFormat="1" applyFont="1" applyFill="1" applyBorder="1" applyAlignment="1">
      <alignment vertical="center"/>
    </xf>
    <xf numFmtId="216" fontId="164" fillId="0" borderId="43" xfId="0" applyNumberFormat="1" applyFont="1" applyFill="1" applyBorder="1" applyAlignment="1">
      <alignment vertical="center"/>
    </xf>
    <xf numFmtId="216" fontId="160" fillId="0" borderId="43" xfId="0" applyNumberFormat="1" applyFont="1" applyFill="1" applyBorder="1" applyAlignment="1">
      <alignment horizontal="right" vertical="center"/>
    </xf>
    <xf numFmtId="216" fontId="2" fillId="0" borderId="43" xfId="0" applyNumberFormat="1" applyFont="1" applyBorder="1" applyAlignment="1">
      <alignment horizontal="right" vertical="center"/>
    </xf>
    <xf numFmtId="216" fontId="0" fillId="0" borderId="43" xfId="0" applyNumberFormat="1" applyBorder="1" applyAlignment="1">
      <alignment horizontal="left" vertical="center"/>
    </xf>
    <xf numFmtId="216" fontId="2" fillId="0" borderId="43" xfId="0" applyNumberFormat="1" applyFont="1" applyBorder="1" applyAlignment="1">
      <alignment horizontal="left" vertical="center"/>
    </xf>
    <xf numFmtId="216" fontId="17" fillId="0" borderId="43" xfId="0" applyNumberFormat="1" applyFont="1" applyFill="1" applyBorder="1" applyAlignment="1">
      <alignment vertical="center"/>
    </xf>
    <xf numFmtId="216" fontId="1" fillId="0" borderId="43" xfId="0" applyNumberFormat="1" applyFont="1" applyFill="1" applyBorder="1" applyAlignment="1">
      <alignment vertical="center"/>
    </xf>
    <xf numFmtId="216" fontId="160" fillId="2" borderId="43" xfId="0" applyNumberFormat="1" applyFont="1" applyFill="1" applyBorder="1" applyAlignment="1">
      <alignment horizontal="right" vertical="center"/>
    </xf>
    <xf numFmtId="216" fontId="167" fillId="0" borderId="43" xfId="0" applyNumberFormat="1" applyFont="1" applyBorder="1" applyAlignment="1">
      <alignment vertical="center"/>
    </xf>
    <xf numFmtId="216" fontId="2" fillId="89" borderId="54" xfId="0" applyNumberFormat="1" applyFont="1" applyFill="1" applyBorder="1" applyAlignment="1">
      <alignment horizontal="right" vertical="center"/>
    </xf>
    <xf numFmtId="216" fontId="160" fillId="0" borderId="55" xfId="0" applyNumberFormat="1" applyFont="1" applyBorder="1" applyAlignment="1">
      <alignment horizontal="right" vertical="center"/>
    </xf>
    <xf numFmtId="216" fontId="160" fillId="0" borderId="55" xfId="0" applyNumberFormat="1" applyFont="1" applyFill="1" applyBorder="1" applyAlignment="1">
      <alignment horizontal="right" vertical="center"/>
    </xf>
    <xf numFmtId="0" fontId="0" fillId="0" borderId="0" xfId="0" applyBorder="1" applyAlignment="1">
      <alignment vertical="center"/>
    </xf>
    <xf numFmtId="0" fontId="2" fillId="89" borderId="0" xfId="0" applyFont="1" applyFill="1" applyBorder="1" applyAlignment="1">
      <alignment horizontal="left" vertical="center"/>
    </xf>
    <xf numFmtId="3" fontId="160" fillId="0" borderId="0" xfId="0" applyNumberFormat="1" applyFont="1" applyBorder="1" applyAlignment="1">
      <alignment horizontal="right" vertical="center"/>
    </xf>
    <xf numFmtId="0" fontId="160" fillId="0" borderId="0" xfId="0" applyFont="1" applyBorder="1" applyAlignment="1">
      <alignment vertical="center"/>
    </xf>
    <xf numFmtId="166" fontId="160" fillId="0" borderId="0" xfId="1" applyNumberFormat="1" applyFont="1" applyBorder="1" applyAlignment="1">
      <alignment horizontal="right" vertical="center"/>
    </xf>
    <xf numFmtId="166" fontId="161" fillId="0" borderId="0" xfId="1" applyNumberFormat="1" applyFont="1" applyBorder="1" applyAlignment="1">
      <alignment horizontal="right" vertical="center"/>
    </xf>
    <xf numFmtId="167" fontId="160" fillId="0" borderId="0" xfId="1" applyNumberFormat="1" applyFont="1" applyBorder="1" applyAlignment="1">
      <alignment horizontal="right" vertical="center"/>
    </xf>
    <xf numFmtId="0" fontId="163" fillId="0" borderId="0" xfId="0" applyFont="1" applyBorder="1" applyAlignment="1">
      <alignment vertical="center"/>
    </xf>
    <xf numFmtId="216" fontId="166" fillId="0" borderId="0" xfId="0" applyNumberFormat="1" applyFont="1" applyBorder="1" applyAlignment="1">
      <alignment horizontal="center" vertical="center"/>
    </xf>
    <xf numFmtId="216" fontId="161" fillId="89" borderId="0" xfId="0" applyNumberFormat="1" applyFont="1" applyFill="1" applyBorder="1" applyAlignment="1">
      <alignment horizontal="right" vertical="center"/>
    </xf>
    <xf numFmtId="216" fontId="160" fillId="0" borderId="0" xfId="0" applyNumberFormat="1" applyFont="1" applyBorder="1" applyAlignment="1">
      <alignment horizontal="right" vertical="center"/>
    </xf>
    <xf numFmtId="216" fontId="160" fillId="0" borderId="0" xfId="0" applyNumberFormat="1" applyFont="1" applyBorder="1" applyAlignment="1">
      <alignment vertical="center"/>
    </xf>
    <xf numFmtId="216" fontId="161" fillId="0" borderId="0" xfId="0" applyNumberFormat="1" applyFont="1" applyBorder="1" applyAlignment="1">
      <alignment vertical="center"/>
    </xf>
    <xf numFmtId="216" fontId="160" fillId="0" borderId="0" xfId="0" applyNumberFormat="1" applyFont="1" applyBorder="1" applyAlignment="1">
      <alignment horizontal="left" vertical="center"/>
    </xf>
    <xf numFmtId="0" fontId="152" fillId="0" borderId="0" xfId="1098" applyFont="1" applyBorder="1" applyAlignment="1" applyProtection="1">
      <alignment horizontal="center"/>
      <protection locked="0" hidden="1"/>
    </xf>
    <xf numFmtId="0" fontId="157" fillId="0" borderId="0" xfId="0" applyFont="1" applyBorder="1" applyAlignment="1" applyProtection="1">
      <alignment horizontal="right" vertical="top" wrapText="1"/>
      <protection locked="0" hidden="1"/>
    </xf>
    <xf numFmtId="0" fontId="155" fillId="0" borderId="0" xfId="0" applyFont="1" applyBorder="1" applyAlignment="1" applyProtection="1">
      <alignment horizontal="center" vertical="center"/>
      <protection locked="0" hidden="1"/>
    </xf>
    <xf numFmtId="0" fontId="154" fillId="0" borderId="0" xfId="0" applyFont="1" applyBorder="1" applyAlignment="1" applyProtection="1">
      <alignment horizontal="center" vertical="center"/>
      <protection locked="0" hidden="1"/>
    </xf>
    <xf numFmtId="0" fontId="159" fillId="0" borderId="0" xfId="0" applyFont="1" applyAlignment="1" applyProtection="1">
      <alignment horizontal="center" vertical="center"/>
      <protection locked="0" hidden="1"/>
    </xf>
    <xf numFmtId="0" fontId="151" fillId="0" borderId="0" xfId="0" applyFont="1" applyBorder="1" applyAlignment="1" applyProtection="1">
      <alignment horizontal="center" vertical="center" wrapText="1"/>
      <protection locked="0" hidden="1"/>
    </xf>
  </cellXfs>
  <cellStyles count="1099">
    <cellStyle name="          _x000d__x000a_386grabber=VGA.3GR_x000d__x000a_" xfId="585" xr:uid="{00000000-0005-0000-0000-000000000000}"/>
    <cellStyle name="#,##-" xfId="26" xr:uid="{00000000-0005-0000-0000-000001000000}"/>
    <cellStyle name="#,##0" xfId="27" xr:uid="{00000000-0005-0000-0000-000002000000}"/>
    <cellStyle name="#,##0%" xfId="28" xr:uid="{00000000-0005-0000-0000-000003000000}"/>
    <cellStyle name="#,##0.0%" xfId="29" xr:uid="{00000000-0005-0000-0000-000004000000}"/>
    <cellStyle name="#,##0_),(#,##0)" xfId="30" xr:uid="{00000000-0005-0000-0000-000005000000}"/>
    <cellStyle name="_%(SignOnly)" xfId="31" xr:uid="{00000000-0005-0000-0000-000006000000}"/>
    <cellStyle name="_%(SignSpaceOnly)" xfId="32" xr:uid="{00000000-0005-0000-0000-000007000000}"/>
    <cellStyle name="_2.05.09.10.00013_0906" xfId="33" xr:uid="{00000000-0005-0000-0000-000008000000}"/>
    <cellStyle name="_Comma" xfId="34" xr:uid="{00000000-0005-0000-0000-000009000000}"/>
    <cellStyle name="_Currency" xfId="35" xr:uid="{00000000-0005-0000-0000-00000A000000}"/>
    <cellStyle name="_CurrencySpace" xfId="36" xr:uid="{00000000-0005-0000-0000-00000B000000}"/>
    <cellStyle name="_drog_normal" xfId="37" xr:uid="{00000000-0005-0000-0000-00000C000000}"/>
    <cellStyle name="_Drogasil_Texto" xfId="38" xr:uid="{00000000-0005-0000-0000-00000D000000}"/>
    <cellStyle name="_Drogasil_Texto 2" xfId="39" xr:uid="{00000000-0005-0000-0000-00000E000000}"/>
    <cellStyle name="_Euro" xfId="40" xr:uid="{00000000-0005-0000-0000-00000F000000}"/>
    <cellStyle name="_Heading" xfId="41" xr:uid="{00000000-0005-0000-0000-000010000000}"/>
    <cellStyle name="_Highlight" xfId="42" xr:uid="{00000000-0005-0000-0000-000011000000}"/>
    <cellStyle name="_Multiple" xfId="43" xr:uid="{00000000-0005-0000-0000-000012000000}"/>
    <cellStyle name="_MultipleSpace" xfId="44" xr:uid="{00000000-0005-0000-0000-000013000000}"/>
    <cellStyle name="_SubHeading" xfId="45" xr:uid="{00000000-0005-0000-0000-000014000000}"/>
    <cellStyle name="_Table" xfId="46" xr:uid="{00000000-0005-0000-0000-000015000000}"/>
    <cellStyle name="_Table 2" xfId="338" xr:uid="{00000000-0005-0000-0000-000016000000}"/>
    <cellStyle name="_Table 2 2" xfId="694" xr:uid="{00000000-0005-0000-0000-000017000000}"/>
    <cellStyle name="_Table 2 2 2" xfId="1071" xr:uid="{00000000-0005-0000-0000-000018000000}"/>
    <cellStyle name="_Table 2 3" xfId="997" xr:uid="{00000000-0005-0000-0000-000019000000}"/>
    <cellStyle name="_Table 3" xfId="337" xr:uid="{00000000-0005-0000-0000-00001A000000}"/>
    <cellStyle name="_Table 3 2" xfId="695" xr:uid="{00000000-0005-0000-0000-00001B000000}"/>
    <cellStyle name="_Table 3 2 2" xfId="1072" xr:uid="{00000000-0005-0000-0000-00001C000000}"/>
    <cellStyle name="_Table 3 3" xfId="996" xr:uid="{00000000-0005-0000-0000-00001D000000}"/>
    <cellStyle name="_Table 4" xfId="703" xr:uid="{00000000-0005-0000-0000-00001E000000}"/>
    <cellStyle name="_Table 4 2" xfId="1080" xr:uid="{00000000-0005-0000-0000-00001F000000}"/>
    <cellStyle name="_Table 5" xfId="990" xr:uid="{00000000-0005-0000-0000-000020000000}"/>
    <cellStyle name="_Table_Consolidado_total" xfId="586" xr:uid="{00000000-0005-0000-0000-000021000000}"/>
    <cellStyle name="_Table_Consolidado_total 2" xfId="1003" xr:uid="{00000000-0005-0000-0000-000022000000}"/>
    <cellStyle name="_TableHead" xfId="47" xr:uid="{00000000-0005-0000-0000-000023000000}"/>
    <cellStyle name="_TableRowHead" xfId="48" xr:uid="{00000000-0005-0000-0000-000024000000}"/>
    <cellStyle name="_TableSuperHead" xfId="49" xr:uid="{00000000-0005-0000-0000-000025000000}"/>
    <cellStyle name="=C:\WINNT\SYSTEM32\COMMAND.COM" xfId="50" xr:uid="{00000000-0005-0000-0000-000026000000}"/>
    <cellStyle name="=C:\WINNT\SYSTEM32\COMMAND.COM 2" xfId="51" xr:uid="{00000000-0005-0000-0000-000027000000}"/>
    <cellStyle name="=C:\WINNT\SYSTEM32\COMMAND.COM 3" xfId="52" xr:uid="{00000000-0005-0000-0000-000028000000}"/>
    <cellStyle name="=C:\WINNT\SYSTEM32\COMMAND.COM 4" xfId="53" xr:uid="{00000000-0005-0000-0000-000029000000}"/>
    <cellStyle name="=C:\WINNT\SYSTEM32\COMMAND.COM 5" xfId="54" xr:uid="{00000000-0005-0000-0000-00002A000000}"/>
    <cellStyle name="=C:\WINNT\SYSTEM32\COMMAND.COM 6" xfId="55" xr:uid="{00000000-0005-0000-0000-00002B000000}"/>
    <cellStyle name="=C:\WINNT\SYSTEM32\COMMAND.COM 7" xfId="56" xr:uid="{00000000-0005-0000-0000-00002C000000}"/>
    <cellStyle name="0.0x" xfId="57" xr:uid="{00000000-0005-0000-0000-00002D000000}"/>
    <cellStyle name="20% - Accent1" xfId="58" xr:uid="{00000000-0005-0000-0000-00002E000000}"/>
    <cellStyle name="20% - Accent2" xfId="59" xr:uid="{00000000-0005-0000-0000-00002F000000}"/>
    <cellStyle name="20% - Accent3" xfId="60" xr:uid="{00000000-0005-0000-0000-000030000000}"/>
    <cellStyle name="20% - Accent4" xfId="61" xr:uid="{00000000-0005-0000-0000-000031000000}"/>
    <cellStyle name="20% - Accent5" xfId="62" xr:uid="{00000000-0005-0000-0000-000032000000}"/>
    <cellStyle name="20% - Accent6" xfId="63" xr:uid="{00000000-0005-0000-0000-000033000000}"/>
    <cellStyle name="20% - Ênfase1 2" xfId="64" xr:uid="{00000000-0005-0000-0000-000034000000}"/>
    <cellStyle name="20% - Ênfase1 2 2" xfId="342" xr:uid="{00000000-0005-0000-0000-000035000000}"/>
    <cellStyle name="20% - Ênfase1 2 2 2" xfId="732" xr:uid="{00000000-0005-0000-0000-000036000000}"/>
    <cellStyle name="20% - Ênfase1 2 3" xfId="343" xr:uid="{00000000-0005-0000-0000-000037000000}"/>
    <cellStyle name="20% - Ênfase1 2 4" xfId="731" xr:uid="{00000000-0005-0000-0000-000038000000}"/>
    <cellStyle name="20% - Ênfase1 3" xfId="344" xr:uid="{00000000-0005-0000-0000-000039000000}"/>
    <cellStyle name="20% - Ênfase1 3 2" xfId="733" xr:uid="{00000000-0005-0000-0000-00003A000000}"/>
    <cellStyle name="20% - Ênfase1 4" xfId="734" xr:uid="{00000000-0005-0000-0000-00003B000000}"/>
    <cellStyle name="20% - Ênfase1 5" xfId="735" xr:uid="{00000000-0005-0000-0000-00003C000000}"/>
    <cellStyle name="20% - Ênfase1 6" xfId="736" xr:uid="{00000000-0005-0000-0000-00003D000000}"/>
    <cellStyle name="20% - Ênfase1 7" xfId="737" xr:uid="{00000000-0005-0000-0000-00003E000000}"/>
    <cellStyle name="20% - Ênfase2 2" xfId="65" xr:uid="{00000000-0005-0000-0000-00003F000000}"/>
    <cellStyle name="20% - Ênfase2 2 2" xfId="345" xr:uid="{00000000-0005-0000-0000-000040000000}"/>
    <cellStyle name="20% - Ênfase2 2 2 2" xfId="739" xr:uid="{00000000-0005-0000-0000-000041000000}"/>
    <cellStyle name="20% - Ênfase2 2 3" xfId="346" xr:uid="{00000000-0005-0000-0000-000042000000}"/>
    <cellStyle name="20% - Ênfase2 2 4" xfId="738" xr:uid="{00000000-0005-0000-0000-000043000000}"/>
    <cellStyle name="20% - Ênfase2 3" xfId="347" xr:uid="{00000000-0005-0000-0000-000044000000}"/>
    <cellStyle name="20% - Ênfase2 3 2" xfId="740" xr:uid="{00000000-0005-0000-0000-000045000000}"/>
    <cellStyle name="20% - Ênfase2 4" xfId="741" xr:uid="{00000000-0005-0000-0000-000046000000}"/>
    <cellStyle name="20% - Ênfase2 5" xfId="742" xr:uid="{00000000-0005-0000-0000-000047000000}"/>
    <cellStyle name="20% - Ênfase2 6" xfId="743" xr:uid="{00000000-0005-0000-0000-000048000000}"/>
    <cellStyle name="20% - Ênfase2 7" xfId="744" xr:uid="{00000000-0005-0000-0000-000049000000}"/>
    <cellStyle name="20% - Ênfase3 2" xfId="66" xr:uid="{00000000-0005-0000-0000-00004A000000}"/>
    <cellStyle name="20% - Ênfase3 2 2" xfId="348" xr:uid="{00000000-0005-0000-0000-00004B000000}"/>
    <cellStyle name="20% - Ênfase3 2 2 2" xfId="746" xr:uid="{00000000-0005-0000-0000-00004C000000}"/>
    <cellStyle name="20% - Ênfase3 2 3" xfId="349" xr:uid="{00000000-0005-0000-0000-00004D000000}"/>
    <cellStyle name="20% - Ênfase3 2 4" xfId="745" xr:uid="{00000000-0005-0000-0000-00004E000000}"/>
    <cellStyle name="20% - Ênfase3 3" xfId="350" xr:uid="{00000000-0005-0000-0000-00004F000000}"/>
    <cellStyle name="20% - Ênfase3 3 2" xfId="747" xr:uid="{00000000-0005-0000-0000-000050000000}"/>
    <cellStyle name="20% - Ênfase3 4" xfId="748" xr:uid="{00000000-0005-0000-0000-000051000000}"/>
    <cellStyle name="20% - Ênfase3 5" xfId="749" xr:uid="{00000000-0005-0000-0000-000052000000}"/>
    <cellStyle name="20% - Ênfase3 6" xfId="750" xr:uid="{00000000-0005-0000-0000-000053000000}"/>
    <cellStyle name="20% - Ênfase3 7" xfId="751" xr:uid="{00000000-0005-0000-0000-000054000000}"/>
    <cellStyle name="20% - Ênfase4 2" xfId="67" xr:uid="{00000000-0005-0000-0000-000055000000}"/>
    <cellStyle name="20% - Ênfase4 2 2" xfId="351" xr:uid="{00000000-0005-0000-0000-000056000000}"/>
    <cellStyle name="20% - Ênfase4 2 2 2" xfId="753" xr:uid="{00000000-0005-0000-0000-000057000000}"/>
    <cellStyle name="20% - Ênfase4 2 3" xfId="352" xr:uid="{00000000-0005-0000-0000-000058000000}"/>
    <cellStyle name="20% - Ênfase4 2 4" xfId="752" xr:uid="{00000000-0005-0000-0000-000059000000}"/>
    <cellStyle name="20% - Ênfase4 3" xfId="353" xr:uid="{00000000-0005-0000-0000-00005A000000}"/>
    <cellStyle name="20% - Ênfase4 3 2" xfId="754" xr:uid="{00000000-0005-0000-0000-00005B000000}"/>
    <cellStyle name="20% - Ênfase4 4" xfId="755" xr:uid="{00000000-0005-0000-0000-00005C000000}"/>
    <cellStyle name="20% - Ênfase4 5" xfId="756" xr:uid="{00000000-0005-0000-0000-00005D000000}"/>
    <cellStyle name="20% - Ênfase4 6" xfId="757" xr:uid="{00000000-0005-0000-0000-00005E000000}"/>
    <cellStyle name="20% - Ênfase4 7" xfId="758" xr:uid="{00000000-0005-0000-0000-00005F000000}"/>
    <cellStyle name="20% - Ênfase5 2" xfId="68" xr:uid="{00000000-0005-0000-0000-000060000000}"/>
    <cellStyle name="20% - Ênfase5 2 2" xfId="354" xr:uid="{00000000-0005-0000-0000-000061000000}"/>
    <cellStyle name="20% - Ênfase5 2 3" xfId="355" xr:uid="{00000000-0005-0000-0000-000062000000}"/>
    <cellStyle name="20% - Ênfase5 2 4" xfId="759" xr:uid="{00000000-0005-0000-0000-000063000000}"/>
    <cellStyle name="20% - Ênfase5 3" xfId="356" xr:uid="{00000000-0005-0000-0000-000064000000}"/>
    <cellStyle name="20% - Ênfase5 3 2" xfId="760" xr:uid="{00000000-0005-0000-0000-000065000000}"/>
    <cellStyle name="20% - Ênfase5 4" xfId="761" xr:uid="{00000000-0005-0000-0000-000066000000}"/>
    <cellStyle name="20% - Ênfase5 5" xfId="762" xr:uid="{00000000-0005-0000-0000-000067000000}"/>
    <cellStyle name="20% - Ênfase5 6" xfId="763" xr:uid="{00000000-0005-0000-0000-000068000000}"/>
    <cellStyle name="20% - Ênfase6 2" xfId="69" xr:uid="{00000000-0005-0000-0000-000069000000}"/>
    <cellStyle name="20% - Ênfase6 2 2" xfId="357" xr:uid="{00000000-0005-0000-0000-00006A000000}"/>
    <cellStyle name="20% - Ênfase6 2 3" xfId="358" xr:uid="{00000000-0005-0000-0000-00006B000000}"/>
    <cellStyle name="20% - Ênfase6 2 4" xfId="764" xr:uid="{00000000-0005-0000-0000-00006C000000}"/>
    <cellStyle name="20% - Ênfase6 3" xfId="359" xr:uid="{00000000-0005-0000-0000-00006D000000}"/>
    <cellStyle name="20% - Ênfase6 3 2" xfId="765" xr:uid="{00000000-0005-0000-0000-00006E000000}"/>
    <cellStyle name="20% - Ênfase6 4" xfId="766" xr:uid="{00000000-0005-0000-0000-00006F000000}"/>
    <cellStyle name="20% - Ênfase6 5" xfId="767" xr:uid="{00000000-0005-0000-0000-000070000000}"/>
    <cellStyle name="20% - Ênfase6 6" xfId="768" xr:uid="{00000000-0005-0000-0000-000071000000}"/>
    <cellStyle name="40% - Accent1" xfId="70" xr:uid="{00000000-0005-0000-0000-000072000000}"/>
    <cellStyle name="40% - Accent2" xfId="71" xr:uid="{00000000-0005-0000-0000-000073000000}"/>
    <cellStyle name="40% - Accent3" xfId="72" xr:uid="{00000000-0005-0000-0000-000074000000}"/>
    <cellStyle name="40% - Accent4" xfId="73" xr:uid="{00000000-0005-0000-0000-000075000000}"/>
    <cellStyle name="40% - Accent5" xfId="74" xr:uid="{00000000-0005-0000-0000-000076000000}"/>
    <cellStyle name="40% - Accent6" xfId="75" xr:uid="{00000000-0005-0000-0000-000077000000}"/>
    <cellStyle name="40% - Ênfase1 2" xfId="76" xr:uid="{00000000-0005-0000-0000-000078000000}"/>
    <cellStyle name="40% - Ênfase1 2 2" xfId="360" xr:uid="{00000000-0005-0000-0000-000079000000}"/>
    <cellStyle name="40% - Ênfase1 2 3" xfId="361" xr:uid="{00000000-0005-0000-0000-00007A000000}"/>
    <cellStyle name="40% - Ênfase1 2 4" xfId="769" xr:uid="{00000000-0005-0000-0000-00007B000000}"/>
    <cellStyle name="40% - Ênfase1 3" xfId="362" xr:uid="{00000000-0005-0000-0000-00007C000000}"/>
    <cellStyle name="40% - Ênfase1 3 2" xfId="770" xr:uid="{00000000-0005-0000-0000-00007D000000}"/>
    <cellStyle name="40% - Ênfase1 4" xfId="771" xr:uid="{00000000-0005-0000-0000-00007E000000}"/>
    <cellStyle name="40% - Ênfase1 5" xfId="772" xr:uid="{00000000-0005-0000-0000-00007F000000}"/>
    <cellStyle name="40% - Ênfase1 6" xfId="773" xr:uid="{00000000-0005-0000-0000-000080000000}"/>
    <cellStyle name="40% - Ênfase2 2" xfId="77" xr:uid="{00000000-0005-0000-0000-000081000000}"/>
    <cellStyle name="40% - Ênfase2 2 2" xfId="363" xr:uid="{00000000-0005-0000-0000-000082000000}"/>
    <cellStyle name="40% - Ênfase2 2 3" xfId="364" xr:uid="{00000000-0005-0000-0000-000083000000}"/>
    <cellStyle name="40% - Ênfase2 2 4" xfId="774" xr:uid="{00000000-0005-0000-0000-000084000000}"/>
    <cellStyle name="40% - Ênfase2 3" xfId="365" xr:uid="{00000000-0005-0000-0000-000085000000}"/>
    <cellStyle name="40% - Ênfase2 3 2" xfId="775" xr:uid="{00000000-0005-0000-0000-000086000000}"/>
    <cellStyle name="40% - Ênfase2 4" xfId="776" xr:uid="{00000000-0005-0000-0000-000087000000}"/>
    <cellStyle name="40% - Ênfase2 5" xfId="777" xr:uid="{00000000-0005-0000-0000-000088000000}"/>
    <cellStyle name="40% - Ênfase2 6" xfId="778" xr:uid="{00000000-0005-0000-0000-000089000000}"/>
    <cellStyle name="40% - Ênfase3 2" xfId="78" xr:uid="{00000000-0005-0000-0000-00008A000000}"/>
    <cellStyle name="40% - Ênfase3 2 2" xfId="366" xr:uid="{00000000-0005-0000-0000-00008B000000}"/>
    <cellStyle name="40% - Ênfase3 2 2 2" xfId="780" xr:uid="{00000000-0005-0000-0000-00008C000000}"/>
    <cellStyle name="40% - Ênfase3 2 3" xfId="367" xr:uid="{00000000-0005-0000-0000-00008D000000}"/>
    <cellStyle name="40% - Ênfase3 2 4" xfId="779" xr:uid="{00000000-0005-0000-0000-00008E000000}"/>
    <cellStyle name="40% - Ênfase3 3" xfId="368" xr:uid="{00000000-0005-0000-0000-00008F000000}"/>
    <cellStyle name="40% - Ênfase3 3 2" xfId="781" xr:uid="{00000000-0005-0000-0000-000090000000}"/>
    <cellStyle name="40% - Ênfase3 4" xfId="782" xr:uid="{00000000-0005-0000-0000-000091000000}"/>
    <cellStyle name="40% - Ênfase3 5" xfId="783" xr:uid="{00000000-0005-0000-0000-000092000000}"/>
    <cellStyle name="40% - Ênfase3 6" xfId="784" xr:uid="{00000000-0005-0000-0000-000093000000}"/>
    <cellStyle name="40% - Ênfase3 7" xfId="785" xr:uid="{00000000-0005-0000-0000-000094000000}"/>
    <cellStyle name="40% - Ênfase4 2" xfId="79" xr:uid="{00000000-0005-0000-0000-000095000000}"/>
    <cellStyle name="40% - Ênfase4 2 2" xfId="369" xr:uid="{00000000-0005-0000-0000-000096000000}"/>
    <cellStyle name="40% - Ênfase4 2 3" xfId="370" xr:uid="{00000000-0005-0000-0000-000097000000}"/>
    <cellStyle name="40% - Ênfase4 2 4" xfId="786" xr:uid="{00000000-0005-0000-0000-000098000000}"/>
    <cellStyle name="40% - Ênfase4 3" xfId="371" xr:uid="{00000000-0005-0000-0000-000099000000}"/>
    <cellStyle name="40% - Ênfase4 3 2" xfId="787" xr:uid="{00000000-0005-0000-0000-00009A000000}"/>
    <cellStyle name="40% - Ênfase4 4" xfId="788" xr:uid="{00000000-0005-0000-0000-00009B000000}"/>
    <cellStyle name="40% - Ênfase4 5" xfId="789" xr:uid="{00000000-0005-0000-0000-00009C000000}"/>
    <cellStyle name="40% - Ênfase4 6" xfId="790" xr:uid="{00000000-0005-0000-0000-00009D000000}"/>
    <cellStyle name="40% - Ênfase5 2" xfId="80" xr:uid="{00000000-0005-0000-0000-00009E000000}"/>
    <cellStyle name="40% - Ênfase5 2 2" xfId="372" xr:uid="{00000000-0005-0000-0000-00009F000000}"/>
    <cellStyle name="40% - Ênfase5 2 3" xfId="373" xr:uid="{00000000-0005-0000-0000-0000A0000000}"/>
    <cellStyle name="40% - Ênfase5 2 4" xfId="791" xr:uid="{00000000-0005-0000-0000-0000A1000000}"/>
    <cellStyle name="40% - Ênfase5 3" xfId="374" xr:uid="{00000000-0005-0000-0000-0000A2000000}"/>
    <cellStyle name="40% - Ênfase5 3 2" xfId="792" xr:uid="{00000000-0005-0000-0000-0000A3000000}"/>
    <cellStyle name="40% - Ênfase5 4" xfId="793" xr:uid="{00000000-0005-0000-0000-0000A4000000}"/>
    <cellStyle name="40% - Ênfase5 5" xfId="794" xr:uid="{00000000-0005-0000-0000-0000A5000000}"/>
    <cellStyle name="40% - Ênfase5 6" xfId="795" xr:uid="{00000000-0005-0000-0000-0000A6000000}"/>
    <cellStyle name="40% - Ênfase6 2" xfId="81" xr:uid="{00000000-0005-0000-0000-0000A7000000}"/>
    <cellStyle name="40% - Ênfase6 2 2" xfId="375" xr:uid="{00000000-0005-0000-0000-0000A8000000}"/>
    <cellStyle name="40% - Ênfase6 2 3" xfId="376" xr:uid="{00000000-0005-0000-0000-0000A9000000}"/>
    <cellStyle name="40% - Ênfase6 2 4" xfId="796" xr:uid="{00000000-0005-0000-0000-0000AA000000}"/>
    <cellStyle name="40% - Ênfase6 3" xfId="377" xr:uid="{00000000-0005-0000-0000-0000AB000000}"/>
    <cellStyle name="40% - Ênfase6 3 2" xfId="797" xr:uid="{00000000-0005-0000-0000-0000AC000000}"/>
    <cellStyle name="40% - Ênfase6 4" xfId="798" xr:uid="{00000000-0005-0000-0000-0000AD000000}"/>
    <cellStyle name="40% - Ênfase6 5" xfId="799" xr:uid="{00000000-0005-0000-0000-0000AE000000}"/>
    <cellStyle name="40% - Ênfase6 6" xfId="800" xr:uid="{00000000-0005-0000-0000-0000AF000000}"/>
    <cellStyle name="60% - Accent1" xfId="82" xr:uid="{00000000-0005-0000-0000-0000B0000000}"/>
    <cellStyle name="60% - Accent2" xfId="83" xr:uid="{00000000-0005-0000-0000-0000B1000000}"/>
    <cellStyle name="60% - Accent3" xfId="84" xr:uid="{00000000-0005-0000-0000-0000B2000000}"/>
    <cellStyle name="60% - Accent4" xfId="85" xr:uid="{00000000-0005-0000-0000-0000B3000000}"/>
    <cellStyle name="60% - Accent5" xfId="86" xr:uid="{00000000-0005-0000-0000-0000B4000000}"/>
    <cellStyle name="60% - Accent6" xfId="87" xr:uid="{00000000-0005-0000-0000-0000B5000000}"/>
    <cellStyle name="60% - Ênfase1 2" xfId="88" xr:uid="{00000000-0005-0000-0000-0000B6000000}"/>
    <cellStyle name="60% - Ênfase1 2 2" xfId="378" xr:uid="{00000000-0005-0000-0000-0000B7000000}"/>
    <cellStyle name="60% - Ênfase1 2 3" xfId="379" xr:uid="{00000000-0005-0000-0000-0000B8000000}"/>
    <cellStyle name="60% - Ênfase1 2 4" xfId="801" xr:uid="{00000000-0005-0000-0000-0000B9000000}"/>
    <cellStyle name="60% - Ênfase1 3" xfId="380" xr:uid="{00000000-0005-0000-0000-0000BA000000}"/>
    <cellStyle name="60% - Ênfase1 3 2" xfId="802" xr:uid="{00000000-0005-0000-0000-0000BB000000}"/>
    <cellStyle name="60% - Ênfase1 4" xfId="803" xr:uid="{00000000-0005-0000-0000-0000BC000000}"/>
    <cellStyle name="60% - Ênfase1 5" xfId="804" xr:uid="{00000000-0005-0000-0000-0000BD000000}"/>
    <cellStyle name="60% - Ênfase1 6" xfId="805" xr:uid="{00000000-0005-0000-0000-0000BE000000}"/>
    <cellStyle name="60% - Ênfase2 2" xfId="89" xr:uid="{00000000-0005-0000-0000-0000BF000000}"/>
    <cellStyle name="60% - Ênfase2 2 2" xfId="381" xr:uid="{00000000-0005-0000-0000-0000C0000000}"/>
    <cellStyle name="60% - Ênfase2 2 3" xfId="382" xr:uid="{00000000-0005-0000-0000-0000C1000000}"/>
    <cellStyle name="60% - Ênfase2 2 4" xfId="806" xr:uid="{00000000-0005-0000-0000-0000C2000000}"/>
    <cellStyle name="60% - Ênfase2 3" xfId="383" xr:uid="{00000000-0005-0000-0000-0000C3000000}"/>
    <cellStyle name="60% - Ênfase2 3 2" xfId="807" xr:uid="{00000000-0005-0000-0000-0000C4000000}"/>
    <cellStyle name="60% - Ênfase2 4" xfId="808" xr:uid="{00000000-0005-0000-0000-0000C5000000}"/>
    <cellStyle name="60% - Ênfase2 5" xfId="809" xr:uid="{00000000-0005-0000-0000-0000C6000000}"/>
    <cellStyle name="60% - Ênfase2 6" xfId="810" xr:uid="{00000000-0005-0000-0000-0000C7000000}"/>
    <cellStyle name="60% - Ênfase3 2" xfId="90" xr:uid="{00000000-0005-0000-0000-0000C8000000}"/>
    <cellStyle name="60% - Ênfase3 2 2" xfId="384" xr:uid="{00000000-0005-0000-0000-0000C9000000}"/>
    <cellStyle name="60% - Ênfase3 2 2 2" xfId="812" xr:uid="{00000000-0005-0000-0000-0000CA000000}"/>
    <cellStyle name="60% - Ênfase3 2 3" xfId="385" xr:uid="{00000000-0005-0000-0000-0000CB000000}"/>
    <cellStyle name="60% - Ênfase3 2 4" xfId="811" xr:uid="{00000000-0005-0000-0000-0000CC000000}"/>
    <cellStyle name="60% - Ênfase3 3" xfId="386" xr:uid="{00000000-0005-0000-0000-0000CD000000}"/>
    <cellStyle name="60% - Ênfase3 3 2" xfId="813" xr:uid="{00000000-0005-0000-0000-0000CE000000}"/>
    <cellStyle name="60% - Ênfase3 4" xfId="814" xr:uid="{00000000-0005-0000-0000-0000CF000000}"/>
    <cellStyle name="60% - Ênfase3 5" xfId="815" xr:uid="{00000000-0005-0000-0000-0000D0000000}"/>
    <cellStyle name="60% - Ênfase3 6" xfId="816" xr:uid="{00000000-0005-0000-0000-0000D1000000}"/>
    <cellStyle name="60% - Ênfase3 7" xfId="817" xr:uid="{00000000-0005-0000-0000-0000D2000000}"/>
    <cellStyle name="60% - Ênfase4 2" xfId="91" xr:uid="{00000000-0005-0000-0000-0000D3000000}"/>
    <cellStyle name="60% - Ênfase4 2 2" xfId="387" xr:uid="{00000000-0005-0000-0000-0000D4000000}"/>
    <cellStyle name="60% - Ênfase4 2 2 2" xfId="819" xr:uid="{00000000-0005-0000-0000-0000D5000000}"/>
    <cellStyle name="60% - Ênfase4 2 3" xfId="388" xr:uid="{00000000-0005-0000-0000-0000D6000000}"/>
    <cellStyle name="60% - Ênfase4 2 4" xfId="818" xr:uid="{00000000-0005-0000-0000-0000D7000000}"/>
    <cellStyle name="60% - Ênfase4 3" xfId="389" xr:uid="{00000000-0005-0000-0000-0000D8000000}"/>
    <cellStyle name="60% - Ênfase4 3 2" xfId="820" xr:uid="{00000000-0005-0000-0000-0000D9000000}"/>
    <cellStyle name="60% - Ênfase4 4" xfId="821" xr:uid="{00000000-0005-0000-0000-0000DA000000}"/>
    <cellStyle name="60% - Ênfase4 5" xfId="822" xr:uid="{00000000-0005-0000-0000-0000DB000000}"/>
    <cellStyle name="60% - Ênfase4 6" xfId="823" xr:uid="{00000000-0005-0000-0000-0000DC000000}"/>
    <cellStyle name="60% - Ênfase4 7" xfId="824" xr:uid="{00000000-0005-0000-0000-0000DD000000}"/>
    <cellStyle name="60% - Ênfase5 2" xfId="92" xr:uid="{00000000-0005-0000-0000-0000DE000000}"/>
    <cellStyle name="60% - Ênfase5 2 2" xfId="390" xr:uid="{00000000-0005-0000-0000-0000DF000000}"/>
    <cellStyle name="60% - Ênfase5 2 3" xfId="391" xr:uid="{00000000-0005-0000-0000-0000E0000000}"/>
    <cellStyle name="60% - Ênfase5 2 4" xfId="825" xr:uid="{00000000-0005-0000-0000-0000E1000000}"/>
    <cellStyle name="60% - Ênfase5 3" xfId="392" xr:uid="{00000000-0005-0000-0000-0000E2000000}"/>
    <cellStyle name="60% - Ênfase5 3 2" xfId="826" xr:uid="{00000000-0005-0000-0000-0000E3000000}"/>
    <cellStyle name="60% - Ênfase5 4" xfId="827" xr:uid="{00000000-0005-0000-0000-0000E4000000}"/>
    <cellStyle name="60% - Ênfase5 5" xfId="828" xr:uid="{00000000-0005-0000-0000-0000E5000000}"/>
    <cellStyle name="60% - Ênfase5 6" xfId="829" xr:uid="{00000000-0005-0000-0000-0000E6000000}"/>
    <cellStyle name="60% - Ênfase6 2" xfId="93" xr:uid="{00000000-0005-0000-0000-0000E7000000}"/>
    <cellStyle name="60% - Ênfase6 2 2" xfId="393" xr:uid="{00000000-0005-0000-0000-0000E8000000}"/>
    <cellStyle name="60% - Ênfase6 2 2 2" xfId="831" xr:uid="{00000000-0005-0000-0000-0000E9000000}"/>
    <cellStyle name="60% - Ênfase6 2 3" xfId="394" xr:uid="{00000000-0005-0000-0000-0000EA000000}"/>
    <cellStyle name="60% - Ênfase6 2 4" xfId="830" xr:uid="{00000000-0005-0000-0000-0000EB000000}"/>
    <cellStyle name="60% - Ênfase6 3" xfId="395" xr:uid="{00000000-0005-0000-0000-0000EC000000}"/>
    <cellStyle name="60% - Ênfase6 3 2" xfId="832" xr:uid="{00000000-0005-0000-0000-0000ED000000}"/>
    <cellStyle name="60% - Ênfase6 4" xfId="833" xr:uid="{00000000-0005-0000-0000-0000EE000000}"/>
    <cellStyle name="60% - Ênfase6 5" xfId="834" xr:uid="{00000000-0005-0000-0000-0000EF000000}"/>
    <cellStyle name="60% - Ênfase6 6" xfId="835" xr:uid="{00000000-0005-0000-0000-0000F0000000}"/>
    <cellStyle name="60% - Ênfase6 7" xfId="836" xr:uid="{00000000-0005-0000-0000-0000F1000000}"/>
    <cellStyle name="Accent1" xfId="94" xr:uid="{00000000-0005-0000-0000-0000F2000000}"/>
    <cellStyle name="Accent2" xfId="95" xr:uid="{00000000-0005-0000-0000-0000F3000000}"/>
    <cellStyle name="Accent3" xfId="96" xr:uid="{00000000-0005-0000-0000-0000F4000000}"/>
    <cellStyle name="Accent4" xfId="97" xr:uid="{00000000-0005-0000-0000-0000F5000000}"/>
    <cellStyle name="Accent5" xfId="98" xr:uid="{00000000-0005-0000-0000-0000F6000000}"/>
    <cellStyle name="Accent6" xfId="99" xr:uid="{00000000-0005-0000-0000-0000F7000000}"/>
    <cellStyle name="Amarelo%" xfId="100" xr:uid="{00000000-0005-0000-0000-0000F8000000}"/>
    <cellStyle name="Amarelocot" xfId="101" xr:uid="{00000000-0005-0000-0000-0000F9000000}"/>
    <cellStyle name="apresent" xfId="102" xr:uid="{00000000-0005-0000-0000-0000FA000000}"/>
    <cellStyle name="Array" xfId="103" xr:uid="{00000000-0005-0000-0000-0000FB000000}"/>
    <cellStyle name="Array Enter" xfId="104" xr:uid="{00000000-0005-0000-0000-0000FC000000}"/>
    <cellStyle name="Availability" xfId="105" xr:uid="{00000000-0005-0000-0000-0000FD000000}"/>
    <cellStyle name="b0let" xfId="106" xr:uid="{00000000-0005-0000-0000-0000FE000000}"/>
    <cellStyle name="Bad" xfId="107" xr:uid="{00000000-0005-0000-0000-0000FF000000}"/>
    <cellStyle name="Banner" xfId="108" xr:uid="{00000000-0005-0000-0000-000000010000}"/>
    <cellStyle name="Besuchter Hyperlink" xfId="396" xr:uid="{00000000-0005-0000-0000-000001010000}"/>
    <cellStyle name="Bol-Data" xfId="109" xr:uid="{00000000-0005-0000-0000-000002010000}"/>
    <cellStyle name="bolet" xfId="110" xr:uid="{00000000-0005-0000-0000-000003010000}"/>
    <cellStyle name="Boletim" xfId="111" xr:uid="{00000000-0005-0000-0000-000004010000}"/>
    <cellStyle name="Bom 2" xfId="112" xr:uid="{00000000-0005-0000-0000-000005010000}"/>
    <cellStyle name="Bom 2 2" xfId="397" xr:uid="{00000000-0005-0000-0000-000006010000}"/>
    <cellStyle name="Bom 2 3" xfId="398" xr:uid="{00000000-0005-0000-0000-000007010000}"/>
    <cellStyle name="Bom 2 4" xfId="837" xr:uid="{00000000-0005-0000-0000-000008010000}"/>
    <cellStyle name="Bom 3" xfId="399" xr:uid="{00000000-0005-0000-0000-000009010000}"/>
    <cellStyle name="Bom 3 2" xfId="838" xr:uid="{00000000-0005-0000-0000-00000A010000}"/>
    <cellStyle name="Bom 4" xfId="839" xr:uid="{00000000-0005-0000-0000-00000B010000}"/>
    <cellStyle name="Bom 5" xfId="840" xr:uid="{00000000-0005-0000-0000-00000C010000}"/>
    <cellStyle name="Bom 6" xfId="841" xr:uid="{00000000-0005-0000-0000-00000D010000}"/>
    <cellStyle name="CABEÇALHO" xfId="113" xr:uid="{00000000-0005-0000-0000-00000E010000}"/>
    <cellStyle name="CABEÇALHO2" xfId="114" xr:uid="{00000000-0005-0000-0000-00000F010000}"/>
    <cellStyle name="Calculation" xfId="115" xr:uid="{00000000-0005-0000-0000-000010010000}"/>
    <cellStyle name="Cálculo 2" xfId="116" xr:uid="{00000000-0005-0000-0000-000011010000}"/>
    <cellStyle name="Cálculo 2 2" xfId="400" xr:uid="{00000000-0005-0000-0000-000012010000}"/>
    <cellStyle name="Cálculo 2 3" xfId="401" xr:uid="{00000000-0005-0000-0000-000013010000}"/>
    <cellStyle name="Cálculo 2 4" xfId="842" xr:uid="{00000000-0005-0000-0000-000014010000}"/>
    <cellStyle name="Cálculo 3" xfId="402" xr:uid="{00000000-0005-0000-0000-000015010000}"/>
    <cellStyle name="Cálculo 3 2" xfId="843" xr:uid="{00000000-0005-0000-0000-000016010000}"/>
    <cellStyle name="Cálculo 4" xfId="844" xr:uid="{00000000-0005-0000-0000-000017010000}"/>
    <cellStyle name="Cálculo 5" xfId="845" xr:uid="{00000000-0005-0000-0000-000018010000}"/>
    <cellStyle name="Cálculo 6" xfId="846" xr:uid="{00000000-0005-0000-0000-000019010000}"/>
    <cellStyle name="Célula de Verificação 2" xfId="117" xr:uid="{00000000-0005-0000-0000-00001A010000}"/>
    <cellStyle name="Célula de Verificação 2 2" xfId="403" xr:uid="{00000000-0005-0000-0000-00001B010000}"/>
    <cellStyle name="Célula de Verificação 2 3" xfId="404" xr:uid="{00000000-0005-0000-0000-00001C010000}"/>
    <cellStyle name="Célula de Verificação 2 4" xfId="847" xr:uid="{00000000-0005-0000-0000-00001D010000}"/>
    <cellStyle name="Célula de Verificação 3" xfId="405" xr:uid="{00000000-0005-0000-0000-00001E010000}"/>
    <cellStyle name="Célula de Verificação 3 2" xfId="848" xr:uid="{00000000-0005-0000-0000-00001F010000}"/>
    <cellStyle name="Célula de Verificação 4" xfId="849" xr:uid="{00000000-0005-0000-0000-000020010000}"/>
    <cellStyle name="Célula de Verificação 5" xfId="850" xr:uid="{00000000-0005-0000-0000-000021010000}"/>
    <cellStyle name="Célula de Verificação 6" xfId="851" xr:uid="{00000000-0005-0000-0000-000022010000}"/>
    <cellStyle name="Célula Vinculada 2" xfId="118" xr:uid="{00000000-0005-0000-0000-000023010000}"/>
    <cellStyle name="Célula Vinculada 2 2" xfId="406" xr:uid="{00000000-0005-0000-0000-000024010000}"/>
    <cellStyle name="Célula Vinculada 2 3" xfId="407" xr:uid="{00000000-0005-0000-0000-000025010000}"/>
    <cellStyle name="Célula Vinculada 2 4" xfId="852" xr:uid="{00000000-0005-0000-0000-000026010000}"/>
    <cellStyle name="Célula Vinculada 3" xfId="408" xr:uid="{00000000-0005-0000-0000-000027010000}"/>
    <cellStyle name="Célula Vinculada 3 2" xfId="853" xr:uid="{00000000-0005-0000-0000-000028010000}"/>
    <cellStyle name="Célula Vinculada 4" xfId="854" xr:uid="{00000000-0005-0000-0000-000029010000}"/>
    <cellStyle name="Célula Vinculada 5" xfId="855" xr:uid="{00000000-0005-0000-0000-00002A010000}"/>
    <cellStyle name="Célula Vinculada 6" xfId="856" xr:uid="{00000000-0005-0000-0000-00002B010000}"/>
    <cellStyle name="Check Cell" xfId="119" xr:uid="{00000000-0005-0000-0000-00002C010000}"/>
    <cellStyle name="ColHeading" xfId="120" xr:uid="{00000000-0005-0000-0000-00002D010000}"/>
    <cellStyle name="Collegamento ipertestuale" xfId="121" xr:uid="{00000000-0005-0000-0000-00002E010000}"/>
    <cellStyle name="Comma" xfId="122" xr:uid="{00000000-0005-0000-0000-00002F010000}"/>
    <cellStyle name="Comma 2" xfId="123" xr:uid="{00000000-0005-0000-0000-000030010000}"/>
    <cellStyle name="Comma 2 2" xfId="410" xr:uid="{00000000-0005-0000-0000-000031010000}"/>
    <cellStyle name="Comma 2 2 2" xfId="718" xr:uid="{00000000-0005-0000-0000-000032010000}"/>
    <cellStyle name="Comma 2 2 2 2" xfId="1085" xr:uid="{00000000-0005-0000-0000-000033010000}"/>
    <cellStyle name="Comma 2 3" xfId="411" xr:uid="{00000000-0005-0000-0000-000034010000}"/>
    <cellStyle name="Comma 2 3 2" xfId="412" xr:uid="{00000000-0005-0000-0000-000035010000}"/>
    <cellStyle name="Comma 2 3 2 2" xfId="679" xr:uid="{00000000-0005-0000-0000-000036010000}"/>
    <cellStyle name="Comma 2 3 2 2 2" xfId="1056" xr:uid="{00000000-0005-0000-0000-000037010000}"/>
    <cellStyle name="Comma 2 3 3" xfId="413" xr:uid="{00000000-0005-0000-0000-000038010000}"/>
    <cellStyle name="Comma 2 3 3 2" xfId="680" xr:uid="{00000000-0005-0000-0000-000039010000}"/>
    <cellStyle name="Comma 2 3 3 2 2" xfId="1057" xr:uid="{00000000-0005-0000-0000-00003A010000}"/>
    <cellStyle name="Comma 2 3 4" xfId="678" xr:uid="{00000000-0005-0000-0000-00003B010000}"/>
    <cellStyle name="Comma 2 3 4 2" xfId="1055" xr:uid="{00000000-0005-0000-0000-00003C010000}"/>
    <cellStyle name="Comma 2 4" xfId="414" xr:uid="{00000000-0005-0000-0000-00003D010000}"/>
    <cellStyle name="Comma 2 4 2" xfId="681" xr:uid="{00000000-0005-0000-0000-00003E010000}"/>
    <cellStyle name="Comma 2 4 2 2" xfId="1058" xr:uid="{00000000-0005-0000-0000-00003F010000}"/>
    <cellStyle name="Comma 2 5" xfId="415" xr:uid="{00000000-0005-0000-0000-000040010000}"/>
    <cellStyle name="Comma 2 5 2" xfId="682" xr:uid="{00000000-0005-0000-0000-000041010000}"/>
    <cellStyle name="Comma 2 5 2 2" xfId="1059" xr:uid="{00000000-0005-0000-0000-000042010000}"/>
    <cellStyle name="Comma 2 6" xfId="409" xr:uid="{00000000-0005-0000-0000-000043010000}"/>
    <cellStyle name="Comma 2 6 2" xfId="677" xr:uid="{00000000-0005-0000-0000-000044010000}"/>
    <cellStyle name="Comma 2 6 2 2" xfId="1054" xr:uid="{00000000-0005-0000-0000-000045010000}"/>
    <cellStyle name="Comma 2 7" xfId="587" xr:uid="{00000000-0005-0000-0000-000046010000}"/>
    <cellStyle name="Comma 2 7 2" xfId="1004" xr:uid="{00000000-0005-0000-0000-000047010000}"/>
    <cellStyle name="Comma 3" xfId="416" xr:uid="{00000000-0005-0000-0000-000048010000}"/>
    <cellStyle name="Comma 3 2" xfId="683" xr:uid="{00000000-0005-0000-0000-000049010000}"/>
    <cellStyle name="Comma 3 2 2" xfId="1060" xr:uid="{00000000-0005-0000-0000-00004A010000}"/>
    <cellStyle name="Comma 4" xfId="417" xr:uid="{00000000-0005-0000-0000-00004B010000}"/>
    <cellStyle name="Comma 4 2" xfId="418" xr:uid="{00000000-0005-0000-0000-00004C010000}"/>
    <cellStyle name="Comma 4 2 2" xfId="685" xr:uid="{00000000-0005-0000-0000-00004D010000}"/>
    <cellStyle name="Comma 4 2 2 2" xfId="1062" xr:uid="{00000000-0005-0000-0000-00004E010000}"/>
    <cellStyle name="Comma 4 3" xfId="684" xr:uid="{00000000-0005-0000-0000-00004F010000}"/>
    <cellStyle name="Comma 4 3 2" xfId="1061" xr:uid="{00000000-0005-0000-0000-000050010000}"/>
    <cellStyle name="Comma 5" xfId="419" xr:uid="{00000000-0005-0000-0000-000051010000}"/>
    <cellStyle name="Comma 5 2" xfId="686" xr:uid="{00000000-0005-0000-0000-000052010000}"/>
    <cellStyle name="Comma 5 2 2" xfId="1063" xr:uid="{00000000-0005-0000-0000-000053010000}"/>
    <cellStyle name="Comma 6" xfId="420" xr:uid="{00000000-0005-0000-0000-000054010000}"/>
    <cellStyle name="Comma 6 2" xfId="421" xr:uid="{00000000-0005-0000-0000-000055010000}"/>
    <cellStyle name="Comma 6 2 2" xfId="688" xr:uid="{00000000-0005-0000-0000-000056010000}"/>
    <cellStyle name="Comma 6 2 2 2" xfId="1065" xr:uid="{00000000-0005-0000-0000-000057010000}"/>
    <cellStyle name="Comma 6 3" xfId="422" xr:uid="{00000000-0005-0000-0000-000058010000}"/>
    <cellStyle name="Comma 6 3 2" xfId="689" xr:uid="{00000000-0005-0000-0000-000059010000}"/>
    <cellStyle name="Comma 6 3 2 2" xfId="1066" xr:uid="{00000000-0005-0000-0000-00005A010000}"/>
    <cellStyle name="Comma 6 4" xfId="687" xr:uid="{00000000-0005-0000-0000-00005B010000}"/>
    <cellStyle name="Comma 6 4 2" xfId="1064" xr:uid="{00000000-0005-0000-0000-00005C010000}"/>
    <cellStyle name="Comma 7" xfId="423" xr:uid="{00000000-0005-0000-0000-00005D010000}"/>
    <cellStyle name="Comma 7 2" xfId="581" xr:uid="{00000000-0005-0000-0000-00005E010000}"/>
    <cellStyle name="Comma 7 3" xfId="690" xr:uid="{00000000-0005-0000-0000-00005F010000}"/>
    <cellStyle name="Comma 7 3 2" xfId="1067" xr:uid="{00000000-0005-0000-0000-000060010000}"/>
    <cellStyle name="Comma 8" xfId="424" xr:uid="{00000000-0005-0000-0000-000061010000}"/>
    <cellStyle name="Comma 8 2" xfId="425" xr:uid="{00000000-0005-0000-0000-000062010000}"/>
    <cellStyle name="Comma 8 2 2" xfId="692" xr:uid="{00000000-0005-0000-0000-000063010000}"/>
    <cellStyle name="Comma 8 2 2 2" xfId="1069" xr:uid="{00000000-0005-0000-0000-000064010000}"/>
    <cellStyle name="Comma 8 3" xfId="691" xr:uid="{00000000-0005-0000-0000-000065010000}"/>
    <cellStyle name="Comma 8 3 2" xfId="1068" xr:uid="{00000000-0005-0000-0000-000066010000}"/>
    <cellStyle name="Comma 9" xfId="426" xr:uid="{00000000-0005-0000-0000-000067010000}"/>
    <cellStyle name="Comma 9 2" xfId="693" xr:uid="{00000000-0005-0000-0000-000068010000}"/>
    <cellStyle name="Comma 9 2 2" xfId="1070" xr:uid="{00000000-0005-0000-0000-000069010000}"/>
    <cellStyle name="Comma0" xfId="124" xr:uid="{00000000-0005-0000-0000-00006A010000}"/>
    <cellStyle name="Comma0 - Modelo1" xfId="125" xr:uid="{00000000-0005-0000-0000-00006B010000}"/>
    <cellStyle name="Comma0 - Style1" xfId="126" xr:uid="{00000000-0005-0000-0000-00006C010000}"/>
    <cellStyle name="Comma1 - Modelo2" xfId="127" xr:uid="{00000000-0005-0000-0000-00006D010000}"/>
    <cellStyle name="Comma1 - Style2" xfId="128" xr:uid="{00000000-0005-0000-0000-00006E010000}"/>
    <cellStyle name="Company" xfId="129" xr:uid="{00000000-0005-0000-0000-00006F010000}"/>
    <cellStyle name="Conferência" xfId="130" xr:uid="{00000000-0005-0000-0000-000070010000}"/>
    <cellStyle name="Conferência 2" xfId="588" xr:uid="{00000000-0005-0000-0000-000071010000}"/>
    <cellStyle name="Conferência 2 2" xfId="1005" xr:uid="{00000000-0005-0000-0000-000072010000}"/>
    <cellStyle name="CurRatio" xfId="131" xr:uid="{00000000-0005-0000-0000-000073010000}"/>
    <cellStyle name="Currency [0]_1995" xfId="132" xr:uid="{00000000-0005-0000-0000-000074010000}"/>
    <cellStyle name="Currency 2" xfId="857" xr:uid="{00000000-0005-0000-0000-000075010000}"/>
    <cellStyle name="Currency_1995" xfId="133" xr:uid="{00000000-0005-0000-0000-000076010000}"/>
    <cellStyle name="Currency0" xfId="134" xr:uid="{00000000-0005-0000-0000-000077010000}"/>
    <cellStyle name="Currency0 2" xfId="589" xr:uid="{00000000-0005-0000-0000-000078010000}"/>
    <cellStyle name="Currency0 2 2" xfId="1006" xr:uid="{00000000-0005-0000-0000-000079010000}"/>
    <cellStyle name="Dan" xfId="427" xr:uid="{00000000-0005-0000-0000-00007A010000}"/>
    <cellStyle name="Data" xfId="135" xr:uid="{00000000-0005-0000-0000-00007B010000}"/>
    <cellStyle name="Date" xfId="136" xr:uid="{00000000-0005-0000-0000-00007C010000}"/>
    <cellStyle name="DESCRIÇÃO" xfId="137" xr:uid="{00000000-0005-0000-0000-00007D010000}"/>
    <cellStyle name="Design" xfId="138" xr:uid="{00000000-0005-0000-0000-00007E010000}"/>
    <cellStyle name="Dia" xfId="139" xr:uid="{00000000-0005-0000-0000-00007F010000}"/>
    <cellStyle name="Diseño" xfId="140" xr:uid="{00000000-0005-0000-0000-000080010000}"/>
    <cellStyle name="Encabez1" xfId="141" xr:uid="{00000000-0005-0000-0000-000081010000}"/>
    <cellStyle name="Encabez2" xfId="142" xr:uid="{00000000-0005-0000-0000-000082010000}"/>
    <cellStyle name="Ênfase1 2" xfId="143" xr:uid="{00000000-0005-0000-0000-000083010000}"/>
    <cellStyle name="Ênfase1 2 2" xfId="428" xr:uid="{00000000-0005-0000-0000-000084010000}"/>
    <cellStyle name="Ênfase1 2 3" xfId="429" xr:uid="{00000000-0005-0000-0000-000085010000}"/>
    <cellStyle name="Ênfase1 2 4" xfId="858" xr:uid="{00000000-0005-0000-0000-000086010000}"/>
    <cellStyle name="Ênfase1 3" xfId="430" xr:uid="{00000000-0005-0000-0000-000087010000}"/>
    <cellStyle name="Ênfase1 3 2" xfId="859" xr:uid="{00000000-0005-0000-0000-000088010000}"/>
    <cellStyle name="Ênfase1 4" xfId="860" xr:uid="{00000000-0005-0000-0000-000089010000}"/>
    <cellStyle name="Ênfase1 5" xfId="861" xr:uid="{00000000-0005-0000-0000-00008A010000}"/>
    <cellStyle name="Ênfase1 6" xfId="862" xr:uid="{00000000-0005-0000-0000-00008B010000}"/>
    <cellStyle name="Ênfase2 2" xfId="144" xr:uid="{00000000-0005-0000-0000-00008C010000}"/>
    <cellStyle name="Ênfase2 2 2" xfId="431" xr:uid="{00000000-0005-0000-0000-00008D010000}"/>
    <cellStyle name="Ênfase2 2 3" xfId="432" xr:uid="{00000000-0005-0000-0000-00008E010000}"/>
    <cellStyle name="Ênfase2 2 4" xfId="863" xr:uid="{00000000-0005-0000-0000-00008F010000}"/>
    <cellStyle name="Ênfase2 3" xfId="433" xr:uid="{00000000-0005-0000-0000-000090010000}"/>
    <cellStyle name="Ênfase2 3 2" xfId="864" xr:uid="{00000000-0005-0000-0000-000091010000}"/>
    <cellStyle name="Ênfase2 4" xfId="865" xr:uid="{00000000-0005-0000-0000-000092010000}"/>
    <cellStyle name="Ênfase2 5" xfId="866" xr:uid="{00000000-0005-0000-0000-000093010000}"/>
    <cellStyle name="Ênfase2 6" xfId="867" xr:uid="{00000000-0005-0000-0000-000094010000}"/>
    <cellStyle name="Ênfase3 2" xfId="145" xr:uid="{00000000-0005-0000-0000-000095010000}"/>
    <cellStyle name="Ênfase3 2 2" xfId="434" xr:uid="{00000000-0005-0000-0000-000096010000}"/>
    <cellStyle name="Ênfase3 2 3" xfId="435" xr:uid="{00000000-0005-0000-0000-000097010000}"/>
    <cellStyle name="Ênfase3 2 4" xfId="868" xr:uid="{00000000-0005-0000-0000-000098010000}"/>
    <cellStyle name="Ênfase3 3" xfId="436" xr:uid="{00000000-0005-0000-0000-000099010000}"/>
    <cellStyle name="Ênfase3 3 2" xfId="869" xr:uid="{00000000-0005-0000-0000-00009A010000}"/>
    <cellStyle name="Ênfase3 4" xfId="870" xr:uid="{00000000-0005-0000-0000-00009B010000}"/>
    <cellStyle name="Ênfase3 5" xfId="871" xr:uid="{00000000-0005-0000-0000-00009C010000}"/>
    <cellStyle name="Ênfase3 6" xfId="872" xr:uid="{00000000-0005-0000-0000-00009D010000}"/>
    <cellStyle name="Ênfase4 2" xfId="146" xr:uid="{00000000-0005-0000-0000-00009E010000}"/>
    <cellStyle name="Ênfase4 2 2" xfId="437" xr:uid="{00000000-0005-0000-0000-00009F010000}"/>
    <cellStyle name="Ênfase4 2 3" xfId="438" xr:uid="{00000000-0005-0000-0000-0000A0010000}"/>
    <cellStyle name="Ênfase4 2 4" xfId="873" xr:uid="{00000000-0005-0000-0000-0000A1010000}"/>
    <cellStyle name="Ênfase4 3" xfId="439" xr:uid="{00000000-0005-0000-0000-0000A2010000}"/>
    <cellStyle name="Ênfase4 3 2" xfId="874" xr:uid="{00000000-0005-0000-0000-0000A3010000}"/>
    <cellStyle name="Ênfase4 4" xfId="875" xr:uid="{00000000-0005-0000-0000-0000A4010000}"/>
    <cellStyle name="Ênfase4 5" xfId="876" xr:uid="{00000000-0005-0000-0000-0000A5010000}"/>
    <cellStyle name="Ênfase4 6" xfId="877" xr:uid="{00000000-0005-0000-0000-0000A6010000}"/>
    <cellStyle name="Ênfase5 2" xfId="147" xr:uid="{00000000-0005-0000-0000-0000A7010000}"/>
    <cellStyle name="Ênfase5 2 2" xfId="440" xr:uid="{00000000-0005-0000-0000-0000A8010000}"/>
    <cellStyle name="Ênfase5 2 3" xfId="441" xr:uid="{00000000-0005-0000-0000-0000A9010000}"/>
    <cellStyle name="Ênfase5 2 4" xfId="878" xr:uid="{00000000-0005-0000-0000-0000AA010000}"/>
    <cellStyle name="Ênfase5 3" xfId="442" xr:uid="{00000000-0005-0000-0000-0000AB010000}"/>
    <cellStyle name="Ênfase5 3 2" xfId="879" xr:uid="{00000000-0005-0000-0000-0000AC010000}"/>
    <cellStyle name="Ênfase5 4" xfId="880" xr:uid="{00000000-0005-0000-0000-0000AD010000}"/>
    <cellStyle name="Ênfase5 5" xfId="881" xr:uid="{00000000-0005-0000-0000-0000AE010000}"/>
    <cellStyle name="Ênfase5 6" xfId="882" xr:uid="{00000000-0005-0000-0000-0000AF010000}"/>
    <cellStyle name="Ênfase6 2" xfId="148" xr:uid="{00000000-0005-0000-0000-0000B0010000}"/>
    <cellStyle name="Ênfase6 2 2" xfId="443" xr:uid="{00000000-0005-0000-0000-0000B1010000}"/>
    <cellStyle name="Ênfase6 2 3" xfId="444" xr:uid="{00000000-0005-0000-0000-0000B2010000}"/>
    <cellStyle name="Ênfase6 2 4" xfId="883" xr:uid="{00000000-0005-0000-0000-0000B3010000}"/>
    <cellStyle name="Ênfase6 3" xfId="445" xr:uid="{00000000-0005-0000-0000-0000B4010000}"/>
    <cellStyle name="Ênfase6 3 2" xfId="884" xr:uid="{00000000-0005-0000-0000-0000B5010000}"/>
    <cellStyle name="Ênfase6 4" xfId="885" xr:uid="{00000000-0005-0000-0000-0000B6010000}"/>
    <cellStyle name="Ênfase6 5" xfId="886" xr:uid="{00000000-0005-0000-0000-0000B7010000}"/>
    <cellStyle name="Ênfase6 6" xfId="887" xr:uid="{00000000-0005-0000-0000-0000B8010000}"/>
    <cellStyle name="Entrada 2" xfId="149" xr:uid="{00000000-0005-0000-0000-0000B9010000}"/>
    <cellStyle name="Entrada 2 2" xfId="446" xr:uid="{00000000-0005-0000-0000-0000BA010000}"/>
    <cellStyle name="Entrada 2 3" xfId="447" xr:uid="{00000000-0005-0000-0000-0000BB010000}"/>
    <cellStyle name="Entrada 2 4" xfId="888" xr:uid="{00000000-0005-0000-0000-0000BC010000}"/>
    <cellStyle name="Entrada 3" xfId="448" xr:uid="{00000000-0005-0000-0000-0000BD010000}"/>
    <cellStyle name="Entrada 3 2" xfId="889" xr:uid="{00000000-0005-0000-0000-0000BE010000}"/>
    <cellStyle name="Entrada 4" xfId="890" xr:uid="{00000000-0005-0000-0000-0000BF010000}"/>
    <cellStyle name="Entrada 5" xfId="891" xr:uid="{00000000-0005-0000-0000-0000C0010000}"/>
    <cellStyle name="Entrada 6" xfId="892" xr:uid="{00000000-0005-0000-0000-0000C1010000}"/>
    <cellStyle name="Estilo 1" xfId="150" xr:uid="{00000000-0005-0000-0000-0000C2010000}"/>
    <cellStyle name="Euro" xfId="151" xr:uid="{00000000-0005-0000-0000-0000C3010000}"/>
    <cellStyle name="Euro 2" xfId="590" xr:uid="{00000000-0005-0000-0000-0000C4010000}"/>
    <cellStyle name="Euro 2 2" xfId="1007" xr:uid="{00000000-0005-0000-0000-0000C5010000}"/>
    <cellStyle name="Excel_BuiltIn_Comma 1" xfId="152" xr:uid="{00000000-0005-0000-0000-0000C6010000}"/>
    <cellStyle name="Explanatory Text" xfId="153" xr:uid="{00000000-0005-0000-0000-0000C7010000}"/>
    <cellStyle name="F2" xfId="154" xr:uid="{00000000-0005-0000-0000-0000C8010000}"/>
    <cellStyle name="F3" xfId="155" xr:uid="{00000000-0005-0000-0000-0000C9010000}"/>
    <cellStyle name="F4" xfId="156" xr:uid="{00000000-0005-0000-0000-0000CA010000}"/>
    <cellStyle name="F5" xfId="157" xr:uid="{00000000-0005-0000-0000-0000CB010000}"/>
    <cellStyle name="F6" xfId="158" xr:uid="{00000000-0005-0000-0000-0000CC010000}"/>
    <cellStyle name="F7" xfId="159" xr:uid="{00000000-0005-0000-0000-0000CD010000}"/>
    <cellStyle name="F8" xfId="160" xr:uid="{00000000-0005-0000-0000-0000CE010000}"/>
    <cellStyle name="F8 - Estilo5" xfId="161" xr:uid="{00000000-0005-0000-0000-0000CF010000}"/>
    <cellStyle name="F8_2009_4º Trm DFP - Fluxo de Caixa" xfId="162" xr:uid="{00000000-0005-0000-0000-0000D0010000}"/>
    <cellStyle name="Fijo" xfId="163" xr:uid="{00000000-0005-0000-0000-0000D1010000}"/>
    <cellStyle name="Financiero" xfId="164" xr:uid="{00000000-0005-0000-0000-0000D2010000}"/>
    <cellStyle name="Fixed" xfId="165" xr:uid="{00000000-0005-0000-0000-0000D3010000}"/>
    <cellStyle name="Fixo" xfId="166" xr:uid="{00000000-0005-0000-0000-0000D4010000}"/>
    <cellStyle name="forms" xfId="167" xr:uid="{00000000-0005-0000-0000-0000D5010000}"/>
    <cellStyle name="fundoamarelo" xfId="168" xr:uid="{00000000-0005-0000-0000-0000D6010000}"/>
    <cellStyle name="fundoazul" xfId="169" xr:uid="{00000000-0005-0000-0000-0000D7010000}"/>
    <cellStyle name="fundocinza" xfId="170" xr:uid="{00000000-0005-0000-0000-0000D8010000}"/>
    <cellStyle name="fundodeentrada" xfId="171" xr:uid="{00000000-0005-0000-0000-0000D9010000}"/>
    <cellStyle name="fundoentrada" xfId="172" xr:uid="{00000000-0005-0000-0000-0000DA010000}"/>
    <cellStyle name="fundogrêmio" xfId="173" xr:uid="{00000000-0005-0000-0000-0000DB010000}"/>
    <cellStyle name="Good" xfId="174" xr:uid="{00000000-0005-0000-0000-0000DC010000}"/>
    <cellStyle name="Grey" xfId="175" xr:uid="{00000000-0005-0000-0000-0000DD010000}"/>
    <cellStyle name="Heading" xfId="449" xr:uid="{00000000-0005-0000-0000-0000DE010000}"/>
    <cellStyle name="Heading 1" xfId="176" xr:uid="{00000000-0005-0000-0000-0000DF010000}"/>
    <cellStyle name="Heading 2" xfId="177" xr:uid="{00000000-0005-0000-0000-0000E0010000}"/>
    <cellStyle name="Heading 3" xfId="178" xr:uid="{00000000-0005-0000-0000-0000E1010000}"/>
    <cellStyle name="Heading 3 2" xfId="991" xr:uid="{00000000-0005-0000-0000-0000E2010000}"/>
    <cellStyle name="Heading 4" xfId="179" xr:uid="{00000000-0005-0000-0000-0000E3010000}"/>
    <cellStyle name="Hiperlink" xfId="1098" builtinId="8"/>
    <cellStyle name="Hiperlink 2" xfId="4" xr:uid="{00000000-0005-0000-0000-0000E5010000}"/>
    <cellStyle name="HK$#,##0" xfId="180" xr:uid="{00000000-0005-0000-0000-0000E6010000}"/>
    <cellStyle name="HK$#,##0.00" xfId="181" xr:uid="{00000000-0005-0000-0000-0000E7010000}"/>
    <cellStyle name="Hyperlink 2" xfId="450" xr:uid="{00000000-0005-0000-0000-0000E8010000}"/>
    <cellStyle name="Hyperlink seguido" xfId="451" xr:uid="{00000000-0005-0000-0000-0000E9010000}"/>
    <cellStyle name="Incorreto 2" xfId="182" xr:uid="{00000000-0005-0000-0000-0000EA010000}"/>
    <cellStyle name="Incorreto 2 2" xfId="452" xr:uid="{00000000-0005-0000-0000-0000EB010000}"/>
    <cellStyle name="Incorreto 2 3" xfId="453" xr:uid="{00000000-0005-0000-0000-0000EC010000}"/>
    <cellStyle name="Incorreto 2 4" xfId="893" xr:uid="{00000000-0005-0000-0000-0000ED010000}"/>
    <cellStyle name="Incorreto 3" xfId="454" xr:uid="{00000000-0005-0000-0000-0000EE010000}"/>
    <cellStyle name="Incorreto 3 2" xfId="894" xr:uid="{00000000-0005-0000-0000-0000EF010000}"/>
    <cellStyle name="Incorreto 4" xfId="895" xr:uid="{00000000-0005-0000-0000-0000F0010000}"/>
    <cellStyle name="Incorreto 5" xfId="896" xr:uid="{00000000-0005-0000-0000-0000F1010000}"/>
    <cellStyle name="Incorreto 6" xfId="897" xr:uid="{00000000-0005-0000-0000-0000F2010000}"/>
    <cellStyle name="Indefinido" xfId="183" xr:uid="{00000000-0005-0000-0000-0000F3010000}"/>
    <cellStyle name="Indent" xfId="455" xr:uid="{00000000-0005-0000-0000-0000F4010000}"/>
    <cellStyle name="Input" xfId="184" xr:uid="{00000000-0005-0000-0000-0000F5010000}"/>
    <cellStyle name="Input (%)" xfId="185" xr:uid="{00000000-0005-0000-0000-0000F6010000}"/>
    <cellStyle name="Input (£m)" xfId="186" xr:uid="{00000000-0005-0000-0000-0000F7010000}"/>
    <cellStyle name="Input (£m) 2" xfId="591" xr:uid="{00000000-0005-0000-0000-0000F8010000}"/>
    <cellStyle name="Input (£m) 2 2" xfId="1008" xr:uid="{00000000-0005-0000-0000-0000F9010000}"/>
    <cellStyle name="Input (No)" xfId="187" xr:uid="{00000000-0005-0000-0000-0000FA010000}"/>
    <cellStyle name="Input (No) 2" xfId="592" xr:uid="{00000000-0005-0000-0000-0000FB010000}"/>
    <cellStyle name="Input (No) 2 2" xfId="1009" xr:uid="{00000000-0005-0000-0000-0000FC010000}"/>
    <cellStyle name="Input [yellow]" xfId="188" xr:uid="{00000000-0005-0000-0000-0000FD010000}"/>
    <cellStyle name="Input_2.05.09.10.00013_0906" xfId="189" xr:uid="{00000000-0005-0000-0000-0000FE010000}"/>
    <cellStyle name="InputPct" xfId="190" xr:uid="{00000000-0005-0000-0000-0000FF010000}"/>
    <cellStyle name="Integer" xfId="191" xr:uid="{00000000-0005-0000-0000-000000020000}"/>
    <cellStyle name="Item" xfId="192" xr:uid="{00000000-0005-0000-0000-000001020000}"/>
    <cellStyle name="ItemTypeClass" xfId="193" xr:uid="{00000000-0005-0000-0000-000002020000}"/>
    <cellStyle name="l]_x000d__x000a_Path=M:\RIOCEN01_x000d__x000a_Name=Carlos Emilio Brousse_x000d__x000a_DDEApps=nsf,nsg,nsh,ntf,ns2,ors,org_x000d__x000a_SmartIcons=Todos_x000d__x000a_" xfId="194" xr:uid="{00000000-0005-0000-0000-000003020000}"/>
    <cellStyle name="Linked Cell" xfId="195" xr:uid="{00000000-0005-0000-0000-000004020000}"/>
    <cellStyle name="MacroCode" xfId="196" xr:uid="{00000000-0005-0000-0000-000005020000}"/>
    <cellStyle name="Migliaia (0)_Copia di (TOTOUTST 1)" xfId="197" xr:uid="{00000000-0005-0000-0000-000006020000}"/>
    <cellStyle name="Migliaia_Capital Expenditures" xfId="198" xr:uid="{00000000-0005-0000-0000-000007020000}"/>
    <cellStyle name="Mike" xfId="199" xr:uid="{00000000-0005-0000-0000-000008020000}"/>
    <cellStyle name="Millares [0]_10 AVERIAS MASIVAS + ANT" xfId="200" xr:uid="{00000000-0005-0000-0000-000009020000}"/>
    <cellStyle name="Millares_10 AVERIAS MASIVAS + ANT" xfId="201" xr:uid="{00000000-0005-0000-0000-00000A020000}"/>
    <cellStyle name="Moeda 2" xfId="456" xr:uid="{00000000-0005-0000-0000-00000B020000}"/>
    <cellStyle name="Moeda 2 2" xfId="899" xr:uid="{00000000-0005-0000-0000-00000C020000}"/>
    <cellStyle name="Moeda 2 3" xfId="898" xr:uid="{00000000-0005-0000-0000-00000D020000}"/>
    <cellStyle name="Moeda 3" xfId="900" xr:uid="{00000000-0005-0000-0000-00000E020000}"/>
    <cellStyle name="Moeda 4" xfId="901" xr:uid="{00000000-0005-0000-0000-00000F020000}"/>
    <cellStyle name="Moneda [0]_10 AVERIAS MASIVAS + ANT" xfId="202" xr:uid="{00000000-0005-0000-0000-000010020000}"/>
    <cellStyle name="Moneda_10 AVERIAS MASIVAS + ANT" xfId="203" xr:uid="{00000000-0005-0000-0000-000011020000}"/>
    <cellStyle name="Monetario" xfId="204" xr:uid="{00000000-0005-0000-0000-000012020000}"/>
    <cellStyle name="Neutra 2" xfId="205" xr:uid="{00000000-0005-0000-0000-000013020000}"/>
    <cellStyle name="Neutra 2 2" xfId="457" xr:uid="{00000000-0005-0000-0000-000014020000}"/>
    <cellStyle name="Neutra 2 3" xfId="458" xr:uid="{00000000-0005-0000-0000-000015020000}"/>
    <cellStyle name="Neutra 2 4" xfId="902" xr:uid="{00000000-0005-0000-0000-000016020000}"/>
    <cellStyle name="Neutra 3" xfId="459" xr:uid="{00000000-0005-0000-0000-000017020000}"/>
    <cellStyle name="Neutra 3 2" xfId="903" xr:uid="{00000000-0005-0000-0000-000018020000}"/>
    <cellStyle name="Neutra 4" xfId="904" xr:uid="{00000000-0005-0000-0000-000019020000}"/>
    <cellStyle name="Neutra 5" xfId="905" xr:uid="{00000000-0005-0000-0000-00001A020000}"/>
    <cellStyle name="Neutra 6" xfId="906" xr:uid="{00000000-0005-0000-0000-00001B020000}"/>
    <cellStyle name="Neutral" xfId="206" xr:uid="{00000000-0005-0000-0000-00001C020000}"/>
    <cellStyle name="no dec" xfId="207" xr:uid="{00000000-0005-0000-0000-00001D020000}"/>
    <cellStyle name="Normal" xfId="0" builtinId="0"/>
    <cellStyle name="Normal - Style1" xfId="208" xr:uid="{00000000-0005-0000-0000-00001F020000}"/>
    <cellStyle name="Normal (%)" xfId="209" xr:uid="{00000000-0005-0000-0000-000020020000}"/>
    <cellStyle name="Normal (£m)" xfId="210" xr:uid="{00000000-0005-0000-0000-000021020000}"/>
    <cellStyle name="Normal (£m) 2" xfId="593" xr:uid="{00000000-0005-0000-0000-000022020000}"/>
    <cellStyle name="Normal (£m) 2 2" xfId="1010" xr:uid="{00000000-0005-0000-0000-000023020000}"/>
    <cellStyle name="Normal (No)" xfId="211" xr:uid="{00000000-0005-0000-0000-000024020000}"/>
    <cellStyle name="Normal (No) 2" xfId="594" xr:uid="{00000000-0005-0000-0000-000025020000}"/>
    <cellStyle name="Normal (No) 2 2" xfId="1011" xr:uid="{00000000-0005-0000-0000-000026020000}"/>
    <cellStyle name="Normal (x)" xfId="212" xr:uid="{00000000-0005-0000-0000-000027020000}"/>
    <cellStyle name="Normal 10" xfId="24" xr:uid="{00000000-0005-0000-0000-000028020000}"/>
    <cellStyle name="Normal 10 2" xfId="316" xr:uid="{00000000-0005-0000-0000-000029020000}"/>
    <cellStyle name="Normal 10 2 2" xfId="979" xr:uid="{00000000-0005-0000-0000-00002A020000}"/>
    <cellStyle name="Normal 10 3" xfId="460" xr:uid="{00000000-0005-0000-0000-00002B020000}"/>
    <cellStyle name="Normal 10 4" xfId="575" xr:uid="{00000000-0005-0000-0000-00002C020000}"/>
    <cellStyle name="Normal 10 5" xfId="907" xr:uid="{00000000-0005-0000-0000-00002D020000}"/>
    <cellStyle name="Normal 11" xfId="213" xr:uid="{00000000-0005-0000-0000-00002E020000}"/>
    <cellStyle name="Normal 11 2" xfId="317" xr:uid="{00000000-0005-0000-0000-00002F020000}"/>
    <cellStyle name="Normal 11 3" xfId="461" xr:uid="{00000000-0005-0000-0000-000030020000}"/>
    <cellStyle name="Normal 11 3 2" xfId="582" xr:uid="{00000000-0005-0000-0000-000031020000}"/>
    <cellStyle name="Normal 11 4" xfId="908" xr:uid="{00000000-0005-0000-0000-000032020000}"/>
    <cellStyle name="Normal 12" xfId="214" xr:uid="{00000000-0005-0000-0000-000033020000}"/>
    <cellStyle name="Normal 12 2" xfId="463" xr:uid="{00000000-0005-0000-0000-000034020000}"/>
    <cellStyle name="Normal 12 3" xfId="462" xr:uid="{00000000-0005-0000-0000-000035020000}"/>
    <cellStyle name="Normal 13" xfId="315" xr:uid="{00000000-0005-0000-0000-000036020000}"/>
    <cellStyle name="Normal 13 2" xfId="464" xr:uid="{00000000-0005-0000-0000-000037020000}"/>
    <cellStyle name="Normal 13 3" xfId="576" xr:uid="{00000000-0005-0000-0000-000038020000}"/>
    <cellStyle name="Normal 13 4" xfId="909" xr:uid="{00000000-0005-0000-0000-000039020000}"/>
    <cellStyle name="Normal 14" xfId="318" xr:uid="{00000000-0005-0000-0000-00003A020000}"/>
    <cellStyle name="Normal 14 2" xfId="465" xr:uid="{00000000-0005-0000-0000-00003B020000}"/>
    <cellStyle name="Normal 15" xfId="319" xr:uid="{00000000-0005-0000-0000-00003C020000}"/>
    <cellStyle name="Normal 15 2" xfId="466" xr:uid="{00000000-0005-0000-0000-00003D020000}"/>
    <cellStyle name="Normal 15 3" xfId="467" xr:uid="{00000000-0005-0000-0000-00003E020000}"/>
    <cellStyle name="Normal 16" xfId="468" xr:uid="{00000000-0005-0000-0000-00003F020000}"/>
    <cellStyle name="Normal 17" xfId="469" xr:uid="{00000000-0005-0000-0000-000040020000}"/>
    <cellStyle name="Normal 18" xfId="324" xr:uid="{00000000-0005-0000-0000-000041020000}"/>
    <cellStyle name="Normal 19" xfId="572" xr:uid="{00000000-0005-0000-0000-000042020000}"/>
    <cellStyle name="Normal 2" xfId="5" xr:uid="{00000000-0005-0000-0000-000043020000}"/>
    <cellStyle name="Normal 2 2" xfId="6" xr:uid="{00000000-0005-0000-0000-000044020000}"/>
    <cellStyle name="Normal 2 2 2" xfId="320" xr:uid="{00000000-0005-0000-0000-000045020000}"/>
    <cellStyle name="Normal 2 2 2 2" xfId="470" xr:uid="{00000000-0005-0000-0000-000046020000}"/>
    <cellStyle name="Normal 2 2 3" xfId="471" xr:uid="{00000000-0005-0000-0000-000047020000}"/>
    <cellStyle name="Normal 2 2 4" xfId="329" xr:uid="{00000000-0005-0000-0000-000048020000}"/>
    <cellStyle name="Normal 2 2 5" xfId="715" xr:uid="{00000000-0005-0000-0000-000049020000}"/>
    <cellStyle name="Normal 2 2_Consolidado_total" xfId="595" xr:uid="{00000000-0005-0000-0000-00004A020000}"/>
    <cellStyle name="Normal 2 3" xfId="25" xr:uid="{00000000-0005-0000-0000-00004B020000}"/>
    <cellStyle name="Normal 2 3 2" xfId="321" xr:uid="{00000000-0005-0000-0000-00004C020000}"/>
    <cellStyle name="Normal 2 3 2 2" xfId="472" xr:uid="{00000000-0005-0000-0000-00004D020000}"/>
    <cellStyle name="Normal 2 3 3" xfId="332" xr:uid="{00000000-0005-0000-0000-00004E020000}"/>
    <cellStyle name="Normal 2 3 4" xfId="596" xr:uid="{00000000-0005-0000-0000-00004F020000}"/>
    <cellStyle name="Normal 2 3 5" xfId="910" xr:uid="{00000000-0005-0000-0000-000050020000}"/>
    <cellStyle name="Normal 2 3_Consolidado_total" xfId="597" xr:uid="{00000000-0005-0000-0000-000051020000}"/>
    <cellStyle name="Normal 2 4" xfId="322" xr:uid="{00000000-0005-0000-0000-000052020000}"/>
    <cellStyle name="Normal 2 4 2" xfId="473" xr:uid="{00000000-0005-0000-0000-000053020000}"/>
    <cellStyle name="Normal 2 4 3" xfId="598" xr:uid="{00000000-0005-0000-0000-000054020000}"/>
    <cellStyle name="Normal 2 4 4" xfId="975" xr:uid="{00000000-0005-0000-0000-000055020000}"/>
    <cellStyle name="Normal 2 5" xfId="323" xr:uid="{00000000-0005-0000-0000-000056020000}"/>
    <cellStyle name="Normal 2 5 2" xfId="474" xr:uid="{00000000-0005-0000-0000-000057020000}"/>
    <cellStyle name="Normal 2 5 3" xfId="981" xr:uid="{00000000-0005-0000-0000-000058020000}"/>
    <cellStyle name="Normal 2 6" xfId="475" xr:uid="{00000000-0005-0000-0000-000059020000}"/>
    <cellStyle name="Normal 2 6 2" xfId="476" xr:uid="{00000000-0005-0000-0000-00005A020000}"/>
    <cellStyle name="Normal 2 6 3" xfId="477" xr:uid="{00000000-0005-0000-0000-00005B020000}"/>
    <cellStyle name="Normal 2 7" xfId="327" xr:uid="{00000000-0005-0000-0000-00005C020000}"/>
    <cellStyle name="Normal 2 7 2" xfId="579" xr:uid="{00000000-0005-0000-0000-00005D020000}"/>
    <cellStyle name="Normal 2 8" xfId="717" xr:uid="{00000000-0005-0000-0000-00005E020000}"/>
    <cellStyle name="Normal 2 9" xfId="980" xr:uid="{00000000-0005-0000-0000-00005F020000}"/>
    <cellStyle name="Normal 2_abril DE PARA Plano de Contas 29Abr" xfId="478" xr:uid="{00000000-0005-0000-0000-000060020000}"/>
    <cellStyle name="Normal 20" xfId="708" xr:uid="{00000000-0005-0000-0000-000061020000}"/>
    <cellStyle name="Normal 20 2" xfId="709" xr:uid="{00000000-0005-0000-0000-000062020000}"/>
    <cellStyle name="Normal 21" xfId="711" xr:uid="{00000000-0005-0000-0000-000063020000}"/>
    <cellStyle name="Normal 22" xfId="712" xr:uid="{00000000-0005-0000-0000-000064020000}"/>
    <cellStyle name="Normal 23" xfId="716" xr:uid="{00000000-0005-0000-0000-000065020000}"/>
    <cellStyle name="Normal 24" xfId="721" xr:uid="{00000000-0005-0000-0000-000066020000}"/>
    <cellStyle name="Normal 25" xfId="722" xr:uid="{00000000-0005-0000-0000-000067020000}"/>
    <cellStyle name="Normal 26" xfId="723" xr:uid="{00000000-0005-0000-0000-000068020000}"/>
    <cellStyle name="Normal 27" xfId="724" xr:uid="{00000000-0005-0000-0000-000069020000}"/>
    <cellStyle name="Normal 28" xfId="725" xr:uid="{00000000-0005-0000-0000-00006A020000}"/>
    <cellStyle name="Normal 29" xfId="726" xr:uid="{00000000-0005-0000-0000-00006B020000}"/>
    <cellStyle name="Normal 3" xfId="7" xr:uid="{00000000-0005-0000-0000-00006C020000}"/>
    <cellStyle name="Normal 3 10" xfId="479" xr:uid="{00000000-0005-0000-0000-00006D020000}"/>
    <cellStyle name="Normal 3 11" xfId="480" xr:uid="{00000000-0005-0000-0000-00006E020000}"/>
    <cellStyle name="Normal 3 12" xfId="481" xr:uid="{00000000-0005-0000-0000-00006F020000}"/>
    <cellStyle name="Normal 3 13" xfId="328" xr:uid="{00000000-0005-0000-0000-000070020000}"/>
    <cellStyle name="Normal 3 2" xfId="20" xr:uid="{00000000-0005-0000-0000-000071020000}"/>
    <cellStyle name="Normal 3 2 2" xfId="215" xr:uid="{00000000-0005-0000-0000-000072020000}"/>
    <cellStyle name="Normal 3 2 2 2" xfId="599" xr:uid="{00000000-0005-0000-0000-000073020000}"/>
    <cellStyle name="Normal 3 2 2_BaseAnt" xfId="600" xr:uid="{00000000-0005-0000-0000-000074020000}"/>
    <cellStyle name="Normal 3 2 3" xfId="601" xr:uid="{00000000-0005-0000-0000-000075020000}"/>
    <cellStyle name="Normal 3 2_BaseAnt" xfId="602" xr:uid="{00000000-0005-0000-0000-000076020000}"/>
    <cellStyle name="Normal 3 3" xfId="216" xr:uid="{00000000-0005-0000-0000-000077020000}"/>
    <cellStyle name="Normal 3 3 2" xfId="482" xr:uid="{00000000-0005-0000-0000-000078020000}"/>
    <cellStyle name="Normal 3 3 3" xfId="483" xr:uid="{00000000-0005-0000-0000-000079020000}"/>
    <cellStyle name="Normal 3 3_BaseAnt" xfId="603" xr:uid="{00000000-0005-0000-0000-00007A020000}"/>
    <cellStyle name="Normal 3 4" xfId="484" xr:uid="{00000000-0005-0000-0000-00007B020000}"/>
    <cellStyle name="Normal 3 4 2" xfId="485" xr:uid="{00000000-0005-0000-0000-00007C020000}"/>
    <cellStyle name="Normal 3 4 3" xfId="486" xr:uid="{00000000-0005-0000-0000-00007D020000}"/>
    <cellStyle name="Normal 3 5" xfId="487" xr:uid="{00000000-0005-0000-0000-00007E020000}"/>
    <cellStyle name="Normal 3 5 2" xfId="488" xr:uid="{00000000-0005-0000-0000-00007F020000}"/>
    <cellStyle name="Normal 3 5 3" xfId="489" xr:uid="{00000000-0005-0000-0000-000080020000}"/>
    <cellStyle name="Normal 3 6" xfId="490" xr:uid="{00000000-0005-0000-0000-000081020000}"/>
    <cellStyle name="Normal 3 6 2" xfId="491" xr:uid="{00000000-0005-0000-0000-000082020000}"/>
    <cellStyle name="Normal 3 6 3" xfId="492" xr:uid="{00000000-0005-0000-0000-000083020000}"/>
    <cellStyle name="Normal 3 7" xfId="493" xr:uid="{00000000-0005-0000-0000-000084020000}"/>
    <cellStyle name="Normal 3 7 2" xfId="494" xr:uid="{00000000-0005-0000-0000-000085020000}"/>
    <cellStyle name="Normal 3 7 3" xfId="495" xr:uid="{00000000-0005-0000-0000-000086020000}"/>
    <cellStyle name="Normal 3 8" xfId="496" xr:uid="{00000000-0005-0000-0000-000087020000}"/>
    <cellStyle name="Normal 3 8 2" xfId="497" xr:uid="{00000000-0005-0000-0000-000088020000}"/>
    <cellStyle name="Normal 3 8 3" xfId="498" xr:uid="{00000000-0005-0000-0000-000089020000}"/>
    <cellStyle name="Normal 3 9" xfId="499" xr:uid="{00000000-0005-0000-0000-00008A020000}"/>
    <cellStyle name="Normal 3_BaseAnt" xfId="604" xr:uid="{00000000-0005-0000-0000-00008B020000}"/>
    <cellStyle name="Normal 30" xfId="727" xr:uid="{00000000-0005-0000-0000-00008C020000}"/>
    <cellStyle name="Normal 31" xfId="728" xr:uid="{00000000-0005-0000-0000-00008D020000}"/>
    <cellStyle name="Normal 32" xfId="729" xr:uid="{00000000-0005-0000-0000-00008E020000}"/>
    <cellStyle name="Normal 33" xfId="719" xr:uid="{00000000-0005-0000-0000-00008F020000}"/>
    <cellStyle name="Normal 34" xfId="982" xr:uid="{00000000-0005-0000-0000-000090020000}"/>
    <cellStyle name="Normal 4" xfId="8" xr:uid="{00000000-0005-0000-0000-000091020000}"/>
    <cellStyle name="Normal 4 2" xfId="217" xr:uid="{00000000-0005-0000-0000-000092020000}"/>
    <cellStyle name="Normal 4 2 2" xfId="500" xr:uid="{00000000-0005-0000-0000-000093020000}"/>
    <cellStyle name="Normal 4 2 3" xfId="606" xr:uid="{00000000-0005-0000-0000-000094020000}"/>
    <cellStyle name="Normal 4 3" xfId="501" xr:uid="{00000000-0005-0000-0000-000095020000}"/>
    <cellStyle name="Normal 4 4" xfId="605" xr:uid="{00000000-0005-0000-0000-000096020000}"/>
    <cellStyle name="Normal 4 5" xfId="713" xr:uid="{00000000-0005-0000-0000-000097020000}"/>
    <cellStyle name="Normal 4_BaseAnt" xfId="607" xr:uid="{00000000-0005-0000-0000-000098020000}"/>
    <cellStyle name="Normal 5" xfId="9" xr:uid="{00000000-0005-0000-0000-000099020000}"/>
    <cellStyle name="Normal 5 2" xfId="502" xr:uid="{00000000-0005-0000-0000-00009A020000}"/>
    <cellStyle name="Normal 5 2 2" xfId="609" xr:uid="{00000000-0005-0000-0000-00009B020000}"/>
    <cellStyle name="Normal 5 2 2 2" xfId="610" xr:uid="{00000000-0005-0000-0000-00009C020000}"/>
    <cellStyle name="Normal 5 2 2_BaseAnt" xfId="611" xr:uid="{00000000-0005-0000-0000-00009D020000}"/>
    <cellStyle name="Normal 5 2 3" xfId="612" xr:uid="{00000000-0005-0000-0000-00009E020000}"/>
    <cellStyle name="Normal 5 2 4" xfId="608" xr:uid="{00000000-0005-0000-0000-00009F020000}"/>
    <cellStyle name="Normal 5 2_BaseAnt" xfId="613" xr:uid="{00000000-0005-0000-0000-0000A0020000}"/>
    <cellStyle name="Normal 5 3" xfId="330" xr:uid="{00000000-0005-0000-0000-0000A1020000}"/>
    <cellStyle name="Normal 5 3 2" xfId="614" xr:uid="{00000000-0005-0000-0000-0000A2020000}"/>
    <cellStyle name="Normal 5 3_BaseAnt" xfId="615" xr:uid="{00000000-0005-0000-0000-0000A3020000}"/>
    <cellStyle name="Normal 5 4" xfId="616" xr:uid="{00000000-0005-0000-0000-0000A4020000}"/>
    <cellStyle name="Normal 5 5" xfId="911" xr:uid="{00000000-0005-0000-0000-0000A5020000}"/>
    <cellStyle name="Normal 5 6" xfId="983" xr:uid="{00000000-0005-0000-0000-0000A6020000}"/>
    <cellStyle name="Normal 5_BaseAnt" xfId="617" xr:uid="{00000000-0005-0000-0000-0000A7020000}"/>
    <cellStyle name="Normal 6" xfId="10" xr:uid="{00000000-0005-0000-0000-0000A8020000}"/>
    <cellStyle name="Normal 6 2" xfId="218" xr:uid="{00000000-0005-0000-0000-0000A9020000}"/>
    <cellStyle name="Normal 6 2 2" xfId="503" xr:uid="{00000000-0005-0000-0000-0000AA020000}"/>
    <cellStyle name="Normal 6 3" xfId="504" xr:uid="{00000000-0005-0000-0000-0000AB020000}"/>
    <cellStyle name="Normal 7" xfId="3" xr:uid="{00000000-0005-0000-0000-0000AC020000}"/>
    <cellStyle name="Normal 7 2" xfId="219" xr:uid="{00000000-0005-0000-0000-0000AD020000}"/>
    <cellStyle name="Normal 7 2 2" xfId="913" xr:uid="{00000000-0005-0000-0000-0000AE020000}"/>
    <cellStyle name="Normal 7 3" xfId="714" xr:uid="{00000000-0005-0000-0000-0000AF020000}"/>
    <cellStyle name="Normal 7 4" xfId="912" xr:uid="{00000000-0005-0000-0000-0000B0020000}"/>
    <cellStyle name="Normal 8" xfId="11" xr:uid="{00000000-0005-0000-0000-0000B1020000}"/>
    <cellStyle name="Normal 8 2" xfId="312" xr:uid="{00000000-0005-0000-0000-0000B2020000}"/>
    <cellStyle name="Normal 8 2 2" xfId="915" xr:uid="{00000000-0005-0000-0000-0000B3020000}"/>
    <cellStyle name="Normal 8 3" xfId="505" xr:uid="{00000000-0005-0000-0000-0000B4020000}"/>
    <cellStyle name="Normal 8 3 2" xfId="696" xr:uid="{00000000-0005-0000-0000-0000B5020000}"/>
    <cellStyle name="Normal 8 3 2 2" xfId="1073" xr:uid="{00000000-0005-0000-0000-0000B6020000}"/>
    <cellStyle name="Normal 8 4" xfId="914" xr:uid="{00000000-0005-0000-0000-0000B7020000}"/>
    <cellStyle name="Normal 9" xfId="22" xr:uid="{00000000-0005-0000-0000-0000B8020000}"/>
    <cellStyle name="Normal 9 2" xfId="506" xr:uid="{00000000-0005-0000-0000-0000B9020000}"/>
    <cellStyle name="Normal 9 2 2" xfId="618" xr:uid="{00000000-0005-0000-0000-0000BA020000}"/>
    <cellStyle name="Normal 9 2 3" xfId="697" xr:uid="{00000000-0005-0000-0000-0000BB020000}"/>
    <cellStyle name="Normal 9 2 3 2" xfId="1074" xr:uid="{00000000-0005-0000-0000-0000BC020000}"/>
    <cellStyle name="Normal 9 3" xfId="916" xr:uid="{00000000-0005-0000-0000-0000BD020000}"/>
    <cellStyle name="Normale_ cellular Costs" xfId="220" xr:uid="{00000000-0005-0000-0000-0000BE020000}"/>
    <cellStyle name="Normalny_laroux" xfId="507" xr:uid="{00000000-0005-0000-0000-0000BF020000}"/>
    <cellStyle name="Nota 2" xfId="221" xr:uid="{00000000-0005-0000-0000-0000C0020000}"/>
    <cellStyle name="Nota 2 2" xfId="508" xr:uid="{00000000-0005-0000-0000-0000C1020000}"/>
    <cellStyle name="Nota 2 2 2" xfId="918" xr:uid="{00000000-0005-0000-0000-0000C2020000}"/>
    <cellStyle name="Nota 2 3" xfId="509" xr:uid="{00000000-0005-0000-0000-0000C3020000}"/>
    <cellStyle name="Nota 2 4" xfId="917" xr:uid="{00000000-0005-0000-0000-0000C4020000}"/>
    <cellStyle name="Nota 3" xfId="510" xr:uid="{00000000-0005-0000-0000-0000C5020000}"/>
    <cellStyle name="Nota 3 2" xfId="919" xr:uid="{00000000-0005-0000-0000-0000C6020000}"/>
    <cellStyle name="Nota 4" xfId="920" xr:uid="{00000000-0005-0000-0000-0000C7020000}"/>
    <cellStyle name="Nota 5" xfId="921" xr:uid="{00000000-0005-0000-0000-0000C8020000}"/>
    <cellStyle name="Nota 6" xfId="922" xr:uid="{00000000-0005-0000-0000-0000C9020000}"/>
    <cellStyle name="Nota 7" xfId="923" xr:uid="{00000000-0005-0000-0000-0000CA020000}"/>
    <cellStyle name="Note" xfId="222" xr:uid="{00000000-0005-0000-0000-0000CB020000}"/>
    <cellStyle name="Output" xfId="223" xr:uid="{00000000-0005-0000-0000-0000CC020000}"/>
    <cellStyle name="Output Labels" xfId="224" xr:uid="{00000000-0005-0000-0000-0000CD020000}"/>
    <cellStyle name="Page_Header" xfId="619" xr:uid="{00000000-0005-0000-0000-0000CE020000}"/>
    <cellStyle name="Percent (0)" xfId="511" xr:uid="{00000000-0005-0000-0000-0000CF020000}"/>
    <cellStyle name="Percent [2]" xfId="225" xr:uid="{00000000-0005-0000-0000-0000D0020000}"/>
    <cellStyle name="Percent 2" xfId="512" xr:uid="{00000000-0005-0000-0000-0000D1020000}"/>
    <cellStyle name="Percent 3" xfId="513" xr:uid="{00000000-0005-0000-0000-0000D2020000}"/>
    <cellStyle name="Percent 4" xfId="514" xr:uid="{00000000-0005-0000-0000-0000D3020000}"/>
    <cellStyle name="Percent 4 2" xfId="515" xr:uid="{00000000-0005-0000-0000-0000D4020000}"/>
    <cellStyle name="Percent 5" xfId="516" xr:uid="{00000000-0005-0000-0000-0000D5020000}"/>
    <cellStyle name="Percent_Mensal (2)" xfId="226" xr:uid="{00000000-0005-0000-0000-0000D6020000}"/>
    <cellStyle name="PercentChange" xfId="227" xr:uid="{00000000-0005-0000-0000-0000D7020000}"/>
    <cellStyle name="Percentual" xfId="228" xr:uid="{00000000-0005-0000-0000-0000D8020000}"/>
    <cellStyle name="Ponto" xfId="229" xr:uid="{00000000-0005-0000-0000-0000D9020000}"/>
    <cellStyle name="Porcentagem" xfId="1" builtinId="5"/>
    <cellStyle name="Porcentagem 10" xfId="517" xr:uid="{00000000-0005-0000-0000-0000DB020000}"/>
    <cellStyle name="Porcentagem 10 2" xfId="518" xr:uid="{00000000-0005-0000-0000-0000DC020000}"/>
    <cellStyle name="Porcentagem 10 3" xfId="519" xr:uid="{00000000-0005-0000-0000-0000DD020000}"/>
    <cellStyle name="Porcentagem 2" xfId="12" xr:uid="{00000000-0005-0000-0000-0000DE020000}"/>
    <cellStyle name="Porcentagem 2 2" xfId="230" xr:uid="{00000000-0005-0000-0000-0000DF020000}"/>
    <cellStyle name="Porcentagem 2 2 2" xfId="336" xr:uid="{00000000-0005-0000-0000-0000E0020000}"/>
    <cellStyle name="Porcentagem 2 2 2 2" xfId="620" xr:uid="{00000000-0005-0000-0000-0000E1020000}"/>
    <cellStyle name="Porcentagem 2 3" xfId="231" xr:uid="{00000000-0005-0000-0000-0000E2020000}"/>
    <cellStyle name="Porcentagem 2 4" xfId="232" xr:uid="{00000000-0005-0000-0000-0000E3020000}"/>
    <cellStyle name="Porcentagem 2 5" xfId="924" xr:uid="{00000000-0005-0000-0000-0000E4020000}"/>
    <cellStyle name="Porcentagem 3" xfId="13" xr:uid="{00000000-0005-0000-0000-0000E5020000}"/>
    <cellStyle name="Porcentagem 3 2" xfId="233" xr:uid="{00000000-0005-0000-0000-0000E6020000}"/>
    <cellStyle name="Porcentagem 3 2 2" xfId="623" xr:uid="{00000000-0005-0000-0000-0000E7020000}"/>
    <cellStyle name="Porcentagem 3 2 3" xfId="622" xr:uid="{00000000-0005-0000-0000-0000E8020000}"/>
    <cellStyle name="Porcentagem 3 3" xfId="624" xr:uid="{00000000-0005-0000-0000-0000E9020000}"/>
    <cellStyle name="Porcentagem 3 4" xfId="621" xr:uid="{00000000-0005-0000-0000-0000EA020000}"/>
    <cellStyle name="Porcentagem 3 5" xfId="925" xr:uid="{00000000-0005-0000-0000-0000EB020000}"/>
    <cellStyle name="Porcentagem 4" xfId="14" xr:uid="{00000000-0005-0000-0000-0000EC020000}"/>
    <cellStyle name="Porcentagem 4 2" xfId="520" xr:uid="{00000000-0005-0000-0000-0000ED020000}"/>
    <cellStyle name="Porcentagem 4 2 2" xfId="626" xr:uid="{00000000-0005-0000-0000-0000EE020000}"/>
    <cellStyle name="Porcentagem 4 3" xfId="573" xr:uid="{00000000-0005-0000-0000-0000EF020000}"/>
    <cellStyle name="Porcentagem 4 4" xfId="625" xr:uid="{00000000-0005-0000-0000-0000F0020000}"/>
    <cellStyle name="Porcentagem 4 5" xfId="926" xr:uid="{00000000-0005-0000-0000-0000F1020000}"/>
    <cellStyle name="Porcentagem 5" xfId="314" xr:uid="{00000000-0005-0000-0000-0000F2020000}"/>
    <cellStyle name="Porcentagem 5 2" xfId="521" xr:uid="{00000000-0005-0000-0000-0000F3020000}"/>
    <cellStyle name="Porcentagem 5 2 2" xfId="628" xr:uid="{00000000-0005-0000-0000-0000F4020000}"/>
    <cellStyle name="Porcentagem 5 3" xfId="627" xr:uid="{00000000-0005-0000-0000-0000F5020000}"/>
    <cellStyle name="Porcentagem 5 4" xfId="927" xr:uid="{00000000-0005-0000-0000-0000F6020000}"/>
    <cellStyle name="Porcentagem 6" xfId="325" xr:uid="{00000000-0005-0000-0000-0000F7020000}"/>
    <cellStyle name="Porcentagem 6 2" xfId="577" xr:uid="{00000000-0005-0000-0000-0000F8020000}"/>
    <cellStyle name="Porcentagem 6 3" xfId="976" xr:uid="{00000000-0005-0000-0000-0000F9020000}"/>
    <cellStyle name="Porcentagem 7" xfId="629" xr:uid="{00000000-0005-0000-0000-0000FA020000}"/>
    <cellStyle name="Porcentagem 8" xfId="710" xr:uid="{00000000-0005-0000-0000-0000FB020000}"/>
    <cellStyle name="Porcentagem 9" xfId="522" xr:uid="{00000000-0005-0000-0000-0000FC020000}"/>
    <cellStyle name="Porcentaje" xfId="234" xr:uid="{00000000-0005-0000-0000-0000FD020000}"/>
    <cellStyle name="Precent" xfId="630" xr:uid="{00000000-0005-0000-0000-0000FE020000}"/>
    <cellStyle name="Premissas" xfId="235" xr:uid="{00000000-0005-0000-0000-0000FF020000}"/>
    <cellStyle name="Projeções" xfId="236" xr:uid="{00000000-0005-0000-0000-000000030000}"/>
    <cellStyle name="PSChar" xfId="237" xr:uid="{00000000-0005-0000-0000-000001030000}"/>
    <cellStyle name="PSDate" xfId="238" xr:uid="{00000000-0005-0000-0000-000002030000}"/>
    <cellStyle name="PSDec" xfId="239" xr:uid="{00000000-0005-0000-0000-000003030000}"/>
    <cellStyle name="PSHeading" xfId="240" xr:uid="{00000000-0005-0000-0000-000004030000}"/>
    <cellStyle name="PSHeading 2" xfId="340" xr:uid="{00000000-0005-0000-0000-000005030000}"/>
    <cellStyle name="PSHeading 2 2" xfId="580" xr:uid="{00000000-0005-0000-0000-000006030000}"/>
    <cellStyle name="PSHeading 2 2 2" xfId="1001" xr:uid="{00000000-0005-0000-0000-000007030000}"/>
    <cellStyle name="PSHeading 3" xfId="992" xr:uid="{00000000-0005-0000-0000-000008030000}"/>
    <cellStyle name="PSInt" xfId="241" xr:uid="{00000000-0005-0000-0000-000009030000}"/>
    <cellStyle name="PSSpacer" xfId="242" xr:uid="{00000000-0005-0000-0000-00000A030000}"/>
    <cellStyle name="Punto0" xfId="243" xr:uid="{00000000-0005-0000-0000-00000B030000}"/>
    <cellStyle name="Punto0 - Estilo6" xfId="244" xr:uid="{00000000-0005-0000-0000-00000C030000}"/>
    <cellStyle name="RatioX" xfId="245" xr:uid="{00000000-0005-0000-0000-00000D030000}"/>
    <cellStyle name="Red Text" xfId="246" xr:uid="{00000000-0005-0000-0000-00000E030000}"/>
    <cellStyle name="RM" xfId="247" xr:uid="{00000000-0005-0000-0000-00000F030000}"/>
    <cellStyle name="roberto" xfId="248" xr:uid="{00000000-0005-0000-0000-000010030000}"/>
    <cellStyle name="rodape" xfId="249" xr:uid="{00000000-0005-0000-0000-000011030000}"/>
    <cellStyle name="Saída 2" xfId="250" xr:uid="{00000000-0005-0000-0000-000012030000}"/>
    <cellStyle name="Saída 2 2" xfId="523" xr:uid="{00000000-0005-0000-0000-000013030000}"/>
    <cellStyle name="Saída 2 3" xfId="524" xr:uid="{00000000-0005-0000-0000-000014030000}"/>
    <cellStyle name="Saída 2 4" xfId="928" xr:uid="{00000000-0005-0000-0000-000015030000}"/>
    <cellStyle name="Saída 3" xfId="525" xr:uid="{00000000-0005-0000-0000-000016030000}"/>
    <cellStyle name="Saída 3 2" xfId="929" xr:uid="{00000000-0005-0000-0000-000017030000}"/>
    <cellStyle name="Saída 4" xfId="930" xr:uid="{00000000-0005-0000-0000-000018030000}"/>
    <cellStyle name="Saída 5" xfId="931" xr:uid="{00000000-0005-0000-0000-000019030000}"/>
    <cellStyle name="Saída 6" xfId="932" xr:uid="{00000000-0005-0000-0000-00001A030000}"/>
    <cellStyle name="SAPBEXaggData" xfId="251" xr:uid="{00000000-0005-0000-0000-00001B030000}"/>
    <cellStyle name="SAPBEXaggDataEmph" xfId="252" xr:uid="{00000000-0005-0000-0000-00001C030000}"/>
    <cellStyle name="SAPBEXaggItem" xfId="253" xr:uid="{00000000-0005-0000-0000-00001D030000}"/>
    <cellStyle name="SAPBEXchaText" xfId="254" xr:uid="{00000000-0005-0000-0000-00001E030000}"/>
    <cellStyle name="SAPBEXchaText 2" xfId="255" xr:uid="{00000000-0005-0000-0000-00001F030000}"/>
    <cellStyle name="SAPBEXchaText 2 2" xfId="341" xr:uid="{00000000-0005-0000-0000-000020030000}"/>
    <cellStyle name="SAPBEXchaText 2 2 2" xfId="667" xr:uid="{00000000-0005-0000-0000-000021030000}"/>
    <cellStyle name="SAPBEXchaText 2 2 2 2" xfId="1044" xr:uid="{00000000-0005-0000-0000-000022030000}"/>
    <cellStyle name="SAPBEXchaText 2 3" xfId="664" xr:uid="{00000000-0005-0000-0000-000023030000}"/>
    <cellStyle name="SAPBEXchaText 2 3 2" xfId="1041" xr:uid="{00000000-0005-0000-0000-000024030000}"/>
    <cellStyle name="SAPBEXchaText 3" xfId="339" xr:uid="{00000000-0005-0000-0000-000025030000}"/>
    <cellStyle name="SAPBEXchaText 3 2" xfId="666" xr:uid="{00000000-0005-0000-0000-000026030000}"/>
    <cellStyle name="SAPBEXchaText 3 2 2" xfId="1043" xr:uid="{00000000-0005-0000-0000-000027030000}"/>
    <cellStyle name="SAPBEXchaText 4" xfId="665" xr:uid="{00000000-0005-0000-0000-000028030000}"/>
    <cellStyle name="SAPBEXchaText 4 2" xfId="1042" xr:uid="{00000000-0005-0000-0000-000029030000}"/>
    <cellStyle name="SAPBEXexcBad7" xfId="256" xr:uid="{00000000-0005-0000-0000-00002A030000}"/>
    <cellStyle name="SAPBEXexcBad8" xfId="257" xr:uid="{00000000-0005-0000-0000-00002B030000}"/>
    <cellStyle name="SAPBEXexcBad9" xfId="258" xr:uid="{00000000-0005-0000-0000-00002C030000}"/>
    <cellStyle name="SAPBEXexcCritical4" xfId="259" xr:uid="{00000000-0005-0000-0000-00002D030000}"/>
    <cellStyle name="SAPBEXexcCritical5" xfId="260" xr:uid="{00000000-0005-0000-0000-00002E030000}"/>
    <cellStyle name="SAPBEXexcCritical6" xfId="261" xr:uid="{00000000-0005-0000-0000-00002F030000}"/>
    <cellStyle name="SAPBEXexcGood1" xfId="262" xr:uid="{00000000-0005-0000-0000-000030030000}"/>
    <cellStyle name="SAPBEXexcGood2" xfId="263" xr:uid="{00000000-0005-0000-0000-000031030000}"/>
    <cellStyle name="SAPBEXexcGood3" xfId="264" xr:uid="{00000000-0005-0000-0000-000032030000}"/>
    <cellStyle name="SAPBEXfilterDrill" xfId="265" xr:uid="{00000000-0005-0000-0000-000033030000}"/>
    <cellStyle name="SAPBEXfilterItem" xfId="266" xr:uid="{00000000-0005-0000-0000-000034030000}"/>
    <cellStyle name="SAPBEXfilterText" xfId="267" xr:uid="{00000000-0005-0000-0000-000035030000}"/>
    <cellStyle name="SAPBEXformats" xfId="268" xr:uid="{00000000-0005-0000-0000-000036030000}"/>
    <cellStyle name="SAPBEXheaderItem" xfId="269" xr:uid="{00000000-0005-0000-0000-000037030000}"/>
    <cellStyle name="SAPBEXheaderText" xfId="270" xr:uid="{00000000-0005-0000-0000-000038030000}"/>
    <cellStyle name="SAPBEXresData" xfId="271" xr:uid="{00000000-0005-0000-0000-000039030000}"/>
    <cellStyle name="SAPBEXresDataEmph" xfId="272" xr:uid="{00000000-0005-0000-0000-00003A030000}"/>
    <cellStyle name="SAPBEXresItem" xfId="273" xr:uid="{00000000-0005-0000-0000-00003B030000}"/>
    <cellStyle name="SAPBEXstdData" xfId="274" xr:uid="{00000000-0005-0000-0000-00003C030000}"/>
    <cellStyle name="SAPBEXstdDataEmph" xfId="275" xr:uid="{00000000-0005-0000-0000-00003D030000}"/>
    <cellStyle name="SAPBEXstdItem" xfId="276" xr:uid="{00000000-0005-0000-0000-00003E030000}"/>
    <cellStyle name="SAPBEXtitle" xfId="277" xr:uid="{00000000-0005-0000-0000-00003F030000}"/>
    <cellStyle name="SAPBEXundefined" xfId="278" xr:uid="{00000000-0005-0000-0000-000040030000}"/>
    <cellStyle name="SAPOutput" xfId="279" xr:uid="{00000000-0005-0000-0000-000041030000}"/>
    <cellStyle name="ScripFactor" xfId="280" xr:uid="{00000000-0005-0000-0000-000042030000}"/>
    <cellStyle name="SectionHeading" xfId="281" xr:uid="{00000000-0005-0000-0000-000043030000}"/>
    <cellStyle name="SEM-BPS-key" xfId="526" xr:uid="{00000000-0005-0000-0000-000044030000}"/>
    <cellStyle name="Sep. milhar [0]" xfId="282" xr:uid="{00000000-0005-0000-0000-000045030000}"/>
    <cellStyle name="Separador de milhares 2" xfId="15" xr:uid="{00000000-0005-0000-0000-000046030000}"/>
    <cellStyle name="Separador de milhares 2 2" xfId="335" xr:uid="{00000000-0005-0000-0000-000047030000}"/>
    <cellStyle name="Separador de milhares 2 2 2" xfId="676" xr:uid="{00000000-0005-0000-0000-000048030000}"/>
    <cellStyle name="Separador de milhares 2 2 2 2" xfId="1053" xr:uid="{00000000-0005-0000-0000-000049030000}"/>
    <cellStyle name="Separador de milhares 2 3" xfId="631" xr:uid="{00000000-0005-0000-0000-00004A030000}"/>
    <cellStyle name="Separador de milhares 2 3 2" xfId="1012" xr:uid="{00000000-0005-0000-0000-00004B030000}"/>
    <cellStyle name="Separador de milhares 2 4" xfId="658" xr:uid="{00000000-0005-0000-0000-00004C030000}"/>
    <cellStyle name="Separador de milhares 2 4 2" xfId="1035" xr:uid="{00000000-0005-0000-0000-00004D030000}"/>
    <cellStyle name="Separador de milhares 2 5" xfId="933" xr:uid="{00000000-0005-0000-0000-00004E030000}"/>
    <cellStyle name="Separador de milhares 2 5 2" xfId="1088" xr:uid="{00000000-0005-0000-0000-00004F030000}"/>
    <cellStyle name="Separador de milhares 2 6" xfId="985" xr:uid="{00000000-0005-0000-0000-000050030000}"/>
    <cellStyle name="Separador de milhares 3" xfId="21" xr:uid="{00000000-0005-0000-0000-000051030000}"/>
    <cellStyle name="Separador de milhares 3 2" xfId="528" xr:uid="{00000000-0005-0000-0000-000052030000}"/>
    <cellStyle name="Separador de milhares 3 2 2" xfId="699" xr:uid="{00000000-0005-0000-0000-000053030000}"/>
    <cellStyle name="Separador de milhares 3 2 2 2" xfId="1076" xr:uid="{00000000-0005-0000-0000-000054030000}"/>
    <cellStyle name="Separador de milhares 3 3" xfId="527" xr:uid="{00000000-0005-0000-0000-000055030000}"/>
    <cellStyle name="Separador de milhares 3 3 2" xfId="698" xr:uid="{00000000-0005-0000-0000-000056030000}"/>
    <cellStyle name="Separador de milhares 3 3 2 2" xfId="1075" xr:uid="{00000000-0005-0000-0000-000057030000}"/>
    <cellStyle name="Separador de milhares 4" xfId="283" xr:uid="{00000000-0005-0000-0000-000058030000}"/>
    <cellStyle name="Separador de milhares 4 2" xfId="530" xr:uid="{00000000-0005-0000-0000-000059030000}"/>
    <cellStyle name="Separador de milhares 4 2 2" xfId="701" xr:uid="{00000000-0005-0000-0000-00005A030000}"/>
    <cellStyle name="Separador de milhares 4 2 2 2" xfId="1078" xr:uid="{00000000-0005-0000-0000-00005B030000}"/>
    <cellStyle name="Separador de milhares 4 3" xfId="529" xr:uid="{00000000-0005-0000-0000-00005C030000}"/>
    <cellStyle name="Separador de milhares 4 3 2" xfId="700" xr:uid="{00000000-0005-0000-0000-00005D030000}"/>
    <cellStyle name="Separador de milhares 4 3 2 2" xfId="1077" xr:uid="{00000000-0005-0000-0000-00005E030000}"/>
    <cellStyle name="Separador de milhares 4 4" xfId="632" xr:uid="{00000000-0005-0000-0000-00005F030000}"/>
    <cellStyle name="Separador de milhares 4 4 2" xfId="1013" xr:uid="{00000000-0005-0000-0000-000060030000}"/>
    <cellStyle name="Separador de milhares 5" xfId="531" xr:uid="{00000000-0005-0000-0000-000061030000}"/>
    <cellStyle name="Separador de milhares 5 2" xfId="702" xr:uid="{00000000-0005-0000-0000-000062030000}"/>
    <cellStyle name="Separador de milhares 5 2 2" xfId="1079" xr:uid="{00000000-0005-0000-0000-000063030000}"/>
    <cellStyle name="Separador de milhares 6" xfId="532" xr:uid="{00000000-0005-0000-0000-000064030000}"/>
    <cellStyle name="Standard_AC_CO" xfId="533" xr:uid="{00000000-0005-0000-0000-000065030000}"/>
    <cellStyle name="STYLE1 - Style1" xfId="534" xr:uid="{00000000-0005-0000-0000-000066030000}"/>
    <cellStyle name="STYLE2 - Style2" xfId="535" xr:uid="{00000000-0005-0000-0000-000067030000}"/>
    <cellStyle name="SubHeading" xfId="536" xr:uid="{00000000-0005-0000-0000-000068030000}"/>
    <cellStyle name="Texto de Aviso 2" xfId="284" xr:uid="{00000000-0005-0000-0000-000069030000}"/>
    <cellStyle name="Texto de Aviso 2 2" xfId="537" xr:uid="{00000000-0005-0000-0000-00006A030000}"/>
    <cellStyle name="Texto de Aviso 2 3" xfId="538" xr:uid="{00000000-0005-0000-0000-00006B030000}"/>
    <cellStyle name="Texto de Aviso 2 4" xfId="934" xr:uid="{00000000-0005-0000-0000-00006C030000}"/>
    <cellStyle name="Texto de Aviso 3" xfId="539" xr:uid="{00000000-0005-0000-0000-00006D030000}"/>
    <cellStyle name="Texto de Aviso 3 2" xfId="935" xr:uid="{00000000-0005-0000-0000-00006E030000}"/>
    <cellStyle name="Texto de Aviso 4" xfId="936" xr:uid="{00000000-0005-0000-0000-00006F030000}"/>
    <cellStyle name="Texto de Aviso 5" xfId="937" xr:uid="{00000000-0005-0000-0000-000070030000}"/>
    <cellStyle name="Texto de Aviso 6" xfId="938" xr:uid="{00000000-0005-0000-0000-000071030000}"/>
    <cellStyle name="Texto Explicativo 2" xfId="285" xr:uid="{00000000-0005-0000-0000-000072030000}"/>
    <cellStyle name="Texto Explicativo 2 2" xfId="540" xr:uid="{00000000-0005-0000-0000-000073030000}"/>
    <cellStyle name="Texto Explicativo 2 3" xfId="541" xr:uid="{00000000-0005-0000-0000-000074030000}"/>
    <cellStyle name="Texto Explicativo 2 4" xfId="939" xr:uid="{00000000-0005-0000-0000-000075030000}"/>
    <cellStyle name="Texto Explicativo 3" xfId="542" xr:uid="{00000000-0005-0000-0000-000076030000}"/>
    <cellStyle name="Texto Explicativo 3 2" xfId="940" xr:uid="{00000000-0005-0000-0000-000077030000}"/>
    <cellStyle name="Texto Explicativo 4" xfId="941" xr:uid="{00000000-0005-0000-0000-000078030000}"/>
    <cellStyle name="Texto Explicativo 5" xfId="942" xr:uid="{00000000-0005-0000-0000-000079030000}"/>
    <cellStyle name="Texto Explicativo 6" xfId="943" xr:uid="{00000000-0005-0000-0000-00007A030000}"/>
    <cellStyle name="þ_x001d_ð'_x000c_ïþ÷_x000c_âþU_x0001__x0013__x0015_‚_x0016__x0007__x0001__x0001_" xfId="286" xr:uid="{00000000-0005-0000-0000-00007B030000}"/>
    <cellStyle name="Tickmark" xfId="543" xr:uid="{00000000-0005-0000-0000-00007C030000}"/>
    <cellStyle name="Title" xfId="287" xr:uid="{00000000-0005-0000-0000-00007D030000}"/>
    <cellStyle name="Titles" xfId="288" xr:uid="{00000000-0005-0000-0000-00007E030000}"/>
    <cellStyle name="Titulo" xfId="289" xr:uid="{00000000-0005-0000-0000-00007F030000}"/>
    <cellStyle name="Título 1 2" xfId="290" xr:uid="{00000000-0005-0000-0000-000080030000}"/>
    <cellStyle name="Título 1 2 2" xfId="544" xr:uid="{00000000-0005-0000-0000-000081030000}"/>
    <cellStyle name="Título 1 2 3" xfId="545" xr:uid="{00000000-0005-0000-0000-000082030000}"/>
    <cellStyle name="Título 1 2 4" xfId="944" xr:uid="{00000000-0005-0000-0000-000083030000}"/>
    <cellStyle name="Título 1 3" xfId="546" xr:uid="{00000000-0005-0000-0000-000084030000}"/>
    <cellStyle name="Título 1 3 2" xfId="945" xr:uid="{00000000-0005-0000-0000-000085030000}"/>
    <cellStyle name="Título 1 4" xfId="946" xr:uid="{00000000-0005-0000-0000-000086030000}"/>
    <cellStyle name="Título 1 5" xfId="947" xr:uid="{00000000-0005-0000-0000-000087030000}"/>
    <cellStyle name="Título 1 6" xfId="948" xr:uid="{00000000-0005-0000-0000-000088030000}"/>
    <cellStyle name="Título 2 2" xfId="291" xr:uid="{00000000-0005-0000-0000-000089030000}"/>
    <cellStyle name="Título 2 2 2" xfId="547" xr:uid="{00000000-0005-0000-0000-00008A030000}"/>
    <cellStyle name="Título 2 2 3" xfId="548" xr:uid="{00000000-0005-0000-0000-00008B030000}"/>
    <cellStyle name="Título 2 2 4" xfId="949" xr:uid="{00000000-0005-0000-0000-00008C030000}"/>
    <cellStyle name="Título 2 3" xfId="549" xr:uid="{00000000-0005-0000-0000-00008D030000}"/>
    <cellStyle name="Título 2 3 2" xfId="950" xr:uid="{00000000-0005-0000-0000-00008E030000}"/>
    <cellStyle name="Título 2 4" xfId="951" xr:uid="{00000000-0005-0000-0000-00008F030000}"/>
    <cellStyle name="Título 2 5" xfId="952" xr:uid="{00000000-0005-0000-0000-000090030000}"/>
    <cellStyle name="Título 2 6" xfId="953" xr:uid="{00000000-0005-0000-0000-000091030000}"/>
    <cellStyle name="Título 3 2" xfId="292" xr:uid="{00000000-0005-0000-0000-000092030000}"/>
    <cellStyle name="Título 3 2 2" xfId="550" xr:uid="{00000000-0005-0000-0000-000093030000}"/>
    <cellStyle name="Título 3 2 3" xfId="551" xr:uid="{00000000-0005-0000-0000-000094030000}"/>
    <cellStyle name="Título 3 2 4" xfId="954" xr:uid="{00000000-0005-0000-0000-000095030000}"/>
    <cellStyle name="Título 3 2 5" xfId="993" xr:uid="{00000000-0005-0000-0000-000096030000}"/>
    <cellStyle name="Título 3 3" xfId="552" xr:uid="{00000000-0005-0000-0000-000097030000}"/>
    <cellStyle name="Título 3 3 2" xfId="955" xr:uid="{00000000-0005-0000-0000-000098030000}"/>
    <cellStyle name="Título 3 4" xfId="956" xr:uid="{00000000-0005-0000-0000-000099030000}"/>
    <cellStyle name="Título 3 5" xfId="957" xr:uid="{00000000-0005-0000-0000-00009A030000}"/>
    <cellStyle name="Título 3 5 2" xfId="1089" xr:uid="{00000000-0005-0000-0000-00009B030000}"/>
    <cellStyle name="Título 3 6" xfId="958" xr:uid="{00000000-0005-0000-0000-00009C030000}"/>
    <cellStyle name="Título 4 2" xfId="293" xr:uid="{00000000-0005-0000-0000-00009D030000}"/>
    <cellStyle name="Título 4 2 2" xfId="553" xr:uid="{00000000-0005-0000-0000-00009E030000}"/>
    <cellStyle name="Título 4 2 3" xfId="554" xr:uid="{00000000-0005-0000-0000-00009F030000}"/>
    <cellStyle name="Título 4 2 4" xfId="959" xr:uid="{00000000-0005-0000-0000-0000A0030000}"/>
    <cellStyle name="Título 4 3" xfId="555" xr:uid="{00000000-0005-0000-0000-0000A1030000}"/>
    <cellStyle name="Título 4 3 2" xfId="960" xr:uid="{00000000-0005-0000-0000-0000A2030000}"/>
    <cellStyle name="Título 4 4" xfId="961" xr:uid="{00000000-0005-0000-0000-0000A3030000}"/>
    <cellStyle name="Título 4 5" xfId="962" xr:uid="{00000000-0005-0000-0000-0000A4030000}"/>
    <cellStyle name="Título 4 6" xfId="963" xr:uid="{00000000-0005-0000-0000-0000A5030000}"/>
    <cellStyle name="Título 5" xfId="294" xr:uid="{00000000-0005-0000-0000-0000A6030000}"/>
    <cellStyle name="Título 5 2" xfId="556" xr:uid="{00000000-0005-0000-0000-0000A7030000}"/>
    <cellStyle name="Título 5 3" xfId="557" xr:uid="{00000000-0005-0000-0000-0000A8030000}"/>
    <cellStyle name="Título 6" xfId="558" xr:uid="{00000000-0005-0000-0000-0000A9030000}"/>
    <cellStyle name="Titulo1" xfId="295" xr:uid="{00000000-0005-0000-0000-0000AA030000}"/>
    <cellStyle name="Titulo2" xfId="296" xr:uid="{00000000-0005-0000-0000-0000AB030000}"/>
    <cellStyle name="TopGrey" xfId="297" xr:uid="{00000000-0005-0000-0000-0000AC030000}"/>
    <cellStyle name="Total 2" xfId="298" xr:uid="{00000000-0005-0000-0000-0000AD030000}"/>
    <cellStyle name="Total 2 2" xfId="559" xr:uid="{00000000-0005-0000-0000-0000AE030000}"/>
    <cellStyle name="Total 2 3" xfId="560" xr:uid="{00000000-0005-0000-0000-0000AF030000}"/>
    <cellStyle name="Total 2 4" xfId="964" xr:uid="{00000000-0005-0000-0000-0000B0030000}"/>
    <cellStyle name="Total 3" xfId="561" xr:uid="{00000000-0005-0000-0000-0000B1030000}"/>
    <cellStyle name="Total 3 2" xfId="965" xr:uid="{00000000-0005-0000-0000-0000B2030000}"/>
    <cellStyle name="Total 4" xfId="966" xr:uid="{00000000-0005-0000-0000-0000B3030000}"/>
    <cellStyle name="Total 5" xfId="967" xr:uid="{00000000-0005-0000-0000-0000B4030000}"/>
    <cellStyle name="Total 6" xfId="968" xr:uid="{00000000-0005-0000-0000-0000B5030000}"/>
    <cellStyle name="Unprotect" xfId="562" xr:uid="{00000000-0005-0000-0000-0000B6030000}"/>
    <cellStyle name="US$#,##0" xfId="299" xr:uid="{00000000-0005-0000-0000-0000B7030000}"/>
    <cellStyle name="US$#,##0.00" xfId="300" xr:uid="{00000000-0005-0000-0000-0000B8030000}"/>
    <cellStyle name="Valuta (0)_ cellular Costs" xfId="301" xr:uid="{00000000-0005-0000-0000-0000B9030000}"/>
    <cellStyle name="Valuta_ cellular Costs" xfId="302" xr:uid="{00000000-0005-0000-0000-0000BA030000}"/>
    <cellStyle name="Vírgula 10" xfId="657" xr:uid="{00000000-0005-0000-0000-0000BB030000}"/>
    <cellStyle name="Vírgula 10 2" xfId="1034" xr:uid="{00000000-0005-0000-0000-0000BC030000}"/>
    <cellStyle name="Vírgula 11" xfId="730" xr:uid="{00000000-0005-0000-0000-0000BD030000}"/>
    <cellStyle name="Vírgula 11 2" xfId="1087" xr:uid="{00000000-0005-0000-0000-0000BE030000}"/>
    <cellStyle name="Vírgula 12" xfId="2" xr:uid="{00000000-0005-0000-0000-0000BF030000}"/>
    <cellStyle name="Vírgula 13" xfId="984" xr:uid="{00000000-0005-0000-0000-0000C0030000}"/>
    <cellStyle name="Vírgula 2" xfId="16" xr:uid="{00000000-0005-0000-0000-0000C1030000}"/>
    <cellStyle name="Vírgula 2 2" xfId="303" xr:uid="{00000000-0005-0000-0000-0000C2030000}"/>
    <cellStyle name="Vírgula 2 2 2" xfId="333" xr:uid="{00000000-0005-0000-0000-0000C3030000}"/>
    <cellStyle name="Vírgula 2 2 2 2" xfId="635" xr:uid="{00000000-0005-0000-0000-0000C4030000}"/>
    <cellStyle name="Vírgula 2 2 2 2 2" xfId="1016" xr:uid="{00000000-0005-0000-0000-0000C5030000}"/>
    <cellStyle name="Vírgula 2 2 2 3" xfId="674" xr:uid="{00000000-0005-0000-0000-0000C6030000}"/>
    <cellStyle name="Vírgula 2 2 2 3 2" xfId="1051" xr:uid="{00000000-0005-0000-0000-0000C7030000}"/>
    <cellStyle name="Vírgula 2 2 3" xfId="634" xr:uid="{00000000-0005-0000-0000-0000C8030000}"/>
    <cellStyle name="Vírgula 2 2 3 2" xfId="1015" xr:uid="{00000000-0005-0000-0000-0000C9030000}"/>
    <cellStyle name="Vírgula 2 3" xfId="304" xr:uid="{00000000-0005-0000-0000-0000CA030000}"/>
    <cellStyle name="Vírgula 2 3 2" xfId="636" xr:uid="{00000000-0005-0000-0000-0000CB030000}"/>
    <cellStyle name="Vírgula 2 3 2 2" xfId="1017" xr:uid="{00000000-0005-0000-0000-0000CC030000}"/>
    <cellStyle name="Vírgula 2 4" xfId="633" xr:uid="{00000000-0005-0000-0000-0000CD030000}"/>
    <cellStyle name="Vírgula 2 4 2" xfId="1014" xr:uid="{00000000-0005-0000-0000-0000CE030000}"/>
    <cellStyle name="Vírgula 2 5" xfId="659" xr:uid="{00000000-0005-0000-0000-0000CF030000}"/>
    <cellStyle name="Vírgula 2 5 2" xfId="1036" xr:uid="{00000000-0005-0000-0000-0000D0030000}"/>
    <cellStyle name="Vírgula 2 6" xfId="720" xr:uid="{00000000-0005-0000-0000-0000D1030000}"/>
    <cellStyle name="Vírgula 2 6 2" xfId="1086" xr:uid="{00000000-0005-0000-0000-0000D2030000}"/>
    <cellStyle name="Vírgula 2 7" xfId="969" xr:uid="{00000000-0005-0000-0000-0000D3030000}"/>
    <cellStyle name="Vírgula 2 7 2" xfId="1090" xr:uid="{00000000-0005-0000-0000-0000D4030000}"/>
    <cellStyle name="Vírgula 2 8" xfId="986" xr:uid="{00000000-0005-0000-0000-0000D5030000}"/>
    <cellStyle name="Vírgula 2_Consolidado_total" xfId="637" xr:uid="{00000000-0005-0000-0000-0000D6030000}"/>
    <cellStyle name="Vírgula 3" xfId="17" xr:uid="{00000000-0005-0000-0000-0000D7030000}"/>
    <cellStyle name="Vírgula 3 2" xfId="305" xr:uid="{00000000-0005-0000-0000-0000D8030000}"/>
    <cellStyle name="Vírgula 3 2 2" xfId="306" xr:uid="{00000000-0005-0000-0000-0000D9030000}"/>
    <cellStyle name="Vírgula 3 2 2 2" xfId="639" xr:uid="{00000000-0005-0000-0000-0000DA030000}"/>
    <cellStyle name="Vírgula 3 2 2 2 2" xfId="1019" xr:uid="{00000000-0005-0000-0000-0000DB030000}"/>
    <cellStyle name="Vírgula 3 2 2 3" xfId="669" xr:uid="{00000000-0005-0000-0000-0000DC030000}"/>
    <cellStyle name="Vírgula 3 2 2 3 2" xfId="1046" xr:uid="{00000000-0005-0000-0000-0000DD030000}"/>
    <cellStyle name="Vírgula 3 2 3" xfId="563" xr:uid="{00000000-0005-0000-0000-0000DE030000}"/>
    <cellStyle name="Vírgula 3 2 3 2" xfId="704" xr:uid="{00000000-0005-0000-0000-0000DF030000}"/>
    <cellStyle name="Vírgula 3 2 3 2 2" xfId="1081" xr:uid="{00000000-0005-0000-0000-0000E0030000}"/>
    <cellStyle name="Vírgula 3 2 4" xfId="638" xr:uid="{00000000-0005-0000-0000-0000E1030000}"/>
    <cellStyle name="Vírgula 3 2 4 2" xfId="1018" xr:uid="{00000000-0005-0000-0000-0000E2030000}"/>
    <cellStyle name="Vírgula 3 2 5" xfId="668" xr:uid="{00000000-0005-0000-0000-0000E3030000}"/>
    <cellStyle name="Vírgula 3 2 5 2" xfId="1045" xr:uid="{00000000-0005-0000-0000-0000E4030000}"/>
    <cellStyle name="Vírgula 3 3" xfId="307" xr:uid="{00000000-0005-0000-0000-0000E5030000}"/>
    <cellStyle name="Vírgula 3 3 2" xfId="570" xr:uid="{00000000-0005-0000-0000-0000E6030000}"/>
    <cellStyle name="Vírgula 3 3 3" xfId="640" xr:uid="{00000000-0005-0000-0000-0000E7030000}"/>
    <cellStyle name="Vírgula 3 3 3 2" xfId="1020" xr:uid="{00000000-0005-0000-0000-0000E8030000}"/>
    <cellStyle name="Vírgula 3 3 4" xfId="670" xr:uid="{00000000-0005-0000-0000-0000E9030000}"/>
    <cellStyle name="Vírgula 3 3 4 2" xfId="1047" xr:uid="{00000000-0005-0000-0000-0000EA030000}"/>
    <cellStyle name="Vírgula 3 3 5" xfId="994" xr:uid="{00000000-0005-0000-0000-0000EB030000}"/>
    <cellStyle name="Vírgula 3 4" xfId="334" xr:uid="{00000000-0005-0000-0000-0000EC030000}"/>
    <cellStyle name="Vírgula 3 4 2" xfId="641" xr:uid="{00000000-0005-0000-0000-0000ED030000}"/>
    <cellStyle name="Vírgula 3 4 2 2" xfId="1021" xr:uid="{00000000-0005-0000-0000-0000EE030000}"/>
    <cellStyle name="Vírgula 3 4 3" xfId="675" xr:uid="{00000000-0005-0000-0000-0000EF030000}"/>
    <cellStyle name="Vírgula 3 4 3 2" xfId="1052" xr:uid="{00000000-0005-0000-0000-0000F0030000}"/>
    <cellStyle name="Vírgula 3 5" xfId="584" xr:uid="{00000000-0005-0000-0000-0000F1030000}"/>
    <cellStyle name="Vírgula 3 5 2" xfId="1002" xr:uid="{00000000-0005-0000-0000-0000F2030000}"/>
    <cellStyle name="Vírgula 3 6" xfId="660" xr:uid="{00000000-0005-0000-0000-0000F3030000}"/>
    <cellStyle name="Vírgula 3 6 2" xfId="1037" xr:uid="{00000000-0005-0000-0000-0000F4030000}"/>
    <cellStyle name="Vírgula 3 7" xfId="970" xr:uid="{00000000-0005-0000-0000-0000F5030000}"/>
    <cellStyle name="Vírgula 3 7 2" xfId="1091" xr:uid="{00000000-0005-0000-0000-0000F6030000}"/>
    <cellStyle name="Vírgula 3 8" xfId="987" xr:uid="{00000000-0005-0000-0000-0000F7030000}"/>
    <cellStyle name="Vírgula 3_Consolidado_total" xfId="642" xr:uid="{00000000-0005-0000-0000-0000F8030000}"/>
    <cellStyle name="Vírgula 4" xfId="18" xr:uid="{00000000-0005-0000-0000-0000F9030000}"/>
    <cellStyle name="Vírgula 4 2" xfId="308" xr:uid="{00000000-0005-0000-0000-0000FA030000}"/>
    <cellStyle name="Vírgula 4 2 2" xfId="643" xr:uid="{00000000-0005-0000-0000-0000FB030000}"/>
    <cellStyle name="Vírgula 4 2 2 2" xfId="1022" xr:uid="{00000000-0005-0000-0000-0000FC030000}"/>
    <cellStyle name="Vírgula 4 3" xfId="661" xr:uid="{00000000-0005-0000-0000-0000FD030000}"/>
    <cellStyle name="Vírgula 4 3 2" xfId="1038" xr:uid="{00000000-0005-0000-0000-0000FE030000}"/>
    <cellStyle name="Vírgula 4 4" xfId="971" xr:uid="{00000000-0005-0000-0000-0000FF030000}"/>
    <cellStyle name="Vírgula 4 4 2" xfId="1092" xr:uid="{00000000-0005-0000-0000-000000040000}"/>
    <cellStyle name="Vírgula 4 5" xfId="988" xr:uid="{00000000-0005-0000-0000-000001040000}"/>
    <cellStyle name="Vírgula 4_Consolidado_total" xfId="644" xr:uid="{00000000-0005-0000-0000-000002040000}"/>
    <cellStyle name="Vírgula 5" xfId="19" xr:uid="{00000000-0005-0000-0000-000003040000}"/>
    <cellStyle name="Vírgula 5 2" xfId="331" xr:uid="{00000000-0005-0000-0000-000004040000}"/>
    <cellStyle name="Vírgula 5 2 2" xfId="646" xr:uid="{00000000-0005-0000-0000-000005040000}"/>
    <cellStyle name="Vírgula 5 2 2 2" xfId="1024" xr:uid="{00000000-0005-0000-0000-000006040000}"/>
    <cellStyle name="Vírgula 5 2 3" xfId="673" xr:uid="{00000000-0005-0000-0000-000007040000}"/>
    <cellStyle name="Vírgula 5 2 3 2" xfId="1050" xr:uid="{00000000-0005-0000-0000-000008040000}"/>
    <cellStyle name="Vírgula 5 3" xfId="574" xr:uid="{00000000-0005-0000-0000-000009040000}"/>
    <cellStyle name="Vírgula 5 3 2" xfId="1000" xr:uid="{00000000-0005-0000-0000-00000A040000}"/>
    <cellStyle name="Vírgula 5 4" xfId="645" xr:uid="{00000000-0005-0000-0000-00000B040000}"/>
    <cellStyle name="Vírgula 5 4 2" xfId="1023" xr:uid="{00000000-0005-0000-0000-00000C040000}"/>
    <cellStyle name="Vírgula 5 5" xfId="662" xr:uid="{00000000-0005-0000-0000-00000D040000}"/>
    <cellStyle name="Vírgula 5 5 2" xfId="1039" xr:uid="{00000000-0005-0000-0000-00000E040000}"/>
    <cellStyle name="Vírgula 5 6" xfId="972" xr:uid="{00000000-0005-0000-0000-00000F040000}"/>
    <cellStyle name="Vírgula 5 6 2" xfId="1093" xr:uid="{00000000-0005-0000-0000-000010040000}"/>
    <cellStyle name="Vírgula 5 7" xfId="989" xr:uid="{00000000-0005-0000-0000-000011040000}"/>
    <cellStyle name="Vírgula 5_Consolidado_total" xfId="647" xr:uid="{00000000-0005-0000-0000-000012040000}"/>
    <cellStyle name="Vírgula 6" xfId="23" xr:uid="{00000000-0005-0000-0000-000013040000}"/>
    <cellStyle name="Vírgula 6 2" xfId="564" xr:uid="{00000000-0005-0000-0000-000014040000}"/>
    <cellStyle name="Vírgula 6 2 2" xfId="650" xr:uid="{00000000-0005-0000-0000-000015040000}"/>
    <cellStyle name="Vírgula 6 2 2 2" xfId="651" xr:uid="{00000000-0005-0000-0000-000016040000}"/>
    <cellStyle name="Vírgula 6 2 2 2 2" xfId="1028" xr:uid="{00000000-0005-0000-0000-000017040000}"/>
    <cellStyle name="Vírgula 6 2 2 3" xfId="1027" xr:uid="{00000000-0005-0000-0000-000018040000}"/>
    <cellStyle name="Vírgula 6 2 3" xfId="652" xr:uid="{00000000-0005-0000-0000-000019040000}"/>
    <cellStyle name="Vírgula 6 2 3 2" xfId="1029" xr:uid="{00000000-0005-0000-0000-00001A040000}"/>
    <cellStyle name="Vírgula 6 2 4" xfId="649" xr:uid="{00000000-0005-0000-0000-00001B040000}"/>
    <cellStyle name="Vírgula 6 2 4 2" xfId="1026" xr:uid="{00000000-0005-0000-0000-00001C040000}"/>
    <cellStyle name="Vírgula 6 3" xfId="653" xr:uid="{00000000-0005-0000-0000-00001D040000}"/>
    <cellStyle name="Vírgula 6 3 2" xfId="654" xr:uid="{00000000-0005-0000-0000-00001E040000}"/>
    <cellStyle name="Vírgula 6 3 2 2" xfId="1031" xr:uid="{00000000-0005-0000-0000-00001F040000}"/>
    <cellStyle name="Vírgula 6 3 3" xfId="1030" xr:uid="{00000000-0005-0000-0000-000020040000}"/>
    <cellStyle name="Vírgula 6 4" xfId="655" xr:uid="{00000000-0005-0000-0000-000021040000}"/>
    <cellStyle name="Vírgula 6 4 2" xfId="1032" xr:uid="{00000000-0005-0000-0000-000022040000}"/>
    <cellStyle name="Vírgula 6 5" xfId="648" xr:uid="{00000000-0005-0000-0000-000023040000}"/>
    <cellStyle name="Vírgula 6 5 2" xfId="1025" xr:uid="{00000000-0005-0000-0000-000024040000}"/>
    <cellStyle name="Vírgula 6 6" xfId="663" xr:uid="{00000000-0005-0000-0000-000025040000}"/>
    <cellStyle name="Vírgula 6 6 2" xfId="1040" xr:uid="{00000000-0005-0000-0000-000026040000}"/>
    <cellStyle name="Vírgula 6 7" xfId="973" xr:uid="{00000000-0005-0000-0000-000027040000}"/>
    <cellStyle name="Vírgula 6 7 2" xfId="1094" xr:uid="{00000000-0005-0000-0000-000028040000}"/>
    <cellStyle name="Vírgula 7" xfId="313" xr:uid="{00000000-0005-0000-0000-000029040000}"/>
    <cellStyle name="Vírgula 7 2" xfId="571" xr:uid="{00000000-0005-0000-0000-00002A040000}"/>
    <cellStyle name="Vírgula 7 2 2" xfId="583" xr:uid="{00000000-0005-0000-0000-00002B040000}"/>
    <cellStyle name="Vírgula 7 2 3" xfId="707" xr:uid="{00000000-0005-0000-0000-00002C040000}"/>
    <cellStyle name="Vírgula 7 2 3 2" xfId="1084" xr:uid="{00000000-0005-0000-0000-00002D040000}"/>
    <cellStyle name="Vírgula 7 3" xfId="565" xr:uid="{00000000-0005-0000-0000-00002E040000}"/>
    <cellStyle name="Vírgula 7 3 2" xfId="705" xr:uid="{00000000-0005-0000-0000-00002F040000}"/>
    <cellStyle name="Vírgula 7 3 2 2" xfId="1082" xr:uid="{00000000-0005-0000-0000-000030040000}"/>
    <cellStyle name="Vírgula 7 3 3" xfId="998" xr:uid="{00000000-0005-0000-0000-000031040000}"/>
    <cellStyle name="Vírgula 7 4" xfId="656" xr:uid="{00000000-0005-0000-0000-000032040000}"/>
    <cellStyle name="Vírgula 7 4 2" xfId="1033" xr:uid="{00000000-0005-0000-0000-000033040000}"/>
    <cellStyle name="Vírgula 7 5" xfId="671" xr:uid="{00000000-0005-0000-0000-000034040000}"/>
    <cellStyle name="Vírgula 7 5 2" xfId="1048" xr:uid="{00000000-0005-0000-0000-000035040000}"/>
    <cellStyle name="Vírgula 7 6" xfId="974" xr:uid="{00000000-0005-0000-0000-000036040000}"/>
    <cellStyle name="Vírgula 7 6 2" xfId="1095" xr:uid="{00000000-0005-0000-0000-000037040000}"/>
    <cellStyle name="Vírgula 7 7" xfId="995" xr:uid="{00000000-0005-0000-0000-000038040000}"/>
    <cellStyle name="Vírgula 8" xfId="566" xr:uid="{00000000-0005-0000-0000-000039040000}"/>
    <cellStyle name="Vírgula 8 2" xfId="706" xr:uid="{00000000-0005-0000-0000-00003A040000}"/>
    <cellStyle name="Vírgula 8 2 2" xfId="1083" xr:uid="{00000000-0005-0000-0000-00003B040000}"/>
    <cellStyle name="Vírgula 8 3" xfId="977" xr:uid="{00000000-0005-0000-0000-00003C040000}"/>
    <cellStyle name="Vírgula 8 3 2" xfId="1096" xr:uid="{00000000-0005-0000-0000-00003D040000}"/>
    <cellStyle name="Vírgula 8 4" xfId="999" xr:uid="{00000000-0005-0000-0000-00003E040000}"/>
    <cellStyle name="Vírgula 9" xfId="326" xr:uid="{00000000-0005-0000-0000-00003F040000}"/>
    <cellStyle name="Vírgula 9 2" xfId="578" xr:uid="{00000000-0005-0000-0000-000040040000}"/>
    <cellStyle name="Vírgula 9 3" xfId="672" xr:uid="{00000000-0005-0000-0000-000041040000}"/>
    <cellStyle name="Vírgula 9 3 2" xfId="1049" xr:uid="{00000000-0005-0000-0000-000042040000}"/>
    <cellStyle name="Vírgula 9 4" xfId="978" xr:uid="{00000000-0005-0000-0000-000043040000}"/>
    <cellStyle name="Vírgula 9 4 2" xfId="1097" xr:uid="{00000000-0005-0000-0000-000044040000}"/>
    <cellStyle name="Währung [0]_Firma" xfId="567" xr:uid="{00000000-0005-0000-0000-000045040000}"/>
    <cellStyle name="Walutowy [0]_laroux" xfId="568" xr:uid="{00000000-0005-0000-0000-000046040000}"/>
    <cellStyle name="Walutowy_laroux" xfId="569" xr:uid="{00000000-0005-0000-0000-000047040000}"/>
    <cellStyle name="Warning Text" xfId="309" xr:uid="{00000000-0005-0000-0000-000048040000}"/>
    <cellStyle name="Year" xfId="310" xr:uid="{00000000-0005-0000-0000-000049040000}"/>
    <cellStyle name="Year Estimate" xfId="311" xr:uid="{00000000-0005-0000-0000-00004A040000}"/>
  </cellStyles>
  <dxfs count="0"/>
  <tableStyles count="0" defaultTableStyle="TableStyleMedium2" defaultPivotStyle="PivotStyleLight16"/>
  <colors>
    <mruColors>
      <color rgb="FFD5D1C3"/>
      <color rgb="FFD66F28"/>
      <color rgb="FF4CA15D"/>
      <color rgb="FF0A2F2A"/>
      <color rgb="FF929288"/>
      <color rgb="FF29754D"/>
      <color rgb="FFE8E5E0"/>
      <color rgb="FFF3EE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Style="combo" dx="25" fmlaLink="$R$30" fmlaRange="$R$26:$R$27"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2</xdr:col>
      <xdr:colOff>21230</xdr:colOff>
      <xdr:row>20</xdr:row>
      <xdr:rowOff>65564</xdr:rowOff>
    </xdr:from>
    <xdr:to>
      <xdr:col>15</xdr:col>
      <xdr:colOff>535511</xdr:colOff>
      <xdr:row>24</xdr:row>
      <xdr:rowOff>112057</xdr:rowOff>
    </xdr:to>
    <xdr:sp macro="" textlink="">
      <xdr:nvSpPr>
        <xdr:cNvPr id="16" name="Retângulo Arredondado 9">
          <a:extLst>
            <a:ext uri="{FF2B5EF4-FFF2-40B4-BE49-F238E27FC236}">
              <a16:creationId xmlns:a16="http://schemas.microsoft.com/office/drawing/2014/main" id="{00000000-0008-0000-0000-000010000000}"/>
            </a:ext>
          </a:extLst>
        </xdr:cNvPr>
        <xdr:cNvSpPr/>
      </xdr:nvSpPr>
      <xdr:spPr>
        <a:xfrm>
          <a:off x="783230" y="3203211"/>
          <a:ext cx="6744752" cy="674022"/>
        </a:xfrm>
        <a:prstGeom prst="roundRect">
          <a:avLst>
            <a:gd name="adj" fmla="val 22962"/>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endParaRPr lang="pt-BR" sz="1800" b="1">
            <a:solidFill>
              <a:schemeClr val="tx1">
                <a:lumMod val="75000"/>
                <a:lumOff val="25000"/>
              </a:schemeClr>
            </a:solidFill>
            <a:latin typeface="+mn-lt"/>
            <a:ea typeface="+mn-ea"/>
            <a:cs typeface="+mn-cs"/>
          </a:endParaRPr>
        </a:p>
      </xdr:txBody>
    </xdr:sp>
    <xdr:clientData/>
  </xdr:twoCellAnchor>
  <xdr:twoCellAnchor>
    <xdr:from>
      <xdr:col>12</xdr:col>
      <xdr:colOff>0</xdr:colOff>
      <xdr:row>5</xdr:row>
      <xdr:rowOff>117369</xdr:rowOff>
    </xdr:from>
    <xdr:to>
      <xdr:col>15</xdr:col>
      <xdr:colOff>535148</xdr:colOff>
      <xdr:row>8</xdr:row>
      <xdr:rowOff>96722</xdr:rowOff>
    </xdr:to>
    <xdr:sp macro="" textlink="">
      <xdr:nvSpPr>
        <xdr:cNvPr id="25" name="Retângulo Arredondado 25">
          <a:extLst>
            <a:ext uri="{FF2B5EF4-FFF2-40B4-BE49-F238E27FC236}">
              <a16:creationId xmlns:a16="http://schemas.microsoft.com/office/drawing/2014/main" id="{00000000-0008-0000-0000-000019000000}"/>
            </a:ext>
          </a:extLst>
        </xdr:cNvPr>
        <xdr:cNvSpPr/>
      </xdr:nvSpPr>
      <xdr:spPr>
        <a:xfrm>
          <a:off x="5348941" y="901781"/>
          <a:ext cx="2238442" cy="450000"/>
        </a:xfrm>
        <a:prstGeom prst="roundRect">
          <a:avLst>
            <a:gd name="adj" fmla="val 35086"/>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800" b="1">
              <a:solidFill>
                <a:schemeClr val="tx1">
                  <a:lumMod val="75000"/>
                  <a:lumOff val="25000"/>
                </a:schemeClr>
              </a:solidFill>
            </a:rPr>
            <a:t>IFRS 16</a:t>
          </a:r>
        </a:p>
      </xdr:txBody>
    </xdr:sp>
    <xdr:clientData/>
  </xdr:twoCellAnchor>
  <xdr:twoCellAnchor>
    <xdr:from>
      <xdr:col>2</xdr:col>
      <xdr:colOff>18154</xdr:colOff>
      <xdr:row>5</xdr:row>
      <xdr:rowOff>117368</xdr:rowOff>
    </xdr:from>
    <xdr:to>
      <xdr:col>5</xdr:col>
      <xdr:colOff>553301</xdr:colOff>
      <xdr:row>8</xdr:row>
      <xdr:rowOff>96721</xdr:rowOff>
    </xdr:to>
    <xdr:sp macro="" textlink="">
      <xdr:nvSpPr>
        <xdr:cNvPr id="26" name="Retângulo Arredondado 25">
          <a:extLst>
            <a:ext uri="{FF2B5EF4-FFF2-40B4-BE49-F238E27FC236}">
              <a16:creationId xmlns:a16="http://schemas.microsoft.com/office/drawing/2014/main" id="{00000000-0008-0000-0000-00001A000000}"/>
            </a:ext>
          </a:extLst>
        </xdr:cNvPr>
        <xdr:cNvSpPr/>
      </xdr:nvSpPr>
      <xdr:spPr>
        <a:xfrm>
          <a:off x="780154" y="901780"/>
          <a:ext cx="2238441" cy="450000"/>
        </a:xfrm>
        <a:prstGeom prst="roundRect">
          <a:avLst>
            <a:gd name="adj" fmla="val 35086"/>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pt-BR" sz="1800" b="1">
            <a:solidFill>
              <a:schemeClr val="tx1">
                <a:lumMod val="75000"/>
                <a:lumOff val="25000"/>
              </a:schemeClr>
            </a:solidFill>
          </a:endParaRPr>
        </a:p>
      </xdr:txBody>
    </xdr:sp>
    <xdr:clientData/>
  </xdr:twoCellAnchor>
  <xdr:twoCellAnchor editAs="oneCell">
    <xdr:from>
      <xdr:col>2</xdr:col>
      <xdr:colOff>21230</xdr:colOff>
      <xdr:row>25</xdr:row>
      <xdr:rowOff>12642</xdr:rowOff>
    </xdr:from>
    <xdr:to>
      <xdr:col>15</xdr:col>
      <xdr:colOff>541830</xdr:colOff>
      <xdr:row>29</xdr:row>
      <xdr:rowOff>15951</xdr:rowOff>
    </xdr:to>
    <xdr:sp macro="" textlink="">
      <xdr:nvSpPr>
        <xdr:cNvPr id="11" name="Retângulo Arredondado 10">
          <a:extLst>
            <a:ext uri="{FF2B5EF4-FFF2-40B4-BE49-F238E27FC236}">
              <a16:creationId xmlns:a16="http://schemas.microsoft.com/office/drawing/2014/main" id="{00000000-0008-0000-0000-00000B000000}"/>
            </a:ext>
          </a:extLst>
        </xdr:cNvPr>
        <xdr:cNvSpPr/>
      </xdr:nvSpPr>
      <xdr:spPr>
        <a:xfrm>
          <a:off x="783230" y="4023168"/>
          <a:ext cx="6760143" cy="644994"/>
        </a:xfrm>
        <a:prstGeom prst="roundRect">
          <a:avLst>
            <a:gd name="adj" fmla="val 25268"/>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pt-BR" sz="1000">
            <a:solidFill>
              <a:schemeClr val="tx1">
                <a:lumMod val="75000"/>
                <a:lumOff val="25000"/>
              </a:schemeClr>
            </a:solidFill>
          </a:endParaRPr>
        </a:p>
      </xdr:txBody>
    </xdr:sp>
    <xdr:clientData/>
  </xdr:twoCellAnchor>
  <xdr:twoCellAnchor>
    <xdr:from>
      <xdr:col>2</xdr:col>
      <xdr:colOff>18153</xdr:colOff>
      <xdr:row>9</xdr:row>
      <xdr:rowOff>0</xdr:rowOff>
    </xdr:from>
    <xdr:to>
      <xdr:col>5</xdr:col>
      <xdr:colOff>553300</xdr:colOff>
      <xdr:row>20</xdr:row>
      <xdr:rowOff>9802</xdr:rowOff>
    </xdr:to>
    <xdr:sp macro="" textlink="">
      <xdr:nvSpPr>
        <xdr:cNvPr id="10" name="Retângulo Arredondado 9">
          <a:extLst>
            <a:ext uri="{FF2B5EF4-FFF2-40B4-BE49-F238E27FC236}">
              <a16:creationId xmlns:a16="http://schemas.microsoft.com/office/drawing/2014/main" id="{00000000-0008-0000-0000-00000A000000}"/>
            </a:ext>
          </a:extLst>
        </xdr:cNvPr>
        <xdr:cNvSpPr/>
      </xdr:nvSpPr>
      <xdr:spPr>
        <a:xfrm>
          <a:off x="780153" y="1457325"/>
          <a:ext cx="2221072" cy="1790977"/>
        </a:xfrm>
        <a:prstGeom prst="roundRect">
          <a:avLst>
            <a:gd name="adj" fmla="val 8532"/>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mc:AlternateContent xmlns:mc="http://schemas.openxmlformats.org/markup-compatibility/2006">
    <mc:Choice xmlns:a14="http://schemas.microsoft.com/office/drawing/2010/main" Requires="a14">
      <xdr:twoCellAnchor editAs="oneCell">
        <xdr:from>
          <xdr:col>14</xdr:col>
          <xdr:colOff>533400</xdr:colOff>
          <xdr:row>3</xdr:row>
          <xdr:rowOff>0</xdr:rowOff>
        </xdr:from>
        <xdr:to>
          <xdr:col>16</xdr:col>
          <xdr:colOff>184150</xdr:colOff>
          <xdr:row>3</xdr:row>
          <xdr:rowOff>146050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xdr:col>
      <xdr:colOff>8092</xdr:colOff>
      <xdr:row>5</xdr:row>
      <xdr:rowOff>117368</xdr:rowOff>
    </xdr:from>
    <xdr:to>
      <xdr:col>10</xdr:col>
      <xdr:colOff>543240</xdr:colOff>
      <xdr:row>8</xdr:row>
      <xdr:rowOff>96721</xdr:rowOff>
    </xdr:to>
    <xdr:sp macro="" textlink="">
      <xdr:nvSpPr>
        <xdr:cNvPr id="35" name="Retângulo Arredondado 25">
          <a:extLst>
            <a:ext uri="{FF2B5EF4-FFF2-40B4-BE49-F238E27FC236}">
              <a16:creationId xmlns:a16="http://schemas.microsoft.com/office/drawing/2014/main" id="{00000000-0008-0000-0000-000023000000}"/>
            </a:ext>
          </a:extLst>
        </xdr:cNvPr>
        <xdr:cNvSpPr/>
      </xdr:nvSpPr>
      <xdr:spPr>
        <a:xfrm>
          <a:off x="3063563" y="901780"/>
          <a:ext cx="2238442" cy="450000"/>
        </a:xfrm>
        <a:prstGeom prst="roundRect">
          <a:avLst>
            <a:gd name="adj" fmla="val 35086"/>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pt-BR" sz="1800" b="1">
            <a:solidFill>
              <a:schemeClr val="tx1">
                <a:lumMod val="75000"/>
                <a:lumOff val="25000"/>
              </a:schemeClr>
            </a:solidFill>
          </a:endParaRPr>
        </a:p>
      </xdr:txBody>
    </xdr:sp>
    <xdr:clientData/>
  </xdr:twoCellAnchor>
  <xdr:twoCellAnchor>
    <xdr:from>
      <xdr:col>7</xdr:col>
      <xdr:colOff>11266</xdr:colOff>
      <xdr:row>9</xdr:row>
      <xdr:rowOff>0</xdr:rowOff>
    </xdr:from>
    <xdr:to>
      <xdr:col>10</xdr:col>
      <xdr:colOff>540064</xdr:colOff>
      <xdr:row>20</xdr:row>
      <xdr:rowOff>6627</xdr:rowOff>
    </xdr:to>
    <xdr:sp macro="" textlink="">
      <xdr:nvSpPr>
        <xdr:cNvPr id="37" name="Retângulo Arredondado 9">
          <a:extLst>
            <a:ext uri="{FF2B5EF4-FFF2-40B4-BE49-F238E27FC236}">
              <a16:creationId xmlns:a16="http://schemas.microsoft.com/office/drawing/2014/main" id="{00000000-0008-0000-0000-000025000000}"/>
            </a:ext>
          </a:extLst>
        </xdr:cNvPr>
        <xdr:cNvSpPr/>
      </xdr:nvSpPr>
      <xdr:spPr>
        <a:xfrm>
          <a:off x="3059266" y="1428750"/>
          <a:ext cx="2224248" cy="1752877"/>
        </a:xfrm>
        <a:prstGeom prst="roundRect">
          <a:avLst>
            <a:gd name="adj" fmla="val 8532"/>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12</xdr:col>
      <xdr:colOff>0</xdr:colOff>
      <xdr:row>9</xdr:row>
      <xdr:rowOff>0</xdr:rowOff>
    </xdr:from>
    <xdr:to>
      <xdr:col>15</xdr:col>
      <xdr:colOff>535148</xdr:colOff>
      <xdr:row>20</xdr:row>
      <xdr:rowOff>6627</xdr:rowOff>
    </xdr:to>
    <xdr:sp macro="" textlink="">
      <xdr:nvSpPr>
        <xdr:cNvPr id="39" name="Retângulo Arredondado 9">
          <a:extLst>
            <a:ext uri="{FF2B5EF4-FFF2-40B4-BE49-F238E27FC236}">
              <a16:creationId xmlns:a16="http://schemas.microsoft.com/office/drawing/2014/main" id="{00000000-0008-0000-0000-000027000000}"/>
            </a:ext>
          </a:extLst>
        </xdr:cNvPr>
        <xdr:cNvSpPr/>
      </xdr:nvSpPr>
      <xdr:spPr>
        <a:xfrm>
          <a:off x="5334000" y="1428750"/>
          <a:ext cx="2230598" cy="1752877"/>
        </a:xfrm>
        <a:prstGeom prst="roundRect">
          <a:avLst>
            <a:gd name="adj" fmla="val 8532"/>
          </a:avLst>
        </a:prstGeom>
        <a:noFill/>
        <a:ln>
          <a:solidFill>
            <a:srgbClr val="0A2F2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0</xdr:col>
      <xdr:colOff>259169</xdr:colOff>
      <xdr:row>1</xdr:row>
      <xdr:rowOff>110490</xdr:rowOff>
    </xdr:from>
    <xdr:to>
      <xdr:col>4</xdr:col>
      <xdr:colOff>428079</xdr:colOff>
      <xdr:row>4</xdr:row>
      <xdr:rowOff>34925</xdr:rowOff>
    </xdr:to>
    <xdr:pic>
      <xdr:nvPicPr>
        <xdr:cNvPr id="13" name="Imagem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clrChange>
            <a:clrFrom>
              <a:srgbClr val="FAF9F8"/>
            </a:clrFrom>
            <a:clrTo>
              <a:srgbClr val="FAF9F8">
                <a:alpha val="0"/>
              </a:srgbClr>
            </a:clrTo>
          </a:clrChange>
        </a:blip>
        <a:stretch>
          <a:fillRect/>
        </a:stretch>
      </xdr:blipFill>
      <xdr:spPr>
        <a:xfrm>
          <a:off x="259169" y="262890"/>
          <a:ext cx="2023110" cy="381635"/>
        </a:xfrm>
        <a:prstGeom prst="rect">
          <a:avLst/>
        </a:prstGeom>
      </xdr:spPr>
    </xdr:pic>
    <xdr:clientData/>
  </xdr:twoCellAnchor>
  <xdr:twoCellAnchor editAs="oneCell">
    <xdr:from>
      <xdr:col>4</xdr:col>
      <xdr:colOff>125224</xdr:colOff>
      <xdr:row>20</xdr:row>
      <xdr:rowOff>154552</xdr:rowOff>
    </xdr:from>
    <xdr:to>
      <xdr:col>13</xdr:col>
      <xdr:colOff>428343</xdr:colOff>
      <xdr:row>24</xdr:row>
      <xdr:rowOff>26245</xdr:rowOff>
    </xdr:to>
    <xdr:pic>
      <xdr:nvPicPr>
        <xdr:cNvPr id="17" name="Imagem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07812" y="3292199"/>
          <a:ext cx="4295588" cy="496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5" name="Imagem 4">
          <a:hlinkClick xmlns:r="http://schemas.openxmlformats.org/officeDocument/2006/relationships" r:id="rId1"/>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6" name="Imagem 5">
          <a:hlinkClick xmlns:r="http://schemas.openxmlformats.org/officeDocument/2006/relationships" r:id="rId1"/>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5" name="Imagem 4">
          <a:hlinkClick xmlns:r="http://schemas.openxmlformats.org/officeDocument/2006/relationships" r:id="rId1"/>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4" name="Imagem 3">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4" name="Imagem 3">
          <a:hlinkClick xmlns:r="http://schemas.openxmlformats.org/officeDocument/2006/relationships" r:id="rId1"/>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4" name="Imagem 3">
          <a:hlinkClick xmlns:r="http://schemas.openxmlformats.org/officeDocument/2006/relationships" r:id="rId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4" name="Imagem 3">
          <a:hlinkClick xmlns:r="http://schemas.openxmlformats.org/officeDocument/2006/relationships" r:id="rId1"/>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4" name="Imagem 3">
          <a:hlinkClick xmlns:r="http://schemas.openxmlformats.org/officeDocument/2006/relationships" r:id="rId1"/>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320825</xdr:colOff>
      <xdr:row>1</xdr:row>
      <xdr:rowOff>17674</xdr:rowOff>
    </xdr:to>
    <xdr:pic>
      <xdr:nvPicPr>
        <xdr:cNvPr id="4" name="Imagem 3">
          <a:hlinkClick xmlns:r="http://schemas.openxmlformats.org/officeDocument/2006/relationships" r:id="rId1"/>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0825" cy="275409"/>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U33"/>
  <sheetViews>
    <sheetView showGridLines="0" tabSelected="1" zoomScale="85" zoomScaleNormal="85" workbookViewId="0"/>
  </sheetViews>
  <sheetFormatPr defaultColWidth="0" defaultRowHeight="14.5" zeroHeight="1"/>
  <cols>
    <col min="1" max="1" width="8.08984375" customWidth="1"/>
    <col min="2" max="2" width="2.81640625" customWidth="1"/>
    <col min="3" max="6" width="8.08984375" customWidth="1"/>
    <col min="7" max="7" width="0.36328125" customWidth="1"/>
    <col min="8" max="11" width="8.08984375" customWidth="1"/>
    <col min="12" max="12" width="0.36328125" customWidth="1"/>
    <col min="13" max="16" width="8.08984375" customWidth="1"/>
    <col min="17" max="17" width="2.81640625" style="1" customWidth="1"/>
    <col min="18" max="18" width="8.08984375" customWidth="1"/>
    <col min="19" max="21" width="8.08984375" hidden="1" customWidth="1"/>
    <col min="22" max="16384" width="8.81640625" hidden="1"/>
  </cols>
  <sheetData>
    <row r="1" spans="1:19" ht="12.5" customHeight="1">
      <c r="A1" s="3"/>
      <c r="B1" s="4"/>
      <c r="C1" s="5"/>
      <c r="D1" s="5"/>
      <c r="E1" s="5"/>
      <c r="F1" s="5"/>
      <c r="G1" s="5"/>
      <c r="H1" s="5"/>
      <c r="I1" s="5"/>
      <c r="J1" s="5"/>
      <c r="K1" s="5"/>
      <c r="L1" s="5"/>
      <c r="M1" s="5"/>
      <c r="N1" s="5"/>
      <c r="O1" s="5"/>
      <c r="P1" s="5"/>
      <c r="Q1" s="4"/>
      <c r="R1" s="6"/>
      <c r="S1" s="2"/>
    </row>
    <row r="2" spans="1:19" ht="12.5" customHeight="1">
      <c r="A2" s="3"/>
      <c r="B2" s="4"/>
      <c r="C2" s="5"/>
      <c r="D2" s="5"/>
      <c r="E2" s="5"/>
      <c r="F2" s="128" t="str">
        <f>INDEX({"Planilha de Resultados 2T26";"Results Spreadsheet 2Q26"},Home!$R$30)</f>
        <v>Planilha de Resultados 2T26</v>
      </c>
      <c r="G2" s="128"/>
      <c r="H2" s="128"/>
      <c r="I2" s="128"/>
      <c r="J2" s="128"/>
      <c r="K2" s="128"/>
      <c r="L2" s="128"/>
      <c r="M2" s="128"/>
      <c r="N2" s="5"/>
      <c r="O2" s="125" t="s">
        <v>3</v>
      </c>
      <c r="P2" s="125"/>
      <c r="Q2" s="125"/>
      <c r="R2" s="3"/>
      <c r="S2" s="2"/>
    </row>
    <row r="3" spans="1:19" ht="12.5" customHeight="1">
      <c r="A3" s="3"/>
      <c r="B3" s="4"/>
      <c r="C3" s="5"/>
      <c r="D3" s="5"/>
      <c r="E3" s="5"/>
      <c r="F3" s="128"/>
      <c r="G3" s="128"/>
      <c r="H3" s="128"/>
      <c r="I3" s="128"/>
      <c r="J3" s="128"/>
      <c r="K3" s="128"/>
      <c r="L3" s="128"/>
      <c r="M3" s="128"/>
      <c r="N3" s="5"/>
      <c r="O3" s="125"/>
      <c r="P3" s="125"/>
      <c r="Q3" s="125"/>
      <c r="R3" s="3"/>
      <c r="S3" s="2"/>
    </row>
    <row r="4" spans="1:19" ht="12.5" customHeight="1">
      <c r="A4" s="3"/>
      <c r="B4" s="4"/>
      <c r="C4" s="5"/>
      <c r="D4" s="5"/>
      <c r="E4" s="5"/>
      <c r="F4" s="128"/>
      <c r="G4" s="128"/>
      <c r="H4" s="128"/>
      <c r="I4" s="128"/>
      <c r="J4" s="128"/>
      <c r="K4" s="128"/>
      <c r="L4" s="128"/>
      <c r="M4" s="128"/>
      <c r="N4" s="5"/>
      <c r="O4" s="5"/>
      <c r="P4" s="6"/>
      <c r="Q4" s="4"/>
      <c r="R4" s="6"/>
      <c r="S4" s="2"/>
    </row>
    <row r="5" spans="1:19" ht="12.5" customHeight="1">
      <c r="A5" s="3"/>
      <c r="B5" s="3"/>
      <c r="C5" s="5"/>
      <c r="D5" s="5"/>
      <c r="E5" s="5"/>
      <c r="F5" s="128"/>
      <c r="G5" s="128"/>
      <c r="H5" s="128"/>
      <c r="I5" s="128"/>
      <c r="J5" s="128"/>
      <c r="K5" s="128"/>
      <c r="L5" s="128"/>
      <c r="M5" s="128"/>
      <c r="N5" s="5"/>
      <c r="O5" s="5"/>
      <c r="P5" s="5"/>
      <c r="Q5" s="3"/>
      <c r="R5" s="5"/>
    </row>
    <row r="6" spans="1:19" ht="12.5" customHeight="1">
      <c r="A6" s="3"/>
      <c r="B6" s="3"/>
      <c r="C6" s="5"/>
      <c r="D6" s="5"/>
      <c r="E6" s="5"/>
      <c r="F6" s="5"/>
      <c r="G6" s="5"/>
      <c r="H6" s="5"/>
      <c r="I6" s="5"/>
      <c r="J6" s="5"/>
      <c r="K6" s="5"/>
      <c r="L6" s="5"/>
      <c r="M6" s="3"/>
      <c r="N6" s="3"/>
      <c r="O6" s="3"/>
      <c r="P6" s="3"/>
      <c r="Q6" s="3"/>
      <c r="R6" s="5"/>
    </row>
    <row r="7" spans="1:19" ht="12.5" customHeight="1">
      <c r="A7" s="3"/>
      <c r="B7" s="3"/>
      <c r="C7" s="127" t="str">
        <f>INDEX({"Pré-IFRS";"Pre-IFRS"},Home!$R$30)</f>
        <v>Pré-IFRS</v>
      </c>
      <c r="D7" s="127"/>
      <c r="E7" s="127"/>
      <c r="F7" s="127"/>
      <c r="G7" s="3"/>
      <c r="H7" s="127" t="str">
        <f>INDEX({"Indicadores";"Indicators"},Home!$R$30)</f>
        <v>Indicadores</v>
      </c>
      <c r="I7" s="127"/>
      <c r="J7" s="127"/>
      <c r="K7" s="127"/>
      <c r="L7" s="12"/>
      <c r="M7" s="7"/>
      <c r="N7" s="7"/>
      <c r="O7" s="7"/>
      <c r="P7" s="7"/>
      <c r="Q7" s="3"/>
      <c r="R7" s="5"/>
    </row>
    <row r="8" spans="1:19" ht="12.5" customHeight="1">
      <c r="A8" s="3"/>
      <c r="B8" s="3"/>
      <c r="C8" s="127"/>
      <c r="D8" s="127"/>
      <c r="E8" s="127"/>
      <c r="F8" s="127"/>
      <c r="G8" s="3"/>
      <c r="H8" s="127"/>
      <c r="I8" s="127"/>
      <c r="J8" s="127"/>
      <c r="K8" s="127"/>
      <c r="L8" s="12"/>
      <c r="M8" s="7"/>
      <c r="N8" s="7"/>
      <c r="O8" s="7"/>
      <c r="P8" s="7"/>
      <c r="Q8" s="3"/>
      <c r="R8" s="5"/>
    </row>
    <row r="9" spans="1:19" ht="12.5" customHeight="1">
      <c r="A9" s="3"/>
      <c r="B9" s="3"/>
      <c r="C9" s="5"/>
      <c r="D9" s="5"/>
      <c r="E9" s="5"/>
      <c r="F9" s="5"/>
      <c r="G9" s="5"/>
      <c r="H9" s="5"/>
      <c r="I9" s="5"/>
      <c r="J9" s="5"/>
      <c r="K9" s="5"/>
      <c r="L9" s="5"/>
      <c r="M9" s="3"/>
      <c r="N9" s="3"/>
      <c r="O9" s="3"/>
      <c r="P9" s="3"/>
      <c r="Q9" s="3"/>
      <c r="R9" s="5"/>
    </row>
    <row r="10" spans="1:19" ht="12.5" customHeight="1">
      <c r="A10" s="3"/>
      <c r="B10" s="3"/>
      <c r="C10" s="126" t="str">
        <f>INDEX({"DRE Ajustado";"Adjusted P&amp;L"},Home!$R$30)</f>
        <v>DRE Ajustado</v>
      </c>
      <c r="D10" s="126"/>
      <c r="E10" s="126"/>
      <c r="F10" s="126"/>
      <c r="G10" s="11"/>
      <c r="H10" s="3"/>
      <c r="I10" s="3"/>
      <c r="J10" s="3"/>
      <c r="K10" s="3"/>
      <c r="L10" s="3"/>
      <c r="M10" s="126" t="str">
        <f>INDEX({"DRE Ajustado";"Adjusted P&amp;L"},Home!$R$30)</f>
        <v>DRE Ajustado</v>
      </c>
      <c r="N10" s="126"/>
      <c r="O10" s="126"/>
      <c r="P10" s="126"/>
      <c r="Q10" s="3"/>
      <c r="R10" s="5"/>
    </row>
    <row r="11" spans="1:19" ht="12.5" customHeight="1">
      <c r="A11" s="3"/>
      <c r="B11" s="3"/>
      <c r="C11" s="126"/>
      <c r="D11" s="126"/>
      <c r="E11" s="126"/>
      <c r="F11" s="126"/>
      <c r="G11" s="11"/>
      <c r="H11" s="126" t="str">
        <f>INDEX({"Operacionais";"Operational"},Home!$R$30)</f>
        <v>Operacionais</v>
      </c>
      <c r="I11" s="126"/>
      <c r="J11" s="126"/>
      <c r="K11" s="126"/>
      <c r="L11" s="11"/>
      <c r="M11" s="126"/>
      <c r="N11" s="126"/>
      <c r="O11" s="126"/>
      <c r="P11" s="126"/>
      <c r="Q11" s="3"/>
      <c r="R11" s="5"/>
    </row>
    <row r="12" spans="1:19" ht="12.5" customHeight="1">
      <c r="A12" s="3"/>
      <c r="B12" s="3"/>
      <c r="C12" s="3"/>
      <c r="D12" s="3"/>
      <c r="E12" s="3"/>
      <c r="F12" s="3"/>
      <c r="G12" s="3"/>
      <c r="H12" s="126"/>
      <c r="I12" s="126"/>
      <c r="J12" s="126"/>
      <c r="K12" s="126"/>
      <c r="L12" s="11"/>
      <c r="M12" s="3"/>
      <c r="N12" s="3"/>
      <c r="O12" s="3"/>
      <c r="P12" s="3"/>
      <c r="Q12" s="3"/>
      <c r="R12" s="5"/>
    </row>
    <row r="13" spans="1:19" ht="12.5" customHeight="1">
      <c r="A13" s="3"/>
      <c r="B13" s="3"/>
      <c r="C13" s="126" t="str">
        <f>INDEX({"DRE";"P&amp;L"},Home!$R$30)</f>
        <v>DRE</v>
      </c>
      <c r="D13" s="126"/>
      <c r="E13" s="126"/>
      <c r="F13" s="126"/>
      <c r="G13" s="11"/>
      <c r="H13" s="3"/>
      <c r="I13" s="3"/>
      <c r="J13" s="3"/>
      <c r="K13" s="3"/>
      <c r="L13" s="3"/>
      <c r="M13" s="126" t="str">
        <f>INDEX({"DRE";"P&amp;L"},Home!$R$30)</f>
        <v>DRE</v>
      </c>
      <c r="N13" s="126"/>
      <c r="O13" s="126"/>
      <c r="P13" s="126"/>
      <c r="Q13" s="3"/>
      <c r="R13" s="5"/>
    </row>
    <row r="14" spans="1:19" ht="12.5" customHeight="1">
      <c r="A14" s="3"/>
      <c r="B14" s="3"/>
      <c r="C14" s="126"/>
      <c r="D14" s="126"/>
      <c r="E14" s="126"/>
      <c r="F14" s="126"/>
      <c r="G14" s="11"/>
      <c r="H14" s="126" t="str">
        <f>INDEX({"Curvas de Maturação";"Maturation Curves"},Home!$R$30)</f>
        <v>Curvas de Maturação</v>
      </c>
      <c r="I14" s="126"/>
      <c r="J14" s="126"/>
      <c r="K14" s="126"/>
      <c r="L14" s="11"/>
      <c r="M14" s="126"/>
      <c r="N14" s="126"/>
      <c r="O14" s="126"/>
      <c r="P14" s="126"/>
      <c r="Q14" s="3"/>
      <c r="R14" s="5"/>
    </row>
    <row r="15" spans="1:19" ht="12.5" customHeight="1">
      <c r="A15" s="3"/>
      <c r="B15" s="3"/>
      <c r="C15" s="3"/>
      <c r="D15" s="3"/>
      <c r="E15" s="3"/>
      <c r="F15" s="3"/>
      <c r="G15" s="3"/>
      <c r="H15" s="126"/>
      <c r="I15" s="126"/>
      <c r="J15" s="126"/>
      <c r="K15" s="126"/>
      <c r="L15" s="11"/>
      <c r="M15" s="3"/>
      <c r="N15" s="3"/>
      <c r="O15" s="3"/>
      <c r="P15" s="3"/>
      <c r="Q15" s="3"/>
      <c r="R15" s="5"/>
    </row>
    <row r="16" spans="1:19" ht="12.5" customHeight="1">
      <c r="A16" s="3"/>
      <c r="B16" s="3"/>
      <c r="C16" s="126" t="str">
        <f>INDEX({"Balanço Patrimonial";"Balance Sheet"},Home!$R$30)</f>
        <v>Balanço Patrimonial</v>
      </c>
      <c r="D16" s="126"/>
      <c r="E16" s="126"/>
      <c r="F16" s="126"/>
      <c r="G16" s="11"/>
      <c r="H16" s="3"/>
      <c r="I16" s="3"/>
      <c r="J16" s="3"/>
      <c r="K16" s="3"/>
      <c r="L16" s="3"/>
      <c r="M16" s="126" t="str">
        <f>INDEX({"Balanço Patrimonial";"Balance Sheet"},Home!$R$30)</f>
        <v>Balanço Patrimonial</v>
      </c>
      <c r="N16" s="126"/>
      <c r="O16" s="126"/>
      <c r="P16" s="126"/>
      <c r="Q16" s="3"/>
      <c r="R16" s="5"/>
    </row>
    <row r="17" spans="1:18" ht="12.5" customHeight="1">
      <c r="A17" s="3"/>
      <c r="B17" s="3"/>
      <c r="C17" s="126"/>
      <c r="D17" s="126"/>
      <c r="E17" s="126"/>
      <c r="F17" s="126"/>
      <c r="G17" s="11"/>
      <c r="H17" s="126" t="str">
        <f>INDEX({"Proventos";"Proceeds"},Home!$R$30)</f>
        <v>Proventos</v>
      </c>
      <c r="I17" s="126"/>
      <c r="J17" s="126"/>
      <c r="K17" s="126"/>
      <c r="L17" s="11"/>
      <c r="M17" s="126"/>
      <c r="N17" s="126"/>
      <c r="O17" s="126"/>
      <c r="P17" s="126"/>
      <c r="Q17" s="3"/>
      <c r="R17" s="5"/>
    </row>
    <row r="18" spans="1:18" ht="12.5" customHeight="1">
      <c r="A18" s="3"/>
      <c r="B18" s="5"/>
      <c r="C18" s="3"/>
      <c r="D18" s="3"/>
      <c r="E18" s="3"/>
      <c r="F18" s="3"/>
      <c r="G18" s="3"/>
      <c r="H18" s="126"/>
      <c r="I18" s="126"/>
      <c r="J18" s="126"/>
      <c r="K18" s="126"/>
      <c r="L18" s="11"/>
      <c r="M18" s="3"/>
      <c r="N18" s="3"/>
      <c r="O18" s="3"/>
      <c r="P18" s="3"/>
      <c r="Q18" s="3"/>
      <c r="R18" s="5"/>
    </row>
    <row r="19" spans="1:18" ht="12.5" customHeight="1">
      <c r="A19" s="3"/>
      <c r="B19" s="3"/>
      <c r="C19" s="126" t="str">
        <f>INDEX({"Fluxo de Caixa";"Cash Flow"},Home!$R$30)</f>
        <v>Fluxo de Caixa</v>
      </c>
      <c r="D19" s="126"/>
      <c r="E19" s="126"/>
      <c r="F19" s="126"/>
      <c r="G19" s="11"/>
      <c r="H19" s="3"/>
      <c r="I19" s="3"/>
      <c r="J19" s="3"/>
      <c r="K19" s="3"/>
      <c r="L19" s="3"/>
      <c r="M19" s="126" t="str">
        <f>INDEX({"Fluxo de Caixa";"Cash Flow"},Home!$R$30)</f>
        <v>Fluxo de Caixa</v>
      </c>
      <c r="N19" s="126"/>
      <c r="O19" s="126"/>
      <c r="P19" s="126"/>
      <c r="Q19" s="3"/>
      <c r="R19" s="5"/>
    </row>
    <row r="20" spans="1:18" ht="12.5" customHeight="1">
      <c r="A20" s="3"/>
      <c r="B20" s="3"/>
      <c r="C20" s="126"/>
      <c r="D20" s="126"/>
      <c r="E20" s="126"/>
      <c r="F20" s="126"/>
      <c r="G20" s="11"/>
      <c r="H20" s="3"/>
      <c r="I20" s="3"/>
      <c r="J20" s="3"/>
      <c r="K20" s="3"/>
      <c r="L20" s="3"/>
      <c r="M20" s="126"/>
      <c r="N20" s="126"/>
      <c r="O20" s="126"/>
      <c r="P20" s="126"/>
      <c r="Q20" s="3"/>
      <c r="R20" s="5"/>
    </row>
    <row r="21" spans="1:18" ht="12.5" customHeight="1">
      <c r="A21" s="5"/>
      <c r="B21" s="3"/>
      <c r="C21" s="3"/>
      <c r="D21" s="3"/>
      <c r="E21" s="3"/>
      <c r="F21" s="3"/>
      <c r="G21" s="3"/>
      <c r="H21" s="5"/>
      <c r="I21" s="5"/>
      <c r="J21" s="5"/>
      <c r="K21" s="5"/>
      <c r="L21" s="5"/>
      <c r="M21" s="5"/>
      <c r="N21" s="5"/>
      <c r="O21" s="5"/>
      <c r="P21" s="5"/>
      <c r="Q21" s="3"/>
      <c r="R21" s="3"/>
    </row>
    <row r="22" spans="1:18" ht="12.5" customHeight="1">
      <c r="A22" s="5"/>
      <c r="B22" s="3"/>
      <c r="C22" s="3"/>
      <c r="D22" s="3"/>
      <c r="E22" s="3"/>
      <c r="F22" s="3"/>
      <c r="G22" s="3"/>
      <c r="H22" s="5"/>
      <c r="I22" s="5"/>
      <c r="J22" s="5"/>
      <c r="K22" s="5"/>
      <c r="L22" s="5"/>
      <c r="M22" s="5"/>
      <c r="N22" s="5"/>
      <c r="O22" s="5"/>
      <c r="P22" s="5"/>
      <c r="Q22" s="3"/>
      <c r="R22" s="3"/>
    </row>
    <row r="23" spans="1:18" ht="12.5" customHeight="1">
      <c r="A23" s="3"/>
      <c r="B23" s="3"/>
      <c r="C23" s="3"/>
      <c r="D23" s="5"/>
      <c r="E23" s="5"/>
      <c r="F23" s="5"/>
      <c r="G23" s="5"/>
      <c r="H23" s="5"/>
      <c r="I23" s="5"/>
      <c r="J23" s="5"/>
      <c r="K23" s="5"/>
      <c r="L23" s="5"/>
      <c r="M23" s="5"/>
      <c r="N23" s="5"/>
      <c r="O23" s="5"/>
      <c r="P23" s="5"/>
      <c r="Q23" s="3"/>
      <c r="R23" s="3"/>
    </row>
    <row r="24" spans="1:18" ht="12.5" customHeight="1">
      <c r="A24" s="3"/>
      <c r="B24" s="3"/>
      <c r="C24" s="3"/>
      <c r="D24" s="5"/>
      <c r="E24" s="5"/>
      <c r="F24" s="5"/>
      <c r="G24" s="5"/>
      <c r="H24" s="5"/>
      <c r="I24" s="5"/>
      <c r="J24" s="5"/>
      <c r="K24" s="5"/>
      <c r="L24" s="5"/>
      <c r="M24" s="5"/>
      <c r="N24" s="5"/>
      <c r="O24" s="5"/>
      <c r="P24" s="5"/>
      <c r="Q24" s="3"/>
      <c r="R24" s="3"/>
    </row>
    <row r="25" spans="1:18" ht="12.5" customHeight="1">
      <c r="A25" s="3"/>
      <c r="B25" s="3"/>
      <c r="C25" s="3"/>
      <c r="D25" s="5"/>
      <c r="E25" s="5"/>
      <c r="F25" s="5"/>
      <c r="G25" s="5"/>
      <c r="H25" s="5"/>
      <c r="I25" s="5"/>
      <c r="J25" s="5"/>
      <c r="K25" s="5"/>
      <c r="L25" s="5"/>
      <c r="M25" s="5"/>
      <c r="N25" s="5"/>
      <c r="O25" s="5"/>
      <c r="P25" s="5"/>
      <c r="Q25" s="3"/>
      <c r="R25" s="3"/>
    </row>
    <row r="26" spans="1:18" ht="12.5" customHeight="1">
      <c r="A26" s="3"/>
      <c r="B26" s="3"/>
      <c r="C26" s="129" t="str">
        <f>INDEX({"As Demonstrações Financeiras são preparadas de acordo com o IFRS 16. Para melhor representar a realidade econômica do negócio, as informações no arquivo também são apresentadas pré-IFRS.";"The Financial Statements are prepared in accordance with IFRS 16. In order to better represent the economics of the business, the figures in this file are also presented pre-IFRS."},Home!$R$30)</f>
        <v>As Demonstrações Financeiras são preparadas de acordo com o IFRS 16. Para melhor representar a realidade econômica do negócio, as informações no arquivo também são apresentadas pré-IFRS.</v>
      </c>
      <c r="D26" s="129"/>
      <c r="E26" s="129"/>
      <c r="F26" s="129"/>
      <c r="G26" s="129"/>
      <c r="H26" s="129"/>
      <c r="I26" s="129"/>
      <c r="J26" s="129"/>
      <c r="K26" s="129"/>
      <c r="L26" s="129"/>
      <c r="M26" s="129"/>
      <c r="N26" s="129"/>
      <c r="O26" s="129"/>
      <c r="P26" s="129"/>
      <c r="Q26" s="3"/>
      <c r="R26" s="8" t="s">
        <v>1</v>
      </c>
    </row>
    <row r="27" spans="1:18" ht="12.5" customHeight="1">
      <c r="A27" s="3"/>
      <c r="B27" s="3"/>
      <c r="C27" s="129"/>
      <c r="D27" s="129"/>
      <c r="E27" s="129"/>
      <c r="F27" s="129"/>
      <c r="G27" s="129"/>
      <c r="H27" s="129"/>
      <c r="I27" s="129"/>
      <c r="J27" s="129"/>
      <c r="K27" s="129"/>
      <c r="L27" s="129"/>
      <c r="M27" s="129"/>
      <c r="N27" s="129"/>
      <c r="O27" s="129"/>
      <c r="P27" s="129"/>
      <c r="Q27" s="3"/>
      <c r="R27" s="8" t="s">
        <v>2</v>
      </c>
    </row>
    <row r="28" spans="1:18" ht="12.5" customHeight="1">
      <c r="A28" s="3"/>
      <c r="B28" s="3"/>
      <c r="C28" s="129"/>
      <c r="D28" s="129"/>
      <c r="E28" s="129"/>
      <c r="F28" s="129"/>
      <c r="G28" s="129"/>
      <c r="H28" s="129"/>
      <c r="I28" s="129"/>
      <c r="J28" s="129"/>
      <c r="K28" s="129"/>
      <c r="L28" s="129"/>
      <c r="M28" s="129"/>
      <c r="N28" s="129"/>
      <c r="O28" s="129"/>
      <c r="P28" s="129"/>
      <c r="Q28" s="3"/>
      <c r="R28" s="8"/>
    </row>
    <row r="29" spans="1:18" ht="12.5" customHeight="1">
      <c r="A29" s="3"/>
      <c r="B29" s="3"/>
      <c r="C29" s="3"/>
      <c r="D29" s="124" t="str">
        <f>INDEX({"Contato RI: ri.rdsaude.com.br";"Contact IR: ri.rdsaude.com.br"},Home!$R$30)</f>
        <v>Contato RI: ri.rdsaude.com.br</v>
      </c>
      <c r="E29" s="124"/>
      <c r="F29" s="124"/>
      <c r="G29" s="124"/>
      <c r="H29" s="124"/>
      <c r="I29" s="124"/>
      <c r="J29" s="124"/>
      <c r="K29" s="124"/>
      <c r="L29" s="124"/>
      <c r="M29" s="124"/>
      <c r="N29" s="124"/>
      <c r="O29" s="124"/>
      <c r="P29" s="9"/>
      <c r="Q29" s="3"/>
      <c r="R29" s="8"/>
    </row>
    <row r="30" spans="1:18" ht="12.5" customHeight="1">
      <c r="A30" s="5"/>
      <c r="B30" s="5"/>
      <c r="C30" s="5"/>
      <c r="D30" s="5"/>
      <c r="E30" s="5"/>
      <c r="F30" s="5"/>
      <c r="G30" s="5"/>
      <c r="H30" s="5"/>
      <c r="I30" s="5"/>
      <c r="J30" s="5"/>
      <c r="K30" s="5"/>
      <c r="L30" s="5"/>
      <c r="M30" s="5"/>
      <c r="N30" s="5"/>
      <c r="O30" s="5"/>
      <c r="P30" s="5"/>
      <c r="Q30" s="3"/>
      <c r="R30" s="10">
        <v>1</v>
      </c>
    </row>
    <row r="31" spans="1:18" ht="12.5" hidden="1" customHeight="1">
      <c r="A31" s="5"/>
      <c r="B31" s="5"/>
      <c r="C31" s="5"/>
      <c r="D31" s="5"/>
      <c r="E31" s="5"/>
      <c r="F31" s="5"/>
      <c r="G31" s="5"/>
      <c r="H31" s="5"/>
      <c r="I31" s="5"/>
      <c r="J31" s="5"/>
      <c r="K31" s="5"/>
      <c r="L31" s="5"/>
      <c r="M31" s="5"/>
      <c r="N31" s="5"/>
      <c r="O31" s="5"/>
      <c r="P31" s="5"/>
      <c r="Q31" s="3"/>
      <c r="R31" s="10"/>
    </row>
    <row r="32" spans="1:18" ht="12.5" hidden="1" customHeight="1"/>
    <row r="33" ht="12.5" hidden="1" customHeight="1"/>
  </sheetData>
  <mergeCells count="17">
    <mergeCell ref="C26:P28"/>
    <mergeCell ref="D29:O29"/>
    <mergeCell ref="O2:Q3"/>
    <mergeCell ref="C19:F20"/>
    <mergeCell ref="H7:K8"/>
    <mergeCell ref="M10:P11"/>
    <mergeCell ref="M13:P14"/>
    <mergeCell ref="M16:P17"/>
    <mergeCell ref="M19:P20"/>
    <mergeCell ref="H11:K12"/>
    <mergeCell ref="H14:K15"/>
    <mergeCell ref="H17:K18"/>
    <mergeCell ref="C10:F11"/>
    <mergeCell ref="C13:F14"/>
    <mergeCell ref="C16:F17"/>
    <mergeCell ref="C7:F8"/>
    <mergeCell ref="F2:M5"/>
  </mergeCells>
  <hyperlinks>
    <hyperlink ref="C13:F14" location="'P&amp;L'!A2" display="'P&amp;L'!A2" xr:uid="{00000000-0004-0000-0000-000001000000}"/>
    <hyperlink ref="C16:F17" location="BalanceSheet!A2" display="BalanceSheet!A2" xr:uid="{00000000-0004-0000-0000-000002000000}"/>
    <hyperlink ref="C19:F20" location="CashFlow!A2" display="CashFlow!A2" xr:uid="{00000000-0004-0000-0000-000003000000}"/>
    <hyperlink ref="H11:K12" location="Operational!A2" display="Operational!A2" xr:uid="{00000000-0004-0000-0000-000004000000}"/>
    <hyperlink ref="H14:K15" location="MaturationCurves!A2" display="MaturationCurves!A2" xr:uid="{00000000-0004-0000-0000-000005000000}"/>
    <hyperlink ref="H17:K18" location="Proceeds!A2" display="Proceeds!A2" xr:uid="{00000000-0004-0000-0000-000006000000}"/>
    <hyperlink ref="M10:P11" location="'IFRS_AdjP&amp;L'!A2" display="'IFRS_AdjP&amp;L'!A2" xr:uid="{00000000-0004-0000-0000-000007000000}"/>
    <hyperlink ref="M13:P14" location="'IFRS_P&amp;L'!A2" display="'IFRS_P&amp;L'!A2" xr:uid="{00000000-0004-0000-0000-000008000000}"/>
    <hyperlink ref="M16:P17" location="IFRS_BalanceSheet!A2" display="IFRS_BalanceSheet!A2" xr:uid="{00000000-0004-0000-0000-000009000000}"/>
    <hyperlink ref="M19:P20" location="IFRS_CashFlow!A2" display="IFRS_CashFlow!A2" xr:uid="{00000000-0004-0000-0000-00000A000000}"/>
    <hyperlink ref="C10:F11" location="'AdjP&amp;L'!A2" display="'AdjP&amp;L'!A2" xr:uid="{00000000-0004-0000-0000-000000000000}"/>
  </hyperlinks>
  <pageMargins left="0.511811024" right="0.511811024" top="0.78740157499999996" bottom="0.78740157499999996" header="0.31496062000000002" footer="0.31496062000000002"/>
  <pageSetup paperSize="9" orientation="portrait" r:id="rId1"/>
  <ignoredErrors>
    <ignoredError sqref="C11:P22 H7 C27:P29 D26:P26 D10:P10 C23:P25"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8" r:id="rId4" name="Drop Down 4">
              <controlPr defaultSize="0" autoLine="0" autoPict="0">
                <anchor moveWithCells="1">
                  <from>
                    <xdr:col>14</xdr:col>
                    <xdr:colOff>533400</xdr:colOff>
                    <xdr:row>3</xdr:row>
                    <xdr:rowOff>0</xdr:rowOff>
                  </from>
                  <to>
                    <xdr:col>16</xdr:col>
                    <xdr:colOff>184150</xdr:colOff>
                    <xdr:row>3</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V40"/>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15" customWidth="1"/>
    <col min="2" max="2" width="10.6328125" style="15" customWidth="1"/>
    <col min="3" max="39" width="10.6328125" style="15"/>
    <col min="40" max="42" width="10.6328125" style="31"/>
    <col min="43" max="58" width="10.6328125" style="15"/>
    <col min="59" max="59" width="10.6328125" style="110"/>
    <col min="60" max="60" width="14.1796875" customWidth="1"/>
    <col min="61" max="16384" width="10.6328125" style="15"/>
  </cols>
  <sheetData>
    <row r="1" spans="1:74" customFormat="1" ht="20" customHeight="1" thickBot="1">
      <c r="A1" s="61" t="str">
        <f>INDEX({"DRE Consolidado Ajustado IAS 17 (R$ mil)";"Adjusted Cons. Income Statement IAS 17 (R$ thousands)"},Home!$R$30)</f>
        <v>DRE Consolidado Ajustado IAS 17 (R$ mil)</v>
      </c>
      <c r="B1" s="70" t="str">
        <f>INDEX({"1T12";"1Q12"},Home!$R$30)</f>
        <v>1T12</v>
      </c>
      <c r="C1" s="70" t="str">
        <f>INDEX({"2T12";"2Q12"},Home!$R$30)</f>
        <v>2T12</v>
      </c>
      <c r="D1" s="70" t="str">
        <f>INDEX({"3T12";"3Q12"},Home!$R$30)</f>
        <v>3T12</v>
      </c>
      <c r="E1" s="70" t="str">
        <f>INDEX({"4T12";"4Q12"},Home!$R$30)</f>
        <v>4T12</v>
      </c>
      <c r="F1" s="70" t="str">
        <f>INDEX({"1T13";"1Q13"},Home!$R$30)</f>
        <v>1T13</v>
      </c>
      <c r="G1" s="70" t="str">
        <f>INDEX({"2T13";"2Q13"},Home!$R$30)</f>
        <v>2T13</v>
      </c>
      <c r="H1" s="70" t="str">
        <f>INDEX({"3T13";"3Q13"},Home!$R$30)</f>
        <v>3T13</v>
      </c>
      <c r="I1" s="70" t="str">
        <f>INDEX({"4T13";"4Q13"},Home!$R$30)</f>
        <v>4T13</v>
      </c>
      <c r="J1" s="70" t="str">
        <f>INDEX({"1T14*";"1Q14*"},Home!$R$30)</f>
        <v>1T14*</v>
      </c>
      <c r="K1" s="70" t="str">
        <f>INDEX({"2T14";"2Q14"},Home!$R$30)</f>
        <v>2T14</v>
      </c>
      <c r="L1" s="70" t="str">
        <f>INDEX({"3T14";"3Q14"},Home!$R$30)</f>
        <v>3T14</v>
      </c>
      <c r="M1" s="70" t="str">
        <f>INDEX({"4T14";"4Q14"},Home!$R$30)</f>
        <v>4T14</v>
      </c>
      <c r="N1" s="70" t="str">
        <f>INDEX({"1T15";"1Q15"},Home!$R$30)</f>
        <v>1T15</v>
      </c>
      <c r="O1" s="70" t="str">
        <f>INDEX({"2T15";"2Q15"},Home!$R$30)</f>
        <v>2T15</v>
      </c>
      <c r="P1" s="70" t="str">
        <f>INDEX({"3T15";"3Q15"},Home!$R$30)</f>
        <v>3T15</v>
      </c>
      <c r="Q1" s="70" t="str">
        <f>INDEX({"4T15";"4Q15"},Home!$R$30)</f>
        <v>4T15</v>
      </c>
      <c r="R1" s="70" t="str">
        <f>INDEX({"1T16";"1Q16"},Home!$R$30)</f>
        <v>1T16</v>
      </c>
      <c r="S1" s="70" t="str">
        <f>INDEX({"2T16";"2Q16"},Home!$R$30)</f>
        <v>2T16</v>
      </c>
      <c r="T1" s="70" t="str">
        <f>INDEX({"3T16";"3Q16"},Home!$R$30)</f>
        <v>3T16</v>
      </c>
      <c r="U1" s="70" t="str">
        <f>INDEX({"4T16";"4Q16"},Home!$R$30)</f>
        <v>4T16</v>
      </c>
      <c r="V1" s="70" t="str">
        <f>INDEX({"1T17";"1Q17"},Home!$R$30)</f>
        <v>1T17</v>
      </c>
      <c r="W1" s="70" t="str">
        <f>INDEX({"2T17";"2Q17"},Home!$R$30)</f>
        <v>2T17</v>
      </c>
      <c r="X1" s="70" t="str">
        <f>INDEX({"3T17";"3Q17"},Home!$R$30)</f>
        <v>3T17</v>
      </c>
      <c r="Y1" s="70" t="str">
        <f>INDEX({"4T17";"4Q17"},Home!$R$30)</f>
        <v>4T17</v>
      </c>
      <c r="Z1" s="70" t="str">
        <f>INDEX({"1T18";"1Q18"},Home!$R$30)</f>
        <v>1T18</v>
      </c>
      <c r="AA1" s="70" t="str">
        <f>INDEX({"2T18";"2Q18"},Home!$R$30)</f>
        <v>2T18</v>
      </c>
      <c r="AB1" s="70" t="str">
        <f>INDEX({"3T18";"3Q18"},Home!$R$30)</f>
        <v>3T18</v>
      </c>
      <c r="AC1" s="70" t="str">
        <f>INDEX({"4T18";"4Q18"},Home!$R$30)</f>
        <v>4T18</v>
      </c>
      <c r="AD1" s="70" t="str">
        <f>INDEX({"1T19";"1Q19"},Home!$R$30)</f>
        <v>1T19</v>
      </c>
      <c r="AE1" s="70" t="str">
        <f>INDEX({"2T19";"2Q19"},Home!$R$30)</f>
        <v>2T19</v>
      </c>
      <c r="AF1" s="70" t="str">
        <f>INDEX({"3T19**";"3Q19**"},Home!$R$30)</f>
        <v>3T19**</v>
      </c>
      <c r="AG1" s="70" t="str">
        <f>INDEX({"4T19";"4Q19"},Home!$R$30)</f>
        <v>4T19</v>
      </c>
      <c r="AH1" s="70" t="str">
        <f>INDEX({"1T20";"1Q20"},Home!$R$30)</f>
        <v>1T20</v>
      </c>
      <c r="AI1" s="70" t="str">
        <f>INDEX({"2T20";"2Q20"},Home!$R$30)</f>
        <v>2T20</v>
      </c>
      <c r="AJ1" s="70" t="str">
        <f>INDEX({"3T20";"3Q20"},Home!$R$30)</f>
        <v>3T20</v>
      </c>
      <c r="AK1" s="70" t="str">
        <f>INDEX({"4T20";"4Q20"},Home!$R$30)</f>
        <v>4T20</v>
      </c>
      <c r="AL1" s="70" t="str">
        <f>INDEX({"1T21";"1Q21"},Home!$R$30)</f>
        <v>1T21</v>
      </c>
      <c r="AM1" s="70" t="str">
        <f>INDEX({"2T21";"2Q21"},Home!$R$30)</f>
        <v>2T21</v>
      </c>
      <c r="AN1" s="70" t="str">
        <f>INDEX({"3T21";"3Q21"},Home!$R$30)</f>
        <v>3T21</v>
      </c>
      <c r="AO1" s="70" t="str">
        <f>INDEX({"4T21";"4Q21"},Home!$R$30)</f>
        <v>4T21</v>
      </c>
      <c r="AP1" s="70" t="str">
        <f>INDEX({"1T22";"1Q22"},Home!$R$30)</f>
        <v>1T22</v>
      </c>
      <c r="AQ1" s="70" t="str">
        <f>INDEX({"2T22";"2Q22"},Home!$R$30)</f>
        <v>2T22</v>
      </c>
      <c r="AR1" s="70" t="str">
        <f>INDEX({"3T22";"3Q22"},Home!$R$30)</f>
        <v>3T22</v>
      </c>
      <c r="AS1" s="70" t="str">
        <f>INDEX({"4T22";"4Q22"},Home!$R$30)</f>
        <v>4T22</v>
      </c>
      <c r="AT1" s="70" t="str">
        <f>INDEX({"1T23";"1Q23"},Home!$R$30)</f>
        <v>1T23</v>
      </c>
      <c r="AU1" s="70" t="str">
        <f>INDEX({"2T23";"2Q23"},Home!$R$30)</f>
        <v>2T23</v>
      </c>
      <c r="AV1" s="70" t="str">
        <f>INDEX({"3T23";"3Q23"},Home!$R$30)</f>
        <v>3T23</v>
      </c>
      <c r="AW1" s="70" t="str">
        <f>INDEX({"4T23";"4Q23"},Home!$R$30)</f>
        <v>4T23</v>
      </c>
      <c r="AX1" s="70" t="str">
        <f>INDEX({"1T24";"1Q24"},Home!$R$30)</f>
        <v>1T24</v>
      </c>
      <c r="AY1" s="70" t="str">
        <f>INDEX({"2T24";"2Q24"},Home!$R$30)</f>
        <v>2T24</v>
      </c>
      <c r="AZ1" s="70" t="str">
        <f>INDEX({"3T24";"3Q24"},Home!$R$30)</f>
        <v>3T24</v>
      </c>
      <c r="BA1" s="70" t="str">
        <f>INDEX({"4T24";"4Q24"},Home!$R$30)</f>
        <v>4T24</v>
      </c>
      <c r="BB1" s="70" t="str">
        <f>INDEX({"1T25";"1Q25"},Home!$R$30)</f>
        <v>1T25</v>
      </c>
      <c r="BC1" s="70" t="str">
        <f>INDEX({"2T25";"2Q25"},Home!$R$30)</f>
        <v>2T25</v>
      </c>
      <c r="BD1" s="70" t="str">
        <f>INDEX({"3T25";"3Q25"},Home!$R$30)</f>
        <v>3T25</v>
      </c>
      <c r="BE1" s="70" t="str">
        <f>INDEX({"4T25";"4Q25"},Home!$R$30)</f>
        <v>4T25</v>
      </c>
      <c r="BF1" s="70" t="str">
        <f>INDEX({"1T26";"1Q26"},Home!$R$30)</f>
        <v>1T26</v>
      </c>
      <c r="BG1" s="70" t="str">
        <f>INDEX({"2T26";"2Q26"},Home!$R$30)</f>
        <v>2T26</v>
      </c>
      <c r="BI1" s="77">
        <v>2012</v>
      </c>
      <c r="BJ1" s="77">
        <f>BI1+1</f>
        <v>2013</v>
      </c>
      <c r="BK1" s="77">
        <f t="shared" ref="BK1:BV1" si="0">BJ1+1</f>
        <v>2014</v>
      </c>
      <c r="BL1" s="77">
        <f t="shared" si="0"/>
        <v>2015</v>
      </c>
      <c r="BM1" s="77">
        <f t="shared" si="0"/>
        <v>2016</v>
      </c>
      <c r="BN1" s="77">
        <f t="shared" si="0"/>
        <v>2017</v>
      </c>
      <c r="BO1" s="77">
        <f t="shared" si="0"/>
        <v>2018</v>
      </c>
      <c r="BP1" s="77">
        <f t="shared" si="0"/>
        <v>2019</v>
      </c>
      <c r="BQ1" s="77">
        <f t="shared" si="0"/>
        <v>2020</v>
      </c>
      <c r="BR1" s="77">
        <f t="shared" si="0"/>
        <v>2021</v>
      </c>
      <c r="BS1" s="77">
        <f t="shared" si="0"/>
        <v>2022</v>
      </c>
      <c r="BT1" s="77">
        <f t="shared" si="0"/>
        <v>2023</v>
      </c>
      <c r="BU1" s="77">
        <f t="shared" si="0"/>
        <v>2024</v>
      </c>
      <c r="BV1" s="77">
        <f t="shared" si="0"/>
        <v>2025</v>
      </c>
    </row>
    <row r="2" spans="1:74" customFormat="1">
      <c r="A2" s="25"/>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9" t="str">
        <f>INDEX({"Reclassif.";"Reclassif."},Home!$R$30)</f>
        <v>Reclassif.</v>
      </c>
      <c r="AU2" s="79" t="str">
        <f>INDEX({"Reclassif.";"Reclassif."},Home!$R$30)</f>
        <v>Reclassif.</v>
      </c>
      <c r="AV2" s="79" t="str">
        <f>INDEX({"Reclassif.";"Reclassif."},Home!$R$30)</f>
        <v>Reclassif.</v>
      </c>
      <c r="AW2" s="79" t="str">
        <f>INDEX({"Reclassif.";"Reclassif."},Home!$R$30)</f>
        <v>Reclassif.</v>
      </c>
      <c r="AX2" s="78"/>
      <c r="AY2" s="78"/>
      <c r="AZ2" s="78"/>
      <c r="BA2" s="78"/>
      <c r="BB2" s="79" t="str">
        <f>INDEX({"Reapresentado";"Resubmitted"},Home!$R$30)</f>
        <v>Reapresentado</v>
      </c>
      <c r="BC2" s="79" t="str">
        <f>INDEX({"Reapresentado";"Resubmitted"},Home!$R$30)</f>
        <v>Reapresentado</v>
      </c>
      <c r="BD2" s="79" t="str">
        <f>INDEX({"Reapresentado";"Resubmitted"},Home!$R$30)</f>
        <v>Reapresentado</v>
      </c>
      <c r="BE2" s="79" t="str">
        <f>INDEX({"Reapresentado";"Resubmitted"},Home!$R$30)</f>
        <v>Reapresentado</v>
      </c>
      <c r="BF2" s="79"/>
      <c r="BG2" s="118"/>
      <c r="BI2" s="79"/>
      <c r="BJ2" s="79"/>
      <c r="BK2" s="79"/>
      <c r="BL2" s="79"/>
      <c r="BM2" s="79"/>
      <c r="BN2" s="79"/>
      <c r="BO2" s="79"/>
      <c r="BP2" s="79"/>
      <c r="BQ2" s="79"/>
      <c r="BR2" s="79"/>
      <c r="BS2" s="79"/>
      <c r="BT2" s="79" t="str">
        <f>INDEX({"Reclassif.";"Reclassif."},Home!$R$30)</f>
        <v>Reclassif.</v>
      </c>
      <c r="BU2" s="79"/>
      <c r="BV2" s="79" t="str">
        <f>INDEX({"Reapresentado";"Resubmitted"},Home!$R$30)</f>
        <v>Reapresentado</v>
      </c>
    </row>
    <row r="3" spans="1:74" customFormat="1">
      <c r="A3" s="94" t="str">
        <f>INDEX({"Receita bruta de vendas e serviços";"Gross revenue"},Home!$R$30)</f>
        <v>Receita bruta de vendas e serviços</v>
      </c>
      <c r="B3" s="95">
        <v>1286847</v>
      </c>
      <c r="C3" s="95">
        <v>1375186</v>
      </c>
      <c r="D3" s="95">
        <v>1451824</v>
      </c>
      <c r="E3" s="95">
        <v>1479979</v>
      </c>
      <c r="F3" s="95">
        <v>1438405</v>
      </c>
      <c r="G3" s="95">
        <v>1604091</v>
      </c>
      <c r="H3" s="95">
        <v>1682958</v>
      </c>
      <c r="I3" s="95">
        <v>1738649</v>
      </c>
      <c r="J3" s="95">
        <v>1746332</v>
      </c>
      <c r="K3" s="95">
        <v>1885310</v>
      </c>
      <c r="L3" s="95">
        <v>2024309</v>
      </c>
      <c r="M3" s="95">
        <v>2128284</v>
      </c>
      <c r="N3" s="95">
        <v>2090599</v>
      </c>
      <c r="O3" s="95">
        <v>2323102</v>
      </c>
      <c r="P3" s="95">
        <v>2436860.92</v>
      </c>
      <c r="Q3" s="95">
        <v>2574215</v>
      </c>
      <c r="R3" s="95">
        <v>2641079.1</v>
      </c>
      <c r="S3" s="95">
        <v>2930451.35</v>
      </c>
      <c r="T3" s="95">
        <v>3050163.15</v>
      </c>
      <c r="U3" s="95">
        <v>3205873</v>
      </c>
      <c r="V3" s="95">
        <v>3212406.09</v>
      </c>
      <c r="W3" s="95">
        <v>3397859.85</v>
      </c>
      <c r="X3" s="95">
        <v>3580024.45</v>
      </c>
      <c r="Y3" s="95">
        <v>3662178.24</v>
      </c>
      <c r="Z3" s="95">
        <v>3603969.05</v>
      </c>
      <c r="AA3" s="95">
        <v>3791577.67</v>
      </c>
      <c r="AB3" s="95">
        <v>3944676.76</v>
      </c>
      <c r="AC3" s="95">
        <v>4178909.37</v>
      </c>
      <c r="AD3" s="95">
        <v>4153922.8716500006</v>
      </c>
      <c r="AE3" s="95">
        <v>4440683.2908499995</v>
      </c>
      <c r="AF3" s="95">
        <v>4771279.8809899958</v>
      </c>
      <c r="AG3" s="95">
        <v>5030160.0746200001</v>
      </c>
      <c r="AH3" s="95">
        <v>5206320.2216200009</v>
      </c>
      <c r="AI3" s="95">
        <v>4721872.3380100001</v>
      </c>
      <c r="AJ3" s="95">
        <v>5384230.3225699998</v>
      </c>
      <c r="AK3" s="95">
        <v>5868052.4856400015</v>
      </c>
      <c r="AL3" s="95">
        <v>5979507</v>
      </c>
      <c r="AM3" s="95">
        <v>6245162</v>
      </c>
      <c r="AN3" s="95">
        <v>6527874.65833</v>
      </c>
      <c r="AO3" s="95">
        <v>6853140.17294</v>
      </c>
      <c r="AP3" s="95">
        <v>6972490</v>
      </c>
      <c r="AQ3" s="95">
        <v>7641161.3537899991</v>
      </c>
      <c r="AR3" s="95">
        <v>7985785.9976899987</v>
      </c>
      <c r="AS3" s="95">
        <v>8351126.2797199991</v>
      </c>
      <c r="AT3" s="95">
        <v>8471318.9039799999</v>
      </c>
      <c r="AU3" s="95">
        <v>9013829.9642600007</v>
      </c>
      <c r="AV3" s="95">
        <v>9274782.4353400003</v>
      </c>
      <c r="AW3" s="95">
        <v>9538835.722529998</v>
      </c>
      <c r="AX3" s="95">
        <v>9767155.5103699993</v>
      </c>
      <c r="AY3" s="95">
        <v>10402635.421470001</v>
      </c>
      <c r="AZ3" s="95">
        <v>10749829.755501499</v>
      </c>
      <c r="BA3" s="95">
        <v>10862352.5405472</v>
      </c>
      <c r="BB3" s="95">
        <v>9947885.9391099997</v>
      </c>
      <c r="BC3" s="95">
        <v>10803985.76362</v>
      </c>
      <c r="BD3" s="95">
        <v>11347941.99085</v>
      </c>
      <c r="BE3" s="95">
        <v>12186767.19513</v>
      </c>
      <c r="BF3" s="95">
        <v>11979520.748990001</v>
      </c>
      <c r="BG3" s="119">
        <v>12777743.22043</v>
      </c>
      <c r="BI3" s="95">
        <f>SUM(B3:E3)</f>
        <v>5593836</v>
      </c>
      <c r="BJ3" s="95">
        <f>SUM(F3:I3)</f>
        <v>6464103</v>
      </c>
      <c r="BK3" s="95">
        <f>SUM(J3:M3)</f>
        <v>7784235</v>
      </c>
      <c r="BL3" s="95">
        <f>SUM(N3:Q3)</f>
        <v>9424776.9199999999</v>
      </c>
      <c r="BM3" s="95">
        <f>SUM(R3:U3)</f>
        <v>11827566.6</v>
      </c>
      <c r="BN3" s="95">
        <f>SUM(V3:Y3)</f>
        <v>13852468.630000001</v>
      </c>
      <c r="BO3" s="95">
        <f>SUM(Z3:AC3)</f>
        <v>15519132.850000001</v>
      </c>
      <c r="BP3" s="95">
        <f>SUM(AD3:AG3)</f>
        <v>18396046.118109997</v>
      </c>
      <c r="BQ3" s="95">
        <f>SUM(AH3:AK3)</f>
        <v>21180475.367840003</v>
      </c>
      <c r="BR3" s="95">
        <f>SUM(AL3:AO3)</f>
        <v>25605683.831270002</v>
      </c>
      <c r="BS3" s="95">
        <f>SUM(AP3:AS3)</f>
        <v>30950563.631200001</v>
      </c>
      <c r="BT3" s="95">
        <f>SUM(AT3:AW3)</f>
        <v>36298767.026110001</v>
      </c>
      <c r="BU3" s="95">
        <f>SUM(AX3:BA3)</f>
        <v>41781973.227888703</v>
      </c>
      <c r="BV3" s="95">
        <f>SUM(BB3:BE3)</f>
        <v>44286580.88871</v>
      </c>
    </row>
    <row r="4" spans="1:74" customFormat="1">
      <c r="A4" s="17" t="str">
        <f>INDEX({"Deduções";"Taxes, Discounts and Returns"},Home!$R$30)</f>
        <v>Deduções</v>
      </c>
      <c r="B4" s="80">
        <v>-56820</v>
      </c>
      <c r="C4" s="80">
        <v>-58392</v>
      </c>
      <c r="D4" s="80">
        <v>-62240</v>
      </c>
      <c r="E4" s="80">
        <v>-58048</v>
      </c>
      <c r="F4" s="80">
        <v>-54634</v>
      </c>
      <c r="G4" s="80">
        <v>-60231</v>
      </c>
      <c r="H4" s="80">
        <v>-64687</v>
      </c>
      <c r="I4" s="80">
        <v>-66660</v>
      </c>
      <c r="J4" s="80">
        <v>-69646.87</v>
      </c>
      <c r="K4" s="80">
        <v>-76491.81</v>
      </c>
      <c r="L4" s="80">
        <v>-80757.84</v>
      </c>
      <c r="M4" s="80">
        <v>-86688.69</v>
      </c>
      <c r="N4" s="80">
        <v>-86608</v>
      </c>
      <c r="O4" s="80">
        <v>-96900</v>
      </c>
      <c r="P4" s="80">
        <v>-105037</v>
      </c>
      <c r="Q4" s="80">
        <v>-114277</v>
      </c>
      <c r="R4" s="80">
        <v>-125651.82</v>
      </c>
      <c r="S4" s="80">
        <v>-147239.9</v>
      </c>
      <c r="T4" s="80">
        <v>-149233.26999999999</v>
      </c>
      <c r="U4" s="80">
        <v>-148876.21</v>
      </c>
      <c r="V4" s="80">
        <v>-155295.65</v>
      </c>
      <c r="W4" s="80">
        <v>-160601.76</v>
      </c>
      <c r="X4" s="80">
        <v>-163184.37</v>
      </c>
      <c r="Y4" s="80">
        <v>-160881.96</v>
      </c>
      <c r="Z4" s="80">
        <v>-170391.34</v>
      </c>
      <c r="AA4" s="80">
        <v>-177588.81</v>
      </c>
      <c r="AB4" s="80">
        <v>-187862.87</v>
      </c>
      <c r="AC4" s="80">
        <v>-181845.1</v>
      </c>
      <c r="AD4" s="80">
        <v>-200571.39491</v>
      </c>
      <c r="AE4" s="80">
        <v>-215189.33674999999</v>
      </c>
      <c r="AF4" s="80">
        <v>-232343.88381</v>
      </c>
      <c r="AG4" s="80">
        <v>-245045.46244</v>
      </c>
      <c r="AH4" s="80">
        <v>-256448.92066</v>
      </c>
      <c r="AI4" s="80">
        <v>-252097.95259</v>
      </c>
      <c r="AJ4" s="80">
        <v>-290778.76572999998</v>
      </c>
      <c r="AK4" s="80">
        <v>-314311.32543000003</v>
      </c>
      <c r="AL4" s="80">
        <v>-359456.13932000002</v>
      </c>
      <c r="AM4" s="80">
        <v>-376898.37956000003</v>
      </c>
      <c r="AN4" s="80">
        <v>-363013</v>
      </c>
      <c r="AO4" s="80">
        <v>-379314.77528</v>
      </c>
      <c r="AP4" s="80">
        <v>-409985.51458999992</v>
      </c>
      <c r="AQ4" s="80">
        <v>-462399.95567000011</v>
      </c>
      <c r="AR4" s="80">
        <v>-495920.29657000001</v>
      </c>
      <c r="AS4" s="80">
        <v>-514877.67183999997</v>
      </c>
      <c r="AT4" s="80">
        <v>-546933.00274935085</v>
      </c>
      <c r="AU4" s="80">
        <v>-581161.80842442531</v>
      </c>
      <c r="AV4" s="80">
        <v>-610296.09252269962</v>
      </c>
      <c r="AW4" s="80">
        <v>-629677.57463639928</v>
      </c>
      <c r="AX4" s="80">
        <v>-666661.59641999996</v>
      </c>
      <c r="AY4" s="80">
        <v>-715414.97257999971</v>
      </c>
      <c r="AZ4" s="80">
        <v>-760708.15104000003</v>
      </c>
      <c r="BA4" s="80">
        <v>-767666.77317000006</v>
      </c>
      <c r="BB4" s="80">
        <v>-674903.75679000001</v>
      </c>
      <c r="BC4" s="80">
        <v>-729302.57030000002</v>
      </c>
      <c r="BD4" s="80">
        <v>-767440.05429</v>
      </c>
      <c r="BE4" s="80">
        <v>-817574.6311</v>
      </c>
      <c r="BF4" s="80">
        <v>-1410931.5080900004</v>
      </c>
      <c r="BG4" s="120">
        <v>-1715344.4203700002</v>
      </c>
      <c r="BI4" s="80">
        <f>SUM(B4:E4)</f>
        <v>-235500</v>
      </c>
      <c r="BJ4" s="80">
        <f>SUM(F4:I4)</f>
        <v>-246212</v>
      </c>
      <c r="BK4" s="80">
        <f>SUM(J4:M4)</f>
        <v>-313585.20999999996</v>
      </c>
      <c r="BL4" s="80">
        <f>SUM(N4:Q4)</f>
        <v>-402822</v>
      </c>
      <c r="BM4" s="80">
        <f>SUM(R4:U4)</f>
        <v>-571001.19999999995</v>
      </c>
      <c r="BN4" s="80">
        <f>SUM(V4:Y4)</f>
        <v>-639963.74</v>
      </c>
      <c r="BO4" s="80">
        <f>SUM(Z4:AC4)</f>
        <v>-717688.12</v>
      </c>
      <c r="BP4" s="80">
        <f>SUM(AD4:AG4)</f>
        <v>-893150.07790999999</v>
      </c>
      <c r="BQ4" s="80">
        <f>SUM(AH4:AK4)</f>
        <v>-1113636.96441</v>
      </c>
      <c r="BR4" s="80">
        <f>SUM(AL4:AO4)</f>
        <v>-1478682.29416</v>
      </c>
      <c r="BS4" s="80">
        <f>SUM(AP4:AS4)</f>
        <v>-1883183.4386700001</v>
      </c>
      <c r="BT4" s="80">
        <f>SUM(AT4:AW4)</f>
        <v>-2368068.4783328753</v>
      </c>
      <c r="BU4" s="80">
        <f>SUM(AX4:BA4)</f>
        <v>-2910451.4932099995</v>
      </c>
      <c r="BV4" s="80">
        <f>SUM(BB4:BE4)</f>
        <v>-2989221.01248</v>
      </c>
    </row>
    <row r="5" spans="1:74" customFormat="1">
      <c r="A5" s="25"/>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121"/>
      <c r="BI5" s="78"/>
      <c r="BJ5" s="78"/>
      <c r="BK5" s="78"/>
      <c r="BL5" s="78"/>
      <c r="BM5" s="78"/>
      <c r="BN5" s="78"/>
      <c r="BO5" s="78"/>
      <c r="BP5" s="78"/>
      <c r="BQ5" s="78"/>
      <c r="BR5" s="78"/>
      <c r="BS5" s="78"/>
      <c r="BT5" s="78"/>
      <c r="BU5" s="78"/>
      <c r="BV5" s="78"/>
    </row>
    <row r="6" spans="1:74" customFormat="1">
      <c r="A6" s="19" t="str">
        <f>INDEX({"Receita líquida de vendas e serviços";"Net revenue"},Home!$R$30)</f>
        <v>Receita líquida de vendas e serviços</v>
      </c>
      <c r="B6" s="81">
        <f t="shared" ref="B6:AZ6" si="1">B3+B4</f>
        <v>1230027</v>
      </c>
      <c r="C6" s="81">
        <f t="shared" si="1"/>
        <v>1316794</v>
      </c>
      <c r="D6" s="81">
        <f t="shared" si="1"/>
        <v>1389584</v>
      </c>
      <c r="E6" s="81">
        <f t="shared" si="1"/>
        <v>1421931</v>
      </c>
      <c r="F6" s="81">
        <f t="shared" si="1"/>
        <v>1383771</v>
      </c>
      <c r="G6" s="81">
        <f t="shared" si="1"/>
        <v>1543860</v>
      </c>
      <c r="H6" s="81">
        <f t="shared" si="1"/>
        <v>1618271</v>
      </c>
      <c r="I6" s="81">
        <f t="shared" si="1"/>
        <v>1671989</v>
      </c>
      <c r="J6" s="81">
        <f t="shared" si="1"/>
        <v>1676685.13</v>
      </c>
      <c r="K6" s="81">
        <f t="shared" si="1"/>
        <v>1808818.19</v>
      </c>
      <c r="L6" s="81">
        <f t="shared" si="1"/>
        <v>1943551.16</v>
      </c>
      <c r="M6" s="81">
        <f t="shared" si="1"/>
        <v>2041595.31</v>
      </c>
      <c r="N6" s="81">
        <f t="shared" si="1"/>
        <v>2003991</v>
      </c>
      <c r="O6" s="81">
        <f t="shared" si="1"/>
        <v>2226202</v>
      </c>
      <c r="P6" s="81">
        <f t="shared" si="1"/>
        <v>2331823.92</v>
      </c>
      <c r="Q6" s="81">
        <f t="shared" si="1"/>
        <v>2459938</v>
      </c>
      <c r="R6" s="81">
        <f t="shared" si="1"/>
        <v>2515427.2800000003</v>
      </c>
      <c r="S6" s="81">
        <f t="shared" si="1"/>
        <v>2783211.45</v>
      </c>
      <c r="T6" s="81">
        <f t="shared" si="1"/>
        <v>2900929.88</v>
      </c>
      <c r="U6" s="81">
        <f t="shared" si="1"/>
        <v>3056996.79</v>
      </c>
      <c r="V6" s="81">
        <f t="shared" si="1"/>
        <v>3057110.44</v>
      </c>
      <c r="W6" s="81">
        <f t="shared" si="1"/>
        <v>3237258.09</v>
      </c>
      <c r="X6" s="81">
        <f t="shared" si="1"/>
        <v>3416840.08</v>
      </c>
      <c r="Y6" s="81">
        <f t="shared" si="1"/>
        <v>3501296.2800000003</v>
      </c>
      <c r="Z6" s="81">
        <f t="shared" si="1"/>
        <v>3433577.71</v>
      </c>
      <c r="AA6" s="81">
        <f t="shared" si="1"/>
        <v>3613988.86</v>
      </c>
      <c r="AB6" s="81">
        <f t="shared" si="1"/>
        <v>3756813.8899999997</v>
      </c>
      <c r="AC6" s="81">
        <f t="shared" si="1"/>
        <v>3997064.27</v>
      </c>
      <c r="AD6" s="81">
        <f t="shared" si="1"/>
        <v>3953351.4767400008</v>
      </c>
      <c r="AE6" s="81">
        <f t="shared" si="1"/>
        <v>4225493.9540999997</v>
      </c>
      <c r="AF6" s="81">
        <f t="shared" si="1"/>
        <v>4538935.9971799962</v>
      </c>
      <c r="AG6" s="81">
        <f t="shared" si="1"/>
        <v>4785114.6121800002</v>
      </c>
      <c r="AH6" s="81">
        <f t="shared" si="1"/>
        <v>4949871.3009600006</v>
      </c>
      <c r="AI6" s="81">
        <f t="shared" si="1"/>
        <v>4469774.3854200002</v>
      </c>
      <c r="AJ6" s="81">
        <f t="shared" si="1"/>
        <v>5093451.5568399997</v>
      </c>
      <c r="AK6" s="81">
        <f t="shared" si="1"/>
        <v>5553741.1602100013</v>
      </c>
      <c r="AL6" s="81">
        <f t="shared" si="1"/>
        <v>5620050.8606799999</v>
      </c>
      <c r="AM6" s="81">
        <f t="shared" si="1"/>
        <v>5868263.6204399997</v>
      </c>
      <c r="AN6" s="81">
        <f t="shared" si="1"/>
        <v>6164861.65833</v>
      </c>
      <c r="AO6" s="81">
        <f t="shared" si="1"/>
        <v>6473825.3976600002</v>
      </c>
      <c r="AP6" s="81">
        <f t="shared" si="1"/>
        <v>6562504.4854100002</v>
      </c>
      <c r="AQ6" s="81">
        <f t="shared" si="1"/>
        <v>7178761.3981199991</v>
      </c>
      <c r="AR6" s="81">
        <f t="shared" si="1"/>
        <v>7489865.7011199985</v>
      </c>
      <c r="AS6" s="81">
        <f t="shared" si="1"/>
        <v>7836248.6078799991</v>
      </c>
      <c r="AT6" s="81">
        <f t="shared" si="1"/>
        <v>7924385.9012306491</v>
      </c>
      <c r="AU6" s="81">
        <f t="shared" si="1"/>
        <v>8432668.1558355764</v>
      </c>
      <c r="AV6" s="81">
        <f t="shared" si="1"/>
        <v>8664486.3428173009</v>
      </c>
      <c r="AW6" s="81">
        <f t="shared" si="1"/>
        <v>8909158.1478935983</v>
      </c>
      <c r="AX6" s="81">
        <f t="shared" si="1"/>
        <v>9100493.91395</v>
      </c>
      <c r="AY6" s="81">
        <f t="shared" si="1"/>
        <v>9687220.4488900024</v>
      </c>
      <c r="AZ6" s="81">
        <f t="shared" si="1"/>
        <v>9989121.6044614986</v>
      </c>
      <c r="BA6" s="81">
        <f t="shared" ref="BA6:BC6" si="2">BA3+BA4</f>
        <v>10094685.7673772</v>
      </c>
      <c r="BB6" s="81">
        <f t="shared" si="2"/>
        <v>9272982.1823199987</v>
      </c>
      <c r="BC6" s="81">
        <f t="shared" si="2"/>
        <v>10074683.193320001</v>
      </c>
      <c r="BD6" s="81">
        <f t="shared" ref="BD6:BV6" si="3">BD3+BD4</f>
        <v>10580501.936559999</v>
      </c>
      <c r="BE6" s="81">
        <f t="shared" si="3"/>
        <v>11369192.564029999</v>
      </c>
      <c r="BF6" s="81">
        <f t="shared" si="3"/>
        <v>10568589.240900001</v>
      </c>
      <c r="BG6" s="81">
        <f t="shared" si="3"/>
        <v>11062398.80006</v>
      </c>
      <c r="BI6" s="81">
        <f t="shared" si="3"/>
        <v>5358336</v>
      </c>
      <c r="BJ6" s="81">
        <f t="shared" si="3"/>
        <v>6217891</v>
      </c>
      <c r="BK6" s="81">
        <f t="shared" si="3"/>
        <v>7470649.79</v>
      </c>
      <c r="BL6" s="81">
        <f t="shared" si="3"/>
        <v>9021954.9199999999</v>
      </c>
      <c r="BM6" s="81">
        <f t="shared" si="3"/>
        <v>11256565.4</v>
      </c>
      <c r="BN6" s="81">
        <f t="shared" si="3"/>
        <v>13212504.890000001</v>
      </c>
      <c r="BO6" s="81">
        <f t="shared" si="3"/>
        <v>14801444.730000002</v>
      </c>
      <c r="BP6" s="81">
        <f t="shared" si="3"/>
        <v>17502896.040199999</v>
      </c>
      <c r="BQ6" s="81">
        <f t="shared" si="3"/>
        <v>20066838.403430004</v>
      </c>
      <c r="BR6" s="81">
        <f t="shared" si="3"/>
        <v>24127001.537110001</v>
      </c>
      <c r="BS6" s="81">
        <f t="shared" si="3"/>
        <v>29067380.192529999</v>
      </c>
      <c r="BT6" s="81">
        <f t="shared" si="3"/>
        <v>33930698.547777124</v>
      </c>
      <c r="BU6" s="81">
        <f t="shared" si="3"/>
        <v>38871521.734678701</v>
      </c>
      <c r="BV6" s="81">
        <f t="shared" si="3"/>
        <v>41297359.876230001</v>
      </c>
    </row>
    <row r="7" spans="1:74" customFormat="1">
      <c r="A7" s="25"/>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121"/>
      <c r="BI7" s="78"/>
      <c r="BJ7" s="78"/>
      <c r="BK7" s="78"/>
      <c r="BL7" s="78"/>
      <c r="BM7" s="78"/>
      <c r="BN7" s="78"/>
      <c r="BO7" s="78"/>
      <c r="BP7" s="78"/>
      <c r="BQ7" s="78"/>
      <c r="BR7" s="78"/>
      <c r="BS7" s="78"/>
      <c r="BT7" s="78"/>
      <c r="BU7" s="78"/>
      <c r="BV7" s="78"/>
    </row>
    <row r="8" spans="1:74" customFormat="1">
      <c r="A8" s="17" t="str">
        <f>INDEX({"Custo das mercadorias vendidas";"Cost of Goods Sold"},Home!$R$30)</f>
        <v>Custo das mercadorias vendidas</v>
      </c>
      <c r="B8" s="80">
        <v>-901262</v>
      </c>
      <c r="C8" s="80">
        <v>-927000</v>
      </c>
      <c r="D8" s="80">
        <v>-1006215</v>
      </c>
      <c r="E8" s="80">
        <v>-1018360</v>
      </c>
      <c r="F8" s="80">
        <v>-998533</v>
      </c>
      <c r="G8" s="80">
        <v>-1106963</v>
      </c>
      <c r="H8" s="80">
        <v>-1162904</v>
      </c>
      <c r="I8" s="80">
        <v>-1201509</v>
      </c>
      <c r="J8" s="80">
        <v>-1203125.56</v>
      </c>
      <c r="K8" s="80">
        <v>-1273265.95</v>
      </c>
      <c r="L8" s="80">
        <v>-1382641.4</v>
      </c>
      <c r="M8" s="80">
        <v>-1447626.67</v>
      </c>
      <c r="N8" s="80">
        <v>-1407428</v>
      </c>
      <c r="O8" s="80">
        <v>-1523427</v>
      </c>
      <c r="P8" s="80">
        <v>-1635505</v>
      </c>
      <c r="Q8" s="80">
        <v>-1719854</v>
      </c>
      <c r="R8" s="80">
        <v>-1758487.23</v>
      </c>
      <c r="S8" s="80">
        <v>-1858386.41</v>
      </c>
      <c r="T8" s="80">
        <v>-2000895.6</v>
      </c>
      <c r="U8" s="80">
        <v>-2134653.16</v>
      </c>
      <c r="V8" s="80">
        <v>-2135486.4700000002</v>
      </c>
      <c r="W8" s="80">
        <v>-2237537.4500000002</v>
      </c>
      <c r="X8" s="80">
        <v>-2396443.8199999998</v>
      </c>
      <c r="Y8" s="80">
        <v>-2455037.92</v>
      </c>
      <c r="Z8" s="80">
        <v>-2406819.23</v>
      </c>
      <c r="AA8" s="80">
        <v>-2509789.6</v>
      </c>
      <c r="AB8" s="80">
        <v>-2640038.19</v>
      </c>
      <c r="AC8" s="80">
        <v>-2799276.52</v>
      </c>
      <c r="AD8" s="80">
        <v>-2791688.2197500002</v>
      </c>
      <c r="AE8" s="80">
        <v>-2936208.6845</v>
      </c>
      <c r="AF8" s="80">
        <v>-3217586.0353600001</v>
      </c>
      <c r="AG8" s="80">
        <v>-3374111.5151299997</v>
      </c>
      <c r="AH8" s="80">
        <v>-3508020.6674600011</v>
      </c>
      <c r="AI8" s="80">
        <v>-3149651.9118499998</v>
      </c>
      <c r="AJ8" s="80">
        <v>-3598455.2717399998</v>
      </c>
      <c r="AK8" s="80">
        <v>-3919528.3318099999</v>
      </c>
      <c r="AL8" s="80">
        <v>-3978198.9420500002</v>
      </c>
      <c r="AM8" s="80">
        <v>-4071212.5995999998</v>
      </c>
      <c r="AN8" s="80">
        <v>-4349401.3488499997</v>
      </c>
      <c r="AO8" s="80">
        <v>-4522020.645299999</v>
      </c>
      <c r="AP8" s="80">
        <v>-4634073.6619099993</v>
      </c>
      <c r="AQ8" s="80">
        <v>-4860664.3932599993</v>
      </c>
      <c r="AR8" s="80">
        <v>-5265091.5665100012</v>
      </c>
      <c r="AS8" s="80">
        <v>-5498082.1965599991</v>
      </c>
      <c r="AT8" s="80">
        <v>-5609601.8961100001</v>
      </c>
      <c r="AU8" s="80">
        <v>-5832247.5748000005</v>
      </c>
      <c r="AV8" s="80">
        <v>-6085664.3401999995</v>
      </c>
      <c r="AW8" s="80">
        <v>-6238926.1812200006</v>
      </c>
      <c r="AX8" s="80">
        <v>-6441229.8126600012</v>
      </c>
      <c r="AY8" s="80">
        <v>-6755221.1505900007</v>
      </c>
      <c r="AZ8" s="80">
        <v>-7018436.4488000013</v>
      </c>
      <c r="BA8" s="80">
        <v>-7100566.3429300012</v>
      </c>
      <c r="BB8" s="80">
        <v>-6452871.5251000002</v>
      </c>
      <c r="BC8" s="80">
        <v>-6940850.1509600002</v>
      </c>
      <c r="BD8" s="80">
        <v>-7323210.7876199996</v>
      </c>
      <c r="BE8" s="80">
        <v>-7860591.2171</v>
      </c>
      <c r="BF8" s="80">
        <v>-7175953.3017799994</v>
      </c>
      <c r="BG8" s="120">
        <v>-7366327.7020699978</v>
      </c>
      <c r="BI8" s="80">
        <f>SUM(B8:E8)</f>
        <v>-3852837</v>
      </c>
      <c r="BJ8" s="80">
        <f>SUM(F8:I8)</f>
        <v>-4469909</v>
      </c>
      <c r="BK8" s="80">
        <f>SUM(J8:M8)</f>
        <v>-5306659.58</v>
      </c>
      <c r="BL8" s="80">
        <f>SUM(N8:Q8)</f>
        <v>-6286214</v>
      </c>
      <c r="BM8" s="80">
        <f>SUM(R8:U8)</f>
        <v>-7752422.4000000004</v>
      </c>
      <c r="BN8" s="80">
        <f>SUM(V8:Y8)</f>
        <v>-9224505.6600000001</v>
      </c>
      <c r="BO8" s="80">
        <f>SUM(Z8:AC8)</f>
        <v>-10355923.539999999</v>
      </c>
      <c r="BP8" s="80">
        <f>SUM(AD8:AG8)</f>
        <v>-12319594.454740001</v>
      </c>
      <c r="BQ8" s="80">
        <f>SUM(AH8:AK8)</f>
        <v>-14175656.18286</v>
      </c>
      <c r="BR8" s="80">
        <f>SUM(AL8:AO8)</f>
        <v>-16920833.535799999</v>
      </c>
      <c r="BS8" s="80">
        <f>SUM(AP8:AS8)</f>
        <v>-20257911.818240002</v>
      </c>
      <c r="BT8" s="80">
        <f>SUM(AT8:AW8)</f>
        <v>-23766439.99233</v>
      </c>
      <c r="BU8" s="80">
        <f>SUM(AX8:BA8)</f>
        <v>-27315453.754980002</v>
      </c>
      <c r="BV8" s="80">
        <f>SUM(BB8:BE8)</f>
        <v>-28577523.680780001</v>
      </c>
    </row>
    <row r="9" spans="1:74" customFormat="1">
      <c r="A9" s="25"/>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121"/>
      <c r="BI9" s="78"/>
      <c r="BJ9" s="78"/>
      <c r="BK9" s="78"/>
      <c r="BL9" s="78"/>
      <c r="BM9" s="78"/>
      <c r="BN9" s="78"/>
      <c r="BO9" s="78"/>
      <c r="BP9" s="78"/>
      <c r="BQ9" s="78"/>
      <c r="BR9" s="78"/>
      <c r="BS9" s="78"/>
      <c r="BT9" s="78"/>
      <c r="BU9" s="78"/>
      <c r="BV9" s="78"/>
    </row>
    <row r="10" spans="1:74" customFormat="1">
      <c r="A10" s="19" t="str">
        <f>INDEX({"Lucro bruto";"Gross profit"},Home!$R$30)</f>
        <v>Lucro bruto</v>
      </c>
      <c r="B10" s="81">
        <f t="shared" ref="B10:AZ10" si="4">B6+B8</f>
        <v>328765</v>
      </c>
      <c r="C10" s="81">
        <f t="shared" si="4"/>
        <v>389794</v>
      </c>
      <c r="D10" s="81">
        <f t="shared" si="4"/>
        <v>383369</v>
      </c>
      <c r="E10" s="81">
        <f t="shared" si="4"/>
        <v>403571</v>
      </c>
      <c r="F10" s="81">
        <f t="shared" si="4"/>
        <v>385238</v>
      </c>
      <c r="G10" s="81">
        <f t="shared" si="4"/>
        <v>436897</v>
      </c>
      <c r="H10" s="81">
        <f t="shared" si="4"/>
        <v>455367</v>
      </c>
      <c r="I10" s="81">
        <f t="shared" si="4"/>
        <v>470480</v>
      </c>
      <c r="J10" s="81">
        <f t="shared" si="4"/>
        <v>473559.56999999983</v>
      </c>
      <c r="K10" s="81">
        <f t="shared" si="4"/>
        <v>535552.24</v>
      </c>
      <c r="L10" s="81">
        <f t="shared" si="4"/>
        <v>560909.76</v>
      </c>
      <c r="M10" s="81">
        <f t="shared" si="4"/>
        <v>593968.64000000013</v>
      </c>
      <c r="N10" s="81">
        <f t="shared" si="4"/>
        <v>596563</v>
      </c>
      <c r="O10" s="81">
        <f t="shared" si="4"/>
        <v>702775</v>
      </c>
      <c r="P10" s="81">
        <f t="shared" si="4"/>
        <v>696318.91999999993</v>
      </c>
      <c r="Q10" s="81">
        <f t="shared" si="4"/>
        <v>740084</v>
      </c>
      <c r="R10" s="81">
        <f t="shared" si="4"/>
        <v>756940.05000000028</v>
      </c>
      <c r="S10" s="81">
        <f t="shared" si="4"/>
        <v>924825.04000000027</v>
      </c>
      <c r="T10" s="81">
        <f t="shared" si="4"/>
        <v>900034.2799999998</v>
      </c>
      <c r="U10" s="81">
        <f t="shared" si="4"/>
        <v>922343.62999999989</v>
      </c>
      <c r="V10" s="81">
        <f t="shared" si="4"/>
        <v>921623.96999999974</v>
      </c>
      <c r="W10" s="81">
        <f t="shared" si="4"/>
        <v>999720.63999999966</v>
      </c>
      <c r="X10" s="81">
        <f t="shared" si="4"/>
        <v>1020396.2600000002</v>
      </c>
      <c r="Y10" s="81">
        <f t="shared" si="4"/>
        <v>1046258.3600000003</v>
      </c>
      <c r="Z10" s="81">
        <f t="shared" si="4"/>
        <v>1026758.48</v>
      </c>
      <c r="AA10" s="81">
        <f t="shared" si="4"/>
        <v>1104199.2599999998</v>
      </c>
      <c r="AB10" s="81">
        <f t="shared" si="4"/>
        <v>1116775.6999999997</v>
      </c>
      <c r="AC10" s="81">
        <f t="shared" si="4"/>
        <v>1197787.75</v>
      </c>
      <c r="AD10" s="81">
        <f t="shared" si="4"/>
        <v>1161663.2569900006</v>
      </c>
      <c r="AE10" s="81">
        <f t="shared" si="4"/>
        <v>1289285.2695999998</v>
      </c>
      <c r="AF10" s="81">
        <f t="shared" si="4"/>
        <v>1321349.9618199961</v>
      </c>
      <c r="AG10" s="81">
        <f t="shared" si="4"/>
        <v>1411003.0970500004</v>
      </c>
      <c r="AH10" s="81">
        <f t="shared" si="4"/>
        <v>1441850.6334999995</v>
      </c>
      <c r="AI10" s="81">
        <f t="shared" si="4"/>
        <v>1320122.4735700004</v>
      </c>
      <c r="AJ10" s="81">
        <f t="shared" si="4"/>
        <v>1494996.2851</v>
      </c>
      <c r="AK10" s="81">
        <f t="shared" si="4"/>
        <v>1634212.8284000014</v>
      </c>
      <c r="AL10" s="81">
        <f t="shared" si="4"/>
        <v>1641851.9186299997</v>
      </c>
      <c r="AM10" s="81">
        <f t="shared" si="4"/>
        <v>1797051.0208399999</v>
      </c>
      <c r="AN10" s="81">
        <f t="shared" si="4"/>
        <v>1815460.3094800003</v>
      </c>
      <c r="AO10" s="81">
        <f t="shared" si="4"/>
        <v>1951804.7523600012</v>
      </c>
      <c r="AP10" s="81">
        <f t="shared" si="4"/>
        <v>1928430.8235000009</v>
      </c>
      <c r="AQ10" s="81">
        <f t="shared" si="4"/>
        <v>2318097.0048599998</v>
      </c>
      <c r="AR10" s="81">
        <f t="shared" si="4"/>
        <v>2224774.1346099973</v>
      </c>
      <c r="AS10" s="81">
        <f t="shared" si="4"/>
        <v>2338166.41132</v>
      </c>
      <c r="AT10" s="81">
        <f t="shared" si="4"/>
        <v>2314784.005120649</v>
      </c>
      <c r="AU10" s="81">
        <f t="shared" si="4"/>
        <v>2600420.5810355758</v>
      </c>
      <c r="AV10" s="81">
        <f t="shared" si="4"/>
        <v>2578822.0026173014</v>
      </c>
      <c r="AW10" s="81">
        <f t="shared" si="4"/>
        <v>2670231.9666735977</v>
      </c>
      <c r="AX10" s="81">
        <f t="shared" si="4"/>
        <v>2659264.1012899987</v>
      </c>
      <c r="AY10" s="81">
        <f t="shared" si="4"/>
        <v>2931999.2983000018</v>
      </c>
      <c r="AZ10" s="81">
        <f t="shared" si="4"/>
        <v>2970685.1556614973</v>
      </c>
      <c r="BA10" s="81">
        <f t="shared" ref="BA10:BC10" si="5">BA6+BA8</f>
        <v>2994119.4244471984</v>
      </c>
      <c r="BB10" s="81">
        <f t="shared" si="5"/>
        <v>2820110.6572199985</v>
      </c>
      <c r="BC10" s="81">
        <f t="shared" si="5"/>
        <v>3133833.0423600003</v>
      </c>
      <c r="BD10" s="81">
        <f t="shared" ref="BD10:BV10" si="6">BD6+BD8</f>
        <v>3257291.1489399998</v>
      </c>
      <c r="BE10" s="81">
        <f t="shared" si="6"/>
        <v>3508601.3469299991</v>
      </c>
      <c r="BF10" s="81">
        <f t="shared" si="6"/>
        <v>3392635.9391200012</v>
      </c>
      <c r="BG10" s="81">
        <f t="shared" si="6"/>
        <v>3696071.0979900025</v>
      </c>
      <c r="BI10" s="81">
        <f t="shared" si="6"/>
        <v>1505499</v>
      </c>
      <c r="BJ10" s="81">
        <f t="shared" si="6"/>
        <v>1747982</v>
      </c>
      <c r="BK10" s="81">
        <f t="shared" si="6"/>
        <v>2163990.21</v>
      </c>
      <c r="BL10" s="81">
        <f t="shared" si="6"/>
        <v>2735740.92</v>
      </c>
      <c r="BM10" s="81">
        <f t="shared" si="6"/>
        <v>3504143</v>
      </c>
      <c r="BN10" s="81">
        <f t="shared" si="6"/>
        <v>3987999.2300000004</v>
      </c>
      <c r="BO10" s="81">
        <f t="shared" si="6"/>
        <v>4445521.1900000032</v>
      </c>
      <c r="BP10" s="81">
        <f t="shared" si="6"/>
        <v>5183301.5854599979</v>
      </c>
      <c r="BQ10" s="81">
        <f t="shared" si="6"/>
        <v>5891182.2205700036</v>
      </c>
      <c r="BR10" s="81">
        <f t="shared" si="6"/>
        <v>7206168.0013100021</v>
      </c>
      <c r="BS10" s="81">
        <f t="shared" si="6"/>
        <v>8809468.3742899969</v>
      </c>
      <c r="BT10" s="81">
        <f t="shared" si="6"/>
        <v>10164258.555447124</v>
      </c>
      <c r="BU10" s="81">
        <f t="shared" si="6"/>
        <v>11556067.979698699</v>
      </c>
      <c r="BV10" s="81">
        <f t="shared" si="6"/>
        <v>12719836.19545</v>
      </c>
    </row>
    <row r="11" spans="1:74" customFormat="1">
      <c r="A11" s="25"/>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121"/>
      <c r="BI11" s="78"/>
      <c r="BJ11" s="78"/>
      <c r="BK11" s="78"/>
      <c r="BL11" s="78"/>
      <c r="BM11" s="78"/>
      <c r="BN11" s="78"/>
      <c r="BO11" s="78"/>
      <c r="BP11" s="78"/>
      <c r="BQ11" s="78"/>
      <c r="BR11" s="78"/>
      <c r="BS11" s="78"/>
      <c r="BT11" s="78"/>
      <c r="BU11" s="78"/>
      <c r="BV11" s="78"/>
    </row>
    <row r="12" spans="1:74" customFormat="1">
      <c r="A12" s="28" t="str">
        <f>INDEX({"Despesas";"Expenses"},Home!$R$30)</f>
        <v>Despesas</v>
      </c>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82"/>
      <c r="AR12" s="82"/>
      <c r="AS12" s="82"/>
      <c r="AT12" s="82"/>
      <c r="AU12" s="82"/>
      <c r="AV12" s="82"/>
      <c r="AW12" s="82"/>
      <c r="AX12" s="82"/>
      <c r="AY12" s="82"/>
      <c r="AZ12" s="82"/>
      <c r="BA12" s="82"/>
      <c r="BB12" s="82"/>
      <c r="BC12" s="82"/>
      <c r="BD12" s="82"/>
      <c r="BE12" s="82"/>
      <c r="BF12" s="82"/>
      <c r="BG12" s="122"/>
      <c r="BI12" s="82"/>
      <c r="BJ12" s="82"/>
      <c r="BK12" s="82"/>
      <c r="BL12" s="82"/>
      <c r="BM12" s="82"/>
      <c r="BN12" s="82"/>
      <c r="BO12" s="82"/>
      <c r="BP12" s="82"/>
      <c r="BQ12" s="82"/>
      <c r="BR12" s="82"/>
      <c r="BS12" s="82"/>
      <c r="BT12" s="82"/>
      <c r="BU12" s="82"/>
      <c r="BV12" s="82"/>
    </row>
    <row r="13" spans="1:74" customFormat="1">
      <c r="A13" s="17" t="str">
        <f>INDEX({"Vendas";"Selling Expenses"},Home!$R$30)</f>
        <v>Vendas</v>
      </c>
      <c r="B13" s="80">
        <v>-224401</v>
      </c>
      <c r="C13" s="80">
        <v>-241982</v>
      </c>
      <c r="D13" s="80">
        <v>-261867</v>
      </c>
      <c r="E13" s="80">
        <v>-272853</v>
      </c>
      <c r="F13" s="80">
        <v>-271761</v>
      </c>
      <c r="G13" s="80">
        <v>-289794</v>
      </c>
      <c r="H13" s="80">
        <v>-317061</v>
      </c>
      <c r="I13" s="80">
        <v>-320641</v>
      </c>
      <c r="J13" s="80">
        <v>-328931</v>
      </c>
      <c r="K13" s="80">
        <v>-341034</v>
      </c>
      <c r="L13" s="80">
        <v>-365150</v>
      </c>
      <c r="M13" s="80">
        <v>-385467</v>
      </c>
      <c r="N13" s="80">
        <v>-390161</v>
      </c>
      <c r="O13" s="80">
        <v>-419952</v>
      </c>
      <c r="P13" s="80">
        <v>-452371</v>
      </c>
      <c r="Q13" s="80">
        <v>-490616</v>
      </c>
      <c r="R13" s="80">
        <v>-501633.34</v>
      </c>
      <c r="S13" s="80">
        <v>-546841.84</v>
      </c>
      <c r="T13" s="80">
        <v>-571422.56999999995</v>
      </c>
      <c r="U13" s="80">
        <v>-598867.25</v>
      </c>
      <c r="V13" s="80">
        <v>-599142.03</v>
      </c>
      <c r="W13" s="80">
        <v>-616900.31000000006</v>
      </c>
      <c r="X13" s="80">
        <v>-642400.37</v>
      </c>
      <c r="Y13" s="80">
        <v>-670608.11</v>
      </c>
      <c r="Z13" s="80">
        <v>-674838.78</v>
      </c>
      <c r="AA13" s="80">
        <v>-704268.15</v>
      </c>
      <c r="AB13" s="80">
        <v>-735402.58</v>
      </c>
      <c r="AC13" s="80">
        <v>-786501.87</v>
      </c>
      <c r="AD13" s="80">
        <v>-795119.66125699994</v>
      </c>
      <c r="AE13" s="80">
        <v>-823210.02370999986</v>
      </c>
      <c r="AF13" s="80">
        <v>-851825.14827000001</v>
      </c>
      <c r="AG13" s="80">
        <v>-918901.68496999994</v>
      </c>
      <c r="AH13" s="80">
        <v>-940499.7397299998</v>
      </c>
      <c r="AI13" s="80">
        <v>-945308.36639999982</v>
      </c>
      <c r="AJ13" s="80">
        <v>-963626.29528000043</v>
      </c>
      <c r="AK13" s="80">
        <v>-1027786.2090700002</v>
      </c>
      <c r="AL13" s="80">
        <v>-1060049.8338499996</v>
      </c>
      <c r="AM13" s="80">
        <v>-1119754.2112199999</v>
      </c>
      <c r="AN13" s="80">
        <v>-1164751.6380500002</v>
      </c>
      <c r="AO13" s="80">
        <v>-1261758.2442500005</v>
      </c>
      <c r="AP13" s="80">
        <v>-1296525.9175600002</v>
      </c>
      <c r="AQ13" s="80">
        <v>-1330304.4321899998</v>
      </c>
      <c r="AR13" s="80">
        <v>-1393832.3756299999</v>
      </c>
      <c r="AS13" s="80">
        <v>-1429542.2120600003</v>
      </c>
      <c r="AT13" s="80">
        <v>-1484700.2693127771</v>
      </c>
      <c r="AU13" s="80">
        <v>-1543981.499926792</v>
      </c>
      <c r="AV13" s="80">
        <v>-1614133.0669834255</v>
      </c>
      <c r="AW13" s="80">
        <v>-1726604.9339238058</v>
      </c>
      <c r="AX13" s="80">
        <v>-1675501.8317399996</v>
      </c>
      <c r="AY13" s="80">
        <v>-1789657.1125200002</v>
      </c>
      <c r="AZ13" s="80">
        <v>-1836993.8966115001</v>
      </c>
      <c r="BA13" s="80">
        <v>-1953049.5266515003</v>
      </c>
      <c r="BB13" s="80">
        <v>-1902460.4372700001</v>
      </c>
      <c r="BC13" s="80">
        <v>-1982851.11543</v>
      </c>
      <c r="BD13" s="80">
        <v>-2064780.594</v>
      </c>
      <c r="BE13" s="80">
        <v>-2258851.1807599999</v>
      </c>
      <c r="BF13" s="80">
        <v>-2275228.09338</v>
      </c>
      <c r="BG13" s="120">
        <v>-2370424.0143900006</v>
      </c>
      <c r="BI13" s="80">
        <f>SUM(B13:E13)</f>
        <v>-1001103</v>
      </c>
      <c r="BJ13" s="80">
        <f>SUM(F13:I13)</f>
        <v>-1199257</v>
      </c>
      <c r="BK13" s="80">
        <f>SUM(J13:M13)</f>
        <v>-1420582</v>
      </c>
      <c r="BL13" s="80">
        <f>SUM(N13:Q13)</f>
        <v>-1753100</v>
      </c>
      <c r="BM13" s="80">
        <f>SUM(R13:U13)</f>
        <v>-2218765</v>
      </c>
      <c r="BN13" s="80">
        <f>SUM(V13:Y13)</f>
        <v>-2529050.8199999998</v>
      </c>
      <c r="BO13" s="80">
        <f>SUM(Z13:AC13)</f>
        <v>-2901011.3800000004</v>
      </c>
      <c r="BP13" s="80">
        <f>SUM(AD13:AG13)</f>
        <v>-3389056.5182069996</v>
      </c>
      <c r="BQ13" s="80">
        <f>SUM(AH13:AK13)</f>
        <v>-3877220.6104800007</v>
      </c>
      <c r="BR13" s="80">
        <f>SUM(AL13:AO13)</f>
        <v>-4606313.9273700006</v>
      </c>
      <c r="BS13" s="80">
        <f>SUM(AP13:AS13)</f>
        <v>-5450204.9374400005</v>
      </c>
      <c r="BT13" s="80">
        <f>SUM(AT13:AW13)</f>
        <v>-6369419.7701468011</v>
      </c>
      <c r="BU13" s="80">
        <f>SUM(AX13:BA13)</f>
        <v>-7255202.3675229996</v>
      </c>
      <c r="BV13" s="80">
        <f>SUM(BB13:BE13)</f>
        <v>-8208943.3274600003</v>
      </c>
    </row>
    <row r="14" spans="1:74" customFormat="1">
      <c r="A14" s="17" t="str">
        <f>INDEX({"Gerais e administrativas";"General and Administrative"},Home!$R$30)</f>
        <v>Gerais e administrativas</v>
      </c>
      <c r="B14" s="80">
        <v>-40753</v>
      </c>
      <c r="C14" s="80">
        <v>-44832</v>
      </c>
      <c r="D14" s="80">
        <v>-37094</v>
      </c>
      <c r="E14" s="80">
        <v>-44631</v>
      </c>
      <c r="F14" s="80">
        <v>-44414</v>
      </c>
      <c r="G14" s="80">
        <v>-40495</v>
      </c>
      <c r="H14" s="80">
        <v>-43933</v>
      </c>
      <c r="I14" s="80">
        <v>-47164</v>
      </c>
      <c r="J14" s="80">
        <v>-49482</v>
      </c>
      <c r="K14" s="80">
        <v>-53840</v>
      </c>
      <c r="L14" s="80">
        <v>-47050</v>
      </c>
      <c r="M14" s="80">
        <v>-48915</v>
      </c>
      <c r="N14" s="80">
        <v>-52527</v>
      </c>
      <c r="O14" s="80">
        <v>-63913</v>
      </c>
      <c r="P14" s="80">
        <v>-61337</v>
      </c>
      <c r="Q14" s="80">
        <v>-61348</v>
      </c>
      <c r="R14" s="80">
        <v>-62467.71</v>
      </c>
      <c r="S14" s="80">
        <v>-73172.41</v>
      </c>
      <c r="T14" s="80">
        <v>-74607.92</v>
      </c>
      <c r="U14" s="80">
        <v>-87480.27</v>
      </c>
      <c r="V14" s="80">
        <v>-78464.22</v>
      </c>
      <c r="W14" s="80">
        <v>-81734.899999999994</v>
      </c>
      <c r="X14" s="80">
        <v>-81533.05</v>
      </c>
      <c r="Y14" s="80">
        <v>-86931.31</v>
      </c>
      <c r="Z14" s="80">
        <v>-79734.7</v>
      </c>
      <c r="AA14" s="80">
        <v>-83283.460000000006</v>
      </c>
      <c r="AB14" s="80">
        <v>-86122.87</v>
      </c>
      <c r="AC14" s="80">
        <v>-100177.32</v>
      </c>
      <c r="AD14" s="80">
        <v>-96474.049049999987</v>
      </c>
      <c r="AE14" s="80">
        <v>-102387.71363000001</v>
      </c>
      <c r="AF14" s="80">
        <v>-110118.17002999999</v>
      </c>
      <c r="AG14" s="80">
        <v>-141670.1208</v>
      </c>
      <c r="AH14" s="80">
        <v>-131994.97921000002</v>
      </c>
      <c r="AI14" s="80">
        <v>-143003.32841000002</v>
      </c>
      <c r="AJ14" s="80">
        <v>-134210.86565999995</v>
      </c>
      <c r="AK14" s="80">
        <v>-175583.88631</v>
      </c>
      <c r="AL14" s="80">
        <v>-165947.37478999997</v>
      </c>
      <c r="AM14" s="80">
        <v>-180183.03336</v>
      </c>
      <c r="AN14" s="80">
        <v>-204543.97123000002</v>
      </c>
      <c r="AO14" s="80">
        <v>-241936.41586999997</v>
      </c>
      <c r="AP14" s="80">
        <v>-243528.18314999997</v>
      </c>
      <c r="AQ14" s="80">
        <v>-260283.82733000003</v>
      </c>
      <c r="AR14" s="80">
        <v>-284142.13929999998</v>
      </c>
      <c r="AS14" s="80">
        <v>-309186.37516</v>
      </c>
      <c r="AT14" s="80">
        <v>-267103.12748787261</v>
      </c>
      <c r="AU14" s="80">
        <v>-288814.46593878319</v>
      </c>
      <c r="AV14" s="80">
        <v>-306591.93466387462</v>
      </c>
      <c r="AW14" s="80">
        <v>-329083.01865979464</v>
      </c>
      <c r="AX14" s="80">
        <v>-303912.24777000002</v>
      </c>
      <c r="AY14" s="80">
        <v>-317946.13242999994</v>
      </c>
      <c r="AZ14" s="80">
        <v>-322976.6747400001</v>
      </c>
      <c r="BA14" s="80">
        <v>-363548.93400569999</v>
      </c>
      <c r="BB14" s="80">
        <v>-294489.03250999999</v>
      </c>
      <c r="BC14" s="80">
        <v>-288001.91597999999</v>
      </c>
      <c r="BD14" s="80">
        <v>-299918.94595999998</v>
      </c>
      <c r="BE14" s="80">
        <v>-325432.00809000002</v>
      </c>
      <c r="BF14" s="80">
        <v>-296621.88060999993</v>
      </c>
      <c r="BG14" s="120">
        <v>-308299.11411999998</v>
      </c>
      <c r="BI14" s="80">
        <f>SUM(B14:E14)</f>
        <v>-167310</v>
      </c>
      <c r="BJ14" s="80">
        <f>SUM(F14:I14)</f>
        <v>-176006</v>
      </c>
      <c r="BK14" s="80">
        <f>SUM(J14:M14)</f>
        <v>-199287</v>
      </c>
      <c r="BL14" s="80">
        <f>SUM(N14:Q14)</f>
        <v>-239125</v>
      </c>
      <c r="BM14" s="80">
        <f>SUM(R14:U14)</f>
        <v>-297728.31</v>
      </c>
      <c r="BN14" s="80">
        <f>SUM(V14:Y14)</f>
        <v>-328663.48</v>
      </c>
      <c r="BO14" s="80">
        <f>SUM(Z14:AC14)</f>
        <v>-349318.35</v>
      </c>
      <c r="BP14" s="80">
        <f>SUM(AD14:AG14)</f>
        <v>-450650.05351</v>
      </c>
      <c r="BQ14" s="80">
        <f>SUM(AH14:AK14)</f>
        <v>-584793.05958999996</v>
      </c>
      <c r="BR14" s="80">
        <f>SUM(AL14:AO14)</f>
        <v>-792610.79524999997</v>
      </c>
      <c r="BS14" s="80">
        <f>SUM(AP14:AS14)</f>
        <v>-1097140.5249399999</v>
      </c>
      <c r="BT14" s="80">
        <f>SUM(AT14:AW14)</f>
        <v>-1191592.546750325</v>
      </c>
      <c r="BU14" s="80">
        <f>SUM(AX14:BA14)</f>
        <v>-1308383.9889457002</v>
      </c>
      <c r="BV14" s="80">
        <f>SUM(BB14:BE14)</f>
        <v>-1207841.9025400002</v>
      </c>
    </row>
    <row r="15" spans="1:74" customFormat="1">
      <c r="A15" s="17" t="str">
        <f>INDEX({"Outras despesas operacionais, líquidas";"Other Operating Expenses, Net"},Home!$R$30)</f>
        <v>Outras despesas operacionais, líquidas</v>
      </c>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3"/>
      <c r="AR15" s="83"/>
      <c r="AS15" s="83"/>
      <c r="AT15" s="83"/>
      <c r="AU15" s="83"/>
      <c r="AV15" s="83"/>
      <c r="AW15" s="83"/>
      <c r="AX15" s="83"/>
      <c r="AY15" s="83"/>
      <c r="AZ15" s="83"/>
      <c r="BA15" s="83"/>
      <c r="BB15" s="83"/>
      <c r="BC15" s="83"/>
      <c r="BD15" s="83"/>
      <c r="BE15" s="83"/>
      <c r="BF15" s="83"/>
      <c r="BG15" s="123"/>
      <c r="BI15" s="83"/>
      <c r="BJ15" s="83"/>
      <c r="BK15" s="83"/>
      <c r="BL15" s="83"/>
      <c r="BM15" s="83"/>
      <c r="BN15" s="83"/>
      <c r="BO15" s="83"/>
      <c r="BP15" s="83"/>
      <c r="BQ15" s="83"/>
      <c r="BR15" s="83"/>
      <c r="BS15" s="83"/>
      <c r="BT15" s="83"/>
      <c r="BU15" s="83"/>
      <c r="BV15" s="83"/>
    </row>
    <row r="16" spans="1:74" customFormat="1">
      <c r="A16" s="19" t="str">
        <f>INDEX({"Despesas operacionais";"Total expenses"},Home!$R$30)</f>
        <v>Despesas operacionais</v>
      </c>
      <c r="B16" s="81">
        <f t="shared" ref="B16:AZ16" si="7">SUM(B13:B15)</f>
        <v>-265154</v>
      </c>
      <c r="C16" s="81">
        <f t="shared" si="7"/>
        <v>-286814</v>
      </c>
      <c r="D16" s="81">
        <f t="shared" si="7"/>
        <v>-298961</v>
      </c>
      <c r="E16" s="81">
        <f t="shared" si="7"/>
        <v>-317484</v>
      </c>
      <c r="F16" s="81">
        <f t="shared" si="7"/>
        <v>-316175</v>
      </c>
      <c r="G16" s="81">
        <f t="shared" si="7"/>
        <v>-330289</v>
      </c>
      <c r="H16" s="81">
        <f t="shared" si="7"/>
        <v>-360994</v>
      </c>
      <c r="I16" s="81">
        <f t="shared" si="7"/>
        <v>-367805</v>
      </c>
      <c r="J16" s="81">
        <f t="shared" si="7"/>
        <v>-378413</v>
      </c>
      <c r="K16" s="81">
        <f t="shared" si="7"/>
        <v>-394874</v>
      </c>
      <c r="L16" s="81">
        <f t="shared" si="7"/>
        <v>-412200</v>
      </c>
      <c r="M16" s="81">
        <f t="shared" si="7"/>
        <v>-434382</v>
      </c>
      <c r="N16" s="81">
        <f t="shared" si="7"/>
        <v>-442688</v>
      </c>
      <c r="O16" s="81">
        <f t="shared" si="7"/>
        <v>-483865</v>
      </c>
      <c r="P16" s="81">
        <f t="shared" si="7"/>
        <v>-513708</v>
      </c>
      <c r="Q16" s="81">
        <f t="shared" si="7"/>
        <v>-551964</v>
      </c>
      <c r="R16" s="81">
        <f t="shared" si="7"/>
        <v>-564101.05000000005</v>
      </c>
      <c r="S16" s="81">
        <f t="shared" si="7"/>
        <v>-620014.25</v>
      </c>
      <c r="T16" s="81">
        <f t="shared" si="7"/>
        <v>-646030.49</v>
      </c>
      <c r="U16" s="81">
        <f t="shared" si="7"/>
        <v>-686347.52</v>
      </c>
      <c r="V16" s="81">
        <f t="shared" si="7"/>
        <v>-677606.25</v>
      </c>
      <c r="W16" s="81">
        <f t="shared" si="7"/>
        <v>-698635.21000000008</v>
      </c>
      <c r="X16" s="81">
        <f t="shared" si="7"/>
        <v>-723933.42</v>
      </c>
      <c r="Y16" s="81">
        <f t="shared" si="7"/>
        <v>-757539.41999999993</v>
      </c>
      <c r="Z16" s="81">
        <f t="shared" si="7"/>
        <v>-754573.48</v>
      </c>
      <c r="AA16" s="81">
        <f t="shared" si="7"/>
        <v>-787551.61</v>
      </c>
      <c r="AB16" s="81">
        <f t="shared" si="7"/>
        <v>-821525.45</v>
      </c>
      <c r="AC16" s="81">
        <f t="shared" si="7"/>
        <v>-886679.19</v>
      </c>
      <c r="AD16" s="81">
        <f t="shared" si="7"/>
        <v>-891593.71030699997</v>
      </c>
      <c r="AE16" s="81">
        <f t="shared" si="7"/>
        <v>-925597.73733999988</v>
      </c>
      <c r="AF16" s="81">
        <f t="shared" si="7"/>
        <v>-961943.31830000004</v>
      </c>
      <c r="AG16" s="81">
        <f t="shared" si="7"/>
        <v>-1060571.80577</v>
      </c>
      <c r="AH16" s="81">
        <f t="shared" si="7"/>
        <v>-1072494.7189399998</v>
      </c>
      <c r="AI16" s="81">
        <f t="shared" si="7"/>
        <v>-1088311.6948099998</v>
      </c>
      <c r="AJ16" s="81">
        <f t="shared" si="7"/>
        <v>-1097837.1609400003</v>
      </c>
      <c r="AK16" s="81">
        <f t="shared" si="7"/>
        <v>-1203370.0953800003</v>
      </c>
      <c r="AL16" s="81">
        <f t="shared" si="7"/>
        <v>-1225997.2086399996</v>
      </c>
      <c r="AM16" s="81">
        <f t="shared" si="7"/>
        <v>-1299937.2445799999</v>
      </c>
      <c r="AN16" s="81">
        <f t="shared" si="7"/>
        <v>-1369295.6092800002</v>
      </c>
      <c r="AO16" s="81">
        <f t="shared" si="7"/>
        <v>-1503694.6601200004</v>
      </c>
      <c r="AP16" s="81">
        <f t="shared" si="7"/>
        <v>-1540054.1007100001</v>
      </c>
      <c r="AQ16" s="81">
        <f t="shared" si="7"/>
        <v>-1590588.2595199998</v>
      </c>
      <c r="AR16" s="81">
        <f t="shared" si="7"/>
        <v>-1677974.5149299998</v>
      </c>
      <c r="AS16" s="81">
        <f t="shared" si="7"/>
        <v>-1738728.5872200003</v>
      </c>
      <c r="AT16" s="81">
        <f t="shared" si="7"/>
        <v>-1751803.3968006498</v>
      </c>
      <c r="AU16" s="81">
        <f t="shared" si="7"/>
        <v>-1832795.9658655752</v>
      </c>
      <c r="AV16" s="81">
        <f t="shared" si="7"/>
        <v>-1920725.0016473001</v>
      </c>
      <c r="AW16" s="81">
        <f t="shared" si="7"/>
        <v>-2055687.9525836005</v>
      </c>
      <c r="AX16" s="81">
        <f t="shared" si="7"/>
        <v>-1979414.0795099996</v>
      </c>
      <c r="AY16" s="81">
        <f t="shared" si="7"/>
        <v>-2107603.2449500002</v>
      </c>
      <c r="AZ16" s="81">
        <f t="shared" si="7"/>
        <v>-2159970.5713515002</v>
      </c>
      <c r="BA16" s="81">
        <f t="shared" ref="BA16:BC16" si="8">SUM(BA13:BA15)</f>
        <v>-2316598.4606572003</v>
      </c>
      <c r="BB16" s="81">
        <f t="shared" si="8"/>
        <v>-2196949.4697799999</v>
      </c>
      <c r="BC16" s="81">
        <f t="shared" si="8"/>
        <v>-2270853.0314099998</v>
      </c>
      <c r="BD16" s="81">
        <f t="shared" ref="BD16:BV16" si="9">SUM(BD13:BD15)</f>
        <v>-2364699.5399600002</v>
      </c>
      <c r="BE16" s="81">
        <f t="shared" si="9"/>
        <v>-2584283.18885</v>
      </c>
      <c r="BF16" s="81">
        <f t="shared" si="9"/>
        <v>-2571849.9739899999</v>
      </c>
      <c r="BG16" s="81">
        <f t="shared" si="9"/>
        <v>-2678723.1285100006</v>
      </c>
      <c r="BI16" s="81">
        <f t="shared" si="9"/>
        <v>-1168413</v>
      </c>
      <c r="BJ16" s="81">
        <f t="shared" si="9"/>
        <v>-1375263</v>
      </c>
      <c r="BK16" s="81">
        <f t="shared" si="9"/>
        <v>-1619869</v>
      </c>
      <c r="BL16" s="81">
        <f t="shared" si="9"/>
        <v>-1992225</v>
      </c>
      <c r="BM16" s="81">
        <f t="shared" si="9"/>
        <v>-2516493.31</v>
      </c>
      <c r="BN16" s="81">
        <f t="shared" si="9"/>
        <v>-2857714.3</v>
      </c>
      <c r="BO16" s="81">
        <f t="shared" si="9"/>
        <v>-3250329.7300000004</v>
      </c>
      <c r="BP16" s="81">
        <f t="shared" si="9"/>
        <v>-3839706.5717169996</v>
      </c>
      <c r="BQ16" s="81">
        <f t="shared" si="9"/>
        <v>-4462013.6700700009</v>
      </c>
      <c r="BR16" s="81">
        <f t="shared" si="9"/>
        <v>-5398924.7226200011</v>
      </c>
      <c r="BS16" s="81">
        <f t="shared" si="9"/>
        <v>-6547345.4623800004</v>
      </c>
      <c r="BT16" s="81">
        <f t="shared" si="9"/>
        <v>-7561012.3168971259</v>
      </c>
      <c r="BU16" s="81">
        <f t="shared" si="9"/>
        <v>-8563586.3564686999</v>
      </c>
      <c r="BV16" s="81">
        <f t="shared" si="9"/>
        <v>-9416785.2300000004</v>
      </c>
    </row>
    <row r="17" spans="1:74" customFormat="1">
      <c r="A17" s="25"/>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121"/>
      <c r="BI17" s="78"/>
      <c r="BJ17" s="78"/>
      <c r="BK17" s="78"/>
      <c r="BL17" s="78"/>
      <c r="BM17" s="78"/>
      <c r="BN17" s="78"/>
      <c r="BO17" s="78"/>
      <c r="BP17" s="78"/>
      <c r="BQ17" s="78"/>
      <c r="BR17" s="78"/>
      <c r="BS17" s="78"/>
      <c r="BT17" s="78"/>
      <c r="BU17" s="78"/>
      <c r="BV17" s="78"/>
    </row>
    <row r="18" spans="1:74" customFormat="1">
      <c r="A18" s="94" t="str">
        <f>INDEX({"EBITDA";"EBITDA"},Home!$R$30)</f>
        <v>EBITDA</v>
      </c>
      <c r="B18" s="95">
        <f t="shared" ref="B18:AZ18" si="10">B16+B10</f>
        <v>63611</v>
      </c>
      <c r="C18" s="95">
        <f t="shared" si="10"/>
        <v>102980</v>
      </c>
      <c r="D18" s="95">
        <f t="shared" si="10"/>
        <v>84408</v>
      </c>
      <c r="E18" s="95">
        <f t="shared" si="10"/>
        <v>86087</v>
      </c>
      <c r="F18" s="95">
        <f t="shared" si="10"/>
        <v>69063</v>
      </c>
      <c r="G18" s="95">
        <f t="shared" si="10"/>
        <v>106608</v>
      </c>
      <c r="H18" s="95">
        <f t="shared" si="10"/>
        <v>94373</v>
      </c>
      <c r="I18" s="95">
        <f t="shared" si="10"/>
        <v>102675</v>
      </c>
      <c r="J18" s="95">
        <f t="shared" si="10"/>
        <v>95146.569999999832</v>
      </c>
      <c r="K18" s="95">
        <f t="shared" si="10"/>
        <v>140678.24</v>
      </c>
      <c r="L18" s="95">
        <f t="shared" si="10"/>
        <v>148709.76000000001</v>
      </c>
      <c r="M18" s="95">
        <f t="shared" si="10"/>
        <v>159586.64000000013</v>
      </c>
      <c r="N18" s="95">
        <f t="shared" si="10"/>
        <v>153875</v>
      </c>
      <c r="O18" s="95">
        <f t="shared" si="10"/>
        <v>218910</v>
      </c>
      <c r="P18" s="95">
        <f t="shared" si="10"/>
        <v>182610.91999999993</v>
      </c>
      <c r="Q18" s="95">
        <f t="shared" si="10"/>
        <v>188120</v>
      </c>
      <c r="R18" s="95">
        <f t="shared" si="10"/>
        <v>192839.00000000023</v>
      </c>
      <c r="S18" s="95">
        <f t="shared" si="10"/>
        <v>304810.79000000027</v>
      </c>
      <c r="T18" s="95">
        <f t="shared" si="10"/>
        <v>254003.7899999998</v>
      </c>
      <c r="U18" s="95">
        <f t="shared" si="10"/>
        <v>235996.10999999987</v>
      </c>
      <c r="V18" s="95">
        <f t="shared" si="10"/>
        <v>244017.71999999974</v>
      </c>
      <c r="W18" s="95">
        <f t="shared" si="10"/>
        <v>301085.42999999959</v>
      </c>
      <c r="X18" s="95">
        <f t="shared" si="10"/>
        <v>296462.8400000002</v>
      </c>
      <c r="Y18" s="95">
        <f t="shared" si="10"/>
        <v>288718.94000000041</v>
      </c>
      <c r="Z18" s="95">
        <f t="shared" si="10"/>
        <v>272185</v>
      </c>
      <c r="AA18" s="95">
        <f t="shared" si="10"/>
        <v>316647.64999999979</v>
      </c>
      <c r="AB18" s="95">
        <f t="shared" si="10"/>
        <v>295250.24999999977</v>
      </c>
      <c r="AC18" s="95">
        <f t="shared" si="10"/>
        <v>311108.56000000006</v>
      </c>
      <c r="AD18" s="95">
        <f t="shared" si="10"/>
        <v>270069.54668300063</v>
      </c>
      <c r="AE18" s="95">
        <f t="shared" si="10"/>
        <v>363687.53225999989</v>
      </c>
      <c r="AF18" s="95">
        <f t="shared" si="10"/>
        <v>359406.64351999608</v>
      </c>
      <c r="AG18" s="95">
        <f t="shared" si="10"/>
        <v>350431.29128000047</v>
      </c>
      <c r="AH18" s="95">
        <f t="shared" si="10"/>
        <v>369355.91455999971</v>
      </c>
      <c r="AI18" s="95">
        <f t="shared" si="10"/>
        <v>231810.7787600006</v>
      </c>
      <c r="AJ18" s="95">
        <f t="shared" si="10"/>
        <v>397159.12415999966</v>
      </c>
      <c r="AK18" s="95">
        <f t="shared" si="10"/>
        <v>430842.73302000109</v>
      </c>
      <c r="AL18" s="95">
        <f t="shared" si="10"/>
        <v>415854.70999000012</v>
      </c>
      <c r="AM18" s="95">
        <f t="shared" si="10"/>
        <v>497113.77625999996</v>
      </c>
      <c r="AN18" s="95">
        <f t="shared" si="10"/>
        <v>446164.70020000008</v>
      </c>
      <c r="AO18" s="95">
        <f t="shared" si="10"/>
        <v>448110.09224000084</v>
      </c>
      <c r="AP18" s="95">
        <f t="shared" si="10"/>
        <v>388376.72279000073</v>
      </c>
      <c r="AQ18" s="95">
        <f t="shared" si="10"/>
        <v>727508.74533999991</v>
      </c>
      <c r="AR18" s="95">
        <f t="shared" si="10"/>
        <v>546799.61967999744</v>
      </c>
      <c r="AS18" s="95">
        <f t="shared" si="10"/>
        <v>599437.82409999962</v>
      </c>
      <c r="AT18" s="95">
        <f t="shared" si="10"/>
        <v>562980.60831999918</v>
      </c>
      <c r="AU18" s="95">
        <f t="shared" si="10"/>
        <v>767624.61517000059</v>
      </c>
      <c r="AV18" s="95">
        <f t="shared" si="10"/>
        <v>658097.00097000133</v>
      </c>
      <c r="AW18" s="95">
        <f t="shared" si="10"/>
        <v>614544.01408999716</v>
      </c>
      <c r="AX18" s="95">
        <f t="shared" si="10"/>
        <v>679850.02177999914</v>
      </c>
      <c r="AY18" s="95">
        <f t="shared" si="10"/>
        <v>824396.05335000157</v>
      </c>
      <c r="AZ18" s="95">
        <f t="shared" si="10"/>
        <v>810714.58430999704</v>
      </c>
      <c r="BA18" s="95">
        <f t="shared" ref="BA18:BC18" si="11">BA16+BA10</f>
        <v>677520.96378999809</v>
      </c>
      <c r="BB18" s="95">
        <f t="shared" si="11"/>
        <v>623161.18743999861</v>
      </c>
      <c r="BC18" s="95">
        <f t="shared" si="11"/>
        <v>862980.01095000049</v>
      </c>
      <c r="BD18" s="95">
        <f t="shared" ref="BD18:BV18" si="12">BD16+BD10</f>
        <v>892591.60897999955</v>
      </c>
      <c r="BE18" s="95">
        <f t="shared" si="12"/>
        <v>924318.15807999903</v>
      </c>
      <c r="BF18" s="95">
        <f t="shared" si="12"/>
        <v>820785.96513000131</v>
      </c>
      <c r="BG18" s="95">
        <f t="shared" si="12"/>
        <v>1017347.9694800018</v>
      </c>
      <c r="BI18" s="95">
        <f t="shared" si="12"/>
        <v>337086</v>
      </c>
      <c r="BJ18" s="95">
        <f t="shared" si="12"/>
        <v>372719</v>
      </c>
      <c r="BK18" s="95">
        <f t="shared" si="12"/>
        <v>544121.21</v>
      </c>
      <c r="BL18" s="95">
        <f t="shared" si="12"/>
        <v>743515.91999999993</v>
      </c>
      <c r="BM18" s="95">
        <f t="shared" si="12"/>
        <v>987649.69</v>
      </c>
      <c r="BN18" s="95">
        <f t="shared" si="12"/>
        <v>1130284.9300000006</v>
      </c>
      <c r="BO18" s="95">
        <f t="shared" si="12"/>
        <v>1195191.4600000028</v>
      </c>
      <c r="BP18" s="95">
        <f t="shared" si="12"/>
        <v>1343595.0137429982</v>
      </c>
      <c r="BQ18" s="95">
        <f t="shared" si="12"/>
        <v>1429168.5505000027</v>
      </c>
      <c r="BR18" s="95">
        <f t="shared" si="12"/>
        <v>1807243.278690001</v>
      </c>
      <c r="BS18" s="95">
        <f t="shared" si="12"/>
        <v>2262122.9119099965</v>
      </c>
      <c r="BT18" s="95">
        <f t="shared" si="12"/>
        <v>2603246.238549998</v>
      </c>
      <c r="BU18" s="95">
        <f t="shared" si="12"/>
        <v>2992481.6232299991</v>
      </c>
      <c r="BV18" s="95">
        <f t="shared" si="12"/>
        <v>3303050.96545</v>
      </c>
    </row>
    <row r="19" spans="1:74" customFormat="1">
      <c r="A19" s="25"/>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121"/>
      <c r="BI19" s="78"/>
      <c r="BJ19" s="78"/>
      <c r="BK19" s="78"/>
      <c r="BL19" s="78"/>
      <c r="BM19" s="78"/>
      <c r="BN19" s="78"/>
      <c r="BO19" s="78"/>
      <c r="BP19" s="78"/>
      <c r="BQ19" s="78"/>
      <c r="BR19" s="78"/>
      <c r="BS19" s="78"/>
      <c r="BT19" s="78"/>
      <c r="BU19" s="78"/>
      <c r="BV19" s="78"/>
    </row>
    <row r="20" spans="1:74" customFormat="1">
      <c r="A20" s="17" t="str">
        <f>INDEX({"Depreciação e Amortização";"Depreciation and Amortization"},Home!$R$30)</f>
        <v>Depreciação e Amortização</v>
      </c>
      <c r="B20" s="80">
        <v>-28913</v>
      </c>
      <c r="C20" s="80">
        <v>-30384</v>
      </c>
      <c r="D20" s="80">
        <v>-31868</v>
      </c>
      <c r="E20" s="80">
        <v>-33162</v>
      </c>
      <c r="F20" s="80">
        <v>-36065</v>
      </c>
      <c r="G20" s="80">
        <v>-39005</v>
      </c>
      <c r="H20" s="80">
        <v>-41220</v>
      </c>
      <c r="I20" s="80">
        <v>-42446</v>
      </c>
      <c r="J20" s="80">
        <v>-43699</v>
      </c>
      <c r="K20" s="80">
        <v>-44081</v>
      </c>
      <c r="L20" s="80">
        <v>-48364</v>
      </c>
      <c r="M20" s="80">
        <v>-51669</v>
      </c>
      <c r="N20" s="80">
        <v>-53573</v>
      </c>
      <c r="O20" s="80">
        <v>-55640</v>
      </c>
      <c r="P20" s="80">
        <v>-57760</v>
      </c>
      <c r="Q20" s="80">
        <v>-60086</v>
      </c>
      <c r="R20" s="80">
        <v>-62929.8</v>
      </c>
      <c r="S20" s="80">
        <v>-66609.36</v>
      </c>
      <c r="T20" s="80">
        <v>-70498.539999999994</v>
      </c>
      <c r="U20" s="80">
        <v>-74396.600000000006</v>
      </c>
      <c r="V20" s="80">
        <v>-77521.919999999998</v>
      </c>
      <c r="W20" s="80">
        <v>-81509.78</v>
      </c>
      <c r="X20" s="80">
        <v>-86759.9</v>
      </c>
      <c r="Y20" s="80">
        <v>-92122.99</v>
      </c>
      <c r="Z20" s="80">
        <v>-96037.82</v>
      </c>
      <c r="AA20" s="80">
        <v>-100267.72</v>
      </c>
      <c r="AB20" s="80">
        <v>-105518.24</v>
      </c>
      <c r="AC20" s="80">
        <v>-112309.8</v>
      </c>
      <c r="AD20" s="80">
        <v>-117817.54838030304</v>
      </c>
      <c r="AE20" s="80">
        <v>-124442.45311</v>
      </c>
      <c r="AF20" s="80">
        <v>-127447.17462999999</v>
      </c>
      <c r="AG20" s="80">
        <v>-133255.70525000003</v>
      </c>
      <c r="AH20" s="80">
        <v>-135810.737406948</v>
      </c>
      <c r="AI20" s="80">
        <v>-138933.66644999967</v>
      </c>
      <c r="AJ20" s="80">
        <v>-141530.99384999991</v>
      </c>
      <c r="AK20" s="80">
        <v>-147571.34424999979</v>
      </c>
      <c r="AL20" s="80">
        <v>-147342.72392999975</v>
      </c>
      <c r="AM20" s="80">
        <v>-150430.39729999972</v>
      </c>
      <c r="AN20" s="80">
        <v>-158034.22499999992</v>
      </c>
      <c r="AO20" s="80">
        <v>-171187.44714333324</v>
      </c>
      <c r="AP20" s="80">
        <v>-167692.00204666663</v>
      </c>
      <c r="AQ20" s="80">
        <v>-171807.51600000003</v>
      </c>
      <c r="AR20" s="80">
        <v>-176883.63105999999</v>
      </c>
      <c r="AS20" s="80">
        <v>-184667.67813333345</v>
      </c>
      <c r="AT20" s="80">
        <v>-188601.53511000006</v>
      </c>
      <c r="AU20" s="80">
        <v>-194594.86307287432</v>
      </c>
      <c r="AV20" s="80">
        <v>-204298.32940556484</v>
      </c>
      <c r="AW20" s="80">
        <v>-212194.05416556404</v>
      </c>
      <c r="AX20" s="80">
        <v>-216969.19111556432</v>
      </c>
      <c r="AY20" s="80">
        <v>-223047.96156556468</v>
      </c>
      <c r="AZ20" s="80">
        <v>-231510.63336556451</v>
      </c>
      <c r="BA20" s="80">
        <v>-238323.99210413499</v>
      </c>
      <c r="BB20" s="80">
        <v>-247286.79010413599</v>
      </c>
      <c r="BC20" s="80">
        <v>-251535.416041822</v>
      </c>
      <c r="BD20" s="80">
        <v>-264817.08786719502</v>
      </c>
      <c r="BE20" s="80">
        <v>-274658.58972719399</v>
      </c>
      <c r="BF20" s="80">
        <v>-272450.4785716586</v>
      </c>
      <c r="BG20" s="120">
        <v>-277133.98985950835</v>
      </c>
      <c r="BI20" s="80">
        <f>SUM(B20:E20)</f>
        <v>-124327</v>
      </c>
      <c r="BJ20" s="80">
        <f>SUM(F20:I20)</f>
        <v>-158736</v>
      </c>
      <c r="BK20" s="80">
        <f>SUM(J20:M20)</f>
        <v>-187813</v>
      </c>
      <c r="BL20" s="80">
        <f>SUM(N20:Q20)</f>
        <v>-227059</v>
      </c>
      <c r="BM20" s="80">
        <f>SUM(R20:U20)</f>
        <v>-274434.30000000005</v>
      </c>
      <c r="BN20" s="80">
        <f>SUM(V20:Y20)</f>
        <v>-337914.59</v>
      </c>
      <c r="BO20" s="80">
        <f>SUM(Z20:AC20)</f>
        <v>-414133.58</v>
      </c>
      <c r="BP20" s="80">
        <f>SUM(AD20:AG20)</f>
        <v>-502962.88137030299</v>
      </c>
      <c r="BQ20" s="80">
        <f>SUM(AH20:AK20)</f>
        <v>-563846.74195694737</v>
      </c>
      <c r="BR20" s="80">
        <f>SUM(AL20:AO20)</f>
        <v>-626994.79337333259</v>
      </c>
      <c r="BS20" s="80">
        <f>SUM(AP20:AS20)</f>
        <v>-701050.82724000001</v>
      </c>
      <c r="BT20" s="80">
        <f>SUM(AT20:AW20)</f>
        <v>-799688.78175400326</v>
      </c>
      <c r="BU20" s="80">
        <f>SUM(AX20:BA20)</f>
        <v>-909851.77815082856</v>
      </c>
      <c r="BV20" s="80">
        <f>SUM(BB20:BE20)</f>
        <v>-1038297.8837403471</v>
      </c>
    </row>
    <row r="21" spans="1:74" customFormat="1">
      <c r="A21" s="25"/>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121"/>
      <c r="BI21" s="78"/>
      <c r="BJ21" s="78"/>
      <c r="BK21" s="78"/>
      <c r="BL21" s="78"/>
      <c r="BM21" s="78"/>
      <c r="BN21" s="78"/>
      <c r="BO21" s="78"/>
      <c r="BP21" s="78"/>
      <c r="BQ21" s="78"/>
      <c r="BR21" s="78"/>
      <c r="BS21" s="78"/>
      <c r="BT21" s="78"/>
      <c r="BU21" s="78"/>
      <c r="BV21" s="78"/>
    </row>
    <row r="22" spans="1:74" customFormat="1">
      <c r="A22" s="19" t="str">
        <f>INDEX({"Lucro operacional antes do resultado financeiro";"Operational Earnings before Financial Results"},Home!$R$30)</f>
        <v>Lucro operacional antes do resultado financeiro</v>
      </c>
      <c r="B22" s="81">
        <f t="shared" ref="B22:AG22" si="13">B20+B18</f>
        <v>34698</v>
      </c>
      <c r="C22" s="81">
        <f t="shared" si="13"/>
        <v>72596</v>
      </c>
      <c r="D22" s="81">
        <f t="shared" si="13"/>
        <v>52540</v>
      </c>
      <c r="E22" s="81">
        <f t="shared" si="13"/>
        <v>52925</v>
      </c>
      <c r="F22" s="81">
        <f t="shared" si="13"/>
        <v>32998</v>
      </c>
      <c r="G22" s="81">
        <f t="shared" si="13"/>
        <v>67603</v>
      </c>
      <c r="H22" s="81">
        <f t="shared" si="13"/>
        <v>53153</v>
      </c>
      <c r="I22" s="81">
        <f t="shared" si="13"/>
        <v>60229</v>
      </c>
      <c r="J22" s="81">
        <f t="shared" si="13"/>
        <v>51447.569999999832</v>
      </c>
      <c r="K22" s="81">
        <f t="shared" si="13"/>
        <v>96597.239999999991</v>
      </c>
      <c r="L22" s="81">
        <f t="shared" si="13"/>
        <v>100345.76000000001</v>
      </c>
      <c r="M22" s="81">
        <f t="shared" si="13"/>
        <v>107917.64000000013</v>
      </c>
      <c r="N22" s="81">
        <f t="shared" si="13"/>
        <v>100302</v>
      </c>
      <c r="O22" s="81">
        <f t="shared" si="13"/>
        <v>163270</v>
      </c>
      <c r="P22" s="81">
        <f t="shared" si="13"/>
        <v>124850.91999999993</v>
      </c>
      <c r="Q22" s="81">
        <f t="shared" si="13"/>
        <v>128034</v>
      </c>
      <c r="R22" s="81">
        <f t="shared" si="13"/>
        <v>129909.20000000023</v>
      </c>
      <c r="S22" s="81">
        <f t="shared" si="13"/>
        <v>238201.43000000028</v>
      </c>
      <c r="T22" s="81">
        <f t="shared" si="13"/>
        <v>183505.24999999983</v>
      </c>
      <c r="U22" s="81">
        <f t="shared" si="13"/>
        <v>161599.50999999986</v>
      </c>
      <c r="V22" s="81">
        <f t="shared" si="13"/>
        <v>166495.79999999976</v>
      </c>
      <c r="W22" s="81">
        <f t="shared" si="13"/>
        <v>219575.64999999959</v>
      </c>
      <c r="X22" s="81">
        <f t="shared" si="13"/>
        <v>209702.94000000021</v>
      </c>
      <c r="Y22" s="81">
        <f t="shared" si="13"/>
        <v>196595.95000000042</v>
      </c>
      <c r="Z22" s="81">
        <f t="shared" si="13"/>
        <v>176147.18</v>
      </c>
      <c r="AA22" s="81">
        <f t="shared" si="13"/>
        <v>216379.92999999979</v>
      </c>
      <c r="AB22" s="81">
        <f t="shared" si="13"/>
        <v>189732.00999999978</v>
      </c>
      <c r="AC22" s="81">
        <f t="shared" si="13"/>
        <v>198798.76000000007</v>
      </c>
      <c r="AD22" s="81">
        <f t="shared" si="13"/>
        <v>152251.99830269761</v>
      </c>
      <c r="AE22" s="81">
        <f t="shared" si="13"/>
        <v>239245.07914999989</v>
      </c>
      <c r="AF22" s="81">
        <f t="shared" si="13"/>
        <v>231959.46888999609</v>
      </c>
      <c r="AG22" s="81">
        <f t="shared" si="13"/>
        <v>217175.58603000044</v>
      </c>
      <c r="AH22" s="81">
        <f t="shared" ref="AH22:BV22" si="14">AH20+AH18</f>
        <v>233545.17715305171</v>
      </c>
      <c r="AI22" s="81">
        <f t="shared" si="14"/>
        <v>92877.112310000928</v>
      </c>
      <c r="AJ22" s="81">
        <f t="shared" si="14"/>
        <v>255628.13030999975</v>
      </c>
      <c r="AK22" s="81">
        <f t="shared" si="14"/>
        <v>283271.3887700013</v>
      </c>
      <c r="AL22" s="81">
        <f t="shared" si="14"/>
        <v>268511.98606000037</v>
      </c>
      <c r="AM22" s="81">
        <f t="shared" si="14"/>
        <v>346683.37896000023</v>
      </c>
      <c r="AN22" s="81">
        <f t="shared" si="14"/>
        <v>288130.47520000016</v>
      </c>
      <c r="AO22" s="81">
        <f t="shared" si="14"/>
        <v>276922.64509666758</v>
      </c>
      <c r="AP22" s="81">
        <f t="shared" si="14"/>
        <v>220684.7207433341</v>
      </c>
      <c r="AQ22" s="81">
        <f t="shared" si="14"/>
        <v>555701.22933999985</v>
      </c>
      <c r="AR22" s="81">
        <f t="shared" si="14"/>
        <v>369915.98861999746</v>
      </c>
      <c r="AS22" s="81">
        <f t="shared" si="14"/>
        <v>414770.14596666617</v>
      </c>
      <c r="AT22" s="81">
        <f t="shared" si="14"/>
        <v>374379.07320999913</v>
      </c>
      <c r="AU22" s="81">
        <f t="shared" si="14"/>
        <v>573029.75209712633</v>
      </c>
      <c r="AV22" s="81">
        <f t="shared" si="14"/>
        <v>453798.67156443652</v>
      </c>
      <c r="AW22" s="81">
        <f t="shared" si="14"/>
        <v>402349.95992443315</v>
      </c>
      <c r="AX22" s="81">
        <f t="shared" si="14"/>
        <v>462880.83066443482</v>
      </c>
      <c r="AY22" s="81">
        <f t="shared" si="14"/>
        <v>601348.09178443695</v>
      </c>
      <c r="AZ22" s="81">
        <f t="shared" si="14"/>
        <v>579203.95094443252</v>
      </c>
      <c r="BA22" s="81">
        <f t="shared" si="14"/>
        <v>439196.9716858631</v>
      </c>
      <c r="BB22" s="81">
        <f t="shared" si="14"/>
        <v>375874.39733586262</v>
      </c>
      <c r="BC22" s="81">
        <f t="shared" si="14"/>
        <v>611444.59490817855</v>
      </c>
      <c r="BD22" s="81">
        <f t="shared" si="14"/>
        <v>627774.52111280453</v>
      </c>
      <c r="BE22" s="81">
        <f t="shared" si="14"/>
        <v>649659.56835280498</v>
      </c>
      <c r="BF22" s="81">
        <f t="shared" si="14"/>
        <v>548335.4865583427</v>
      </c>
      <c r="BG22" s="81">
        <f t="shared" si="14"/>
        <v>740213.97962049348</v>
      </c>
      <c r="BI22" s="81">
        <f t="shared" si="14"/>
        <v>212759</v>
      </c>
      <c r="BJ22" s="81">
        <f t="shared" si="14"/>
        <v>213983</v>
      </c>
      <c r="BK22" s="81">
        <f t="shared" si="14"/>
        <v>356308.20999999996</v>
      </c>
      <c r="BL22" s="81">
        <f t="shared" si="14"/>
        <v>516456.91999999993</v>
      </c>
      <c r="BM22" s="81">
        <f t="shared" si="14"/>
        <v>713215.3899999999</v>
      </c>
      <c r="BN22" s="81">
        <f t="shared" si="14"/>
        <v>792370.34000000055</v>
      </c>
      <c r="BO22" s="81">
        <f t="shared" si="14"/>
        <v>781057.88000000268</v>
      </c>
      <c r="BP22" s="81">
        <f t="shared" si="14"/>
        <v>840632.13237269525</v>
      </c>
      <c r="BQ22" s="81">
        <f t="shared" si="14"/>
        <v>865321.80854305532</v>
      </c>
      <c r="BR22" s="81">
        <f t="shared" si="14"/>
        <v>1180248.4853166684</v>
      </c>
      <c r="BS22" s="81">
        <f t="shared" si="14"/>
        <v>1561072.0846699965</v>
      </c>
      <c r="BT22" s="81">
        <f t="shared" si="14"/>
        <v>1803557.4567959947</v>
      </c>
      <c r="BU22" s="81">
        <f t="shared" si="14"/>
        <v>2082629.8450791705</v>
      </c>
      <c r="BV22" s="81">
        <f t="shared" si="14"/>
        <v>2264753.0817096531</v>
      </c>
    </row>
    <row r="23" spans="1:74" customFormat="1">
      <c r="A23" s="25"/>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121"/>
      <c r="BI23" s="78"/>
      <c r="BJ23" s="78"/>
      <c r="BK23" s="78"/>
      <c r="BL23" s="78"/>
      <c r="BM23" s="78"/>
      <c r="BN23" s="78"/>
      <c r="BO23" s="78"/>
      <c r="BP23" s="78"/>
      <c r="BQ23" s="78"/>
      <c r="BR23" s="78"/>
      <c r="BS23" s="78"/>
      <c r="BT23" s="78"/>
      <c r="BU23" s="78"/>
      <c r="BV23" s="78"/>
    </row>
    <row r="24" spans="1:74" customFormat="1">
      <c r="A24" s="17" t="str">
        <f>INDEX({"Despesas financeiras";"Financial Expenses"},Home!$R$30)</f>
        <v>Despesas financeiras</v>
      </c>
      <c r="B24" s="80">
        <v>-13400</v>
      </c>
      <c r="C24" s="80">
        <v>-13162</v>
      </c>
      <c r="D24" s="80">
        <v>-13554</v>
      </c>
      <c r="E24" s="80">
        <v>-12421</v>
      </c>
      <c r="F24" s="80">
        <v>-13194</v>
      </c>
      <c r="G24" s="80">
        <v>-13856</v>
      </c>
      <c r="H24" s="80">
        <v>-15671</v>
      </c>
      <c r="I24" s="80">
        <v>-19025</v>
      </c>
      <c r="J24" s="80">
        <v>-14304.44</v>
      </c>
      <c r="K24" s="80">
        <v>-15541.05</v>
      </c>
      <c r="L24" s="80">
        <v>-14655.6</v>
      </c>
      <c r="M24" s="80">
        <v>-18642.330000000002</v>
      </c>
      <c r="N24" s="80">
        <v>-29962</v>
      </c>
      <c r="O24" s="80">
        <v>-37060</v>
      </c>
      <c r="P24" s="80">
        <v>-42015</v>
      </c>
      <c r="Q24" s="80">
        <v>-47855</v>
      </c>
      <c r="R24" s="80">
        <v>-42893.71</v>
      </c>
      <c r="S24" s="80">
        <v>-47918</v>
      </c>
      <c r="T24" s="80">
        <v>-59842.13</v>
      </c>
      <c r="U24" s="80">
        <v>-69165.22</v>
      </c>
      <c r="V24" s="80">
        <v>-57709.52</v>
      </c>
      <c r="W24" s="80">
        <v>-57946.98</v>
      </c>
      <c r="X24" s="80">
        <v>-57199.32</v>
      </c>
      <c r="Y24" s="80">
        <v>-40066.39</v>
      </c>
      <c r="Z24" s="80">
        <v>-32605.02</v>
      </c>
      <c r="AA24" s="80">
        <v>-44198.83</v>
      </c>
      <c r="AB24" s="80">
        <v>-46218.17</v>
      </c>
      <c r="AC24" s="80">
        <v>-31414.58</v>
      </c>
      <c r="AD24" s="80">
        <v>-46015.170579999991</v>
      </c>
      <c r="AE24" s="80">
        <v>-48678.218120000005</v>
      </c>
      <c r="AF24" s="80">
        <v>-62145.723960000003</v>
      </c>
      <c r="AG24" s="80">
        <v>-43722.398520000002</v>
      </c>
      <c r="AH24" s="80">
        <v>-38290.617700000075</v>
      </c>
      <c r="AI24" s="80">
        <v>-35123.539650000239</v>
      </c>
      <c r="AJ24" s="80">
        <v>-31776.600689999625</v>
      </c>
      <c r="AK24" s="80">
        <v>-30289.495339999616</v>
      </c>
      <c r="AL24" s="80">
        <v>-29544.260309999987</v>
      </c>
      <c r="AM24" s="80">
        <v>-40397.119509999917</v>
      </c>
      <c r="AN24" s="80">
        <v>-62946.025400000006</v>
      </c>
      <c r="AO24" s="80">
        <v>-102557.29126999996</v>
      </c>
      <c r="AP24" s="80">
        <v>-125001.73381000003</v>
      </c>
      <c r="AQ24" s="80">
        <v>-164735.14826999998</v>
      </c>
      <c r="AR24" s="80">
        <v>-213800.62022999994</v>
      </c>
      <c r="AS24" s="80">
        <v>-191085.43176999997</v>
      </c>
      <c r="AT24" s="80">
        <v>-250952.15738999995</v>
      </c>
      <c r="AU24" s="80">
        <v>-246783.62936999992</v>
      </c>
      <c r="AV24" s="80">
        <v>-244874.22501999995</v>
      </c>
      <c r="AW24" s="80">
        <v>-236585.59275999985</v>
      </c>
      <c r="AX24" s="80">
        <v>-258087.71534</v>
      </c>
      <c r="AY24" s="80">
        <v>-248520.11070999998</v>
      </c>
      <c r="AZ24" s="80">
        <v>-238923.33451999992</v>
      </c>
      <c r="BA24" s="80">
        <v>-253311.37687000004</v>
      </c>
      <c r="BB24" s="80">
        <v>-265005.70010999998</v>
      </c>
      <c r="BC24" s="80">
        <v>-310427.92804000003</v>
      </c>
      <c r="BD24" s="80">
        <v>-340849.66372999997</v>
      </c>
      <c r="BE24" s="80">
        <v>-369879.04916</v>
      </c>
      <c r="BF24" s="80">
        <v>-349769.49241000001</v>
      </c>
      <c r="BG24" s="120">
        <v>-336869.45088000008</v>
      </c>
      <c r="BI24" s="80">
        <f>SUM(B24:E24)</f>
        <v>-52537</v>
      </c>
      <c r="BJ24" s="80">
        <f>SUM(F24:I24)</f>
        <v>-61746</v>
      </c>
      <c r="BK24" s="80">
        <f>SUM(J24:M24)</f>
        <v>-63143.42</v>
      </c>
      <c r="BL24" s="80">
        <f>SUM(N24:Q24)</f>
        <v>-156892</v>
      </c>
      <c r="BM24" s="80">
        <f>SUM(R24:U24)</f>
        <v>-219819.06</v>
      </c>
      <c r="BN24" s="80">
        <f>SUM(V24:Y24)</f>
        <v>-212922.21000000002</v>
      </c>
      <c r="BO24" s="80">
        <f>SUM(Z24:AC24)</f>
        <v>-154436.6</v>
      </c>
      <c r="BP24" s="80">
        <f>SUM(AD24:AG24)</f>
        <v>-200561.51117999997</v>
      </c>
      <c r="BQ24" s="80">
        <f>SUM(AH24:AK24)</f>
        <v>-135480.25337999954</v>
      </c>
      <c r="BR24" s="80">
        <f>SUM(AL24:AO24)</f>
        <v>-235444.69648999986</v>
      </c>
      <c r="BS24" s="80">
        <f>SUM(AP24:AS24)</f>
        <v>-694622.93407999992</v>
      </c>
      <c r="BT24" s="80">
        <f>SUM(AT24:AW24)</f>
        <v>-979195.60453999974</v>
      </c>
      <c r="BU24" s="80">
        <f>SUM(AX24:BA24)</f>
        <v>-998842.53743999987</v>
      </c>
      <c r="BV24" s="80">
        <f>SUM(BB24:BE24)</f>
        <v>-1286162.3410399999</v>
      </c>
    </row>
    <row r="25" spans="1:74" customFormat="1">
      <c r="A25" s="17" t="str">
        <f>INDEX({"Receitas financeiras";"Financial Revenues"},Home!$R$30)</f>
        <v>Receitas financeiras</v>
      </c>
      <c r="B25" s="80">
        <v>12964</v>
      </c>
      <c r="C25" s="80">
        <v>9032</v>
      </c>
      <c r="D25" s="80">
        <v>8724</v>
      </c>
      <c r="E25" s="80">
        <v>8024</v>
      </c>
      <c r="F25" s="80">
        <v>6681</v>
      </c>
      <c r="G25" s="80">
        <v>7671</v>
      </c>
      <c r="H25" s="80">
        <v>9449</v>
      </c>
      <c r="I25" s="80">
        <v>11813</v>
      </c>
      <c r="J25" s="80">
        <v>5478.87</v>
      </c>
      <c r="K25" s="80">
        <v>4403.8100000000004</v>
      </c>
      <c r="L25" s="80">
        <v>5753.84</v>
      </c>
      <c r="M25" s="80">
        <v>5707.69</v>
      </c>
      <c r="N25" s="80">
        <v>14785</v>
      </c>
      <c r="O25" s="80">
        <v>21344</v>
      </c>
      <c r="P25" s="80">
        <v>26388</v>
      </c>
      <c r="Q25" s="80">
        <v>26799</v>
      </c>
      <c r="R25" s="80">
        <v>25704.74</v>
      </c>
      <c r="S25" s="80">
        <v>23282</v>
      </c>
      <c r="T25" s="80">
        <v>29281.119999999999</v>
      </c>
      <c r="U25" s="80">
        <v>31229.200000000001</v>
      </c>
      <c r="V25" s="80">
        <v>28219.38</v>
      </c>
      <c r="W25" s="80">
        <v>28806.45</v>
      </c>
      <c r="X25" s="80">
        <v>28231.15</v>
      </c>
      <c r="Y25" s="80">
        <v>21626.25</v>
      </c>
      <c r="Z25" s="80">
        <v>16467.189999999999</v>
      </c>
      <c r="AA25" s="80">
        <v>18335.939999999999</v>
      </c>
      <c r="AB25" s="80">
        <v>19468.38</v>
      </c>
      <c r="AC25" s="80">
        <v>17511.509999999998</v>
      </c>
      <c r="AD25" s="80">
        <v>17654.268919999999</v>
      </c>
      <c r="AE25" s="80">
        <v>15902.564960000002</v>
      </c>
      <c r="AF25" s="80">
        <v>21221.724109999999</v>
      </c>
      <c r="AG25" s="80">
        <v>21291.488419999998</v>
      </c>
      <c r="AH25" s="80">
        <v>15859.034889999999</v>
      </c>
      <c r="AI25" s="80">
        <v>14936.42477</v>
      </c>
      <c r="AJ25" s="80">
        <v>9786.6875700000001</v>
      </c>
      <c r="AK25" s="80">
        <v>13600.09737</v>
      </c>
      <c r="AL25" s="80">
        <v>10712.1505</v>
      </c>
      <c r="AM25" s="80">
        <v>13491.534099999997</v>
      </c>
      <c r="AN25" s="80">
        <v>23014.120790000001</v>
      </c>
      <c r="AO25" s="80">
        <v>32799.435519999999</v>
      </c>
      <c r="AP25" s="80">
        <v>46762.404149999988</v>
      </c>
      <c r="AQ25" s="80">
        <v>66566.171310000005</v>
      </c>
      <c r="AR25" s="80">
        <v>88286.656320000009</v>
      </c>
      <c r="AS25" s="80">
        <v>91971.026050000015</v>
      </c>
      <c r="AT25" s="80">
        <v>91224.001859999989</v>
      </c>
      <c r="AU25" s="80">
        <v>100245.03516000001</v>
      </c>
      <c r="AV25" s="80">
        <v>95159.606639999984</v>
      </c>
      <c r="AW25" s="80">
        <v>142106.07485000003</v>
      </c>
      <c r="AX25" s="80">
        <v>102544.75937999999</v>
      </c>
      <c r="AY25" s="80">
        <v>105837.66399999999</v>
      </c>
      <c r="AZ25" s="80">
        <v>97334.060050000015</v>
      </c>
      <c r="BA25" s="80">
        <v>138875.43606999997</v>
      </c>
      <c r="BB25" s="80">
        <v>86174.236120000001</v>
      </c>
      <c r="BC25" s="80">
        <v>106401.068494049</v>
      </c>
      <c r="BD25" s="80">
        <v>129924.101635417</v>
      </c>
      <c r="BE25" s="80">
        <v>116092.658550534</v>
      </c>
      <c r="BF25" s="80">
        <v>134488.06951999999</v>
      </c>
      <c r="BG25" s="120">
        <v>139545.16561</v>
      </c>
      <c r="BI25" s="80">
        <f>SUM(B25:E25)</f>
        <v>38744</v>
      </c>
      <c r="BJ25" s="80">
        <f>SUM(F25:I25)</f>
        <v>35614</v>
      </c>
      <c r="BK25" s="80">
        <f>SUM(J25:M25)</f>
        <v>21344.21</v>
      </c>
      <c r="BL25" s="80">
        <f>SUM(N25:Q25)</f>
        <v>89316</v>
      </c>
      <c r="BM25" s="80">
        <f>SUM(R25:U25)</f>
        <v>109497.06</v>
      </c>
      <c r="BN25" s="80">
        <f>SUM(V25:Y25)</f>
        <v>106883.23000000001</v>
      </c>
      <c r="BO25" s="80">
        <f>SUM(Z25:AC25)</f>
        <v>71783.01999999999</v>
      </c>
      <c r="BP25" s="80">
        <f>SUM(AD25:AG25)</f>
        <v>76070.046409999995</v>
      </c>
      <c r="BQ25" s="80">
        <f>SUM(AH25:AK25)</f>
        <v>54182.244600000005</v>
      </c>
      <c r="BR25" s="80">
        <f>SUM(AL25:AO25)</f>
        <v>80017.240909999993</v>
      </c>
      <c r="BS25" s="80">
        <f>SUM(AP25:AS25)</f>
        <v>293586.25783000002</v>
      </c>
      <c r="BT25" s="80">
        <f>SUM(AT25:AW25)</f>
        <v>428734.71850999998</v>
      </c>
      <c r="BU25" s="80">
        <f>SUM(AX25:BA25)</f>
        <v>444591.91949999996</v>
      </c>
      <c r="BV25" s="80">
        <f>SUM(BB25:BE25)</f>
        <v>438592.06479999999</v>
      </c>
    </row>
    <row r="26" spans="1:74" customFormat="1">
      <c r="A26" s="19" t="str">
        <f>INDEX({"Despesas / Receitas Financeiras";"Financial Expenses/Revenues"},Home!$R$30)</f>
        <v>Despesas / Receitas Financeiras</v>
      </c>
      <c r="B26" s="81">
        <f t="shared" ref="B26:AZ26" si="15">B25+B24</f>
        <v>-436</v>
      </c>
      <c r="C26" s="81">
        <f t="shared" si="15"/>
        <v>-4130</v>
      </c>
      <c r="D26" s="81">
        <f t="shared" si="15"/>
        <v>-4830</v>
      </c>
      <c r="E26" s="81">
        <f t="shared" si="15"/>
        <v>-4397</v>
      </c>
      <c r="F26" s="81">
        <f t="shared" si="15"/>
        <v>-6513</v>
      </c>
      <c r="G26" s="81">
        <f t="shared" si="15"/>
        <v>-6185</v>
      </c>
      <c r="H26" s="81">
        <f t="shared" si="15"/>
        <v>-6222</v>
      </c>
      <c r="I26" s="81">
        <f t="shared" si="15"/>
        <v>-7212</v>
      </c>
      <c r="J26" s="81">
        <f t="shared" si="15"/>
        <v>-8825.57</v>
      </c>
      <c r="K26" s="81">
        <f t="shared" si="15"/>
        <v>-11137.239999999998</v>
      </c>
      <c r="L26" s="81">
        <f t="shared" si="15"/>
        <v>-8901.76</v>
      </c>
      <c r="M26" s="81">
        <f t="shared" si="15"/>
        <v>-12934.640000000003</v>
      </c>
      <c r="N26" s="81">
        <f t="shared" si="15"/>
        <v>-15177</v>
      </c>
      <c r="O26" s="81">
        <f t="shared" si="15"/>
        <v>-15716</v>
      </c>
      <c r="P26" s="81">
        <f t="shared" si="15"/>
        <v>-15627</v>
      </c>
      <c r="Q26" s="81">
        <f t="shared" si="15"/>
        <v>-21056</v>
      </c>
      <c r="R26" s="81">
        <f t="shared" si="15"/>
        <v>-17188.969999999998</v>
      </c>
      <c r="S26" s="81">
        <f t="shared" si="15"/>
        <v>-24636</v>
      </c>
      <c r="T26" s="81">
        <f t="shared" si="15"/>
        <v>-30561.01</v>
      </c>
      <c r="U26" s="81">
        <f t="shared" si="15"/>
        <v>-37936.020000000004</v>
      </c>
      <c r="V26" s="81">
        <f t="shared" si="15"/>
        <v>-29490.139999999996</v>
      </c>
      <c r="W26" s="81">
        <f t="shared" si="15"/>
        <v>-29140.530000000002</v>
      </c>
      <c r="X26" s="81">
        <f t="shared" si="15"/>
        <v>-28968.17</v>
      </c>
      <c r="Y26" s="81">
        <f t="shared" si="15"/>
        <v>-18440.14</v>
      </c>
      <c r="Z26" s="81">
        <f t="shared" si="15"/>
        <v>-16137.830000000002</v>
      </c>
      <c r="AA26" s="81">
        <f t="shared" si="15"/>
        <v>-25862.890000000003</v>
      </c>
      <c r="AB26" s="81">
        <f t="shared" si="15"/>
        <v>-26749.789999999997</v>
      </c>
      <c r="AC26" s="81">
        <f t="shared" si="15"/>
        <v>-13903.070000000003</v>
      </c>
      <c r="AD26" s="81">
        <f t="shared" si="15"/>
        <v>-28360.901659999992</v>
      </c>
      <c r="AE26" s="81">
        <f t="shared" si="15"/>
        <v>-32775.653160000002</v>
      </c>
      <c r="AF26" s="81">
        <f t="shared" si="15"/>
        <v>-40923.999850000007</v>
      </c>
      <c r="AG26" s="81">
        <f t="shared" si="15"/>
        <v>-22430.910100000005</v>
      </c>
      <c r="AH26" s="81">
        <f t="shared" si="15"/>
        <v>-22431.582810000076</v>
      </c>
      <c r="AI26" s="81">
        <f t="shared" si="15"/>
        <v>-20187.114880000241</v>
      </c>
      <c r="AJ26" s="81">
        <f t="shared" si="15"/>
        <v>-21989.913119999626</v>
      </c>
      <c r="AK26" s="81">
        <f t="shared" si="15"/>
        <v>-16689.397969999616</v>
      </c>
      <c r="AL26" s="81">
        <f t="shared" si="15"/>
        <v>-18832.109809999987</v>
      </c>
      <c r="AM26" s="81">
        <f t="shared" si="15"/>
        <v>-26905.58540999992</v>
      </c>
      <c r="AN26" s="81">
        <f t="shared" si="15"/>
        <v>-39931.904610000005</v>
      </c>
      <c r="AO26" s="81">
        <f t="shared" si="15"/>
        <v>-69757.855749999959</v>
      </c>
      <c r="AP26" s="81">
        <f t="shared" si="15"/>
        <v>-78239.329660000047</v>
      </c>
      <c r="AQ26" s="81">
        <f t="shared" si="15"/>
        <v>-98168.976959999971</v>
      </c>
      <c r="AR26" s="81">
        <f t="shared" si="15"/>
        <v>-125513.96390999993</v>
      </c>
      <c r="AS26" s="81">
        <f t="shared" si="15"/>
        <v>-99114.405719999952</v>
      </c>
      <c r="AT26" s="81">
        <f t="shared" si="15"/>
        <v>-159728.15552999996</v>
      </c>
      <c r="AU26" s="81">
        <f t="shared" si="15"/>
        <v>-146538.59420999989</v>
      </c>
      <c r="AV26" s="81">
        <f t="shared" si="15"/>
        <v>-149714.61837999997</v>
      </c>
      <c r="AW26" s="81">
        <f t="shared" si="15"/>
        <v>-94479.51790999982</v>
      </c>
      <c r="AX26" s="81">
        <f t="shared" si="15"/>
        <v>-155542.95595999999</v>
      </c>
      <c r="AY26" s="81">
        <f t="shared" si="15"/>
        <v>-142682.44670999999</v>
      </c>
      <c r="AZ26" s="81">
        <f t="shared" si="15"/>
        <v>-141589.27446999989</v>
      </c>
      <c r="BA26" s="81">
        <f t="shared" ref="BA26:BC26" si="16">BA25+BA24</f>
        <v>-114435.94080000007</v>
      </c>
      <c r="BB26" s="81">
        <f t="shared" si="16"/>
        <v>-178831.46398999996</v>
      </c>
      <c r="BC26" s="81">
        <f t="shared" si="16"/>
        <v>-204026.85954595101</v>
      </c>
      <c r="BD26" s="81">
        <f t="shared" ref="BD26:BV26" si="17">BD25+BD24</f>
        <v>-210925.56209458297</v>
      </c>
      <c r="BE26" s="81">
        <f t="shared" si="17"/>
        <v>-253786.39060946601</v>
      </c>
      <c r="BF26" s="81">
        <f t="shared" si="17"/>
        <v>-215281.42289000002</v>
      </c>
      <c r="BG26" s="81">
        <f t="shared" si="17"/>
        <v>-197324.28527000008</v>
      </c>
      <c r="BI26" s="81">
        <f t="shared" si="17"/>
        <v>-13793</v>
      </c>
      <c r="BJ26" s="81">
        <f t="shared" si="17"/>
        <v>-26132</v>
      </c>
      <c r="BK26" s="81">
        <f t="shared" si="17"/>
        <v>-41799.21</v>
      </c>
      <c r="BL26" s="81">
        <f t="shared" si="17"/>
        <v>-67576</v>
      </c>
      <c r="BM26" s="81">
        <f t="shared" si="17"/>
        <v>-110322</v>
      </c>
      <c r="BN26" s="81">
        <f t="shared" si="17"/>
        <v>-106038.98000000001</v>
      </c>
      <c r="BO26" s="81">
        <f t="shared" si="17"/>
        <v>-82653.580000000016</v>
      </c>
      <c r="BP26" s="81">
        <f t="shared" si="17"/>
        <v>-124491.46476999998</v>
      </c>
      <c r="BQ26" s="81">
        <f t="shared" si="17"/>
        <v>-81298.008779999538</v>
      </c>
      <c r="BR26" s="81">
        <f t="shared" si="17"/>
        <v>-155427.45557999986</v>
      </c>
      <c r="BS26" s="81">
        <f t="shared" si="17"/>
        <v>-401036.6762499999</v>
      </c>
      <c r="BT26" s="81">
        <f t="shared" si="17"/>
        <v>-550460.8860299997</v>
      </c>
      <c r="BU26" s="81">
        <f t="shared" si="17"/>
        <v>-554250.61793999991</v>
      </c>
      <c r="BV26" s="81">
        <f t="shared" si="17"/>
        <v>-847570.2762399998</v>
      </c>
    </row>
    <row r="27" spans="1:74" customFormat="1">
      <c r="A27" s="25"/>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121"/>
      <c r="BI27" s="78"/>
      <c r="BJ27" s="78"/>
      <c r="BK27" s="78"/>
      <c r="BL27" s="78"/>
      <c r="BM27" s="78"/>
      <c r="BN27" s="78"/>
      <c r="BO27" s="78"/>
      <c r="BP27" s="78"/>
      <c r="BQ27" s="78"/>
      <c r="BR27" s="78"/>
      <c r="BS27" s="78"/>
      <c r="BT27" s="78"/>
      <c r="BU27" s="78"/>
      <c r="BV27" s="78"/>
    </row>
    <row r="28" spans="1:74" customFormat="1">
      <c r="A28" s="17" t="str">
        <f>INDEX({"Equivalência Patrimonial";"Equity Equivalence"},Home!$R$30)</f>
        <v>Equivalência Patrimonial</v>
      </c>
      <c r="B28" s="80">
        <v>0</v>
      </c>
      <c r="C28" s="80">
        <v>0</v>
      </c>
      <c r="D28" s="80">
        <v>0</v>
      </c>
      <c r="E28" s="80">
        <v>0</v>
      </c>
      <c r="F28" s="80">
        <v>0</v>
      </c>
      <c r="G28" s="80">
        <v>0</v>
      </c>
      <c r="H28" s="80">
        <v>0</v>
      </c>
      <c r="I28" s="80">
        <v>0</v>
      </c>
      <c r="J28" s="80">
        <v>0</v>
      </c>
      <c r="K28" s="80">
        <v>0</v>
      </c>
      <c r="L28" s="80">
        <v>0</v>
      </c>
      <c r="M28" s="80">
        <v>0</v>
      </c>
      <c r="N28" s="80">
        <v>0</v>
      </c>
      <c r="O28" s="80">
        <v>0</v>
      </c>
      <c r="P28" s="80">
        <v>0</v>
      </c>
      <c r="Q28" s="80">
        <v>0</v>
      </c>
      <c r="R28" s="80">
        <v>0</v>
      </c>
      <c r="S28" s="80">
        <v>0</v>
      </c>
      <c r="T28" s="80">
        <v>0</v>
      </c>
      <c r="U28" s="80">
        <v>0</v>
      </c>
      <c r="V28" s="80">
        <v>0</v>
      </c>
      <c r="W28" s="80">
        <v>0</v>
      </c>
      <c r="X28" s="80">
        <v>0</v>
      </c>
      <c r="Y28" s="80">
        <v>0</v>
      </c>
      <c r="Z28" s="80">
        <v>0</v>
      </c>
      <c r="AA28" s="80">
        <v>0</v>
      </c>
      <c r="AB28" s="80">
        <v>0</v>
      </c>
      <c r="AC28" s="80">
        <v>0</v>
      </c>
      <c r="AD28" s="80">
        <v>0</v>
      </c>
      <c r="AE28" s="80">
        <v>0</v>
      </c>
      <c r="AF28" s="80">
        <v>0</v>
      </c>
      <c r="AG28" s="80">
        <v>0</v>
      </c>
      <c r="AH28" s="80">
        <v>0</v>
      </c>
      <c r="AI28" s="80">
        <v>0</v>
      </c>
      <c r="AJ28" s="80">
        <v>-4316.2464800000007</v>
      </c>
      <c r="AK28" s="80">
        <v>-3550.9015499999987</v>
      </c>
      <c r="AL28" s="80">
        <v>-1514.8493800000003</v>
      </c>
      <c r="AM28" s="80">
        <v>-1486.2648100000001</v>
      </c>
      <c r="AN28" s="80">
        <v>179.1202899999991</v>
      </c>
      <c r="AO28" s="80">
        <v>1693.8712780000008</v>
      </c>
      <c r="AP28" s="80">
        <v>43.870832000002267</v>
      </c>
      <c r="AQ28" s="80">
        <v>266.69690649999677</v>
      </c>
      <c r="AR28" s="80">
        <v>188.73401649999991</v>
      </c>
      <c r="AS28" s="80">
        <v>-2031.5395899999999</v>
      </c>
      <c r="AT28" s="80">
        <v>-2382.2872359999997</v>
      </c>
      <c r="AU28" s="80">
        <v>-836.9161089999983</v>
      </c>
      <c r="AV28" s="80">
        <v>-1854.3451285000019</v>
      </c>
      <c r="AW28" s="80">
        <v>-5547.2046895000076</v>
      </c>
      <c r="AX28" s="80">
        <v>2501.1030835000033</v>
      </c>
      <c r="AY28" s="80">
        <v>-523.69014014600032</v>
      </c>
      <c r="AZ28" s="80">
        <v>-209.30289000000246</v>
      </c>
      <c r="BA28" s="80">
        <v>2492.1149800000044</v>
      </c>
      <c r="BB28" s="80">
        <v>-1429.3415352320001</v>
      </c>
      <c r="BC28" s="80">
        <v>-466.57810236799702</v>
      </c>
      <c r="BD28" s="80">
        <v>1033.7812577280099</v>
      </c>
      <c r="BE28" s="80">
        <v>2700.8939436000001</v>
      </c>
      <c r="BF28" s="80">
        <v>-201.23324626099878</v>
      </c>
      <c r="BG28" s="120">
        <v>-180.30821289010717</v>
      </c>
      <c r="BI28" s="80">
        <f>SUM(B28:E28)</f>
        <v>0</v>
      </c>
      <c r="BJ28" s="80">
        <f>SUM(F28:I28)</f>
        <v>0</v>
      </c>
      <c r="BK28" s="80">
        <f>SUM(J28:M28)</f>
        <v>0</v>
      </c>
      <c r="BL28" s="80">
        <f>SUM(N28:Q28)</f>
        <v>0</v>
      </c>
      <c r="BM28" s="80">
        <f>SUM(R28:U28)</f>
        <v>0</v>
      </c>
      <c r="BN28" s="80">
        <f>SUM(V28:Y28)</f>
        <v>0</v>
      </c>
      <c r="BO28" s="80">
        <f>SUM(Z28:AC28)</f>
        <v>0</v>
      </c>
      <c r="BP28" s="80">
        <f>SUM(AD28:AG28)</f>
        <v>0</v>
      </c>
      <c r="BQ28" s="80">
        <f>SUM(AH28:AK28)</f>
        <v>-7867.1480299999994</v>
      </c>
      <c r="BR28" s="80">
        <f>SUM(AL28:AO28)</f>
        <v>-1128.1226220000005</v>
      </c>
      <c r="BS28" s="80">
        <f>SUM(AP28:AS28)</f>
        <v>-1532.2378350000008</v>
      </c>
      <c r="BT28" s="80">
        <f>SUM(AT28:AW28)</f>
        <v>-10620.753163000008</v>
      </c>
      <c r="BU28" s="80">
        <f>SUM(AX28:BA28)</f>
        <v>4260.2250333540051</v>
      </c>
      <c r="BV28" s="80">
        <f>SUM(BB28:BE28)</f>
        <v>1838.7555637280129</v>
      </c>
    </row>
    <row r="29" spans="1:74" customFormat="1">
      <c r="A29" s="25"/>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121"/>
      <c r="BI29" s="78"/>
      <c r="BJ29" s="78"/>
      <c r="BK29" s="78"/>
      <c r="BL29" s="78"/>
      <c r="BM29" s="78"/>
      <c r="BN29" s="78"/>
      <c r="BO29" s="78"/>
      <c r="BP29" s="78"/>
      <c r="BQ29" s="78"/>
      <c r="BR29" s="78"/>
      <c r="BS29" s="78"/>
      <c r="BT29" s="78"/>
      <c r="BU29" s="78"/>
      <c r="BV29" s="78"/>
    </row>
    <row r="30" spans="1:74" customFormat="1">
      <c r="A30" s="19" t="str">
        <f>INDEX({"Lucro antes do IR e da contribuição social";"Earnings before Income Tax and Social Charges"},Home!$R$30)</f>
        <v>Lucro antes do IR e da contribuição social</v>
      </c>
      <c r="B30" s="81">
        <f t="shared" ref="B30:AZ30" si="18">B26+B22+B28</f>
        <v>34262</v>
      </c>
      <c r="C30" s="81">
        <f t="shared" si="18"/>
        <v>68466</v>
      </c>
      <c r="D30" s="81">
        <f t="shared" si="18"/>
        <v>47710</v>
      </c>
      <c r="E30" s="81">
        <f t="shared" si="18"/>
        <v>48528</v>
      </c>
      <c r="F30" s="81">
        <f t="shared" si="18"/>
        <v>26485</v>
      </c>
      <c r="G30" s="81">
        <f t="shared" si="18"/>
        <v>61418</v>
      </c>
      <c r="H30" s="81">
        <f t="shared" si="18"/>
        <v>46931</v>
      </c>
      <c r="I30" s="81">
        <f t="shared" si="18"/>
        <v>53017</v>
      </c>
      <c r="J30" s="81">
        <f t="shared" si="18"/>
        <v>42621.999999999833</v>
      </c>
      <c r="K30" s="81">
        <f t="shared" si="18"/>
        <v>85460</v>
      </c>
      <c r="L30" s="81">
        <f t="shared" si="18"/>
        <v>91444.000000000015</v>
      </c>
      <c r="M30" s="81">
        <f t="shared" si="18"/>
        <v>94983.000000000131</v>
      </c>
      <c r="N30" s="81">
        <f t="shared" si="18"/>
        <v>85125</v>
      </c>
      <c r="O30" s="81">
        <f t="shared" si="18"/>
        <v>147554</v>
      </c>
      <c r="P30" s="81">
        <f t="shared" si="18"/>
        <v>109223.91999999993</v>
      </c>
      <c r="Q30" s="81">
        <f t="shared" si="18"/>
        <v>106978</v>
      </c>
      <c r="R30" s="81">
        <f t="shared" si="18"/>
        <v>112720.23000000023</v>
      </c>
      <c r="S30" s="81">
        <f t="shared" si="18"/>
        <v>213565.43000000028</v>
      </c>
      <c r="T30" s="81">
        <f t="shared" si="18"/>
        <v>152944.23999999982</v>
      </c>
      <c r="U30" s="81">
        <f t="shared" si="18"/>
        <v>123663.48999999986</v>
      </c>
      <c r="V30" s="81">
        <f t="shared" si="18"/>
        <v>137005.65999999977</v>
      </c>
      <c r="W30" s="81">
        <f t="shared" si="18"/>
        <v>190435.11999999959</v>
      </c>
      <c r="X30" s="81">
        <f t="shared" si="18"/>
        <v>180734.77000000019</v>
      </c>
      <c r="Y30" s="81">
        <f t="shared" si="18"/>
        <v>178155.81000000041</v>
      </c>
      <c r="Z30" s="81">
        <f t="shared" si="18"/>
        <v>160009.34999999998</v>
      </c>
      <c r="AA30" s="81">
        <f t="shared" si="18"/>
        <v>190517.03999999978</v>
      </c>
      <c r="AB30" s="81">
        <f t="shared" si="18"/>
        <v>162982.21999999977</v>
      </c>
      <c r="AC30" s="81">
        <f t="shared" si="18"/>
        <v>184895.69000000006</v>
      </c>
      <c r="AD30" s="81">
        <f t="shared" si="18"/>
        <v>123891.09664269762</v>
      </c>
      <c r="AE30" s="81">
        <f t="shared" si="18"/>
        <v>206469.4259899999</v>
      </c>
      <c r="AF30" s="81">
        <f t="shared" si="18"/>
        <v>191035.4690399961</v>
      </c>
      <c r="AG30" s="81">
        <f t="shared" si="18"/>
        <v>194744.67593000043</v>
      </c>
      <c r="AH30" s="81">
        <f t="shared" si="18"/>
        <v>211113.59434305163</v>
      </c>
      <c r="AI30" s="81">
        <f t="shared" si="18"/>
        <v>72689.997430000687</v>
      </c>
      <c r="AJ30" s="81">
        <f t="shared" si="18"/>
        <v>229321.97071000011</v>
      </c>
      <c r="AK30" s="81">
        <f t="shared" si="18"/>
        <v>263031.08925000165</v>
      </c>
      <c r="AL30" s="81">
        <f t="shared" si="18"/>
        <v>248165.02687000038</v>
      </c>
      <c r="AM30" s="81">
        <f t="shared" si="18"/>
        <v>318291.52874000027</v>
      </c>
      <c r="AN30" s="81">
        <f t="shared" si="18"/>
        <v>248377.69088000015</v>
      </c>
      <c r="AO30" s="81">
        <f t="shared" si="18"/>
        <v>208858.66062466762</v>
      </c>
      <c r="AP30" s="81">
        <f t="shared" si="18"/>
        <v>142489.26191533406</v>
      </c>
      <c r="AQ30" s="81">
        <f t="shared" si="18"/>
        <v>457798.94928649982</v>
      </c>
      <c r="AR30" s="81">
        <f t="shared" si="18"/>
        <v>244590.75872649753</v>
      </c>
      <c r="AS30" s="81">
        <f t="shared" si="18"/>
        <v>313624.20065666625</v>
      </c>
      <c r="AT30" s="81">
        <f t="shared" si="18"/>
        <v>212268.63044399917</v>
      </c>
      <c r="AU30" s="81">
        <f t="shared" si="18"/>
        <v>425654.24177812645</v>
      </c>
      <c r="AV30" s="81">
        <f t="shared" si="18"/>
        <v>302229.7080559365</v>
      </c>
      <c r="AW30" s="81">
        <f t="shared" si="18"/>
        <v>302323.23732493335</v>
      </c>
      <c r="AX30" s="81">
        <f t="shared" si="18"/>
        <v>309838.97778793483</v>
      </c>
      <c r="AY30" s="81">
        <f t="shared" si="18"/>
        <v>458141.95493429096</v>
      </c>
      <c r="AZ30" s="81">
        <f t="shared" si="18"/>
        <v>437405.37358443264</v>
      </c>
      <c r="BA30" s="81">
        <f t="shared" ref="BA30:BC30" si="19">BA26+BA22+BA28</f>
        <v>327253.14586586301</v>
      </c>
      <c r="BB30" s="81">
        <f t="shared" si="19"/>
        <v>195613.59181063066</v>
      </c>
      <c r="BC30" s="81">
        <f t="shared" si="19"/>
        <v>406951.15725985955</v>
      </c>
      <c r="BD30" s="81">
        <f t="shared" ref="BD30:BV30" si="20">BD26+BD22+BD28</f>
        <v>417882.74027594959</v>
      </c>
      <c r="BE30" s="81">
        <f t="shared" si="20"/>
        <v>398574.07168693899</v>
      </c>
      <c r="BF30" s="81">
        <f t="shared" si="20"/>
        <v>332852.83042208164</v>
      </c>
      <c r="BG30" s="81">
        <f t="shared" si="20"/>
        <v>542709.38613760332</v>
      </c>
      <c r="BI30" s="81">
        <f t="shared" si="20"/>
        <v>198966</v>
      </c>
      <c r="BJ30" s="81">
        <f t="shared" si="20"/>
        <v>187851</v>
      </c>
      <c r="BK30" s="81">
        <f t="shared" si="20"/>
        <v>314508.99999999994</v>
      </c>
      <c r="BL30" s="81">
        <f t="shared" si="20"/>
        <v>448880.91999999993</v>
      </c>
      <c r="BM30" s="81">
        <f t="shared" si="20"/>
        <v>602893.3899999999</v>
      </c>
      <c r="BN30" s="81">
        <f t="shared" si="20"/>
        <v>686331.36000000057</v>
      </c>
      <c r="BO30" s="81">
        <f t="shared" si="20"/>
        <v>698404.30000000261</v>
      </c>
      <c r="BP30" s="81">
        <f t="shared" si="20"/>
        <v>716140.66760269529</v>
      </c>
      <c r="BQ30" s="81">
        <f t="shared" si="20"/>
        <v>776156.65173305571</v>
      </c>
      <c r="BR30" s="81">
        <f t="shared" si="20"/>
        <v>1023692.9071146685</v>
      </c>
      <c r="BS30" s="81">
        <f t="shared" si="20"/>
        <v>1158503.1705849965</v>
      </c>
      <c r="BT30" s="81">
        <f t="shared" si="20"/>
        <v>1242475.8176029949</v>
      </c>
      <c r="BU30" s="81">
        <f t="shared" si="20"/>
        <v>1532639.4521725248</v>
      </c>
      <c r="BV30" s="81">
        <f t="shared" si="20"/>
        <v>1419021.5610333814</v>
      </c>
    </row>
    <row r="31" spans="1:74" customFormat="1">
      <c r="A31" s="25"/>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121"/>
      <c r="BI31" s="78"/>
      <c r="BJ31" s="78"/>
      <c r="BK31" s="78"/>
      <c r="BL31" s="78"/>
      <c r="BM31" s="78"/>
      <c r="BN31" s="78"/>
      <c r="BO31" s="78"/>
      <c r="BP31" s="78"/>
      <c r="BQ31" s="78"/>
      <c r="BR31" s="78"/>
      <c r="BS31" s="78"/>
      <c r="BT31" s="78"/>
      <c r="BU31" s="78"/>
      <c r="BV31" s="78"/>
    </row>
    <row r="32" spans="1:74" customFormat="1">
      <c r="A32" s="17" t="str">
        <f>INDEX({"Imposto de renda e contribuição social";"Income Tax and Social Charges"},Home!$R$30)</f>
        <v>Imposto de renda e contribuição social</v>
      </c>
      <c r="B32" s="80">
        <v>-9442.2200000000012</v>
      </c>
      <c r="C32" s="80">
        <v>-17339.12</v>
      </c>
      <c r="D32" s="80">
        <v>-10681.9</v>
      </c>
      <c r="E32" s="80">
        <v>-17258.38</v>
      </c>
      <c r="F32" s="80">
        <v>-8444.66</v>
      </c>
      <c r="G32" s="80">
        <v>-15780.880000000001</v>
      </c>
      <c r="H32" s="80">
        <v>-15006.080000000002</v>
      </c>
      <c r="I32" s="80">
        <v>-15646.8</v>
      </c>
      <c r="J32" s="80">
        <v>-12164</v>
      </c>
      <c r="K32" s="80">
        <v>-21814.12</v>
      </c>
      <c r="L32" s="80">
        <v>-20891.36</v>
      </c>
      <c r="M32" s="80">
        <v>-30000.34</v>
      </c>
      <c r="N32" s="80">
        <v>-14366</v>
      </c>
      <c r="O32" s="80">
        <v>-38907</v>
      </c>
      <c r="P32" s="80">
        <v>-24458.59</v>
      </c>
      <c r="Q32" s="80">
        <v>-22811.13</v>
      </c>
      <c r="R32" s="80">
        <v>-22589</v>
      </c>
      <c r="S32" s="80">
        <v>-56497.67</v>
      </c>
      <c r="T32" s="80">
        <v>-36060.519999999997</v>
      </c>
      <c r="U32" s="80">
        <v>-31427.41</v>
      </c>
      <c r="V32" s="80">
        <v>-31578.35</v>
      </c>
      <c r="W32" s="80">
        <v>-52465.29</v>
      </c>
      <c r="X32" s="80">
        <v>-44242.25</v>
      </c>
      <c r="Y32" s="80">
        <v>-45532.94</v>
      </c>
      <c r="Z32" s="80">
        <v>-38721.589999999997</v>
      </c>
      <c r="AA32" s="80">
        <v>-48742.400000000001</v>
      </c>
      <c r="AB32" s="80">
        <v>-31834.06</v>
      </c>
      <c r="AC32" s="80">
        <v>-30492.01</v>
      </c>
      <c r="AD32" s="80">
        <v>-18397.332342440001</v>
      </c>
      <c r="AE32" s="80">
        <v>-45983.49651515999</v>
      </c>
      <c r="AF32" s="80">
        <v>-38559.426118951094</v>
      </c>
      <c r="AG32" s="80">
        <v>-26052.271627859998</v>
      </c>
      <c r="AH32" s="80">
        <v>-58360.90312706001</v>
      </c>
      <c r="AI32" s="80">
        <v>-11001.633660560037</v>
      </c>
      <c r="AJ32" s="80">
        <v>-56450.705105150162</v>
      </c>
      <c r="AK32" s="80">
        <v>-49359.105475180208</v>
      </c>
      <c r="AL32" s="80">
        <v>-70218.639413440076</v>
      </c>
      <c r="AM32" s="80">
        <v>-86270.993561620126</v>
      </c>
      <c r="AN32" s="80">
        <v>-74810.425860890013</v>
      </c>
      <c r="AO32" s="80">
        <v>-4219.5012701199821</v>
      </c>
      <c r="AP32" s="80">
        <v>2774.9664903199973</v>
      </c>
      <c r="AQ32" s="80">
        <v>-114052.44961680996</v>
      </c>
      <c r="AR32" s="80">
        <v>-42884.367355009999</v>
      </c>
      <c r="AS32" s="80">
        <v>-12523.250265399955</v>
      </c>
      <c r="AT32" s="80">
        <v>-8464.4671231599805</v>
      </c>
      <c r="AU32" s="80">
        <v>-76429.581613939998</v>
      </c>
      <c r="AV32" s="80">
        <v>-33786.432933109842</v>
      </c>
      <c r="AW32" s="80">
        <v>-19008.162451970133</v>
      </c>
      <c r="AX32" s="80">
        <v>-96139.184047790026</v>
      </c>
      <c r="AY32" s="80">
        <v>-101528.7725773399</v>
      </c>
      <c r="AZ32" s="80">
        <v>-100586.13892880001</v>
      </c>
      <c r="BA32" s="80">
        <v>54160.841364999709</v>
      </c>
      <c r="BB32" s="80">
        <v>-33468.589376000098</v>
      </c>
      <c r="BC32" s="80">
        <v>-62940.603138399994</v>
      </c>
      <c r="BD32" s="80">
        <v>-71070.66997719981</v>
      </c>
      <c r="BE32" s="80">
        <v>-48401.591243999901</v>
      </c>
      <c r="BF32" s="80">
        <v>-49598.610360682149</v>
      </c>
      <c r="BG32" s="120">
        <v>-118284.46657439989</v>
      </c>
      <c r="BI32" s="80">
        <f>SUM(B32:E32)</f>
        <v>-54721.619999999995</v>
      </c>
      <c r="BJ32" s="80">
        <f>SUM(F32:I32)</f>
        <v>-54878.42</v>
      </c>
      <c r="BK32" s="80">
        <f>SUM(J32:M32)</f>
        <v>-84869.819999999992</v>
      </c>
      <c r="BL32" s="80">
        <f>SUM(N32:Q32)</f>
        <v>-100542.72</v>
      </c>
      <c r="BM32" s="80">
        <f>SUM(R32:U32)</f>
        <v>-146574.6</v>
      </c>
      <c r="BN32" s="80">
        <f>SUM(V32:Y32)</f>
        <v>-173818.83000000002</v>
      </c>
      <c r="BO32" s="80">
        <f>SUM(Z32:AC32)</f>
        <v>-149790.06</v>
      </c>
      <c r="BP32" s="80">
        <f>SUM(AD32:AG32)</f>
        <v>-128992.52660441108</v>
      </c>
      <c r="BQ32" s="80">
        <f>SUM(AH32:AK32)</f>
        <v>-175172.34736795042</v>
      </c>
      <c r="BR32" s="80">
        <f>SUM(AL32:AO32)</f>
        <v>-235519.56010607019</v>
      </c>
      <c r="BS32" s="80">
        <f>SUM(AP32:AS32)</f>
        <v>-166685.1007468999</v>
      </c>
      <c r="BT32" s="80">
        <f>SUM(AT32:AW32)</f>
        <v>-137688.64412217995</v>
      </c>
      <c r="BU32" s="80">
        <f>SUM(AX32:BA32)</f>
        <v>-244093.25418893021</v>
      </c>
      <c r="BV32" s="80">
        <f>SUM(BB32:BE32)</f>
        <v>-215881.45373559979</v>
      </c>
    </row>
    <row r="33" spans="1:74" customFormat="1">
      <c r="A33" s="25"/>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121"/>
      <c r="BI33" s="78"/>
      <c r="BJ33" s="78"/>
      <c r="BK33" s="78"/>
      <c r="BL33" s="78"/>
      <c r="BM33" s="78"/>
      <c r="BN33" s="78"/>
      <c r="BO33" s="78"/>
      <c r="BP33" s="78"/>
      <c r="BQ33" s="78"/>
      <c r="BR33" s="78"/>
      <c r="BS33" s="78"/>
      <c r="BT33" s="78"/>
      <c r="BU33" s="78"/>
      <c r="BV33" s="78"/>
    </row>
    <row r="34" spans="1:74" customFormat="1">
      <c r="A34" s="94" t="str">
        <f>INDEX({"Lucro líq. operações continuadas";"Net income continued operations"},Home!$R$30)</f>
        <v>Lucro líq. operações continuadas</v>
      </c>
      <c r="B34" s="95">
        <f t="shared" ref="B34:AZ34" si="21">B32+B30</f>
        <v>24819.78</v>
      </c>
      <c r="C34" s="95">
        <f t="shared" si="21"/>
        <v>51126.880000000005</v>
      </c>
      <c r="D34" s="95">
        <f t="shared" si="21"/>
        <v>37028.1</v>
      </c>
      <c r="E34" s="95">
        <f t="shared" si="21"/>
        <v>31269.62</v>
      </c>
      <c r="F34" s="95">
        <f t="shared" si="21"/>
        <v>18040.34</v>
      </c>
      <c r="G34" s="95">
        <f t="shared" si="21"/>
        <v>45637.119999999995</v>
      </c>
      <c r="H34" s="95">
        <f t="shared" si="21"/>
        <v>31924.92</v>
      </c>
      <c r="I34" s="95">
        <f t="shared" si="21"/>
        <v>37370.199999999997</v>
      </c>
      <c r="J34" s="95">
        <f t="shared" si="21"/>
        <v>30457.999999999833</v>
      </c>
      <c r="K34" s="95">
        <f t="shared" si="21"/>
        <v>63645.880000000005</v>
      </c>
      <c r="L34" s="95">
        <f t="shared" si="21"/>
        <v>70552.640000000014</v>
      </c>
      <c r="M34" s="95">
        <f t="shared" si="21"/>
        <v>64982.660000000134</v>
      </c>
      <c r="N34" s="95">
        <f t="shared" si="21"/>
        <v>70759</v>
      </c>
      <c r="O34" s="95">
        <f t="shared" si="21"/>
        <v>108647</v>
      </c>
      <c r="P34" s="95">
        <f t="shared" si="21"/>
        <v>84765.329999999929</v>
      </c>
      <c r="Q34" s="95">
        <f t="shared" si="21"/>
        <v>84166.87</v>
      </c>
      <c r="R34" s="95">
        <f t="shared" si="21"/>
        <v>90131.230000000229</v>
      </c>
      <c r="S34" s="95">
        <f t="shared" si="21"/>
        <v>157067.7600000003</v>
      </c>
      <c r="T34" s="95">
        <f t="shared" si="21"/>
        <v>116883.71999999983</v>
      </c>
      <c r="U34" s="95">
        <f t="shared" si="21"/>
        <v>92236.079999999856</v>
      </c>
      <c r="V34" s="95">
        <f t="shared" si="21"/>
        <v>105427.30999999976</v>
      </c>
      <c r="W34" s="95">
        <f t="shared" si="21"/>
        <v>137969.82999999958</v>
      </c>
      <c r="X34" s="95">
        <f t="shared" si="21"/>
        <v>136492.52000000019</v>
      </c>
      <c r="Y34" s="95">
        <f t="shared" si="21"/>
        <v>132622.8700000004</v>
      </c>
      <c r="Z34" s="95">
        <f t="shared" si="21"/>
        <v>121287.75999999998</v>
      </c>
      <c r="AA34" s="95">
        <f t="shared" si="21"/>
        <v>141774.63999999978</v>
      </c>
      <c r="AB34" s="95">
        <f t="shared" si="21"/>
        <v>131148.15999999977</v>
      </c>
      <c r="AC34" s="95">
        <f t="shared" si="21"/>
        <v>154403.68000000005</v>
      </c>
      <c r="AD34" s="95">
        <f t="shared" si="21"/>
        <v>105493.76430025762</v>
      </c>
      <c r="AE34" s="95">
        <f t="shared" si="21"/>
        <v>160485.92947483991</v>
      </c>
      <c r="AF34" s="95">
        <f t="shared" si="21"/>
        <v>152476.04292104501</v>
      </c>
      <c r="AG34" s="95">
        <f t="shared" si="21"/>
        <v>168692.40430214044</v>
      </c>
      <c r="AH34" s="95">
        <f t="shared" si="21"/>
        <v>152752.69121599162</v>
      </c>
      <c r="AI34" s="95">
        <f t="shared" si="21"/>
        <v>61688.36376944065</v>
      </c>
      <c r="AJ34" s="95">
        <f t="shared" si="21"/>
        <v>172871.26560484996</v>
      </c>
      <c r="AK34" s="95">
        <f t="shared" si="21"/>
        <v>213671.98377482145</v>
      </c>
      <c r="AL34" s="95">
        <f t="shared" si="21"/>
        <v>177946.3874565603</v>
      </c>
      <c r="AM34" s="95">
        <f t="shared" si="21"/>
        <v>232020.53517838015</v>
      </c>
      <c r="AN34" s="95">
        <f t="shared" si="21"/>
        <v>173567.26501911014</v>
      </c>
      <c r="AO34" s="95">
        <f t="shared" si="21"/>
        <v>204639.15935454765</v>
      </c>
      <c r="AP34" s="95">
        <f t="shared" si="21"/>
        <v>145264.22840565405</v>
      </c>
      <c r="AQ34" s="95">
        <f t="shared" si="21"/>
        <v>343746.49966968986</v>
      </c>
      <c r="AR34" s="95">
        <f t="shared" si="21"/>
        <v>201706.39137148752</v>
      </c>
      <c r="AS34" s="95">
        <f t="shared" si="21"/>
        <v>301100.95039126626</v>
      </c>
      <c r="AT34" s="95">
        <f t="shared" si="21"/>
        <v>203804.16332083917</v>
      </c>
      <c r="AU34" s="95">
        <f t="shared" si="21"/>
        <v>349224.66016418644</v>
      </c>
      <c r="AV34" s="95">
        <f t="shared" si="21"/>
        <v>268443.27512282669</v>
      </c>
      <c r="AW34" s="95">
        <f t="shared" si="21"/>
        <v>283315.07487296319</v>
      </c>
      <c r="AX34" s="95">
        <f t="shared" si="21"/>
        <v>213699.79374014481</v>
      </c>
      <c r="AY34" s="95">
        <f t="shared" si="21"/>
        <v>356613.18235695106</v>
      </c>
      <c r="AZ34" s="95">
        <f t="shared" si="21"/>
        <v>336819.23465563264</v>
      </c>
      <c r="BA34" s="95">
        <f t="shared" ref="BA34:BC34" si="22">BA32+BA30</f>
        <v>381413.98723086272</v>
      </c>
      <c r="BB34" s="95">
        <f t="shared" si="22"/>
        <v>162145.00243463056</v>
      </c>
      <c r="BC34" s="95">
        <f t="shared" si="22"/>
        <v>344010.55412145954</v>
      </c>
      <c r="BD34" s="95">
        <f t="shared" ref="BD34:BV34" si="23">BD32+BD30</f>
        <v>346812.07029874978</v>
      </c>
      <c r="BE34" s="95">
        <f t="shared" si="23"/>
        <v>350172.48044293909</v>
      </c>
      <c r="BF34" s="95">
        <f t="shared" si="23"/>
        <v>283254.22006139951</v>
      </c>
      <c r="BG34" s="95">
        <f t="shared" si="23"/>
        <v>424424.91956320341</v>
      </c>
      <c r="BI34" s="95">
        <f t="shared" si="23"/>
        <v>144244.38</v>
      </c>
      <c r="BJ34" s="95">
        <f t="shared" si="23"/>
        <v>132972.58000000002</v>
      </c>
      <c r="BK34" s="95">
        <f t="shared" si="23"/>
        <v>229639.17999999993</v>
      </c>
      <c r="BL34" s="95">
        <f t="shared" si="23"/>
        <v>348338.19999999995</v>
      </c>
      <c r="BM34" s="95">
        <f t="shared" si="23"/>
        <v>456318.78999999992</v>
      </c>
      <c r="BN34" s="95">
        <f t="shared" si="23"/>
        <v>512512.53000000055</v>
      </c>
      <c r="BO34" s="95">
        <f t="shared" si="23"/>
        <v>548614.24000000255</v>
      </c>
      <c r="BP34" s="95">
        <f t="shared" si="23"/>
        <v>587148.14099828422</v>
      </c>
      <c r="BQ34" s="95">
        <f t="shared" si="23"/>
        <v>600984.30436510523</v>
      </c>
      <c r="BR34" s="95">
        <f t="shared" si="23"/>
        <v>788173.34700859827</v>
      </c>
      <c r="BS34" s="95">
        <f t="shared" si="23"/>
        <v>991818.06983809662</v>
      </c>
      <c r="BT34" s="95">
        <f t="shared" si="23"/>
        <v>1104787.1734808148</v>
      </c>
      <c r="BU34" s="95">
        <f t="shared" si="23"/>
        <v>1288546.1979835946</v>
      </c>
      <c r="BV34" s="95">
        <f t="shared" si="23"/>
        <v>1203140.1072977816</v>
      </c>
    </row>
    <row r="35" spans="1:74" customFormat="1">
      <c r="A35" s="25"/>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84"/>
      <c r="AO35" s="84"/>
      <c r="AP35" s="84"/>
      <c r="AQ35" s="78"/>
      <c r="AR35" s="78"/>
      <c r="AS35" s="78"/>
      <c r="AT35" s="78"/>
      <c r="AU35" s="78"/>
      <c r="AV35" s="78"/>
      <c r="AW35" s="78"/>
      <c r="AX35" s="78"/>
      <c r="AY35" s="78"/>
      <c r="AZ35" s="78"/>
      <c r="BA35" s="78"/>
      <c r="BB35" s="78"/>
      <c r="BC35" s="78"/>
      <c r="BD35" s="78"/>
      <c r="BE35" s="78"/>
      <c r="BF35" s="78"/>
      <c r="BG35" s="121"/>
      <c r="BI35" s="78"/>
      <c r="BJ35" s="78"/>
      <c r="BK35" s="78"/>
      <c r="BL35" s="78"/>
      <c r="BM35" s="78"/>
      <c r="BN35" s="78"/>
      <c r="BO35" s="78"/>
      <c r="BP35" s="78"/>
      <c r="BQ35" s="78"/>
      <c r="BR35" s="78"/>
      <c r="BS35" s="78"/>
      <c r="BT35" s="78"/>
      <c r="BU35" s="78"/>
      <c r="BV35" s="78"/>
    </row>
    <row r="36" spans="1:74" customFormat="1">
      <c r="A36" s="17" t="str">
        <f>INDEX({"Resultado de operações descontinuadas (4Bio)";"Results of discontinued operations (4Bio)"},Home!$R$30)</f>
        <v>Resultado de operações descontinuadas (4Bio)</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14961.701548400801</v>
      </c>
      <c r="BC36" s="80">
        <v>58733.861981798997</v>
      </c>
      <c r="BD36" s="80">
        <v>55173.660956199899</v>
      </c>
      <c r="BE36" s="80">
        <v>11481.314300202201</v>
      </c>
      <c r="BF36" s="80">
        <v>16497.782219599998</v>
      </c>
      <c r="BG36" s="120">
        <v>8304.2441273999993</v>
      </c>
      <c r="BI36" s="80">
        <f>SUM(B36:E36)</f>
        <v>0</v>
      </c>
      <c r="BJ36" s="80">
        <f>SUM(F36:I36)</f>
        <v>0</v>
      </c>
      <c r="BK36" s="80">
        <f>SUM(J36:M36)</f>
        <v>0</v>
      </c>
      <c r="BL36" s="80">
        <f>SUM(N36:Q36)</f>
        <v>0</v>
      </c>
      <c r="BM36" s="80">
        <f>SUM(R36:U36)</f>
        <v>0</v>
      </c>
      <c r="BN36" s="80">
        <f>SUM(V36:Y36)</f>
        <v>0</v>
      </c>
      <c r="BO36" s="80">
        <f>SUM(Z36:AC36)</f>
        <v>0</v>
      </c>
      <c r="BP36" s="80">
        <f>SUM(AD36:AG36)</f>
        <v>0</v>
      </c>
      <c r="BQ36" s="80">
        <f>SUM(AH36:AK36)</f>
        <v>0</v>
      </c>
      <c r="BR36" s="80">
        <f>SUM(AL36:AO36)</f>
        <v>0</v>
      </c>
      <c r="BS36" s="80">
        <f>SUM(AP36:AS36)</f>
        <v>0</v>
      </c>
      <c r="BT36" s="80">
        <f>SUM(AT36:AW36)</f>
        <v>0</v>
      </c>
      <c r="BU36" s="80">
        <f>SUM(AX36:BA36)</f>
        <v>0</v>
      </c>
      <c r="BV36" s="80">
        <f>SUM(BB36:BE36)</f>
        <v>140350.53878660192</v>
      </c>
    </row>
    <row r="37" spans="1:74" customFormat="1">
      <c r="A37" s="94" t="str">
        <f>INDEX({"Lucro líquido";"Net income"},Home!$R$30)</f>
        <v>Lucro líquido</v>
      </c>
      <c r="B37" s="95">
        <f t="shared" ref="B37:BE37" si="24">B36+B34</f>
        <v>24819.78</v>
      </c>
      <c r="C37" s="95">
        <f t="shared" si="24"/>
        <v>51126.880000000005</v>
      </c>
      <c r="D37" s="95">
        <f t="shared" si="24"/>
        <v>37028.1</v>
      </c>
      <c r="E37" s="95">
        <f t="shared" si="24"/>
        <v>31269.62</v>
      </c>
      <c r="F37" s="95">
        <f t="shared" si="24"/>
        <v>18040.34</v>
      </c>
      <c r="G37" s="95">
        <f t="shared" si="24"/>
        <v>45637.119999999995</v>
      </c>
      <c r="H37" s="95">
        <f t="shared" si="24"/>
        <v>31924.92</v>
      </c>
      <c r="I37" s="95">
        <f t="shared" si="24"/>
        <v>37370.199999999997</v>
      </c>
      <c r="J37" s="95">
        <f t="shared" si="24"/>
        <v>30457.999999999833</v>
      </c>
      <c r="K37" s="95">
        <f t="shared" si="24"/>
        <v>63645.880000000005</v>
      </c>
      <c r="L37" s="95">
        <f t="shared" si="24"/>
        <v>70552.640000000014</v>
      </c>
      <c r="M37" s="95">
        <f t="shared" si="24"/>
        <v>64982.660000000134</v>
      </c>
      <c r="N37" s="95">
        <f t="shared" si="24"/>
        <v>70759</v>
      </c>
      <c r="O37" s="95">
        <f t="shared" si="24"/>
        <v>108647</v>
      </c>
      <c r="P37" s="95">
        <f t="shared" si="24"/>
        <v>84765.329999999929</v>
      </c>
      <c r="Q37" s="95">
        <f t="shared" si="24"/>
        <v>84166.87</v>
      </c>
      <c r="R37" s="95">
        <f t="shared" si="24"/>
        <v>90131.230000000229</v>
      </c>
      <c r="S37" s="95">
        <f t="shared" si="24"/>
        <v>157067.7600000003</v>
      </c>
      <c r="T37" s="95">
        <f t="shared" si="24"/>
        <v>116883.71999999983</v>
      </c>
      <c r="U37" s="95">
        <f t="shared" si="24"/>
        <v>92236.079999999856</v>
      </c>
      <c r="V37" s="95">
        <f t="shared" si="24"/>
        <v>105427.30999999976</v>
      </c>
      <c r="W37" s="95">
        <f t="shared" si="24"/>
        <v>137969.82999999958</v>
      </c>
      <c r="X37" s="95">
        <f t="shared" si="24"/>
        <v>136492.52000000019</v>
      </c>
      <c r="Y37" s="95">
        <f t="shared" si="24"/>
        <v>132622.8700000004</v>
      </c>
      <c r="Z37" s="95">
        <f t="shared" si="24"/>
        <v>121287.75999999998</v>
      </c>
      <c r="AA37" s="95">
        <f t="shared" si="24"/>
        <v>141774.63999999978</v>
      </c>
      <c r="AB37" s="95">
        <f t="shared" si="24"/>
        <v>131148.15999999977</v>
      </c>
      <c r="AC37" s="95">
        <f t="shared" si="24"/>
        <v>154403.68000000005</v>
      </c>
      <c r="AD37" s="95">
        <f t="shared" si="24"/>
        <v>105493.76430025762</v>
      </c>
      <c r="AE37" s="95">
        <f t="shared" si="24"/>
        <v>160485.92947483991</v>
      </c>
      <c r="AF37" s="95">
        <f t="shared" si="24"/>
        <v>152476.04292104501</v>
      </c>
      <c r="AG37" s="95">
        <f t="shared" si="24"/>
        <v>168692.40430214044</v>
      </c>
      <c r="AH37" s="95">
        <f t="shared" si="24"/>
        <v>152752.69121599162</v>
      </c>
      <c r="AI37" s="95">
        <f t="shared" si="24"/>
        <v>61688.36376944065</v>
      </c>
      <c r="AJ37" s="95">
        <f t="shared" si="24"/>
        <v>172871.26560484996</v>
      </c>
      <c r="AK37" s="95">
        <f t="shared" si="24"/>
        <v>213671.98377482145</v>
      </c>
      <c r="AL37" s="95">
        <f t="shared" si="24"/>
        <v>177946.3874565603</v>
      </c>
      <c r="AM37" s="95">
        <f t="shared" si="24"/>
        <v>232020.53517838015</v>
      </c>
      <c r="AN37" s="95">
        <f t="shared" si="24"/>
        <v>173567.26501911014</v>
      </c>
      <c r="AO37" s="95">
        <f t="shared" si="24"/>
        <v>204639.15935454765</v>
      </c>
      <c r="AP37" s="95">
        <f t="shared" si="24"/>
        <v>145264.22840565405</v>
      </c>
      <c r="AQ37" s="95">
        <f t="shared" si="24"/>
        <v>343746.49966968986</v>
      </c>
      <c r="AR37" s="95">
        <f t="shared" si="24"/>
        <v>201706.39137148752</v>
      </c>
      <c r="AS37" s="95">
        <f t="shared" si="24"/>
        <v>301100.95039126626</v>
      </c>
      <c r="AT37" s="95">
        <f t="shared" si="24"/>
        <v>203804.16332083917</v>
      </c>
      <c r="AU37" s="95">
        <f t="shared" si="24"/>
        <v>349224.66016418644</v>
      </c>
      <c r="AV37" s="95">
        <f t="shared" si="24"/>
        <v>268443.27512282669</v>
      </c>
      <c r="AW37" s="95">
        <f t="shared" si="24"/>
        <v>283315.07487296319</v>
      </c>
      <c r="AX37" s="95">
        <f t="shared" si="24"/>
        <v>213699.79374014481</v>
      </c>
      <c r="AY37" s="95">
        <f t="shared" si="24"/>
        <v>356613.18235695106</v>
      </c>
      <c r="AZ37" s="95">
        <f t="shared" si="24"/>
        <v>336819.23465563264</v>
      </c>
      <c r="BA37" s="95">
        <f t="shared" si="24"/>
        <v>381413.98723086272</v>
      </c>
      <c r="BB37" s="95">
        <f t="shared" si="24"/>
        <v>177106.70398303136</v>
      </c>
      <c r="BC37" s="95">
        <f t="shared" si="24"/>
        <v>402744.41610325855</v>
      </c>
      <c r="BD37" s="95">
        <f t="shared" si="24"/>
        <v>401985.7312549497</v>
      </c>
      <c r="BE37" s="95">
        <f t="shared" si="24"/>
        <v>361653.79474314128</v>
      </c>
      <c r="BF37" s="95">
        <f>BF36+BF34</f>
        <v>299752.0022809995</v>
      </c>
      <c r="BG37" s="95">
        <f>BG36+BG34</f>
        <v>432729.1636906034</v>
      </c>
      <c r="BI37" s="95">
        <f>BI36+BI34</f>
        <v>144244.38</v>
      </c>
      <c r="BJ37" s="95">
        <f t="shared" ref="BJ37:BV37" si="25">BJ36+BJ34</f>
        <v>132972.58000000002</v>
      </c>
      <c r="BK37" s="95">
        <f t="shared" si="25"/>
        <v>229639.17999999993</v>
      </c>
      <c r="BL37" s="95">
        <f t="shared" si="25"/>
        <v>348338.19999999995</v>
      </c>
      <c r="BM37" s="95">
        <f t="shared" si="25"/>
        <v>456318.78999999992</v>
      </c>
      <c r="BN37" s="95">
        <f t="shared" si="25"/>
        <v>512512.53000000055</v>
      </c>
      <c r="BO37" s="95">
        <f t="shared" si="25"/>
        <v>548614.24000000255</v>
      </c>
      <c r="BP37" s="95">
        <f t="shared" si="25"/>
        <v>587148.14099828422</v>
      </c>
      <c r="BQ37" s="95">
        <f t="shared" si="25"/>
        <v>600984.30436510523</v>
      </c>
      <c r="BR37" s="95">
        <f t="shared" si="25"/>
        <v>788173.34700859827</v>
      </c>
      <c r="BS37" s="95">
        <f t="shared" si="25"/>
        <v>991818.06983809662</v>
      </c>
      <c r="BT37" s="95">
        <f t="shared" si="25"/>
        <v>1104787.1734808148</v>
      </c>
      <c r="BU37" s="95">
        <f t="shared" si="25"/>
        <v>1288546.1979835946</v>
      </c>
      <c r="BV37" s="95">
        <f t="shared" si="25"/>
        <v>1343490.6460843836</v>
      </c>
    </row>
    <row r="38" spans="1:74" customFormat="1"/>
    <row r="39" spans="1:74" customFormat="1">
      <c r="A39" s="23" t="str">
        <f>INDEX({"*Inclui 4Bio a partir do 1T14.";"*Includes 4Bio as of 1Q14."},Home!$R$30)</f>
        <v>*Inclui 4Bio a partir do 1T14.</v>
      </c>
      <c r="B39" s="25"/>
      <c r="C39" s="25"/>
      <c r="D39" s="25"/>
      <c r="E39" s="25"/>
      <c r="F39" s="25"/>
      <c r="G39" s="25"/>
      <c r="H39" s="25"/>
      <c r="I39" s="26"/>
      <c r="J39" s="25"/>
      <c r="K39" s="25"/>
      <c r="L39" s="25"/>
      <c r="M39" s="26"/>
      <c r="N39" s="25"/>
      <c r="O39" s="25"/>
      <c r="P39" s="25"/>
      <c r="Q39" s="26"/>
      <c r="R39" s="25"/>
      <c r="S39" s="25"/>
      <c r="T39" s="25"/>
      <c r="U39" s="26"/>
      <c r="V39" s="25"/>
      <c r="W39" s="25"/>
      <c r="X39" s="25"/>
      <c r="Y39" s="25"/>
      <c r="Z39" s="25"/>
      <c r="AA39" s="25"/>
      <c r="AB39" s="25"/>
      <c r="AC39" s="25"/>
      <c r="AD39" s="25"/>
      <c r="AE39" s="25"/>
      <c r="AF39" s="25"/>
      <c r="AG39" s="25"/>
      <c r="AH39" s="25"/>
      <c r="AI39" s="25"/>
      <c r="AJ39" s="25"/>
      <c r="AK39" s="25"/>
      <c r="AL39" s="25"/>
      <c r="AM39" s="25"/>
      <c r="AN39" s="27"/>
      <c r="AO39" s="27"/>
      <c r="AP39" s="27"/>
      <c r="AQ39" s="23"/>
      <c r="AR39" s="23"/>
      <c r="AS39" s="23"/>
      <c r="AT39" s="23"/>
      <c r="AU39" s="23"/>
      <c r="AV39" s="23"/>
      <c r="AW39" s="23"/>
      <c r="AX39" s="23"/>
      <c r="AY39" s="23"/>
      <c r="AZ39" s="23"/>
      <c r="BA39" s="23"/>
      <c r="BB39" s="23"/>
      <c r="BC39" s="25"/>
      <c r="BD39" s="25"/>
      <c r="BE39" s="25"/>
      <c r="BF39" s="25"/>
      <c r="BG39" s="113"/>
      <c r="BI39" s="25"/>
      <c r="BJ39" s="25"/>
      <c r="BK39" s="25"/>
      <c r="BL39" s="25"/>
      <c r="BM39" s="25"/>
      <c r="BN39" s="25"/>
      <c r="BO39" s="25"/>
      <c r="BP39" s="25"/>
      <c r="BQ39" s="25"/>
      <c r="BR39" s="25"/>
      <c r="BS39" s="25"/>
      <c r="BT39" s="25"/>
      <c r="BU39" s="25"/>
      <c r="BV39" s="25"/>
    </row>
    <row r="40" spans="1:74" s="25" customFormat="1" ht="52">
      <c r="A40" s="30" t="str">
        <f>INDEX({"**Ajustado para considerar as operações da Onofre somente após suas respectivas integrações. As lojas foram incluídas de agosto em diante, enquanto a operação de e-commerce e as estruturas corporativa e de logística foram excluídas nesse trimestre.";"**Adjusted to consider Onofre’s operations only after their respective integration. Therefore, the stores are included from August onwards, while the e-commerce operations, as well as the corporate and logistics structures, have been fully excluded."},Home!$R$30)</f>
        <v>**Ajustado para considerar as operações da Onofre somente após suas respectivas integrações. As lojas foram incluídas de agosto em diante, enquanto a operação de e-commerce e as estruturas corporativa e de logística foram excluídas nesse trimestre.</v>
      </c>
      <c r="I40" s="26"/>
      <c r="M40" s="26"/>
      <c r="Q40" s="26"/>
      <c r="U40" s="26"/>
      <c r="AN40" s="27"/>
      <c r="AO40" s="27"/>
      <c r="AP40" s="27"/>
      <c r="AQ40" s="23"/>
      <c r="AR40" s="23"/>
      <c r="AS40" s="23"/>
      <c r="AT40" s="23"/>
      <c r="AU40" s="23"/>
      <c r="AV40" s="23"/>
      <c r="AW40" s="23"/>
      <c r="AX40" s="23"/>
      <c r="AY40" s="23"/>
      <c r="AZ40" s="23"/>
      <c r="BA40" s="23"/>
      <c r="BB40" s="23"/>
      <c r="BG40" s="113"/>
      <c r="BH40"/>
    </row>
  </sheetData>
  <pageMargins left="0.78740157499999996" right="0.78740157499999996" top="0.984251969" bottom="0.984251969" header="0.4921259845" footer="0.4921259845"/>
  <pageSetup paperSize="9" orientation="portrait" r:id="rId1"/>
  <ignoredErrors>
    <ignoredError sqref="BI3:BV25 BI27:BV31 BI37:BV37 BJ36:BV36 BJ33:BV35 BJ32:BV32 BI33:BI35 BI32 BI36"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BV40"/>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15" customWidth="1"/>
    <col min="2" max="2" width="10.6328125" style="15" customWidth="1"/>
    <col min="3" max="40" width="10.6328125" style="15"/>
    <col min="41" max="42" width="10.6328125" style="31"/>
    <col min="43" max="58" width="10.6328125" style="15"/>
    <col min="59" max="59" width="10.6328125" style="110"/>
    <col min="60" max="60" width="14.1796875" customWidth="1"/>
    <col min="61" max="16384" width="10.6328125" style="15"/>
  </cols>
  <sheetData>
    <row r="1" spans="1:74" s="14" customFormat="1" ht="20" customHeight="1" thickBot="1">
      <c r="A1" s="61" t="str">
        <f>INDEX({"DRE Consolidado IAS 17 (R$ mil)";"Consolidated Income Statement IAS 17 (R$ thousands)"},Home!$R$30)</f>
        <v>DRE Consolidado IAS 17 (R$ mil)</v>
      </c>
      <c r="B1" s="70" t="str">
        <f>INDEX({"1T12";"1Q12"},Home!$R$30)</f>
        <v>1T12</v>
      </c>
      <c r="C1" s="70" t="str">
        <f>INDEX({"2T12";"2Q12"},Home!$R$30)</f>
        <v>2T12</v>
      </c>
      <c r="D1" s="70" t="str">
        <f>INDEX({"3T12";"3Q12"},Home!$R$30)</f>
        <v>3T12</v>
      </c>
      <c r="E1" s="70" t="str">
        <f>INDEX({"4T12";"4Q12"},Home!$R$30)</f>
        <v>4T12</v>
      </c>
      <c r="F1" s="70" t="str">
        <f>INDEX({"1T13";"1Q13"},Home!$R$30)</f>
        <v>1T13</v>
      </c>
      <c r="G1" s="70" t="str">
        <f>INDEX({"2T13";"2Q13"},Home!$R$30)</f>
        <v>2T13</v>
      </c>
      <c r="H1" s="70" t="str">
        <f>INDEX({"3T13";"3Q13"},Home!$R$30)</f>
        <v>3T13</v>
      </c>
      <c r="I1" s="70" t="str">
        <f>INDEX({"4T13";"4Q13"},Home!$R$30)</f>
        <v>4T13</v>
      </c>
      <c r="J1" s="70" t="str">
        <f>INDEX({"1T14*";"1Q14*"},Home!$R$30)</f>
        <v>1T14*</v>
      </c>
      <c r="K1" s="70" t="str">
        <f>INDEX({"2T14";"2Q14"},Home!$R$30)</f>
        <v>2T14</v>
      </c>
      <c r="L1" s="70" t="str">
        <f>INDEX({"3T14";"3Q14"},Home!$R$30)</f>
        <v>3T14</v>
      </c>
      <c r="M1" s="70" t="str">
        <f>INDEX({"4T14";"4Q14"},Home!$R$30)</f>
        <v>4T14</v>
      </c>
      <c r="N1" s="70" t="str">
        <f>INDEX({"1T15";"1Q15"},Home!$R$30)</f>
        <v>1T15</v>
      </c>
      <c r="O1" s="70" t="str">
        <f>INDEX({"2T15";"2Q15"},Home!$R$30)</f>
        <v>2T15</v>
      </c>
      <c r="P1" s="70" t="str">
        <f>INDEX({"3T15";"3Q15"},Home!$R$30)</f>
        <v>3T15</v>
      </c>
      <c r="Q1" s="70" t="str">
        <f>INDEX({"4T15";"4Q15"},Home!$R$30)</f>
        <v>4T15</v>
      </c>
      <c r="R1" s="70" t="str">
        <f>INDEX({"1T16";"1Q16"},Home!$R$30)</f>
        <v>1T16</v>
      </c>
      <c r="S1" s="70" t="str">
        <f>INDEX({"2T16";"2Q16"},Home!$R$30)</f>
        <v>2T16</v>
      </c>
      <c r="T1" s="70" t="str">
        <f>INDEX({"3T16";"3Q16"},Home!$R$30)</f>
        <v>3T16</v>
      </c>
      <c r="U1" s="70" t="str">
        <f>INDEX({"4T16";"4Q16"},Home!$R$30)</f>
        <v>4T16</v>
      </c>
      <c r="V1" s="70" t="str">
        <f>INDEX({"1T17";"1Q17"},Home!$R$30)</f>
        <v>1T17</v>
      </c>
      <c r="W1" s="70" t="str">
        <f>INDEX({"2T17";"2Q17"},Home!$R$30)</f>
        <v>2T17</v>
      </c>
      <c r="X1" s="70" t="str">
        <f>INDEX({"3T17";"3Q17"},Home!$R$30)</f>
        <v>3T17</v>
      </c>
      <c r="Y1" s="70" t="str">
        <f>INDEX({"4T17";"4Q17"},Home!$R$30)</f>
        <v>4T17</v>
      </c>
      <c r="Z1" s="70" t="str">
        <f>INDEX({"1T18";"1Q18"},Home!$R$30)</f>
        <v>1T18</v>
      </c>
      <c r="AA1" s="70" t="str">
        <f>INDEX({"2T18";"2Q18"},Home!$R$30)</f>
        <v>2T18</v>
      </c>
      <c r="AB1" s="70" t="str">
        <f>INDEX({"3T18";"3Q18"},Home!$R$30)</f>
        <v>3T18</v>
      </c>
      <c r="AC1" s="70" t="str">
        <f>INDEX({"4T18";"4Q18"},Home!$R$30)</f>
        <v>4T18</v>
      </c>
      <c r="AD1" s="70" t="str">
        <f>INDEX({"1T19";"1Q19"},Home!$R$30)</f>
        <v>1T19</v>
      </c>
      <c r="AE1" s="70" t="str">
        <f>INDEX({"2T19";"2Q19"},Home!$R$30)</f>
        <v>2T19</v>
      </c>
      <c r="AF1" s="70" t="str">
        <f>INDEX({"3T19**";"3Q19**"},Home!$R$30)</f>
        <v>3T19**</v>
      </c>
      <c r="AG1" s="70" t="str">
        <f>INDEX({"4T19";"4Q19"},Home!$R$30)</f>
        <v>4T19</v>
      </c>
      <c r="AH1" s="70" t="str">
        <f>INDEX({"1T20";"1Q20"},Home!$R$30)</f>
        <v>1T20</v>
      </c>
      <c r="AI1" s="70" t="str">
        <f>INDEX({"2T20";"2Q20"},Home!$R$30)</f>
        <v>2T20</v>
      </c>
      <c r="AJ1" s="70" t="str">
        <f>INDEX({"3T20";"3Q20"},Home!$R$30)</f>
        <v>3T20</v>
      </c>
      <c r="AK1" s="70" t="str">
        <f>INDEX({"4T20";"4Q20"},Home!$R$30)</f>
        <v>4T20</v>
      </c>
      <c r="AL1" s="70" t="str">
        <f>INDEX({"1T21";"1Q21"},Home!$R$30)</f>
        <v>1T21</v>
      </c>
      <c r="AM1" s="70" t="str">
        <f>INDEX({"2T21";"2Q21"},Home!$R$30)</f>
        <v>2T21</v>
      </c>
      <c r="AN1" s="70" t="str">
        <f>INDEX({"3T21";"3Q21"},Home!$R$30)</f>
        <v>3T21</v>
      </c>
      <c r="AO1" s="70" t="str">
        <f>INDEX({"4T21";"4Q21"},Home!$R$30)</f>
        <v>4T21</v>
      </c>
      <c r="AP1" s="70" t="str">
        <f>INDEX({"1T22";"1Q22"},Home!$R$30)</f>
        <v>1T22</v>
      </c>
      <c r="AQ1" s="70" t="str">
        <f>INDEX({"2T22";"2Q22"},Home!$R$30)</f>
        <v>2T22</v>
      </c>
      <c r="AR1" s="70" t="str">
        <f>INDEX({"3T22";"3Q22"},Home!$R$30)</f>
        <v>3T22</v>
      </c>
      <c r="AS1" s="70" t="str">
        <f>INDEX({"4T22";"4Q22"},Home!$R$30)</f>
        <v>4T22</v>
      </c>
      <c r="AT1" s="70" t="str">
        <f>INDEX({"1T23";"1Q23"},Home!$R$30)</f>
        <v>1T23</v>
      </c>
      <c r="AU1" s="70" t="str">
        <f>INDEX({"2T23";"2Q23"},Home!$R$30)</f>
        <v>2T23</v>
      </c>
      <c r="AV1" s="70" t="str">
        <f>INDEX({"3T23";"3Q23"},Home!$R$30)</f>
        <v>3T23</v>
      </c>
      <c r="AW1" s="70" t="str">
        <f>INDEX({"4T23";"4Q23"},Home!$R$30)</f>
        <v>4T23</v>
      </c>
      <c r="AX1" s="70" t="str">
        <f>INDEX({"1T24";"1Q24"},Home!$R$30)</f>
        <v>1T24</v>
      </c>
      <c r="AY1" s="70" t="str">
        <f>INDEX({"2T24";"2Q24"},Home!$R$30)</f>
        <v>2T24</v>
      </c>
      <c r="AZ1" s="70" t="str">
        <f>INDEX({"3T24";"3Q24"},Home!$R$30)</f>
        <v>3T24</v>
      </c>
      <c r="BA1" s="70" t="str">
        <f>INDEX({"4T24";"4Q24"},Home!$R$30)</f>
        <v>4T24</v>
      </c>
      <c r="BB1" s="70" t="str">
        <f>INDEX({"1T25";"1Q25"},Home!$R$30)</f>
        <v>1T25</v>
      </c>
      <c r="BC1" s="70" t="str">
        <f>INDEX({"2T25";"2Q25"},Home!$R$30)</f>
        <v>2T25</v>
      </c>
      <c r="BD1" s="70" t="str">
        <f>INDEX({"3T25";"3Q25"},Home!$R$30)</f>
        <v>3T25</v>
      </c>
      <c r="BE1" s="70" t="str">
        <f>INDEX({"4T25";"4Q25"},Home!$R$30)</f>
        <v>4T25</v>
      </c>
      <c r="BF1" s="70" t="str">
        <f>INDEX({"1T26";"1Q26"},Home!$R$30)</f>
        <v>1T26</v>
      </c>
      <c r="BG1" s="70" t="str">
        <f>INDEX({"2T26";"2Q26"},Home!$R$30)</f>
        <v>2T26</v>
      </c>
      <c r="BH1"/>
      <c r="BI1" s="77">
        <v>2012</v>
      </c>
      <c r="BJ1" s="77">
        <f>BI1+1</f>
        <v>2013</v>
      </c>
      <c r="BK1" s="77">
        <f t="shared" ref="BK1:BV1" si="0">BJ1+1</f>
        <v>2014</v>
      </c>
      <c r="BL1" s="77">
        <f t="shared" si="0"/>
        <v>2015</v>
      </c>
      <c r="BM1" s="77">
        <f t="shared" si="0"/>
        <v>2016</v>
      </c>
      <c r="BN1" s="77">
        <f t="shared" si="0"/>
        <v>2017</v>
      </c>
      <c r="BO1" s="77">
        <f t="shared" si="0"/>
        <v>2018</v>
      </c>
      <c r="BP1" s="77">
        <f t="shared" si="0"/>
        <v>2019</v>
      </c>
      <c r="BQ1" s="77">
        <f t="shared" si="0"/>
        <v>2020</v>
      </c>
      <c r="BR1" s="77">
        <f t="shared" si="0"/>
        <v>2021</v>
      </c>
      <c r="BS1" s="77">
        <f t="shared" si="0"/>
        <v>2022</v>
      </c>
      <c r="BT1" s="77">
        <f t="shared" si="0"/>
        <v>2023</v>
      </c>
      <c r="BU1" s="77">
        <f t="shared" si="0"/>
        <v>2024</v>
      </c>
      <c r="BV1" s="77">
        <f t="shared" si="0"/>
        <v>2025</v>
      </c>
    </row>
    <row r="2" spans="1:74" customFormat="1">
      <c r="A2" s="25"/>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84"/>
      <c r="AP2" s="84"/>
      <c r="AQ2" s="78"/>
      <c r="AR2" s="78"/>
      <c r="AS2" s="78"/>
      <c r="AT2" s="79" t="str">
        <f>INDEX({"Reclassif.";"Reclassif."},Home!$R$30)</f>
        <v>Reclassif.</v>
      </c>
      <c r="AU2" s="79" t="str">
        <f>INDEX({"Reclassif.";"Reclassif."},Home!$R$30)</f>
        <v>Reclassif.</v>
      </c>
      <c r="AV2" s="79" t="str">
        <f>INDEX({"Reclassif.";"Reclassif."},Home!$R$30)</f>
        <v>Reclassif.</v>
      </c>
      <c r="AW2" s="79" t="str">
        <f>INDEX({"Reclassif.";"Reclassif."},Home!$R$30)</f>
        <v>Reclassif.</v>
      </c>
      <c r="AX2" s="78"/>
      <c r="AY2" s="78"/>
      <c r="AZ2" s="78"/>
      <c r="BA2" s="78"/>
      <c r="BB2" s="79" t="str">
        <f>INDEX({"Reapresentado";"Resubmitted"},Home!$R$30)</f>
        <v>Reapresentado</v>
      </c>
      <c r="BC2" s="79" t="str">
        <f>INDEX({"Reapresentado";"Resubmitted"},Home!$R$30)</f>
        <v>Reapresentado</v>
      </c>
      <c r="BD2" s="79" t="str">
        <f>INDEX({"Reapresentado";"Resubmitted"},Home!$R$30)</f>
        <v>Reapresentado</v>
      </c>
      <c r="BE2" s="79" t="str">
        <f>INDEX({"Reapresentado";"Resubmitted"},Home!$R$30)</f>
        <v>Reapresentado</v>
      </c>
      <c r="BF2" s="78"/>
      <c r="BG2" s="121"/>
      <c r="BI2" s="79"/>
      <c r="BJ2" s="79"/>
      <c r="BK2" s="79"/>
      <c r="BL2" s="79"/>
      <c r="BM2" s="79"/>
      <c r="BN2" s="79"/>
      <c r="BO2" s="79"/>
      <c r="BP2" s="79"/>
      <c r="BQ2" s="79"/>
      <c r="BR2" s="79"/>
      <c r="BS2" s="79"/>
      <c r="BT2" s="79" t="str">
        <f>INDEX({"Reclassif.";"Reclassif."},Home!$R$30)</f>
        <v>Reclassif.</v>
      </c>
      <c r="BU2" s="79"/>
      <c r="BV2" s="79" t="str">
        <f>INDEX({"Reapresentado";"Resubmitted"},Home!$R$30)</f>
        <v>Reapresentado</v>
      </c>
    </row>
    <row r="3" spans="1:74" customFormat="1">
      <c r="A3" s="94" t="str">
        <f>INDEX({"Receita bruta de vendas e serviços";"Gross revenue"},Home!$R$30)</f>
        <v>Receita bruta de vendas e serviços</v>
      </c>
      <c r="B3" s="95">
        <v>1286847</v>
      </c>
      <c r="C3" s="95">
        <v>1375186</v>
      </c>
      <c r="D3" s="95">
        <v>1451823</v>
      </c>
      <c r="E3" s="95">
        <v>1479979</v>
      </c>
      <c r="F3" s="95">
        <v>1438405</v>
      </c>
      <c r="G3" s="95">
        <v>1604091</v>
      </c>
      <c r="H3" s="95">
        <v>1682958</v>
      </c>
      <c r="I3" s="95">
        <v>1738649</v>
      </c>
      <c r="J3" s="95">
        <v>1746332</v>
      </c>
      <c r="K3" s="95">
        <v>1885310</v>
      </c>
      <c r="L3" s="95">
        <v>2024309</v>
      </c>
      <c r="M3" s="95">
        <v>2128284</v>
      </c>
      <c r="N3" s="95">
        <v>2090599</v>
      </c>
      <c r="O3" s="95">
        <v>2323102</v>
      </c>
      <c r="P3" s="95">
        <v>2436861</v>
      </c>
      <c r="Q3" s="95">
        <v>2574215</v>
      </c>
      <c r="R3" s="95">
        <v>2641079.1</v>
      </c>
      <c r="S3" s="95">
        <v>2930451.35</v>
      </c>
      <c r="T3" s="95">
        <v>3050163.15</v>
      </c>
      <c r="U3" s="95">
        <v>3205873</v>
      </c>
      <c r="V3" s="95">
        <v>3212406.09</v>
      </c>
      <c r="W3" s="95">
        <v>3397859.85</v>
      </c>
      <c r="X3" s="95">
        <v>3580024.45</v>
      </c>
      <c r="Y3" s="95">
        <v>3662178.24</v>
      </c>
      <c r="Z3" s="95">
        <v>3603969.05</v>
      </c>
      <c r="AA3" s="95">
        <v>3791577.67</v>
      </c>
      <c r="AB3" s="95">
        <v>3944676.76</v>
      </c>
      <c r="AC3" s="95">
        <v>4178909.37</v>
      </c>
      <c r="AD3" s="95">
        <v>4153922.8716500006</v>
      </c>
      <c r="AE3" s="95">
        <v>4440683.2908499995</v>
      </c>
      <c r="AF3" s="95">
        <v>4771279.8809899958</v>
      </c>
      <c r="AG3" s="95">
        <v>5030160.0746200001</v>
      </c>
      <c r="AH3" s="95">
        <v>5206320.2216200009</v>
      </c>
      <c r="AI3" s="95">
        <v>4721872.3380100001</v>
      </c>
      <c r="AJ3" s="95">
        <v>5384230.3225699998</v>
      </c>
      <c r="AK3" s="95">
        <v>5868052.4856400015</v>
      </c>
      <c r="AL3" s="95">
        <v>5979507</v>
      </c>
      <c r="AM3" s="95">
        <v>6245162</v>
      </c>
      <c r="AN3" s="95">
        <v>6527874.65833</v>
      </c>
      <c r="AO3" s="95">
        <v>6853140.17294</v>
      </c>
      <c r="AP3" s="95">
        <v>6972490</v>
      </c>
      <c r="AQ3" s="95">
        <v>7641161.3537899991</v>
      </c>
      <c r="AR3" s="95">
        <v>7985785.9976899987</v>
      </c>
      <c r="AS3" s="95">
        <v>8351126.2797199991</v>
      </c>
      <c r="AT3" s="95">
        <v>8471318.9039799999</v>
      </c>
      <c r="AU3" s="95">
        <v>9013829.9642600007</v>
      </c>
      <c r="AV3" s="95">
        <v>9274782.4353400003</v>
      </c>
      <c r="AW3" s="95">
        <v>9538835.722529998</v>
      </c>
      <c r="AX3" s="95">
        <v>9767155.5103699993</v>
      </c>
      <c r="AY3" s="95">
        <v>10402635.421470001</v>
      </c>
      <c r="AZ3" s="95">
        <v>10749829.755501499</v>
      </c>
      <c r="BA3" s="95">
        <v>10862352.5405472</v>
      </c>
      <c r="BB3" s="95">
        <v>9947885.9391099997</v>
      </c>
      <c r="BC3" s="95">
        <v>10803985.76362</v>
      </c>
      <c r="BD3" s="95">
        <v>11347941.99085</v>
      </c>
      <c r="BE3" s="95">
        <v>12186767.19513</v>
      </c>
      <c r="BF3" s="95">
        <v>11979520.748990001</v>
      </c>
      <c r="BG3" s="119">
        <v>12777743.22043</v>
      </c>
      <c r="BI3" s="95">
        <f>SUM(B3:E3)</f>
        <v>5593835</v>
      </c>
      <c r="BJ3" s="95">
        <f>SUM(F3:I3)</f>
        <v>6464103</v>
      </c>
      <c r="BK3" s="95">
        <f>SUM(J3:M3)</f>
        <v>7784235</v>
      </c>
      <c r="BL3" s="95">
        <f>SUM(N3:Q3)</f>
        <v>9424777</v>
      </c>
      <c r="BM3" s="95">
        <f>SUM(R3:U3)</f>
        <v>11827566.6</v>
      </c>
      <c r="BN3" s="95">
        <f>SUM(V3:Y3)</f>
        <v>13852468.630000001</v>
      </c>
      <c r="BO3" s="95">
        <f>SUM(Z3:AC3)</f>
        <v>15519132.850000001</v>
      </c>
      <c r="BP3" s="95">
        <f>SUM(AD3:AG3)</f>
        <v>18396046.118109997</v>
      </c>
      <c r="BQ3" s="95">
        <f>SUM(AH3:AK3)</f>
        <v>21180475.367840003</v>
      </c>
      <c r="BR3" s="95">
        <f>SUM(AL3:AO3)</f>
        <v>25605683.831270002</v>
      </c>
      <c r="BS3" s="95">
        <f>SUM(AP3:AS3)</f>
        <v>30950563.631200001</v>
      </c>
      <c r="BT3" s="95">
        <f>SUM(AT3:AW3)</f>
        <v>36298767.026110001</v>
      </c>
      <c r="BU3" s="95">
        <f>SUM(AX3:BA3)</f>
        <v>41781973.227888703</v>
      </c>
      <c r="BV3" s="95">
        <f>SUM(BB3:BE3)</f>
        <v>44286580.88871</v>
      </c>
    </row>
    <row r="4" spans="1:74" customFormat="1">
      <c r="A4" s="17" t="str">
        <f>INDEX({"Deduções";"Taxes, Discounts and Returns"},Home!$R$30)</f>
        <v>Deduções</v>
      </c>
      <c r="B4" s="80">
        <v>-56820</v>
      </c>
      <c r="C4" s="80">
        <v>-58392</v>
      </c>
      <c r="D4" s="80">
        <v>-62240</v>
      </c>
      <c r="E4" s="80">
        <v>-58048</v>
      </c>
      <c r="F4" s="80">
        <v>-54634</v>
      </c>
      <c r="G4" s="80">
        <v>-70953</v>
      </c>
      <c r="H4" s="80">
        <v>-64687</v>
      </c>
      <c r="I4" s="80">
        <v>-66660</v>
      </c>
      <c r="J4" s="80">
        <v>-69356</v>
      </c>
      <c r="K4" s="80">
        <v>-76180</v>
      </c>
      <c r="L4" s="80">
        <v>-80346</v>
      </c>
      <c r="M4" s="80">
        <v>-86264</v>
      </c>
      <c r="N4" s="80">
        <v>-86153</v>
      </c>
      <c r="O4" s="80">
        <v>-96387</v>
      </c>
      <c r="P4" s="80">
        <v>-104321</v>
      </c>
      <c r="Q4" s="80">
        <v>-115961</v>
      </c>
      <c r="R4" s="80">
        <v>-125651.82</v>
      </c>
      <c r="S4" s="80">
        <v>-147239.9</v>
      </c>
      <c r="T4" s="80">
        <v>-149233.26999999999</v>
      </c>
      <c r="U4" s="80">
        <v>-148876.21</v>
      </c>
      <c r="V4" s="80">
        <v>-155295.65</v>
      </c>
      <c r="W4" s="80">
        <v>-160601.76</v>
      </c>
      <c r="X4" s="80">
        <v>-163184.37</v>
      </c>
      <c r="Y4" s="80">
        <v>-160881.96</v>
      </c>
      <c r="Z4" s="80">
        <v>-170391.34</v>
      </c>
      <c r="AA4" s="80">
        <v>-177588.81</v>
      </c>
      <c r="AB4" s="80">
        <v>-187862.87</v>
      </c>
      <c r="AC4" s="80">
        <v>-181845.1</v>
      </c>
      <c r="AD4" s="80">
        <v>-200571.39491</v>
      </c>
      <c r="AE4" s="80">
        <v>-215189.33674999999</v>
      </c>
      <c r="AF4" s="80">
        <v>-232343.88381</v>
      </c>
      <c r="AG4" s="80">
        <v>-245045.46244</v>
      </c>
      <c r="AH4" s="80">
        <v>-256448.92066</v>
      </c>
      <c r="AI4" s="80">
        <v>-252097.95259</v>
      </c>
      <c r="AJ4" s="80">
        <v>-290778.76572999998</v>
      </c>
      <c r="AK4" s="80">
        <v>-314311.32543000003</v>
      </c>
      <c r="AL4" s="80">
        <v>-359456.13932000002</v>
      </c>
      <c r="AM4" s="80">
        <v>-376898.37956000003</v>
      </c>
      <c r="AN4" s="80">
        <v>-363013</v>
      </c>
      <c r="AO4" s="80">
        <v>-379314.77528</v>
      </c>
      <c r="AP4" s="80">
        <v>-409985.51458999992</v>
      </c>
      <c r="AQ4" s="80">
        <v>-462399.95567000011</v>
      </c>
      <c r="AR4" s="80">
        <v>-495920.29657000001</v>
      </c>
      <c r="AS4" s="80">
        <v>-514877.67183999997</v>
      </c>
      <c r="AT4" s="80">
        <v>-546933.00274935085</v>
      </c>
      <c r="AU4" s="80">
        <v>-581161.80842442531</v>
      </c>
      <c r="AV4" s="80">
        <v>-610296.09252269962</v>
      </c>
      <c r="AW4" s="80">
        <v>-629677.57463639928</v>
      </c>
      <c r="AX4" s="80">
        <v>-666661.59641999996</v>
      </c>
      <c r="AY4" s="80">
        <v>-715414.97257999971</v>
      </c>
      <c r="AZ4" s="80">
        <v>-760708.15104000003</v>
      </c>
      <c r="BA4" s="80">
        <v>-767666.77317000006</v>
      </c>
      <c r="BB4" s="80">
        <v>-674903.75679000001</v>
      </c>
      <c r="BC4" s="80">
        <v>-729302.57030000002</v>
      </c>
      <c r="BD4" s="80">
        <v>-767440.05429</v>
      </c>
      <c r="BE4" s="80">
        <v>-817574.6311</v>
      </c>
      <c r="BF4" s="80">
        <v>-1410931.5080900004</v>
      </c>
      <c r="BG4" s="120">
        <v>-1715344.4203700002</v>
      </c>
      <c r="BI4" s="80">
        <f>SUM(B4:E4)</f>
        <v>-235500</v>
      </c>
      <c r="BJ4" s="80">
        <f>SUM(F4:I4)</f>
        <v>-256934</v>
      </c>
      <c r="BK4" s="80">
        <f>SUM(J4:M4)</f>
        <v>-312146</v>
      </c>
      <c r="BL4" s="80">
        <f>SUM(N4:Q4)</f>
        <v>-402822</v>
      </c>
      <c r="BM4" s="80">
        <f>SUM(R4:U4)</f>
        <v>-571001.19999999995</v>
      </c>
      <c r="BN4" s="80">
        <f>SUM(V4:Y4)</f>
        <v>-639963.74</v>
      </c>
      <c r="BO4" s="80">
        <f>SUM(Z4:AC4)</f>
        <v>-717688.12</v>
      </c>
      <c r="BP4" s="80">
        <f>SUM(AD4:AG4)</f>
        <v>-893150.07790999999</v>
      </c>
      <c r="BQ4" s="80">
        <f>SUM(AH4:AK4)</f>
        <v>-1113636.96441</v>
      </c>
      <c r="BR4" s="80">
        <f>SUM(AL4:AO4)</f>
        <v>-1478682.29416</v>
      </c>
      <c r="BS4" s="80">
        <f>SUM(AP4:AS4)</f>
        <v>-1883183.4386700001</v>
      </c>
      <c r="BT4" s="80">
        <f>SUM(AT4:AW4)</f>
        <v>-2368068.4783328753</v>
      </c>
      <c r="BU4" s="80">
        <f>SUM(AX4:BA4)</f>
        <v>-2910451.4932099995</v>
      </c>
      <c r="BV4" s="80">
        <f>SUM(BB4:BE4)</f>
        <v>-2989221.01248</v>
      </c>
    </row>
    <row r="5" spans="1:74" customFormat="1">
      <c r="A5" s="25"/>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84"/>
      <c r="AP5" s="84"/>
      <c r="AQ5" s="78"/>
      <c r="AR5" s="78"/>
      <c r="AS5" s="78"/>
      <c r="AT5" s="78"/>
      <c r="AU5" s="78"/>
      <c r="AV5" s="78"/>
      <c r="AW5" s="78"/>
      <c r="AX5" s="78"/>
      <c r="AY5" s="78"/>
      <c r="AZ5" s="78"/>
      <c r="BA5" s="78"/>
      <c r="BB5" s="78"/>
      <c r="BC5" s="78"/>
      <c r="BD5" s="78"/>
      <c r="BE5" s="78"/>
      <c r="BF5" s="78"/>
      <c r="BG5" s="121"/>
      <c r="BI5" s="78"/>
      <c r="BJ5" s="78"/>
      <c r="BK5" s="78"/>
      <c r="BL5" s="78"/>
      <c r="BM5" s="78"/>
      <c r="BN5" s="78"/>
      <c r="BO5" s="78"/>
      <c r="BP5" s="78"/>
      <c r="BQ5" s="78"/>
      <c r="BR5" s="78"/>
      <c r="BS5" s="78"/>
      <c r="BT5" s="78"/>
      <c r="BU5" s="78"/>
      <c r="BV5" s="78"/>
    </row>
    <row r="6" spans="1:74" customFormat="1">
      <c r="A6" s="19" t="str">
        <f>INDEX({"Receita líquida de vendas e serviços";"Net revenue"},Home!$R$30)</f>
        <v>Receita líquida de vendas e serviços</v>
      </c>
      <c r="B6" s="81">
        <f t="shared" ref="B6:AZ6" si="1">B3+B4</f>
        <v>1230027</v>
      </c>
      <c r="C6" s="81">
        <f t="shared" si="1"/>
        <v>1316794</v>
      </c>
      <c r="D6" s="81">
        <f t="shared" si="1"/>
        <v>1389583</v>
      </c>
      <c r="E6" s="81">
        <f t="shared" si="1"/>
        <v>1421931</v>
      </c>
      <c r="F6" s="81">
        <f t="shared" si="1"/>
        <v>1383771</v>
      </c>
      <c r="G6" s="81">
        <f t="shared" si="1"/>
        <v>1533138</v>
      </c>
      <c r="H6" s="81">
        <f t="shared" si="1"/>
        <v>1618271</v>
      </c>
      <c r="I6" s="81">
        <f t="shared" si="1"/>
        <v>1671989</v>
      </c>
      <c r="J6" s="81">
        <f t="shared" si="1"/>
        <v>1676976</v>
      </c>
      <c r="K6" s="81">
        <f t="shared" si="1"/>
        <v>1809130</v>
      </c>
      <c r="L6" s="81">
        <f t="shared" si="1"/>
        <v>1943963</v>
      </c>
      <c r="M6" s="81">
        <f t="shared" si="1"/>
        <v>2042020</v>
      </c>
      <c r="N6" s="81">
        <f t="shared" si="1"/>
        <v>2004446</v>
      </c>
      <c r="O6" s="81">
        <f t="shared" si="1"/>
        <v>2226715</v>
      </c>
      <c r="P6" s="81">
        <f t="shared" si="1"/>
        <v>2332540</v>
      </c>
      <c r="Q6" s="81">
        <f t="shared" si="1"/>
        <v>2458254</v>
      </c>
      <c r="R6" s="81">
        <f t="shared" si="1"/>
        <v>2515427.2800000003</v>
      </c>
      <c r="S6" s="81">
        <f t="shared" si="1"/>
        <v>2783211.45</v>
      </c>
      <c r="T6" s="81">
        <f t="shared" si="1"/>
        <v>2900929.88</v>
      </c>
      <c r="U6" s="81">
        <f t="shared" si="1"/>
        <v>3056996.79</v>
      </c>
      <c r="V6" s="81">
        <f t="shared" si="1"/>
        <v>3057110.44</v>
      </c>
      <c r="W6" s="81">
        <f t="shared" si="1"/>
        <v>3237258.09</v>
      </c>
      <c r="X6" s="81">
        <f t="shared" si="1"/>
        <v>3416840.08</v>
      </c>
      <c r="Y6" s="81">
        <f t="shared" si="1"/>
        <v>3501296.2800000003</v>
      </c>
      <c r="Z6" s="81">
        <f t="shared" si="1"/>
        <v>3433577.71</v>
      </c>
      <c r="AA6" s="81">
        <f t="shared" si="1"/>
        <v>3613988.86</v>
      </c>
      <c r="AB6" s="81">
        <f t="shared" si="1"/>
        <v>3756813.8899999997</v>
      </c>
      <c r="AC6" s="81">
        <f t="shared" si="1"/>
        <v>3997064.27</v>
      </c>
      <c r="AD6" s="81">
        <f t="shared" si="1"/>
        <v>3953351.4767400008</v>
      </c>
      <c r="AE6" s="81">
        <f t="shared" si="1"/>
        <v>4225493.9540999997</v>
      </c>
      <c r="AF6" s="81">
        <f t="shared" si="1"/>
        <v>4538935.9971799962</v>
      </c>
      <c r="AG6" s="81">
        <f t="shared" si="1"/>
        <v>4785114.6121800002</v>
      </c>
      <c r="AH6" s="81">
        <f t="shared" si="1"/>
        <v>4949871.3009600006</v>
      </c>
      <c r="AI6" s="81">
        <f t="shared" si="1"/>
        <v>4469774.3854200002</v>
      </c>
      <c r="AJ6" s="81">
        <f t="shared" si="1"/>
        <v>5093451.5568399997</v>
      </c>
      <c r="AK6" s="81">
        <f t="shared" si="1"/>
        <v>5553741.1602100013</v>
      </c>
      <c r="AL6" s="81">
        <f t="shared" si="1"/>
        <v>5620050.8606799999</v>
      </c>
      <c r="AM6" s="81">
        <f t="shared" si="1"/>
        <v>5868263.6204399997</v>
      </c>
      <c r="AN6" s="81">
        <f t="shared" si="1"/>
        <v>6164861.65833</v>
      </c>
      <c r="AO6" s="81">
        <f t="shared" si="1"/>
        <v>6473825.3976600002</v>
      </c>
      <c r="AP6" s="81">
        <f t="shared" si="1"/>
        <v>6562504.4854100002</v>
      </c>
      <c r="AQ6" s="81">
        <f t="shared" si="1"/>
        <v>7178761.3981199991</v>
      </c>
      <c r="AR6" s="81">
        <f t="shared" si="1"/>
        <v>7489865.7011199985</v>
      </c>
      <c r="AS6" s="81">
        <f t="shared" si="1"/>
        <v>7836248.6078799991</v>
      </c>
      <c r="AT6" s="81">
        <f t="shared" si="1"/>
        <v>7924385.9012306491</v>
      </c>
      <c r="AU6" s="81">
        <f t="shared" si="1"/>
        <v>8432668.1558355764</v>
      </c>
      <c r="AV6" s="81">
        <f t="shared" si="1"/>
        <v>8664486.3428173009</v>
      </c>
      <c r="AW6" s="81">
        <f t="shared" si="1"/>
        <v>8909158.1478935983</v>
      </c>
      <c r="AX6" s="81">
        <f t="shared" si="1"/>
        <v>9100493.91395</v>
      </c>
      <c r="AY6" s="81">
        <f t="shared" si="1"/>
        <v>9687220.4488900024</v>
      </c>
      <c r="AZ6" s="81">
        <f t="shared" si="1"/>
        <v>9989121.6044614986</v>
      </c>
      <c r="BA6" s="81">
        <f t="shared" ref="BA6:BC6" si="2">BA3+BA4</f>
        <v>10094685.7673772</v>
      </c>
      <c r="BB6" s="81">
        <f t="shared" si="2"/>
        <v>9272982.1823199987</v>
      </c>
      <c r="BC6" s="81">
        <f t="shared" si="2"/>
        <v>10074683.193320001</v>
      </c>
      <c r="BD6" s="81">
        <f t="shared" ref="BD6:BG6" si="3">BD3+BD4</f>
        <v>10580501.936559999</v>
      </c>
      <c r="BE6" s="81">
        <f t="shared" si="3"/>
        <v>11369192.564029999</v>
      </c>
      <c r="BF6" s="81">
        <f t="shared" si="3"/>
        <v>10568589.240900001</v>
      </c>
      <c r="BG6" s="81">
        <f t="shared" si="3"/>
        <v>11062398.80006</v>
      </c>
      <c r="BI6" s="81">
        <f t="shared" ref="BI6:BV6" si="4">BI3+BI4</f>
        <v>5358335</v>
      </c>
      <c r="BJ6" s="81">
        <f t="shared" si="4"/>
        <v>6207169</v>
      </c>
      <c r="BK6" s="81">
        <f t="shared" si="4"/>
        <v>7472089</v>
      </c>
      <c r="BL6" s="81">
        <f t="shared" si="4"/>
        <v>9021955</v>
      </c>
      <c r="BM6" s="81">
        <f t="shared" si="4"/>
        <v>11256565.4</v>
      </c>
      <c r="BN6" s="81">
        <f t="shared" si="4"/>
        <v>13212504.890000001</v>
      </c>
      <c r="BO6" s="81">
        <f t="shared" si="4"/>
        <v>14801444.730000002</v>
      </c>
      <c r="BP6" s="81">
        <f t="shared" si="4"/>
        <v>17502896.040199999</v>
      </c>
      <c r="BQ6" s="81">
        <f t="shared" si="4"/>
        <v>20066838.403430004</v>
      </c>
      <c r="BR6" s="81">
        <f t="shared" si="4"/>
        <v>24127001.537110001</v>
      </c>
      <c r="BS6" s="81">
        <f t="shared" si="4"/>
        <v>29067380.192529999</v>
      </c>
      <c r="BT6" s="81">
        <f t="shared" si="4"/>
        <v>33930698.547777124</v>
      </c>
      <c r="BU6" s="81">
        <f t="shared" si="4"/>
        <v>38871521.734678701</v>
      </c>
      <c r="BV6" s="81">
        <f t="shared" si="4"/>
        <v>41297359.876230001</v>
      </c>
    </row>
    <row r="7" spans="1:74" customFormat="1">
      <c r="A7" s="25"/>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84"/>
      <c r="AP7" s="84"/>
      <c r="AQ7" s="78"/>
      <c r="AR7" s="78"/>
      <c r="AS7" s="78"/>
      <c r="AT7" s="78"/>
      <c r="AU7" s="78"/>
      <c r="AV7" s="78"/>
      <c r="AW7" s="78"/>
      <c r="AX7" s="78"/>
      <c r="AY7" s="78"/>
      <c r="AZ7" s="78"/>
      <c r="BA7" s="78"/>
      <c r="BB7" s="78"/>
      <c r="BC7" s="78"/>
      <c r="BD7" s="78"/>
      <c r="BE7" s="78"/>
      <c r="BF7" s="78"/>
      <c r="BG7" s="121"/>
      <c r="BI7" s="78"/>
      <c r="BJ7" s="78"/>
      <c r="BK7" s="78"/>
      <c r="BL7" s="78"/>
      <c r="BM7" s="78"/>
      <c r="BN7" s="78"/>
      <c r="BO7" s="78"/>
      <c r="BP7" s="78"/>
      <c r="BQ7" s="78"/>
      <c r="BR7" s="78"/>
      <c r="BS7" s="78"/>
      <c r="BT7" s="78"/>
      <c r="BU7" s="78"/>
      <c r="BV7" s="78"/>
    </row>
    <row r="8" spans="1:74" customFormat="1">
      <c r="A8" s="17" t="str">
        <f>INDEX({"Custo das mercadorias vendidas";"Cost of Goods Sold"},Home!$R$30)</f>
        <v>Custo das mercadorias vendidas</v>
      </c>
      <c r="B8" s="80">
        <v>-902871</v>
      </c>
      <c r="C8" s="80">
        <v>-927000</v>
      </c>
      <c r="D8" s="80">
        <v>-1006215</v>
      </c>
      <c r="E8" s="80">
        <v>-1018360</v>
      </c>
      <c r="F8" s="80">
        <v>-999932</v>
      </c>
      <c r="G8" s="80">
        <v>-1106963</v>
      </c>
      <c r="H8" s="80">
        <v>-1162904</v>
      </c>
      <c r="I8" s="80">
        <v>-1201509</v>
      </c>
      <c r="J8" s="80">
        <v>-1203327</v>
      </c>
      <c r="K8" s="80">
        <v>-1273489</v>
      </c>
      <c r="L8" s="80">
        <v>-1382945</v>
      </c>
      <c r="M8" s="80">
        <v>-1447960</v>
      </c>
      <c r="N8" s="80">
        <v>-1407841</v>
      </c>
      <c r="O8" s="80">
        <v>-1523893</v>
      </c>
      <c r="P8" s="80">
        <v>-1636130</v>
      </c>
      <c r="Q8" s="80">
        <v>-1718350</v>
      </c>
      <c r="R8" s="80">
        <v>-1758487.23</v>
      </c>
      <c r="S8" s="80">
        <v>-1858386.41</v>
      </c>
      <c r="T8" s="80">
        <v>-2000895.6</v>
      </c>
      <c r="U8" s="80">
        <v>-2134653.16</v>
      </c>
      <c r="V8" s="80">
        <v>-2135486.4700000002</v>
      </c>
      <c r="W8" s="80">
        <v>-2237537.4500000002</v>
      </c>
      <c r="X8" s="80">
        <v>-2396443.8199999998</v>
      </c>
      <c r="Y8" s="80">
        <v>-2455037.92</v>
      </c>
      <c r="Z8" s="80">
        <v>-2406819.23</v>
      </c>
      <c r="AA8" s="80">
        <v>-2509789.6</v>
      </c>
      <c r="AB8" s="80">
        <v>-2640038.19</v>
      </c>
      <c r="AC8" s="80">
        <v>-2799276.52</v>
      </c>
      <c r="AD8" s="80">
        <v>-2791688.2197500002</v>
      </c>
      <c r="AE8" s="80">
        <v>-2936208.6845</v>
      </c>
      <c r="AF8" s="80">
        <v>-3217586.0353600001</v>
      </c>
      <c r="AG8" s="80">
        <v>-3374111.5151299997</v>
      </c>
      <c r="AH8" s="80">
        <v>-3508020.6674600011</v>
      </c>
      <c r="AI8" s="80">
        <v>-3149651.9118499998</v>
      </c>
      <c r="AJ8" s="80">
        <v>-3598455.2717399998</v>
      </c>
      <c r="AK8" s="80">
        <v>-3919528.3318099999</v>
      </c>
      <c r="AL8" s="80">
        <v>-3978198.9420500002</v>
      </c>
      <c r="AM8" s="80">
        <v>-4071212.5995999998</v>
      </c>
      <c r="AN8" s="80">
        <v>-4349401.3488499997</v>
      </c>
      <c r="AO8" s="80">
        <v>-4522020.645299999</v>
      </c>
      <c r="AP8" s="80">
        <v>-4634073.6619099993</v>
      </c>
      <c r="AQ8" s="80">
        <v>-4860664.3932599993</v>
      </c>
      <c r="AR8" s="80">
        <v>-5265091.5665100012</v>
      </c>
      <c r="AS8" s="80">
        <v>-5498082.1965599991</v>
      </c>
      <c r="AT8" s="80">
        <v>-5609601.8961100001</v>
      </c>
      <c r="AU8" s="80">
        <v>-5832247.5748000005</v>
      </c>
      <c r="AV8" s="80">
        <v>-6085664.3401999995</v>
      </c>
      <c r="AW8" s="80">
        <v>-6238926.1812200006</v>
      </c>
      <c r="AX8" s="80">
        <v>-6441229.8126600012</v>
      </c>
      <c r="AY8" s="80">
        <v>-6755221.1505900007</v>
      </c>
      <c r="AZ8" s="80">
        <v>-7018436.4488000013</v>
      </c>
      <c r="BA8" s="80">
        <v>-7100566.3429300012</v>
      </c>
      <c r="BB8" s="80">
        <v>-6452871.5251000002</v>
      </c>
      <c r="BC8" s="80">
        <v>-6940850.1509600002</v>
      </c>
      <c r="BD8" s="80">
        <v>-7323210.7876199996</v>
      </c>
      <c r="BE8" s="80">
        <v>-7860591.2171</v>
      </c>
      <c r="BF8" s="80">
        <v>-7175953.3017799994</v>
      </c>
      <c r="BG8" s="120">
        <v>-7366327.7020699978</v>
      </c>
      <c r="BI8" s="80">
        <f>SUM(B8:E8)</f>
        <v>-3854446</v>
      </c>
      <c r="BJ8" s="80">
        <f>SUM(F8:I8)</f>
        <v>-4471308</v>
      </c>
      <c r="BK8" s="80">
        <f>SUM(J8:M8)</f>
        <v>-5307721</v>
      </c>
      <c r="BL8" s="80">
        <f>SUM(N8:Q8)</f>
        <v>-6286214</v>
      </c>
      <c r="BM8" s="80">
        <f>SUM(R8:U8)</f>
        <v>-7752422.4000000004</v>
      </c>
      <c r="BN8" s="80">
        <f>SUM(V8:Y8)</f>
        <v>-9224505.6600000001</v>
      </c>
      <c r="BO8" s="80">
        <f>SUM(Z8:AC8)</f>
        <v>-10355923.539999999</v>
      </c>
      <c r="BP8" s="80">
        <f>SUM(AD8:AG8)</f>
        <v>-12319594.454740001</v>
      </c>
      <c r="BQ8" s="80">
        <f>SUM(AH8:AK8)</f>
        <v>-14175656.18286</v>
      </c>
      <c r="BR8" s="80">
        <f>SUM(AL8:AO8)</f>
        <v>-16920833.535799999</v>
      </c>
      <c r="BS8" s="80">
        <f>SUM(AP8:AS8)</f>
        <v>-20257911.818240002</v>
      </c>
      <c r="BT8" s="80">
        <f>SUM(AT8:AW8)</f>
        <v>-23766439.99233</v>
      </c>
      <c r="BU8" s="80">
        <f>SUM(AX8:BA8)</f>
        <v>-27315453.754980002</v>
      </c>
      <c r="BV8" s="80">
        <f>SUM(BB8:BE8)</f>
        <v>-28577523.680780001</v>
      </c>
    </row>
    <row r="9" spans="1:74" customFormat="1">
      <c r="A9" s="25"/>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84"/>
      <c r="AP9" s="84"/>
      <c r="AQ9" s="78"/>
      <c r="AR9" s="78"/>
      <c r="AS9" s="78"/>
      <c r="AT9" s="78"/>
      <c r="AU9" s="78"/>
      <c r="AV9" s="78"/>
      <c r="AW9" s="78"/>
      <c r="AX9" s="78"/>
      <c r="AY9" s="78"/>
      <c r="AZ9" s="78"/>
      <c r="BA9" s="78"/>
      <c r="BB9" s="78"/>
      <c r="BC9" s="78"/>
      <c r="BD9" s="78"/>
      <c r="BE9" s="78"/>
      <c r="BF9" s="78"/>
      <c r="BG9" s="121"/>
      <c r="BI9" s="78"/>
      <c r="BJ9" s="78"/>
      <c r="BK9" s="78"/>
      <c r="BL9" s="78"/>
      <c r="BM9" s="78"/>
      <c r="BN9" s="78"/>
      <c r="BO9" s="78"/>
      <c r="BP9" s="78"/>
      <c r="BQ9" s="78"/>
      <c r="BR9" s="78"/>
      <c r="BS9" s="78"/>
      <c r="BT9" s="78"/>
      <c r="BU9" s="78"/>
      <c r="BV9" s="78"/>
    </row>
    <row r="10" spans="1:74" customFormat="1">
      <c r="A10" s="19" t="str">
        <f>INDEX({"Lucro bruto";"Gross profit"},Home!$R$30)</f>
        <v>Lucro bruto</v>
      </c>
      <c r="B10" s="81">
        <f t="shared" ref="B10:AZ10" si="5">B6+B8</f>
        <v>327156</v>
      </c>
      <c r="C10" s="81">
        <f t="shared" si="5"/>
        <v>389794</v>
      </c>
      <c r="D10" s="81">
        <f t="shared" si="5"/>
        <v>383368</v>
      </c>
      <c r="E10" s="81">
        <f t="shared" si="5"/>
        <v>403571</v>
      </c>
      <c r="F10" s="81">
        <f t="shared" si="5"/>
        <v>383839</v>
      </c>
      <c r="G10" s="81">
        <f t="shared" si="5"/>
        <v>426175</v>
      </c>
      <c r="H10" s="81">
        <f t="shared" si="5"/>
        <v>455367</v>
      </c>
      <c r="I10" s="81">
        <f t="shared" si="5"/>
        <v>470480</v>
      </c>
      <c r="J10" s="81">
        <f t="shared" si="5"/>
        <v>473649</v>
      </c>
      <c r="K10" s="81">
        <f t="shared" si="5"/>
        <v>535641</v>
      </c>
      <c r="L10" s="81">
        <f t="shared" si="5"/>
        <v>561018</v>
      </c>
      <c r="M10" s="81">
        <f t="shared" si="5"/>
        <v>594060</v>
      </c>
      <c r="N10" s="81">
        <f t="shared" si="5"/>
        <v>596605</v>
      </c>
      <c r="O10" s="81">
        <f t="shared" si="5"/>
        <v>702822</v>
      </c>
      <c r="P10" s="81">
        <f t="shared" si="5"/>
        <v>696410</v>
      </c>
      <c r="Q10" s="81">
        <f t="shared" si="5"/>
        <v>739904</v>
      </c>
      <c r="R10" s="81">
        <f t="shared" si="5"/>
        <v>756940.05000000028</v>
      </c>
      <c r="S10" s="81">
        <f t="shared" si="5"/>
        <v>924825.04000000027</v>
      </c>
      <c r="T10" s="81">
        <f t="shared" si="5"/>
        <v>900034.2799999998</v>
      </c>
      <c r="U10" s="81">
        <f t="shared" si="5"/>
        <v>922343.62999999989</v>
      </c>
      <c r="V10" s="81">
        <f t="shared" si="5"/>
        <v>921623.96999999974</v>
      </c>
      <c r="W10" s="81">
        <f t="shared" si="5"/>
        <v>999720.63999999966</v>
      </c>
      <c r="X10" s="81">
        <f t="shared" si="5"/>
        <v>1020396.2600000002</v>
      </c>
      <c r="Y10" s="81">
        <f t="shared" si="5"/>
        <v>1046258.3600000003</v>
      </c>
      <c r="Z10" s="81">
        <f t="shared" si="5"/>
        <v>1026758.48</v>
      </c>
      <c r="AA10" s="81">
        <f t="shared" si="5"/>
        <v>1104199.2599999998</v>
      </c>
      <c r="AB10" s="81">
        <f t="shared" si="5"/>
        <v>1116775.6999999997</v>
      </c>
      <c r="AC10" s="81">
        <f t="shared" si="5"/>
        <v>1197787.75</v>
      </c>
      <c r="AD10" s="81">
        <f t="shared" si="5"/>
        <v>1161663.2569900006</v>
      </c>
      <c r="AE10" s="81">
        <f t="shared" si="5"/>
        <v>1289285.2695999998</v>
      </c>
      <c r="AF10" s="81">
        <f t="shared" si="5"/>
        <v>1321349.9618199961</v>
      </c>
      <c r="AG10" s="81">
        <f t="shared" si="5"/>
        <v>1411003.0970500004</v>
      </c>
      <c r="AH10" s="81">
        <f t="shared" si="5"/>
        <v>1441850.6334999995</v>
      </c>
      <c r="AI10" s="81">
        <f t="shared" si="5"/>
        <v>1320122.4735700004</v>
      </c>
      <c r="AJ10" s="81">
        <f t="shared" si="5"/>
        <v>1494996.2851</v>
      </c>
      <c r="AK10" s="81">
        <f t="shared" si="5"/>
        <v>1634212.8284000014</v>
      </c>
      <c r="AL10" s="81">
        <f t="shared" si="5"/>
        <v>1641851.9186299997</v>
      </c>
      <c r="AM10" s="81">
        <f t="shared" si="5"/>
        <v>1797051.0208399999</v>
      </c>
      <c r="AN10" s="81">
        <f t="shared" si="5"/>
        <v>1815460.3094800003</v>
      </c>
      <c r="AO10" s="81">
        <f t="shared" si="5"/>
        <v>1951804.7523600012</v>
      </c>
      <c r="AP10" s="81">
        <f t="shared" si="5"/>
        <v>1928430.8235000009</v>
      </c>
      <c r="AQ10" s="81">
        <f t="shared" si="5"/>
        <v>2318097.0048599998</v>
      </c>
      <c r="AR10" s="81">
        <f t="shared" si="5"/>
        <v>2224774.1346099973</v>
      </c>
      <c r="AS10" s="81">
        <f t="shared" si="5"/>
        <v>2338166.41132</v>
      </c>
      <c r="AT10" s="81">
        <f t="shared" si="5"/>
        <v>2314784.005120649</v>
      </c>
      <c r="AU10" s="81">
        <f t="shared" si="5"/>
        <v>2600420.5810355758</v>
      </c>
      <c r="AV10" s="81">
        <f t="shared" si="5"/>
        <v>2578822.0026173014</v>
      </c>
      <c r="AW10" s="81">
        <f t="shared" si="5"/>
        <v>2670231.9666735977</v>
      </c>
      <c r="AX10" s="81">
        <f t="shared" si="5"/>
        <v>2659264.1012899987</v>
      </c>
      <c r="AY10" s="81">
        <f t="shared" si="5"/>
        <v>2931999.2983000018</v>
      </c>
      <c r="AZ10" s="81">
        <f t="shared" si="5"/>
        <v>2970685.1556614973</v>
      </c>
      <c r="BA10" s="81">
        <f t="shared" ref="BA10:BC10" si="6">BA6+BA8</f>
        <v>2994119.4244471984</v>
      </c>
      <c r="BB10" s="81">
        <f t="shared" si="6"/>
        <v>2820110.6572199985</v>
      </c>
      <c r="BC10" s="81">
        <f t="shared" si="6"/>
        <v>3133833.0423600003</v>
      </c>
      <c r="BD10" s="81">
        <f t="shared" ref="BD10:BG10" si="7">BD6+BD8</f>
        <v>3257291.1489399998</v>
      </c>
      <c r="BE10" s="81">
        <f t="shared" si="7"/>
        <v>3508601.3469299991</v>
      </c>
      <c r="BF10" s="81">
        <f t="shared" si="7"/>
        <v>3392635.9391200012</v>
      </c>
      <c r="BG10" s="81">
        <f t="shared" si="7"/>
        <v>3696071.0979900025</v>
      </c>
      <c r="BI10" s="81">
        <f t="shared" ref="BI10:BV10" si="8">BI6+BI8</f>
        <v>1503889</v>
      </c>
      <c r="BJ10" s="81">
        <f t="shared" si="8"/>
        <v>1735861</v>
      </c>
      <c r="BK10" s="81">
        <f t="shared" si="8"/>
        <v>2164368</v>
      </c>
      <c r="BL10" s="81">
        <f t="shared" si="8"/>
        <v>2735741</v>
      </c>
      <c r="BM10" s="81">
        <f t="shared" si="8"/>
        <v>3504143</v>
      </c>
      <c r="BN10" s="81">
        <f t="shared" si="8"/>
        <v>3987999.2300000004</v>
      </c>
      <c r="BO10" s="81">
        <f t="shared" si="8"/>
        <v>4445521.1900000032</v>
      </c>
      <c r="BP10" s="81">
        <f t="shared" si="8"/>
        <v>5183301.5854599979</v>
      </c>
      <c r="BQ10" s="81">
        <f t="shared" si="8"/>
        <v>5891182.2205700036</v>
      </c>
      <c r="BR10" s="81">
        <f t="shared" si="8"/>
        <v>7206168.0013100021</v>
      </c>
      <c r="BS10" s="81">
        <f t="shared" si="8"/>
        <v>8809468.3742899969</v>
      </c>
      <c r="BT10" s="81">
        <f t="shared" si="8"/>
        <v>10164258.555447124</v>
      </c>
      <c r="BU10" s="81">
        <f t="shared" si="8"/>
        <v>11556067.979698699</v>
      </c>
      <c r="BV10" s="81">
        <f t="shared" si="8"/>
        <v>12719836.19545</v>
      </c>
    </row>
    <row r="11" spans="1:74" customFormat="1">
      <c r="A11" s="25"/>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84"/>
      <c r="AP11" s="84"/>
      <c r="AQ11" s="78"/>
      <c r="AR11" s="78"/>
      <c r="AS11" s="78"/>
      <c r="AT11" s="78"/>
      <c r="AU11" s="78"/>
      <c r="AV11" s="78"/>
      <c r="AW11" s="78"/>
      <c r="AX11" s="78"/>
      <c r="AY11" s="78"/>
      <c r="AZ11" s="78"/>
      <c r="BA11" s="78"/>
      <c r="BB11" s="78"/>
      <c r="BC11" s="78"/>
      <c r="BD11" s="78"/>
      <c r="BE11" s="78"/>
      <c r="BF11" s="78"/>
      <c r="BG11" s="121"/>
      <c r="BI11" s="78"/>
      <c r="BJ11" s="78"/>
      <c r="BK11" s="78"/>
      <c r="BL11" s="78"/>
      <c r="BM11" s="78"/>
      <c r="BN11" s="78"/>
      <c r="BO11" s="78"/>
      <c r="BP11" s="78"/>
      <c r="BQ11" s="78"/>
      <c r="BR11" s="78"/>
      <c r="BS11" s="78"/>
      <c r="BT11" s="78"/>
      <c r="BU11" s="78"/>
      <c r="BV11" s="78"/>
    </row>
    <row r="12" spans="1:74" customFormat="1">
      <c r="A12" s="28" t="str">
        <f>INDEX({"Despesas";"Expenses"},Home!$R$30)</f>
        <v>Despesas</v>
      </c>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84"/>
      <c r="AP12" s="84"/>
      <c r="AQ12" s="82"/>
      <c r="AR12" s="82"/>
      <c r="AS12" s="82"/>
      <c r="AT12" s="82"/>
      <c r="AU12" s="82"/>
      <c r="AV12" s="82"/>
      <c r="AW12" s="82"/>
      <c r="AX12" s="82"/>
      <c r="AY12" s="82"/>
      <c r="AZ12" s="82"/>
      <c r="BA12" s="82"/>
      <c r="BB12" s="82"/>
      <c r="BC12" s="82"/>
      <c r="BD12" s="82"/>
      <c r="BE12" s="82"/>
      <c r="BF12" s="78"/>
      <c r="BG12" s="121"/>
      <c r="BI12" s="82"/>
      <c r="BJ12" s="82"/>
      <c r="BK12" s="82"/>
      <c r="BL12" s="82"/>
      <c r="BM12" s="82"/>
      <c r="BN12" s="82"/>
      <c r="BO12" s="82"/>
      <c r="BP12" s="82"/>
      <c r="BQ12" s="82"/>
      <c r="BR12" s="82"/>
      <c r="BS12" s="82"/>
      <c r="BT12" s="82"/>
      <c r="BU12" s="82"/>
      <c r="BV12" s="82"/>
    </row>
    <row r="13" spans="1:74" customFormat="1">
      <c r="A13" s="17" t="str">
        <f>INDEX({"Vendas";"Selling Expenses"},Home!$R$30)</f>
        <v>Vendas</v>
      </c>
      <c r="B13" s="80">
        <v>-223716</v>
      </c>
      <c r="C13" s="80">
        <v>-241654</v>
      </c>
      <c r="D13" s="80">
        <v>-261255</v>
      </c>
      <c r="E13" s="80">
        <v>-275705</v>
      </c>
      <c r="F13" s="80">
        <v>-266660</v>
      </c>
      <c r="G13" s="80">
        <v>-278613</v>
      </c>
      <c r="H13" s="80">
        <v>-322162</v>
      </c>
      <c r="I13" s="80">
        <v>-320641</v>
      </c>
      <c r="J13" s="80">
        <v>-328931</v>
      </c>
      <c r="K13" s="80">
        <v>-341034</v>
      </c>
      <c r="L13" s="80">
        <v>-365150</v>
      </c>
      <c r="M13" s="80">
        <v>-385467</v>
      </c>
      <c r="N13" s="80">
        <v>-390161</v>
      </c>
      <c r="O13" s="80">
        <v>-419952</v>
      </c>
      <c r="P13" s="80">
        <v>-452371</v>
      </c>
      <c r="Q13" s="80">
        <v>-490616</v>
      </c>
      <c r="R13" s="80">
        <v>-501633.34</v>
      </c>
      <c r="S13" s="80">
        <v>-546841.84</v>
      </c>
      <c r="T13" s="80">
        <v>-571422.56999999995</v>
      </c>
      <c r="U13" s="80">
        <v>-598867.25</v>
      </c>
      <c r="V13" s="80">
        <v>-599142.03</v>
      </c>
      <c r="W13" s="80">
        <v>-616900.31000000006</v>
      </c>
      <c r="X13" s="80">
        <v>-642400.37</v>
      </c>
      <c r="Y13" s="80">
        <v>-670608.11</v>
      </c>
      <c r="Z13" s="80">
        <v>-674838.78</v>
      </c>
      <c r="AA13" s="80">
        <v>-704268.15</v>
      </c>
      <c r="AB13" s="80">
        <v>-735402.58</v>
      </c>
      <c r="AC13" s="80">
        <v>-786501.87</v>
      </c>
      <c r="AD13" s="80">
        <v>-795119.66125699994</v>
      </c>
      <c r="AE13" s="80">
        <v>-823210.02370999986</v>
      </c>
      <c r="AF13" s="80">
        <v>-851825.14827000001</v>
      </c>
      <c r="AG13" s="80">
        <v>-918901.68496999994</v>
      </c>
      <c r="AH13" s="80">
        <v>-940499.7397299998</v>
      </c>
      <c r="AI13" s="80">
        <v>-945308.36639999982</v>
      </c>
      <c r="AJ13" s="80">
        <v>-963626.29528000043</v>
      </c>
      <c r="AK13" s="80">
        <v>-1027786.2090700002</v>
      </c>
      <c r="AL13" s="80">
        <v>-1060049.8338499996</v>
      </c>
      <c r="AM13" s="80">
        <v>-1119754.2112199999</v>
      </c>
      <c r="AN13" s="80">
        <v>-1164751.6380500002</v>
      </c>
      <c r="AO13" s="80">
        <v>-1261758.2442500005</v>
      </c>
      <c r="AP13" s="80">
        <v>-1296525.9175600002</v>
      </c>
      <c r="AQ13" s="80">
        <v>-1330304.4321899998</v>
      </c>
      <c r="AR13" s="80">
        <v>-1393832.3756299999</v>
      </c>
      <c r="AS13" s="80">
        <v>-1429542.2120600003</v>
      </c>
      <c r="AT13" s="80">
        <v>-1484700.2693127771</v>
      </c>
      <c r="AU13" s="80">
        <v>-1543981.499926792</v>
      </c>
      <c r="AV13" s="80">
        <v>-1614133.0669834255</v>
      </c>
      <c r="AW13" s="80">
        <v>-1726604.9339238058</v>
      </c>
      <c r="AX13" s="80">
        <v>-1675501.8317399996</v>
      </c>
      <c r="AY13" s="80">
        <v>-1789657.1125200002</v>
      </c>
      <c r="AZ13" s="80">
        <v>-1836993.8966115001</v>
      </c>
      <c r="BA13" s="80">
        <v>-1953049.5266515003</v>
      </c>
      <c r="BB13" s="80">
        <v>-1902460.4372700001</v>
      </c>
      <c r="BC13" s="80">
        <v>-1982851.11543</v>
      </c>
      <c r="BD13" s="80">
        <v>-2064780.594</v>
      </c>
      <c r="BE13" s="80">
        <v>-2258851.1807599999</v>
      </c>
      <c r="BF13" s="80">
        <v>-2275228.09338</v>
      </c>
      <c r="BG13" s="120">
        <v>-2370424.0143900006</v>
      </c>
      <c r="BI13" s="80">
        <f>SUM(B13:E13)</f>
        <v>-1002330</v>
      </c>
      <c r="BJ13" s="80">
        <f>SUM(F13:I13)</f>
        <v>-1188076</v>
      </c>
      <c r="BK13" s="80">
        <f>SUM(J13:M13)</f>
        <v>-1420582</v>
      </c>
      <c r="BL13" s="80">
        <f>SUM(N13:Q13)</f>
        <v>-1753100</v>
      </c>
      <c r="BM13" s="80">
        <f>SUM(R13:U13)</f>
        <v>-2218765</v>
      </c>
      <c r="BN13" s="80">
        <f>SUM(V13:Y13)</f>
        <v>-2529050.8199999998</v>
      </c>
      <c r="BO13" s="80">
        <f>SUM(Z13:AC13)</f>
        <v>-2901011.3800000004</v>
      </c>
      <c r="BP13" s="80">
        <f>SUM(AD13:AG13)</f>
        <v>-3389056.5182069996</v>
      </c>
      <c r="BQ13" s="80">
        <f>SUM(AH13:AK13)</f>
        <v>-3877220.6104800007</v>
      </c>
      <c r="BR13" s="80">
        <f>SUM(AL13:AO13)</f>
        <v>-4606313.9273700006</v>
      </c>
      <c r="BS13" s="80">
        <f>SUM(AP13:AS13)</f>
        <v>-5450204.9374400005</v>
      </c>
      <c r="BT13" s="80">
        <f>SUM(AT13:AW13)</f>
        <v>-6369419.7701468011</v>
      </c>
      <c r="BU13" s="80">
        <f>SUM(AX13:BA13)</f>
        <v>-7255202.3675229996</v>
      </c>
      <c r="BV13" s="80">
        <f>SUM(BB13:BE13)</f>
        <v>-8208943.3274600003</v>
      </c>
    </row>
    <row r="14" spans="1:74" customFormat="1">
      <c r="A14" s="17" t="str">
        <f>INDEX({"Gerais e administrativas";"General and Administrative"},Home!$R$30)</f>
        <v>Gerais e administrativas</v>
      </c>
      <c r="B14" s="80">
        <v>-41438</v>
      </c>
      <c r="C14" s="80">
        <v>-45160</v>
      </c>
      <c r="D14" s="80">
        <v>-37704</v>
      </c>
      <c r="E14" s="80">
        <v>-47146</v>
      </c>
      <c r="F14" s="80">
        <v>-43652</v>
      </c>
      <c r="G14" s="80">
        <v>-40954</v>
      </c>
      <c r="H14" s="80">
        <v>-44694</v>
      </c>
      <c r="I14" s="80">
        <v>-47164</v>
      </c>
      <c r="J14" s="80">
        <v>-49482</v>
      </c>
      <c r="K14" s="80">
        <v>-53840</v>
      </c>
      <c r="L14" s="80">
        <v>-47050</v>
      </c>
      <c r="M14" s="80">
        <v>-48915</v>
      </c>
      <c r="N14" s="80">
        <v>-52527</v>
      </c>
      <c r="O14" s="80">
        <v>-63913</v>
      </c>
      <c r="P14" s="80">
        <v>-61337</v>
      </c>
      <c r="Q14" s="80">
        <v>-61348</v>
      </c>
      <c r="R14" s="80">
        <v>-62467.71</v>
      </c>
      <c r="S14" s="80">
        <v>-73172.41</v>
      </c>
      <c r="T14" s="80">
        <v>-74607.92</v>
      </c>
      <c r="U14" s="80">
        <v>-87480.27</v>
      </c>
      <c r="V14" s="80">
        <v>-78464.22</v>
      </c>
      <c r="W14" s="80">
        <v>-81734.899999999994</v>
      </c>
      <c r="X14" s="80">
        <v>-81533.05</v>
      </c>
      <c r="Y14" s="80">
        <v>-86931.31</v>
      </c>
      <c r="Z14" s="80">
        <v>-79734.7</v>
      </c>
      <c r="AA14" s="80">
        <v>-83283.460000000006</v>
      </c>
      <c r="AB14" s="80">
        <v>-86122.87</v>
      </c>
      <c r="AC14" s="80">
        <v>-100177.32</v>
      </c>
      <c r="AD14" s="80">
        <v>-96474.049049999987</v>
      </c>
      <c r="AE14" s="80">
        <v>-102387.71363000001</v>
      </c>
      <c r="AF14" s="80">
        <v>-110118.17002999999</v>
      </c>
      <c r="AG14" s="80">
        <v>-141670.1208</v>
      </c>
      <c r="AH14" s="80">
        <v>-131994.97921000002</v>
      </c>
      <c r="AI14" s="80">
        <v>-143003.32841000002</v>
      </c>
      <c r="AJ14" s="80">
        <v>-134210.86565999995</v>
      </c>
      <c r="AK14" s="80">
        <v>-175583.88631</v>
      </c>
      <c r="AL14" s="80">
        <v>-165947.37478999997</v>
      </c>
      <c r="AM14" s="80">
        <v>-180183.03336</v>
      </c>
      <c r="AN14" s="80">
        <v>-204543.97123000002</v>
      </c>
      <c r="AO14" s="80">
        <v>-241936.41586999997</v>
      </c>
      <c r="AP14" s="80">
        <v>-243528.18314999997</v>
      </c>
      <c r="AQ14" s="80">
        <v>-260283.82733000003</v>
      </c>
      <c r="AR14" s="80">
        <v>-284142.13929999998</v>
      </c>
      <c r="AS14" s="80">
        <v>-309186.37516</v>
      </c>
      <c r="AT14" s="80">
        <v>-267103.12748787261</v>
      </c>
      <c r="AU14" s="80">
        <v>-288814.46593878319</v>
      </c>
      <c r="AV14" s="80">
        <v>-306591.93466387462</v>
      </c>
      <c r="AW14" s="80">
        <v>-329083.01865979464</v>
      </c>
      <c r="AX14" s="80">
        <v>-303912.24777000002</v>
      </c>
      <c r="AY14" s="80">
        <v>-317946.13242999994</v>
      </c>
      <c r="AZ14" s="80">
        <v>-322976.6747400001</v>
      </c>
      <c r="BA14" s="80">
        <v>-363548.93400569999</v>
      </c>
      <c r="BB14" s="80">
        <v>-294489.03250999999</v>
      </c>
      <c r="BC14" s="80">
        <v>-288001.91597999999</v>
      </c>
      <c r="BD14" s="80">
        <v>-299918.94595999998</v>
      </c>
      <c r="BE14" s="80">
        <v>-325432.00809000002</v>
      </c>
      <c r="BF14" s="80">
        <v>-296621.88060999993</v>
      </c>
      <c r="BG14" s="120">
        <v>-308299.11411999998</v>
      </c>
      <c r="BI14" s="80">
        <f>SUM(B14:E14)</f>
        <v>-171448</v>
      </c>
      <c r="BJ14" s="80">
        <f>SUM(F14:I14)</f>
        <v>-176464</v>
      </c>
      <c r="BK14" s="80">
        <f>SUM(J14:M14)</f>
        <v>-199287</v>
      </c>
      <c r="BL14" s="80">
        <f>SUM(N14:Q14)</f>
        <v>-239125</v>
      </c>
      <c r="BM14" s="80">
        <f>SUM(R14:U14)</f>
        <v>-297728.31</v>
      </c>
      <c r="BN14" s="80">
        <f>SUM(V14:Y14)</f>
        <v>-328663.48</v>
      </c>
      <c r="BO14" s="80">
        <f>SUM(Z14:AC14)</f>
        <v>-349318.35</v>
      </c>
      <c r="BP14" s="80">
        <f>SUM(AD14:AG14)</f>
        <v>-450650.05351</v>
      </c>
      <c r="BQ14" s="80">
        <f>SUM(AH14:AK14)</f>
        <v>-584793.05958999996</v>
      </c>
      <c r="BR14" s="80">
        <f>SUM(AL14:AO14)</f>
        <v>-792610.79524999997</v>
      </c>
      <c r="BS14" s="80">
        <f>SUM(AP14:AS14)</f>
        <v>-1097140.5249399999</v>
      </c>
      <c r="BT14" s="80">
        <f>SUM(AT14:AW14)</f>
        <v>-1191592.546750325</v>
      </c>
      <c r="BU14" s="80">
        <f>SUM(AX14:BA14)</f>
        <v>-1308383.9889457002</v>
      </c>
      <c r="BV14" s="80">
        <f>SUM(BB14:BE14)</f>
        <v>-1207841.9025400002</v>
      </c>
    </row>
    <row r="15" spans="1:74" customFormat="1">
      <c r="A15" s="17" t="str">
        <f>INDEX({"Outras despesas operacionais, líquidas";"Other Operating Expenses, Net"},Home!$R$30)</f>
        <v>Outras despesas operacionais, líquidas</v>
      </c>
      <c r="B15" s="80">
        <v>-6624</v>
      </c>
      <c r="C15" s="80">
        <v>-2718</v>
      </c>
      <c r="D15" s="80">
        <v>-3486</v>
      </c>
      <c r="E15" s="80">
        <v>-21090</v>
      </c>
      <c r="F15" s="80">
        <v>-10163</v>
      </c>
      <c r="G15" s="80">
        <v>-8132</v>
      </c>
      <c r="H15" s="80">
        <v>-14300</v>
      </c>
      <c r="I15" s="80">
        <v>-14470</v>
      </c>
      <c r="J15" s="80">
        <v>-1350</v>
      </c>
      <c r="K15" s="80">
        <v>-1518</v>
      </c>
      <c r="L15" s="80">
        <v>-2754</v>
      </c>
      <c r="M15" s="80">
        <v>-3851</v>
      </c>
      <c r="N15" s="80">
        <v>0</v>
      </c>
      <c r="O15" s="80">
        <v>0</v>
      </c>
      <c r="P15" s="80">
        <v>-1160</v>
      </c>
      <c r="Q15" s="80">
        <v>-8818</v>
      </c>
      <c r="R15" s="80">
        <v>0</v>
      </c>
      <c r="S15" s="80">
        <v>0</v>
      </c>
      <c r="T15" s="80">
        <v>0</v>
      </c>
      <c r="U15" s="80">
        <v>-7676.7</v>
      </c>
      <c r="V15" s="80">
        <v>-2159.65</v>
      </c>
      <c r="W15" s="80">
        <v>0</v>
      </c>
      <c r="X15" s="80">
        <v>0</v>
      </c>
      <c r="Y15" s="80">
        <v>2372.13</v>
      </c>
      <c r="Z15" s="80">
        <v>0</v>
      </c>
      <c r="AA15" s="80">
        <v>-6239.64</v>
      </c>
      <c r="AB15" s="80">
        <v>-3501.86</v>
      </c>
      <c r="AC15" s="80">
        <v>-49806.61</v>
      </c>
      <c r="AD15" s="80">
        <v>-5205.31682</v>
      </c>
      <c r="AE15" s="80">
        <v>-13867.026669999999</v>
      </c>
      <c r="AF15" s="80">
        <v>-9438.5594899999905</v>
      </c>
      <c r="AG15" s="80">
        <v>-38510.899672500003</v>
      </c>
      <c r="AH15" s="80">
        <v>-10473.737019999997</v>
      </c>
      <c r="AI15" s="80">
        <v>-2239.883620000001</v>
      </c>
      <c r="AJ15" s="80">
        <v>2796.8049500000002</v>
      </c>
      <c r="AK15" s="80">
        <v>-23000.327450000001</v>
      </c>
      <c r="AL15" s="80">
        <v>16427.310719999998</v>
      </c>
      <c r="AM15" s="80">
        <v>52153.110519999995</v>
      </c>
      <c r="AN15" s="80">
        <v>-1215.2066200000002</v>
      </c>
      <c r="AO15" s="80">
        <v>-26491.450079999999</v>
      </c>
      <c r="AP15" s="80">
        <v>12606.84108</v>
      </c>
      <c r="AQ15" s="80">
        <v>43159.046140000006</v>
      </c>
      <c r="AR15" s="80">
        <v>35849.576059999992</v>
      </c>
      <c r="AS15" s="80">
        <v>-34987.464870000003</v>
      </c>
      <c r="AT15" s="80">
        <v>3972.3549400000006</v>
      </c>
      <c r="AU15" s="80">
        <v>21104.726649999997</v>
      </c>
      <c r="AV15" s="80">
        <v>42615.93596000001</v>
      </c>
      <c r="AW15" s="80">
        <v>2024.4519199999995</v>
      </c>
      <c r="AX15" s="80">
        <v>-1039.3102599999997</v>
      </c>
      <c r="AY15" s="80">
        <v>-12406.480839999998</v>
      </c>
      <c r="AZ15" s="80">
        <v>38329.25005000001</v>
      </c>
      <c r="BA15" s="80">
        <v>-45360.81667</v>
      </c>
      <c r="BB15" s="80">
        <v>-5761.7732400000004</v>
      </c>
      <c r="BC15" s="80">
        <v>-2795.5178500000002</v>
      </c>
      <c r="BD15" s="80">
        <v>56243.70824</v>
      </c>
      <c r="BE15" s="80">
        <v>-53858.43219</v>
      </c>
      <c r="BF15" s="78">
        <v>-196548.84537999998</v>
      </c>
      <c r="BG15" s="121">
        <v>8850.023360000001</v>
      </c>
      <c r="BI15" s="80">
        <f>SUM(B15:E15)</f>
        <v>-33918</v>
      </c>
      <c r="BJ15" s="80">
        <f>SUM(F15:I15)</f>
        <v>-47065</v>
      </c>
      <c r="BK15" s="80">
        <f>SUM(J15:M15)</f>
        <v>-9473</v>
      </c>
      <c r="BL15" s="80">
        <f>SUM(N15:Q15)</f>
        <v>-9978</v>
      </c>
      <c r="BM15" s="80">
        <f>SUM(R15:U15)</f>
        <v>-7676.7</v>
      </c>
      <c r="BN15" s="80">
        <f>SUM(V15:Y15)</f>
        <v>212.48000000000002</v>
      </c>
      <c r="BO15" s="80">
        <f>SUM(Z15:AC15)</f>
        <v>-59548.11</v>
      </c>
      <c r="BP15" s="80">
        <f>SUM(AD15:AG15)</f>
        <v>-67021.802652499988</v>
      </c>
      <c r="BQ15" s="80">
        <f>SUM(AH15:AK15)</f>
        <v>-32917.14314</v>
      </c>
      <c r="BR15" s="80">
        <f>SUM(AL15:AO15)</f>
        <v>40873.764540000004</v>
      </c>
      <c r="BS15" s="80">
        <f>SUM(AP15:AS15)</f>
        <v>56627.998409999993</v>
      </c>
      <c r="BT15" s="80">
        <f>SUM(AT15:AW15)</f>
        <v>69717.469470000011</v>
      </c>
      <c r="BU15" s="80">
        <f>SUM(AX15:BA15)</f>
        <v>-20477.357719999989</v>
      </c>
      <c r="BV15" s="80">
        <f>SUM(BB15:BE15)</f>
        <v>-6172.0150399999984</v>
      </c>
    </row>
    <row r="16" spans="1:74" customFormat="1">
      <c r="A16" s="19" t="str">
        <f>INDEX({"Despesas operacionais";"Total expenses"},Home!$R$30)</f>
        <v>Despesas operacionais</v>
      </c>
      <c r="B16" s="81">
        <f t="shared" ref="B16:AV16" si="9">SUM(B13:B15)</f>
        <v>-271778</v>
      </c>
      <c r="C16" s="81">
        <f t="shared" si="9"/>
        <v>-289532</v>
      </c>
      <c r="D16" s="81">
        <f t="shared" si="9"/>
        <v>-302445</v>
      </c>
      <c r="E16" s="81">
        <f t="shared" si="9"/>
        <v>-343941</v>
      </c>
      <c r="F16" s="81">
        <f t="shared" si="9"/>
        <v>-320475</v>
      </c>
      <c r="G16" s="81">
        <f t="shared" si="9"/>
        <v>-327699</v>
      </c>
      <c r="H16" s="81">
        <f t="shared" si="9"/>
        <v>-381156</v>
      </c>
      <c r="I16" s="81">
        <f t="shared" si="9"/>
        <v>-382275</v>
      </c>
      <c r="J16" s="81">
        <f t="shared" si="9"/>
        <v>-379763</v>
      </c>
      <c r="K16" s="81">
        <f t="shared" si="9"/>
        <v>-396392</v>
      </c>
      <c r="L16" s="81">
        <f t="shared" si="9"/>
        <v>-414954</v>
      </c>
      <c r="M16" s="81">
        <f t="shared" si="9"/>
        <v>-438233</v>
      </c>
      <c r="N16" s="81">
        <f t="shared" si="9"/>
        <v>-442688</v>
      </c>
      <c r="O16" s="81">
        <f t="shared" si="9"/>
        <v>-483865</v>
      </c>
      <c r="P16" s="81">
        <f t="shared" si="9"/>
        <v>-514868</v>
      </c>
      <c r="Q16" s="81">
        <f t="shared" si="9"/>
        <v>-560782</v>
      </c>
      <c r="R16" s="81">
        <f t="shared" si="9"/>
        <v>-564101.05000000005</v>
      </c>
      <c r="S16" s="81">
        <f t="shared" si="9"/>
        <v>-620014.25</v>
      </c>
      <c r="T16" s="81">
        <f t="shared" si="9"/>
        <v>-646030.49</v>
      </c>
      <c r="U16" s="81">
        <f t="shared" si="9"/>
        <v>-694024.22</v>
      </c>
      <c r="V16" s="81">
        <f t="shared" si="9"/>
        <v>-679765.9</v>
      </c>
      <c r="W16" s="81">
        <f t="shared" si="9"/>
        <v>-698635.21000000008</v>
      </c>
      <c r="X16" s="81">
        <f t="shared" si="9"/>
        <v>-723933.42</v>
      </c>
      <c r="Y16" s="81">
        <f t="shared" si="9"/>
        <v>-755167.28999999992</v>
      </c>
      <c r="Z16" s="81">
        <f t="shared" si="9"/>
        <v>-754573.48</v>
      </c>
      <c r="AA16" s="81">
        <f t="shared" si="9"/>
        <v>-793791.25</v>
      </c>
      <c r="AB16" s="81">
        <f t="shared" si="9"/>
        <v>-825027.30999999994</v>
      </c>
      <c r="AC16" s="81">
        <f t="shared" si="9"/>
        <v>-936485.79999999993</v>
      </c>
      <c r="AD16" s="81">
        <f t="shared" si="9"/>
        <v>-896799.02712699992</v>
      </c>
      <c r="AE16" s="81">
        <f t="shared" si="9"/>
        <v>-939464.76400999993</v>
      </c>
      <c r="AF16" s="81">
        <f t="shared" si="9"/>
        <v>-971381.87779000006</v>
      </c>
      <c r="AG16" s="81">
        <f t="shared" si="9"/>
        <v>-1099082.7054425001</v>
      </c>
      <c r="AH16" s="81">
        <f t="shared" si="9"/>
        <v>-1082968.4559599997</v>
      </c>
      <c r="AI16" s="81">
        <f t="shared" si="9"/>
        <v>-1090551.5784299998</v>
      </c>
      <c r="AJ16" s="81">
        <f t="shared" si="9"/>
        <v>-1095040.3559900003</v>
      </c>
      <c r="AK16" s="81">
        <f t="shared" si="9"/>
        <v>-1226370.4228300003</v>
      </c>
      <c r="AL16" s="81">
        <f t="shared" si="9"/>
        <v>-1209569.8979199997</v>
      </c>
      <c r="AM16" s="81">
        <f t="shared" si="9"/>
        <v>-1247784.1340599998</v>
      </c>
      <c r="AN16" s="81">
        <f t="shared" si="9"/>
        <v>-1370510.8159000003</v>
      </c>
      <c r="AO16" s="81">
        <f t="shared" si="9"/>
        <v>-1530186.1102000005</v>
      </c>
      <c r="AP16" s="81">
        <f t="shared" si="9"/>
        <v>-1527447.2596300002</v>
      </c>
      <c r="AQ16" s="81">
        <f t="shared" si="9"/>
        <v>-1547429.2133799999</v>
      </c>
      <c r="AR16" s="81">
        <f t="shared" si="9"/>
        <v>-1642124.9388699997</v>
      </c>
      <c r="AS16" s="81">
        <f t="shared" si="9"/>
        <v>-1773716.0520900004</v>
      </c>
      <c r="AT16" s="81">
        <f t="shared" si="9"/>
        <v>-1747831.0418606498</v>
      </c>
      <c r="AU16" s="81">
        <f t="shared" si="9"/>
        <v>-1811691.2392155752</v>
      </c>
      <c r="AV16" s="81">
        <f t="shared" si="9"/>
        <v>-1878109.0656873002</v>
      </c>
      <c r="AW16" s="81">
        <f>SUM(AW13:AW15)</f>
        <v>-2053663.5006636006</v>
      </c>
      <c r="AX16" s="81">
        <f t="shared" ref="AX16:AZ16" si="10">SUM(AX13:AX15)</f>
        <v>-1980453.3897699995</v>
      </c>
      <c r="AY16" s="81">
        <f t="shared" si="10"/>
        <v>-2120009.7257900001</v>
      </c>
      <c r="AZ16" s="81">
        <f t="shared" si="10"/>
        <v>-2121641.3213015003</v>
      </c>
      <c r="BA16" s="81">
        <f t="shared" ref="BA16" si="11">SUM(BA13:BA15)</f>
        <v>-2361959.2773272004</v>
      </c>
      <c r="BB16" s="81">
        <f t="shared" ref="BB16:BC16" si="12">SUM(BB13:BB15)</f>
        <v>-2202711.2430199999</v>
      </c>
      <c r="BC16" s="81">
        <f t="shared" si="12"/>
        <v>-2273648.5492599998</v>
      </c>
      <c r="BD16" s="81">
        <f t="shared" ref="BD16:BG16" si="13">SUM(BD13:BD15)</f>
        <v>-2308455.8317200001</v>
      </c>
      <c r="BE16" s="81">
        <f t="shared" si="13"/>
        <v>-2638141.6210400001</v>
      </c>
      <c r="BF16" s="81">
        <f t="shared" si="13"/>
        <v>-2768398.8193699997</v>
      </c>
      <c r="BG16" s="81">
        <f t="shared" si="13"/>
        <v>-2669873.1051500007</v>
      </c>
      <c r="BI16" s="81">
        <f t="shared" ref="BI16:BV16" si="14">SUM(BI13:BI15)</f>
        <v>-1207696</v>
      </c>
      <c r="BJ16" s="81">
        <f t="shared" si="14"/>
        <v>-1411605</v>
      </c>
      <c r="BK16" s="81">
        <f t="shared" si="14"/>
        <v>-1629342</v>
      </c>
      <c r="BL16" s="81">
        <f t="shared" si="14"/>
        <v>-2002203</v>
      </c>
      <c r="BM16" s="81">
        <f t="shared" si="14"/>
        <v>-2524170.0100000002</v>
      </c>
      <c r="BN16" s="81">
        <f t="shared" si="14"/>
        <v>-2857501.82</v>
      </c>
      <c r="BO16" s="81">
        <f t="shared" si="14"/>
        <v>-3309877.8400000003</v>
      </c>
      <c r="BP16" s="81">
        <f t="shared" si="14"/>
        <v>-3906728.3743694997</v>
      </c>
      <c r="BQ16" s="81">
        <f t="shared" si="14"/>
        <v>-4494930.8132100012</v>
      </c>
      <c r="BR16" s="81">
        <f t="shared" si="14"/>
        <v>-5358050.9580800012</v>
      </c>
      <c r="BS16" s="81">
        <f t="shared" si="14"/>
        <v>-6490717.4639700009</v>
      </c>
      <c r="BT16" s="81">
        <f t="shared" si="14"/>
        <v>-7491294.847427126</v>
      </c>
      <c r="BU16" s="81">
        <f t="shared" si="14"/>
        <v>-8584063.7141887005</v>
      </c>
      <c r="BV16" s="81">
        <f t="shared" si="14"/>
        <v>-9422957.2450400013</v>
      </c>
    </row>
    <row r="17" spans="1:74" customFormat="1">
      <c r="A17" s="25"/>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84"/>
      <c r="AP17" s="84"/>
      <c r="AQ17" s="78"/>
      <c r="AR17" s="78"/>
      <c r="AS17" s="78"/>
      <c r="AT17" s="78"/>
      <c r="AU17" s="78"/>
      <c r="AV17" s="78"/>
      <c r="AW17" s="78"/>
      <c r="AX17" s="78"/>
      <c r="AY17" s="78"/>
      <c r="AZ17" s="78"/>
      <c r="BA17" s="78"/>
      <c r="BB17" s="78"/>
      <c r="BC17" s="78"/>
      <c r="BD17" s="78"/>
      <c r="BE17" s="78"/>
      <c r="BF17" s="78"/>
      <c r="BG17" s="121"/>
      <c r="BI17" s="78"/>
      <c r="BJ17" s="78"/>
      <c r="BK17" s="78"/>
      <c r="BL17" s="78"/>
      <c r="BM17" s="78"/>
      <c r="BN17" s="78"/>
      <c r="BO17" s="78"/>
      <c r="BP17" s="78"/>
      <c r="BQ17" s="78"/>
      <c r="BR17" s="78"/>
      <c r="BS17" s="78"/>
      <c r="BT17" s="78"/>
      <c r="BU17" s="78"/>
      <c r="BV17" s="78"/>
    </row>
    <row r="18" spans="1:74" customFormat="1">
      <c r="A18" s="94" t="str">
        <f>INDEX({"EBITDA";"EBITDA"},Home!$R$30)</f>
        <v>EBITDA</v>
      </c>
      <c r="B18" s="95">
        <f t="shared" ref="B18:AZ18" si="15">B16+B10</f>
        <v>55378</v>
      </c>
      <c r="C18" s="95">
        <f t="shared" si="15"/>
        <v>100262</v>
      </c>
      <c r="D18" s="95">
        <f t="shared" si="15"/>
        <v>80923</v>
      </c>
      <c r="E18" s="95">
        <f t="shared" si="15"/>
        <v>59630</v>
      </c>
      <c r="F18" s="95">
        <f t="shared" si="15"/>
        <v>63364</v>
      </c>
      <c r="G18" s="95">
        <f t="shared" si="15"/>
        <v>98476</v>
      </c>
      <c r="H18" s="95">
        <f t="shared" si="15"/>
        <v>74211</v>
      </c>
      <c r="I18" s="95">
        <f t="shared" si="15"/>
        <v>88205</v>
      </c>
      <c r="J18" s="95">
        <f t="shared" si="15"/>
        <v>93886</v>
      </c>
      <c r="K18" s="95">
        <f t="shared" si="15"/>
        <v>139249</v>
      </c>
      <c r="L18" s="95">
        <f t="shared" si="15"/>
        <v>146064</v>
      </c>
      <c r="M18" s="95">
        <f t="shared" si="15"/>
        <v>155827</v>
      </c>
      <c r="N18" s="95">
        <f t="shared" si="15"/>
        <v>153917</v>
      </c>
      <c r="O18" s="95">
        <f t="shared" si="15"/>
        <v>218957</v>
      </c>
      <c r="P18" s="95">
        <f t="shared" si="15"/>
        <v>181542</v>
      </c>
      <c r="Q18" s="95">
        <f t="shared" si="15"/>
        <v>179122</v>
      </c>
      <c r="R18" s="95">
        <f t="shared" si="15"/>
        <v>192839.00000000023</v>
      </c>
      <c r="S18" s="95">
        <f t="shared" si="15"/>
        <v>304810.79000000027</v>
      </c>
      <c r="T18" s="95">
        <f t="shared" si="15"/>
        <v>254003.7899999998</v>
      </c>
      <c r="U18" s="95">
        <f t="shared" si="15"/>
        <v>228319.40999999992</v>
      </c>
      <c r="V18" s="95">
        <f t="shared" si="15"/>
        <v>241858.06999999972</v>
      </c>
      <c r="W18" s="95">
        <f t="shared" si="15"/>
        <v>301085.42999999959</v>
      </c>
      <c r="X18" s="95">
        <f t="shared" si="15"/>
        <v>296462.8400000002</v>
      </c>
      <c r="Y18" s="95">
        <f t="shared" si="15"/>
        <v>291091.07000000041</v>
      </c>
      <c r="Z18" s="95">
        <f t="shared" si="15"/>
        <v>272185</v>
      </c>
      <c r="AA18" s="95">
        <f t="shared" si="15"/>
        <v>310408.00999999978</v>
      </c>
      <c r="AB18" s="95">
        <f t="shared" si="15"/>
        <v>291748.38999999978</v>
      </c>
      <c r="AC18" s="95">
        <f t="shared" si="15"/>
        <v>261301.95000000007</v>
      </c>
      <c r="AD18" s="95">
        <f t="shared" si="15"/>
        <v>264864.22986300068</v>
      </c>
      <c r="AE18" s="95">
        <f t="shared" si="15"/>
        <v>349820.50558999984</v>
      </c>
      <c r="AF18" s="95">
        <f t="shared" si="15"/>
        <v>349968.08402999607</v>
      </c>
      <c r="AG18" s="95">
        <f t="shared" si="15"/>
        <v>311920.39160750038</v>
      </c>
      <c r="AH18" s="95">
        <f t="shared" si="15"/>
        <v>358882.17753999983</v>
      </c>
      <c r="AI18" s="95">
        <f t="shared" si="15"/>
        <v>229570.89514000062</v>
      </c>
      <c r="AJ18" s="95">
        <f t="shared" si="15"/>
        <v>399955.92910999968</v>
      </c>
      <c r="AK18" s="95">
        <f t="shared" si="15"/>
        <v>407842.40557000111</v>
      </c>
      <c r="AL18" s="95">
        <f t="shared" si="15"/>
        <v>432282.02071000007</v>
      </c>
      <c r="AM18" s="95">
        <f t="shared" si="15"/>
        <v>549266.88678000006</v>
      </c>
      <c r="AN18" s="95">
        <f t="shared" si="15"/>
        <v>444949.49358000001</v>
      </c>
      <c r="AO18" s="95">
        <f t="shared" si="15"/>
        <v>421618.64216000075</v>
      </c>
      <c r="AP18" s="95">
        <f t="shared" si="15"/>
        <v>400983.56387000065</v>
      </c>
      <c r="AQ18" s="95">
        <f t="shared" si="15"/>
        <v>770667.7914799999</v>
      </c>
      <c r="AR18" s="95">
        <f t="shared" si="15"/>
        <v>582649.19573999755</v>
      </c>
      <c r="AS18" s="95">
        <f t="shared" si="15"/>
        <v>564450.35922999959</v>
      </c>
      <c r="AT18" s="95">
        <f t="shared" si="15"/>
        <v>566952.96325999917</v>
      </c>
      <c r="AU18" s="95">
        <f t="shared" si="15"/>
        <v>788729.34182000067</v>
      </c>
      <c r="AV18" s="95">
        <f t="shared" si="15"/>
        <v>700712.93693000125</v>
      </c>
      <c r="AW18" s="95">
        <f t="shared" si="15"/>
        <v>616568.46600999706</v>
      </c>
      <c r="AX18" s="95">
        <f t="shared" si="15"/>
        <v>678810.7115199992</v>
      </c>
      <c r="AY18" s="95">
        <f t="shared" si="15"/>
        <v>811989.57251000172</v>
      </c>
      <c r="AZ18" s="95">
        <f t="shared" si="15"/>
        <v>849043.83435999695</v>
      </c>
      <c r="BA18" s="95">
        <f t="shared" ref="BA18:BC18" si="16">BA16+BA10</f>
        <v>632160.147119998</v>
      </c>
      <c r="BB18" s="95">
        <f t="shared" si="16"/>
        <v>617399.4141999986</v>
      </c>
      <c r="BC18" s="95">
        <f t="shared" si="16"/>
        <v>860184.49310000055</v>
      </c>
      <c r="BD18" s="95">
        <f t="shared" ref="BD18:BG18" si="17">BD16+BD10</f>
        <v>948835.31721999962</v>
      </c>
      <c r="BE18" s="95">
        <f t="shared" si="17"/>
        <v>870459.72588999895</v>
      </c>
      <c r="BF18" s="95">
        <f t="shared" si="17"/>
        <v>624237.11975000147</v>
      </c>
      <c r="BG18" s="95">
        <f t="shared" si="17"/>
        <v>1026197.9928400018</v>
      </c>
      <c r="BI18" s="95">
        <f t="shared" ref="BI18:BV18" si="18">BI16+BI10</f>
        <v>296193</v>
      </c>
      <c r="BJ18" s="95">
        <f t="shared" si="18"/>
        <v>324256</v>
      </c>
      <c r="BK18" s="95">
        <f t="shared" si="18"/>
        <v>535026</v>
      </c>
      <c r="BL18" s="95">
        <f t="shared" si="18"/>
        <v>733538</v>
      </c>
      <c r="BM18" s="95">
        <f t="shared" si="18"/>
        <v>979972.98999999976</v>
      </c>
      <c r="BN18" s="95">
        <f t="shared" si="18"/>
        <v>1130497.4100000006</v>
      </c>
      <c r="BO18" s="95">
        <f t="shared" si="18"/>
        <v>1135643.3500000029</v>
      </c>
      <c r="BP18" s="95">
        <f t="shared" si="18"/>
        <v>1276573.2110904981</v>
      </c>
      <c r="BQ18" s="95">
        <f t="shared" si="18"/>
        <v>1396251.4073600024</v>
      </c>
      <c r="BR18" s="95">
        <f t="shared" si="18"/>
        <v>1848117.0432300009</v>
      </c>
      <c r="BS18" s="95">
        <f t="shared" si="18"/>
        <v>2318750.9103199961</v>
      </c>
      <c r="BT18" s="95">
        <f t="shared" si="18"/>
        <v>2672963.7080199979</v>
      </c>
      <c r="BU18" s="95">
        <f t="shared" si="18"/>
        <v>2972004.2655099984</v>
      </c>
      <c r="BV18" s="95">
        <f t="shared" si="18"/>
        <v>3296878.9504099991</v>
      </c>
    </row>
    <row r="19" spans="1:74" customFormat="1">
      <c r="A19" s="25"/>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84"/>
      <c r="AP19" s="84"/>
      <c r="AQ19" s="78"/>
      <c r="AR19" s="78"/>
      <c r="AS19" s="78"/>
      <c r="AT19" s="78"/>
      <c r="AU19" s="78"/>
      <c r="AV19" s="78"/>
      <c r="AW19" s="78"/>
      <c r="AX19" s="78"/>
      <c r="AY19" s="78"/>
      <c r="AZ19" s="78"/>
      <c r="BA19" s="78"/>
      <c r="BB19" s="78"/>
      <c r="BC19" s="78"/>
      <c r="BD19" s="78"/>
      <c r="BE19" s="78"/>
      <c r="BF19" s="78"/>
      <c r="BG19" s="121"/>
      <c r="BI19" s="78"/>
      <c r="BJ19" s="78"/>
      <c r="BK19" s="78"/>
      <c r="BL19" s="78"/>
      <c r="BM19" s="78"/>
      <c r="BN19" s="78"/>
      <c r="BO19" s="78"/>
      <c r="BP19" s="78"/>
      <c r="BQ19" s="78"/>
      <c r="BR19" s="78"/>
      <c r="BS19" s="78"/>
      <c r="BT19" s="78"/>
      <c r="BU19" s="78"/>
      <c r="BV19" s="78"/>
    </row>
    <row r="20" spans="1:74" customFormat="1">
      <c r="A20" s="17" t="str">
        <f>INDEX({"Depreciação e Amortização";"Depreciation and Amortization"},Home!$R$30)</f>
        <v>Depreciação e Amortização</v>
      </c>
      <c r="B20" s="80">
        <v>-28913</v>
      </c>
      <c r="C20" s="80">
        <v>-30384</v>
      </c>
      <c r="D20" s="80">
        <v>-31868</v>
      </c>
      <c r="E20" s="80">
        <v>-33162</v>
      </c>
      <c r="F20" s="80">
        <v>-36065</v>
      </c>
      <c r="G20" s="80">
        <v>-39005</v>
      </c>
      <c r="H20" s="80">
        <v>-41220</v>
      </c>
      <c r="I20" s="80">
        <v>-42446</v>
      </c>
      <c r="J20" s="80">
        <v>-43699</v>
      </c>
      <c r="K20" s="80">
        <v>-44081</v>
      </c>
      <c r="L20" s="80">
        <v>-48364</v>
      </c>
      <c r="M20" s="80">
        <v>-51669</v>
      </c>
      <c r="N20" s="80">
        <v>-53573</v>
      </c>
      <c r="O20" s="80">
        <v>-55640</v>
      </c>
      <c r="P20" s="80">
        <v>-57760</v>
      </c>
      <c r="Q20" s="80">
        <v>-60086</v>
      </c>
      <c r="R20" s="80">
        <v>-62929.8</v>
      </c>
      <c r="S20" s="80">
        <v>-66609.36</v>
      </c>
      <c r="T20" s="80">
        <v>-70498.539999999994</v>
      </c>
      <c r="U20" s="80">
        <v>-74396.600000000006</v>
      </c>
      <c r="V20" s="80">
        <v>-77521.919999999998</v>
      </c>
      <c r="W20" s="80">
        <v>-81509.78</v>
      </c>
      <c r="X20" s="80">
        <v>-86759.9</v>
      </c>
      <c r="Y20" s="80">
        <v>-92122.99</v>
      </c>
      <c r="Z20" s="80">
        <v>-96037.82</v>
      </c>
      <c r="AA20" s="80">
        <v>-100267.72</v>
      </c>
      <c r="AB20" s="80">
        <v>-105518.24</v>
      </c>
      <c r="AC20" s="80">
        <v>-112309.8</v>
      </c>
      <c r="AD20" s="80">
        <v>-117817.54838030304</v>
      </c>
      <c r="AE20" s="80">
        <v>-124442.45311</v>
      </c>
      <c r="AF20" s="80">
        <v>-127447.17462999999</v>
      </c>
      <c r="AG20" s="80">
        <v>-133255.70525000003</v>
      </c>
      <c r="AH20" s="80">
        <v>-135810.737406948</v>
      </c>
      <c r="AI20" s="80">
        <v>-138933.66644999967</v>
      </c>
      <c r="AJ20" s="80">
        <v>-141530.99384999991</v>
      </c>
      <c r="AK20" s="80">
        <v>-147571.34424999979</v>
      </c>
      <c r="AL20" s="80">
        <v>-147342.72392999975</v>
      </c>
      <c r="AM20" s="80">
        <v>-150430.39729999972</v>
      </c>
      <c r="AN20" s="80">
        <v>-158034.22499999992</v>
      </c>
      <c r="AO20" s="80">
        <v>-171187.44714333324</v>
      </c>
      <c r="AP20" s="80">
        <v>-167692.00204666663</v>
      </c>
      <c r="AQ20" s="80">
        <v>-171807.51600000003</v>
      </c>
      <c r="AR20" s="80">
        <v>-176883.63105999999</v>
      </c>
      <c r="AS20" s="80">
        <v>-184667.67813333345</v>
      </c>
      <c r="AT20" s="80">
        <v>-188601.53511000006</v>
      </c>
      <c r="AU20" s="80">
        <v>-194594.86307287432</v>
      </c>
      <c r="AV20" s="80">
        <v>-204298.32940556484</v>
      </c>
      <c r="AW20" s="80">
        <v>-212194.05416556404</v>
      </c>
      <c r="AX20" s="80">
        <v>-216969.19111556432</v>
      </c>
      <c r="AY20" s="80">
        <v>-223047.96156556468</v>
      </c>
      <c r="AZ20" s="80">
        <v>-231510.63336556451</v>
      </c>
      <c r="BA20" s="80">
        <v>-238323.99210413499</v>
      </c>
      <c r="BB20" s="80">
        <v>-247286.79010413599</v>
      </c>
      <c r="BC20" s="80">
        <v>-251535.416041822</v>
      </c>
      <c r="BD20" s="80">
        <v>-264817.08786719502</v>
      </c>
      <c r="BE20" s="80">
        <v>-280016.58972719399</v>
      </c>
      <c r="BF20" s="78">
        <v>-272450.4785716586</v>
      </c>
      <c r="BG20" s="121">
        <v>-277133.98985950835</v>
      </c>
      <c r="BI20" s="80">
        <f>SUM(B20:E20)</f>
        <v>-124327</v>
      </c>
      <c r="BJ20" s="80">
        <f>SUM(F20:I20)</f>
        <v>-158736</v>
      </c>
      <c r="BK20" s="80">
        <f>SUM(J20:M20)</f>
        <v>-187813</v>
      </c>
      <c r="BL20" s="80">
        <f>SUM(N20:Q20)</f>
        <v>-227059</v>
      </c>
      <c r="BM20" s="80">
        <f>SUM(R20:U20)</f>
        <v>-274434.30000000005</v>
      </c>
      <c r="BN20" s="80">
        <f>SUM(V20:Y20)</f>
        <v>-337914.59</v>
      </c>
      <c r="BO20" s="80">
        <f>SUM(Z20:AC20)</f>
        <v>-414133.58</v>
      </c>
      <c r="BP20" s="80">
        <f>SUM(AD20:AG20)</f>
        <v>-502962.88137030299</v>
      </c>
      <c r="BQ20" s="80">
        <f>SUM(AH20:AK20)</f>
        <v>-563846.74195694737</v>
      </c>
      <c r="BR20" s="80">
        <f>SUM(AL20:AO20)</f>
        <v>-626994.79337333259</v>
      </c>
      <c r="BS20" s="80">
        <f>SUM(AP20:AS20)</f>
        <v>-701050.82724000001</v>
      </c>
      <c r="BT20" s="80">
        <f>SUM(AT20:AW20)</f>
        <v>-799688.78175400326</v>
      </c>
      <c r="BU20" s="80">
        <f>SUM(AX20:BA20)</f>
        <v>-909851.77815082856</v>
      </c>
      <c r="BV20" s="80">
        <f>SUM(BB20:BE20)</f>
        <v>-1043655.8837403471</v>
      </c>
    </row>
    <row r="21" spans="1:74" customFormat="1">
      <c r="A21" s="25"/>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84"/>
      <c r="AP21" s="84"/>
      <c r="AQ21" s="78"/>
      <c r="AR21" s="78"/>
      <c r="AS21" s="78"/>
      <c r="AT21" s="78"/>
      <c r="AU21" s="78"/>
      <c r="AV21" s="78"/>
      <c r="AW21" s="78"/>
      <c r="AX21" s="78"/>
      <c r="AY21" s="78"/>
      <c r="AZ21" s="78"/>
      <c r="BA21" s="78"/>
      <c r="BB21" s="78"/>
      <c r="BC21" s="78"/>
      <c r="BD21" s="78"/>
      <c r="BE21" s="78"/>
      <c r="BF21" s="78"/>
      <c r="BG21" s="121"/>
      <c r="BI21" s="78"/>
      <c r="BJ21" s="78"/>
      <c r="BK21" s="78"/>
      <c r="BL21" s="78"/>
      <c r="BM21" s="78"/>
      <c r="BN21" s="78"/>
      <c r="BO21" s="78"/>
      <c r="BP21" s="78"/>
      <c r="BQ21" s="78"/>
      <c r="BR21" s="78"/>
      <c r="BS21" s="78"/>
      <c r="BT21" s="78"/>
      <c r="BU21" s="78"/>
      <c r="BV21" s="78"/>
    </row>
    <row r="22" spans="1:74" customFormat="1">
      <c r="A22" s="19" t="str">
        <f>INDEX({"Lucro operacional antes do resultado financeiro";"Operational Earnings before Financial Results"},Home!$R$30)</f>
        <v>Lucro operacional antes do resultado financeiro</v>
      </c>
      <c r="B22" s="81">
        <f t="shared" ref="B22:AG22" si="19">B20+B18</f>
        <v>26465</v>
      </c>
      <c r="C22" s="81">
        <f t="shared" si="19"/>
        <v>69878</v>
      </c>
      <c r="D22" s="81">
        <f t="shared" si="19"/>
        <v>49055</v>
      </c>
      <c r="E22" s="81">
        <f t="shared" si="19"/>
        <v>26468</v>
      </c>
      <c r="F22" s="81">
        <f t="shared" si="19"/>
        <v>27299</v>
      </c>
      <c r="G22" s="81">
        <f t="shared" si="19"/>
        <v>59471</v>
      </c>
      <c r="H22" s="81">
        <f t="shared" si="19"/>
        <v>32991</v>
      </c>
      <c r="I22" s="81">
        <f t="shared" si="19"/>
        <v>45759</v>
      </c>
      <c r="J22" s="81">
        <f t="shared" si="19"/>
        <v>50187</v>
      </c>
      <c r="K22" s="81">
        <f t="shared" si="19"/>
        <v>95168</v>
      </c>
      <c r="L22" s="81">
        <f t="shared" si="19"/>
        <v>97700</v>
      </c>
      <c r="M22" s="81">
        <f t="shared" si="19"/>
        <v>104158</v>
      </c>
      <c r="N22" s="81">
        <f t="shared" si="19"/>
        <v>100344</v>
      </c>
      <c r="O22" s="81">
        <f t="shared" si="19"/>
        <v>163317</v>
      </c>
      <c r="P22" s="81">
        <f t="shared" si="19"/>
        <v>123782</v>
      </c>
      <c r="Q22" s="81">
        <f t="shared" si="19"/>
        <v>119036</v>
      </c>
      <c r="R22" s="81">
        <f t="shared" si="19"/>
        <v>129909.20000000023</v>
      </c>
      <c r="S22" s="81">
        <f t="shared" si="19"/>
        <v>238201.43000000028</v>
      </c>
      <c r="T22" s="81">
        <f t="shared" si="19"/>
        <v>183505.24999999983</v>
      </c>
      <c r="U22" s="81">
        <f t="shared" si="19"/>
        <v>153922.80999999991</v>
      </c>
      <c r="V22" s="81">
        <f t="shared" si="19"/>
        <v>164336.14999999973</v>
      </c>
      <c r="W22" s="81">
        <f t="shared" si="19"/>
        <v>219575.64999999959</v>
      </c>
      <c r="X22" s="81">
        <f t="shared" si="19"/>
        <v>209702.94000000021</v>
      </c>
      <c r="Y22" s="81">
        <f t="shared" si="19"/>
        <v>198968.08000000042</v>
      </c>
      <c r="Z22" s="81">
        <f t="shared" si="19"/>
        <v>176147.18</v>
      </c>
      <c r="AA22" s="81">
        <f t="shared" si="19"/>
        <v>210140.28999999978</v>
      </c>
      <c r="AB22" s="81">
        <f t="shared" si="19"/>
        <v>186230.14999999979</v>
      </c>
      <c r="AC22" s="81">
        <f t="shared" si="19"/>
        <v>148992.15000000008</v>
      </c>
      <c r="AD22" s="81">
        <f t="shared" si="19"/>
        <v>147046.68148269766</v>
      </c>
      <c r="AE22" s="81">
        <f t="shared" si="19"/>
        <v>225378.05247999984</v>
      </c>
      <c r="AF22" s="81">
        <f t="shared" si="19"/>
        <v>222520.90939999608</v>
      </c>
      <c r="AG22" s="81">
        <f t="shared" si="19"/>
        <v>178664.68635750035</v>
      </c>
      <c r="AH22" s="81">
        <f t="shared" ref="AH22:BG22" si="20">AH20+AH18</f>
        <v>223071.44013305183</v>
      </c>
      <c r="AI22" s="81">
        <f t="shared" si="20"/>
        <v>90637.228690000949</v>
      </c>
      <c r="AJ22" s="81">
        <f t="shared" si="20"/>
        <v>258424.93525999977</v>
      </c>
      <c r="AK22" s="81">
        <f t="shared" si="20"/>
        <v>260271.06132000132</v>
      </c>
      <c r="AL22" s="81">
        <f t="shared" si="20"/>
        <v>284939.29678000032</v>
      </c>
      <c r="AM22" s="81">
        <f t="shared" si="20"/>
        <v>398836.48948000034</v>
      </c>
      <c r="AN22" s="81">
        <f t="shared" si="20"/>
        <v>286915.26858000009</v>
      </c>
      <c r="AO22" s="81">
        <f t="shared" si="20"/>
        <v>250431.19501666751</v>
      </c>
      <c r="AP22" s="81">
        <f t="shared" si="20"/>
        <v>233291.56182333402</v>
      </c>
      <c r="AQ22" s="81">
        <f t="shared" si="20"/>
        <v>598860.27547999984</v>
      </c>
      <c r="AR22" s="81">
        <f t="shared" si="20"/>
        <v>405765.56467999757</v>
      </c>
      <c r="AS22" s="81">
        <f t="shared" si="20"/>
        <v>379782.68109666614</v>
      </c>
      <c r="AT22" s="81">
        <f t="shared" si="20"/>
        <v>378351.42814999912</v>
      </c>
      <c r="AU22" s="81">
        <f t="shared" si="20"/>
        <v>594134.47874712641</v>
      </c>
      <c r="AV22" s="81">
        <f t="shared" si="20"/>
        <v>496414.60752443643</v>
      </c>
      <c r="AW22" s="81">
        <f t="shared" si="20"/>
        <v>404374.41184443305</v>
      </c>
      <c r="AX22" s="81">
        <f t="shared" si="20"/>
        <v>461841.52040443488</v>
      </c>
      <c r="AY22" s="81">
        <f t="shared" si="20"/>
        <v>588941.6109444371</v>
      </c>
      <c r="AZ22" s="81">
        <f t="shared" si="20"/>
        <v>617533.20099443244</v>
      </c>
      <c r="BA22" s="81">
        <f t="shared" si="20"/>
        <v>393836.15501586301</v>
      </c>
      <c r="BB22" s="81">
        <f t="shared" si="20"/>
        <v>370112.62409586261</v>
      </c>
      <c r="BC22" s="81">
        <f t="shared" si="20"/>
        <v>608649.07705817861</v>
      </c>
      <c r="BD22" s="81">
        <f t="shared" si="20"/>
        <v>684018.2293528046</v>
      </c>
      <c r="BE22" s="81">
        <f t="shared" si="20"/>
        <v>590443.13616280491</v>
      </c>
      <c r="BF22" s="81">
        <f t="shared" si="20"/>
        <v>351786.64117834286</v>
      </c>
      <c r="BG22" s="81">
        <f t="shared" si="20"/>
        <v>749064.00298049347</v>
      </c>
      <c r="BI22" s="81">
        <f t="shared" ref="BI22:BV22" si="21">BI20+BI18</f>
        <v>171866</v>
      </c>
      <c r="BJ22" s="81">
        <f t="shared" si="21"/>
        <v>165520</v>
      </c>
      <c r="BK22" s="81">
        <f t="shared" si="21"/>
        <v>347213</v>
      </c>
      <c r="BL22" s="81">
        <f t="shared" si="21"/>
        <v>506479</v>
      </c>
      <c r="BM22" s="81">
        <f t="shared" si="21"/>
        <v>705538.68999999971</v>
      </c>
      <c r="BN22" s="81">
        <f t="shared" si="21"/>
        <v>792582.82000000053</v>
      </c>
      <c r="BO22" s="81">
        <f t="shared" si="21"/>
        <v>721509.77000000281</v>
      </c>
      <c r="BP22" s="81">
        <f t="shared" si="21"/>
        <v>773610.32972019515</v>
      </c>
      <c r="BQ22" s="81">
        <f t="shared" si="21"/>
        <v>832404.66540305503</v>
      </c>
      <c r="BR22" s="81">
        <f t="shared" si="21"/>
        <v>1221122.2498566683</v>
      </c>
      <c r="BS22" s="81">
        <f t="shared" si="21"/>
        <v>1617700.0830799961</v>
      </c>
      <c r="BT22" s="81">
        <f t="shared" si="21"/>
        <v>1873274.9262659946</v>
      </c>
      <c r="BU22" s="81">
        <f t="shared" si="21"/>
        <v>2062152.4873591699</v>
      </c>
      <c r="BV22" s="81">
        <f t="shared" si="21"/>
        <v>2253223.0666696522</v>
      </c>
    </row>
    <row r="23" spans="1:74" customFormat="1">
      <c r="A23" s="25"/>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84"/>
      <c r="AP23" s="84"/>
      <c r="AQ23" s="78"/>
      <c r="AR23" s="78"/>
      <c r="AS23" s="78"/>
      <c r="AT23" s="78"/>
      <c r="AU23" s="78"/>
      <c r="AV23" s="78"/>
      <c r="AW23" s="78"/>
      <c r="AX23" s="78"/>
      <c r="AY23" s="78"/>
      <c r="AZ23" s="78"/>
      <c r="BA23" s="78"/>
      <c r="BB23" s="78"/>
      <c r="BC23" s="78"/>
      <c r="BD23" s="78"/>
      <c r="BE23" s="78"/>
      <c r="BF23" s="78"/>
      <c r="BG23" s="121"/>
      <c r="BI23" s="78"/>
      <c r="BJ23" s="78"/>
      <c r="BK23" s="78"/>
      <c r="BL23" s="78"/>
      <c r="BM23" s="78"/>
      <c r="BN23" s="78"/>
      <c r="BO23" s="78"/>
      <c r="BP23" s="78"/>
      <c r="BQ23" s="78"/>
      <c r="BR23" s="78"/>
      <c r="BS23" s="78"/>
      <c r="BT23" s="78"/>
      <c r="BU23" s="78"/>
      <c r="BV23" s="78"/>
    </row>
    <row r="24" spans="1:74" customFormat="1">
      <c r="A24" s="17" t="str">
        <f>INDEX({"Despesas financeiras";"Financial Expenses"},Home!$R$30)</f>
        <v>Despesas financeiras</v>
      </c>
      <c r="B24" s="80">
        <v>-13400</v>
      </c>
      <c r="C24" s="80">
        <v>-13162</v>
      </c>
      <c r="D24" s="80">
        <v>-13554</v>
      </c>
      <c r="E24" s="80">
        <v>-12421</v>
      </c>
      <c r="F24" s="80">
        <v>-13194</v>
      </c>
      <c r="G24" s="80">
        <v>-13856</v>
      </c>
      <c r="H24" s="80">
        <v>-15671</v>
      </c>
      <c r="I24" s="80">
        <v>-19025</v>
      </c>
      <c r="J24" s="80">
        <v>-14103</v>
      </c>
      <c r="K24" s="80">
        <v>-15318</v>
      </c>
      <c r="L24" s="80">
        <v>-14352</v>
      </c>
      <c r="M24" s="80">
        <v>-18309</v>
      </c>
      <c r="N24" s="80">
        <v>-29548</v>
      </c>
      <c r="O24" s="80">
        <v>-36594</v>
      </c>
      <c r="P24" s="80">
        <v>-41391</v>
      </c>
      <c r="Q24" s="80">
        <v>-49359</v>
      </c>
      <c r="R24" s="80">
        <v>-42893.71</v>
      </c>
      <c r="S24" s="80">
        <v>-47918</v>
      </c>
      <c r="T24" s="80">
        <v>-59842.13</v>
      </c>
      <c r="U24" s="80">
        <v>-69165.22</v>
      </c>
      <c r="V24" s="80">
        <v>-57709.52</v>
      </c>
      <c r="W24" s="80">
        <v>-57946.98</v>
      </c>
      <c r="X24" s="80">
        <v>-57199.32</v>
      </c>
      <c r="Y24" s="80">
        <v>-40066.39</v>
      </c>
      <c r="Z24" s="80">
        <v>-32605.02</v>
      </c>
      <c r="AA24" s="80">
        <v>-44198.83</v>
      </c>
      <c r="AB24" s="80">
        <v>-46218.17</v>
      </c>
      <c r="AC24" s="80">
        <v>-31414.58</v>
      </c>
      <c r="AD24" s="80">
        <v>-46015.170579999991</v>
      </c>
      <c r="AE24" s="80">
        <v>-48678.218120000005</v>
      </c>
      <c r="AF24" s="80">
        <v>-62145.723960000003</v>
      </c>
      <c r="AG24" s="80">
        <v>-43722.398520000002</v>
      </c>
      <c r="AH24" s="80">
        <v>-38290.617700000075</v>
      </c>
      <c r="AI24" s="80">
        <v>-35123.539650000239</v>
      </c>
      <c r="AJ24" s="80">
        <v>-31776.600689999625</v>
      </c>
      <c r="AK24" s="80">
        <v>-30289.495339999616</v>
      </c>
      <c r="AL24" s="80">
        <v>-29544.260309999987</v>
      </c>
      <c r="AM24" s="80">
        <v>-40397.119509999917</v>
      </c>
      <c r="AN24" s="80">
        <v>-62946.025400000006</v>
      </c>
      <c r="AO24" s="80">
        <v>-102557.29126999996</v>
      </c>
      <c r="AP24" s="80">
        <v>-125001.73381000003</v>
      </c>
      <c r="AQ24" s="80">
        <v>-164735.14826999998</v>
      </c>
      <c r="AR24" s="80">
        <v>-213800.62022999994</v>
      </c>
      <c r="AS24" s="80">
        <v>-191085.43176999997</v>
      </c>
      <c r="AT24" s="80">
        <v>-250952.15738999995</v>
      </c>
      <c r="AU24" s="80">
        <v>-246783.62936999992</v>
      </c>
      <c r="AV24" s="80">
        <v>-244874.22501999995</v>
      </c>
      <c r="AW24" s="80">
        <v>-236585.59275999985</v>
      </c>
      <c r="AX24" s="80">
        <v>-258087.71534</v>
      </c>
      <c r="AY24" s="80">
        <v>-248520.11070999998</v>
      </c>
      <c r="AZ24" s="80">
        <v>-238926.41220999992</v>
      </c>
      <c r="BA24" s="80">
        <v>-253311.37687000004</v>
      </c>
      <c r="BB24" s="80">
        <v>-265005.70010999998</v>
      </c>
      <c r="BC24" s="80">
        <v>-310427.92804000003</v>
      </c>
      <c r="BD24" s="80">
        <v>-340849.66372999997</v>
      </c>
      <c r="BE24" s="80">
        <v>-394992.30816000002</v>
      </c>
      <c r="BF24" s="78">
        <v>-349769.49241000001</v>
      </c>
      <c r="BG24" s="121">
        <v>-336869.45088000008</v>
      </c>
      <c r="BI24" s="80">
        <f>SUM(B24:E24)</f>
        <v>-52537</v>
      </c>
      <c r="BJ24" s="80">
        <f>SUM(F24:I24)</f>
        <v>-61746</v>
      </c>
      <c r="BK24" s="80">
        <f>SUM(J24:M24)</f>
        <v>-62082</v>
      </c>
      <c r="BL24" s="80">
        <f>SUM(N24:Q24)</f>
        <v>-156892</v>
      </c>
      <c r="BM24" s="80">
        <f>SUM(R24:U24)</f>
        <v>-219819.06</v>
      </c>
      <c r="BN24" s="80">
        <f>SUM(V24:Y24)</f>
        <v>-212922.21000000002</v>
      </c>
      <c r="BO24" s="80">
        <f>SUM(Z24:AC24)</f>
        <v>-154436.6</v>
      </c>
      <c r="BP24" s="80">
        <f>SUM(AD24:AG24)</f>
        <v>-200561.51117999997</v>
      </c>
      <c r="BQ24" s="80">
        <f>SUM(AH24:AK24)</f>
        <v>-135480.25337999954</v>
      </c>
      <c r="BR24" s="80">
        <f>SUM(AL24:AO24)</f>
        <v>-235444.69648999986</v>
      </c>
      <c r="BS24" s="80">
        <f>SUM(AP24:AS24)</f>
        <v>-694622.93407999992</v>
      </c>
      <c r="BT24" s="80">
        <f>SUM(AT24:AW24)</f>
        <v>-979195.60453999974</v>
      </c>
      <c r="BU24" s="80">
        <f>SUM(AX24:BA24)</f>
        <v>-998845.61512999993</v>
      </c>
      <c r="BV24" s="80">
        <f>SUM(BB24:BE24)</f>
        <v>-1311275.6000399999</v>
      </c>
    </row>
    <row r="25" spans="1:74" customFormat="1">
      <c r="A25" s="17" t="str">
        <f>INDEX({"Receitas financeiras";"Financial Revenues"},Home!$R$30)</f>
        <v>Receitas financeiras</v>
      </c>
      <c r="B25" s="80">
        <v>12964</v>
      </c>
      <c r="C25" s="80">
        <v>9032</v>
      </c>
      <c r="D25" s="80">
        <v>8724</v>
      </c>
      <c r="E25" s="80">
        <v>8024</v>
      </c>
      <c r="F25" s="80">
        <v>6681</v>
      </c>
      <c r="G25" s="80">
        <v>7671</v>
      </c>
      <c r="H25" s="80">
        <v>9449</v>
      </c>
      <c r="I25" s="80">
        <v>11813</v>
      </c>
      <c r="J25" s="80">
        <v>5188</v>
      </c>
      <c r="K25" s="80">
        <v>4092</v>
      </c>
      <c r="L25" s="80">
        <v>5342</v>
      </c>
      <c r="M25" s="80">
        <v>5283</v>
      </c>
      <c r="N25" s="80">
        <v>14330</v>
      </c>
      <c r="O25" s="80">
        <v>20831</v>
      </c>
      <c r="P25" s="80">
        <v>25672</v>
      </c>
      <c r="Q25" s="80">
        <v>28483</v>
      </c>
      <c r="R25" s="80">
        <v>25704.74</v>
      </c>
      <c r="S25" s="80">
        <v>23282</v>
      </c>
      <c r="T25" s="80">
        <v>29281.119999999999</v>
      </c>
      <c r="U25" s="80">
        <v>31229.200000000001</v>
      </c>
      <c r="V25" s="80">
        <v>28219.38</v>
      </c>
      <c r="W25" s="80">
        <v>28806.45</v>
      </c>
      <c r="X25" s="80">
        <v>28231.15</v>
      </c>
      <c r="Y25" s="80">
        <v>21626.25</v>
      </c>
      <c r="Z25" s="80">
        <v>16467.189999999999</v>
      </c>
      <c r="AA25" s="80">
        <v>18335.939999999999</v>
      </c>
      <c r="AB25" s="80">
        <v>19468.38</v>
      </c>
      <c r="AC25" s="80">
        <v>17511.509999999998</v>
      </c>
      <c r="AD25" s="80">
        <v>17654.268919999999</v>
      </c>
      <c r="AE25" s="80">
        <v>15902.564960000002</v>
      </c>
      <c r="AF25" s="80">
        <v>21221.724109999999</v>
      </c>
      <c r="AG25" s="80">
        <v>21291.488419999998</v>
      </c>
      <c r="AH25" s="80">
        <v>15859.034889999999</v>
      </c>
      <c r="AI25" s="80">
        <v>14936.42477</v>
      </c>
      <c r="AJ25" s="80">
        <v>9786.6875700000001</v>
      </c>
      <c r="AK25" s="80">
        <v>13600.09737</v>
      </c>
      <c r="AL25" s="80">
        <v>10712.1505</v>
      </c>
      <c r="AM25" s="80">
        <v>13491.534099999997</v>
      </c>
      <c r="AN25" s="80">
        <v>23014.120790000001</v>
      </c>
      <c r="AO25" s="80">
        <v>32799.435519999999</v>
      </c>
      <c r="AP25" s="80">
        <v>46762.404149999988</v>
      </c>
      <c r="AQ25" s="80">
        <v>66566.171310000005</v>
      </c>
      <c r="AR25" s="80">
        <v>88286.656320000009</v>
      </c>
      <c r="AS25" s="80">
        <v>91971.026050000015</v>
      </c>
      <c r="AT25" s="80">
        <v>91224.001859999989</v>
      </c>
      <c r="AU25" s="80">
        <v>100245.03516000001</v>
      </c>
      <c r="AV25" s="80">
        <v>95159.606639999984</v>
      </c>
      <c r="AW25" s="80">
        <v>142106.07485000003</v>
      </c>
      <c r="AX25" s="80">
        <v>102544.75937999999</v>
      </c>
      <c r="AY25" s="80">
        <v>105837.66399999999</v>
      </c>
      <c r="AZ25" s="80">
        <v>97337.125639999998</v>
      </c>
      <c r="BA25" s="80">
        <v>138875.43606999997</v>
      </c>
      <c r="BB25" s="80">
        <v>86174.236120000001</v>
      </c>
      <c r="BC25" s="80">
        <v>106401.068494049</v>
      </c>
      <c r="BD25" s="80">
        <v>129924.101635417</v>
      </c>
      <c r="BE25" s="80">
        <v>116092.658550534</v>
      </c>
      <c r="BF25" s="78">
        <v>146524.98369999998</v>
      </c>
      <c r="BG25" s="121">
        <v>141704.86942</v>
      </c>
      <c r="BI25" s="80">
        <f>SUM(B25:E25)</f>
        <v>38744</v>
      </c>
      <c r="BJ25" s="80">
        <f>SUM(F25:I25)</f>
        <v>35614</v>
      </c>
      <c r="BK25" s="80">
        <f>SUM(J25:M25)</f>
        <v>19905</v>
      </c>
      <c r="BL25" s="80">
        <f>SUM(N25:Q25)</f>
        <v>89316</v>
      </c>
      <c r="BM25" s="80">
        <f>SUM(R25:U25)</f>
        <v>109497.06</v>
      </c>
      <c r="BN25" s="80">
        <f>SUM(V25:Y25)</f>
        <v>106883.23000000001</v>
      </c>
      <c r="BO25" s="80">
        <f>SUM(Z25:AC25)</f>
        <v>71783.01999999999</v>
      </c>
      <c r="BP25" s="80">
        <f>SUM(AD25:AG25)</f>
        <v>76070.046409999995</v>
      </c>
      <c r="BQ25" s="80">
        <f>SUM(AH25:AK25)</f>
        <v>54182.244600000005</v>
      </c>
      <c r="BR25" s="80">
        <f>SUM(AL25:AO25)</f>
        <v>80017.240909999993</v>
      </c>
      <c r="BS25" s="80">
        <f>SUM(AP25:AS25)</f>
        <v>293586.25783000002</v>
      </c>
      <c r="BT25" s="80">
        <f>SUM(AT25:AW25)</f>
        <v>428734.71850999998</v>
      </c>
      <c r="BU25" s="80">
        <f>SUM(AX25:BA25)</f>
        <v>444594.98508999997</v>
      </c>
      <c r="BV25" s="80">
        <f>SUM(BB25:BE25)</f>
        <v>438592.06479999999</v>
      </c>
    </row>
    <row r="26" spans="1:74" customFormat="1">
      <c r="A26" s="19" t="str">
        <f>INDEX({"Despesas / Receitas Financeiras";"Financial Expenses/Revenues"},Home!$R$30)</f>
        <v>Despesas / Receitas Financeiras</v>
      </c>
      <c r="B26" s="81">
        <f t="shared" ref="B26:AZ26" si="22">B25+B24</f>
        <v>-436</v>
      </c>
      <c r="C26" s="81">
        <f t="shared" si="22"/>
        <v>-4130</v>
      </c>
      <c r="D26" s="81">
        <f t="shared" si="22"/>
        <v>-4830</v>
      </c>
      <c r="E26" s="81">
        <f t="shared" si="22"/>
        <v>-4397</v>
      </c>
      <c r="F26" s="81">
        <f t="shared" si="22"/>
        <v>-6513</v>
      </c>
      <c r="G26" s="81">
        <f t="shared" si="22"/>
        <v>-6185</v>
      </c>
      <c r="H26" s="81">
        <f t="shared" si="22"/>
        <v>-6222</v>
      </c>
      <c r="I26" s="81">
        <f t="shared" si="22"/>
        <v>-7212</v>
      </c>
      <c r="J26" s="81">
        <f t="shared" si="22"/>
        <v>-8915</v>
      </c>
      <c r="K26" s="81">
        <f t="shared" si="22"/>
        <v>-11226</v>
      </c>
      <c r="L26" s="81">
        <f t="shared" si="22"/>
        <v>-9010</v>
      </c>
      <c r="M26" s="81">
        <f t="shared" si="22"/>
        <v>-13026</v>
      </c>
      <c r="N26" s="81">
        <f t="shared" si="22"/>
        <v>-15218</v>
      </c>
      <c r="O26" s="81">
        <f t="shared" si="22"/>
        <v>-15763</v>
      </c>
      <c r="P26" s="81">
        <f t="shared" si="22"/>
        <v>-15719</v>
      </c>
      <c r="Q26" s="81">
        <f t="shared" si="22"/>
        <v>-20876</v>
      </c>
      <c r="R26" s="81">
        <f t="shared" si="22"/>
        <v>-17188.969999999998</v>
      </c>
      <c r="S26" s="81">
        <f t="shared" si="22"/>
        <v>-24636</v>
      </c>
      <c r="T26" s="81">
        <f t="shared" si="22"/>
        <v>-30561.01</v>
      </c>
      <c r="U26" s="81">
        <f t="shared" si="22"/>
        <v>-37936.020000000004</v>
      </c>
      <c r="V26" s="81">
        <f t="shared" si="22"/>
        <v>-29490.139999999996</v>
      </c>
      <c r="W26" s="81">
        <f t="shared" si="22"/>
        <v>-29140.530000000002</v>
      </c>
      <c r="X26" s="81">
        <f t="shared" si="22"/>
        <v>-28968.17</v>
      </c>
      <c r="Y26" s="81">
        <f t="shared" si="22"/>
        <v>-18440.14</v>
      </c>
      <c r="Z26" s="81">
        <f t="shared" si="22"/>
        <v>-16137.830000000002</v>
      </c>
      <c r="AA26" s="81">
        <f t="shared" si="22"/>
        <v>-25862.890000000003</v>
      </c>
      <c r="AB26" s="81">
        <f t="shared" si="22"/>
        <v>-26749.789999999997</v>
      </c>
      <c r="AC26" s="81">
        <f t="shared" si="22"/>
        <v>-13903.070000000003</v>
      </c>
      <c r="AD26" s="81">
        <f t="shared" si="22"/>
        <v>-28360.901659999992</v>
      </c>
      <c r="AE26" s="81">
        <f t="shared" si="22"/>
        <v>-32775.653160000002</v>
      </c>
      <c r="AF26" s="81">
        <f t="shared" si="22"/>
        <v>-40923.999850000007</v>
      </c>
      <c r="AG26" s="81">
        <f t="shared" si="22"/>
        <v>-22430.910100000005</v>
      </c>
      <c r="AH26" s="81">
        <f t="shared" si="22"/>
        <v>-22431.582810000076</v>
      </c>
      <c r="AI26" s="81">
        <f t="shared" si="22"/>
        <v>-20187.114880000241</v>
      </c>
      <c r="AJ26" s="81">
        <f t="shared" si="22"/>
        <v>-21989.913119999626</v>
      </c>
      <c r="AK26" s="81">
        <f t="shared" si="22"/>
        <v>-16689.397969999616</v>
      </c>
      <c r="AL26" s="81">
        <f t="shared" si="22"/>
        <v>-18832.109809999987</v>
      </c>
      <c r="AM26" s="81">
        <f t="shared" si="22"/>
        <v>-26905.58540999992</v>
      </c>
      <c r="AN26" s="81">
        <f t="shared" si="22"/>
        <v>-39931.904610000005</v>
      </c>
      <c r="AO26" s="81">
        <f t="shared" si="22"/>
        <v>-69757.855749999959</v>
      </c>
      <c r="AP26" s="81">
        <f t="shared" si="22"/>
        <v>-78239.329660000047</v>
      </c>
      <c r="AQ26" s="81">
        <f t="shared" si="22"/>
        <v>-98168.976959999971</v>
      </c>
      <c r="AR26" s="81">
        <f t="shared" si="22"/>
        <v>-125513.96390999993</v>
      </c>
      <c r="AS26" s="81">
        <f t="shared" si="22"/>
        <v>-99114.405719999952</v>
      </c>
      <c r="AT26" s="81">
        <f t="shared" si="22"/>
        <v>-159728.15552999996</v>
      </c>
      <c r="AU26" s="81">
        <f t="shared" si="22"/>
        <v>-146538.59420999989</v>
      </c>
      <c r="AV26" s="81">
        <f t="shared" si="22"/>
        <v>-149714.61837999997</v>
      </c>
      <c r="AW26" s="81">
        <f t="shared" si="22"/>
        <v>-94479.51790999982</v>
      </c>
      <c r="AX26" s="81">
        <f t="shared" si="22"/>
        <v>-155542.95595999999</v>
      </c>
      <c r="AY26" s="81">
        <f t="shared" si="22"/>
        <v>-142682.44670999999</v>
      </c>
      <c r="AZ26" s="81">
        <f t="shared" si="22"/>
        <v>-141589.28656999994</v>
      </c>
      <c r="BA26" s="81">
        <f t="shared" ref="BA26:BC26" si="23">BA25+BA24</f>
        <v>-114435.94080000007</v>
      </c>
      <c r="BB26" s="81">
        <f t="shared" si="23"/>
        <v>-178831.46398999996</v>
      </c>
      <c r="BC26" s="81">
        <f t="shared" si="23"/>
        <v>-204026.85954595101</v>
      </c>
      <c r="BD26" s="81">
        <f t="shared" ref="BD26:BG26" si="24">BD25+BD24</f>
        <v>-210925.56209458297</v>
      </c>
      <c r="BE26" s="81">
        <f t="shared" si="24"/>
        <v>-278899.64960946603</v>
      </c>
      <c r="BF26" s="81">
        <f t="shared" si="24"/>
        <v>-203244.50871000002</v>
      </c>
      <c r="BG26" s="81">
        <f t="shared" si="24"/>
        <v>-195164.58146000007</v>
      </c>
      <c r="BI26" s="81">
        <f t="shared" ref="BI26:BV26" si="25">BI25+BI24</f>
        <v>-13793</v>
      </c>
      <c r="BJ26" s="81">
        <f t="shared" si="25"/>
        <v>-26132</v>
      </c>
      <c r="BK26" s="81">
        <f t="shared" si="25"/>
        <v>-42177</v>
      </c>
      <c r="BL26" s="81">
        <f t="shared" si="25"/>
        <v>-67576</v>
      </c>
      <c r="BM26" s="81">
        <f t="shared" si="25"/>
        <v>-110322</v>
      </c>
      <c r="BN26" s="81">
        <f t="shared" si="25"/>
        <v>-106038.98000000001</v>
      </c>
      <c r="BO26" s="81">
        <f t="shared" si="25"/>
        <v>-82653.580000000016</v>
      </c>
      <c r="BP26" s="81">
        <f t="shared" si="25"/>
        <v>-124491.46476999998</v>
      </c>
      <c r="BQ26" s="81">
        <f t="shared" si="25"/>
        <v>-81298.008779999538</v>
      </c>
      <c r="BR26" s="81">
        <f t="shared" si="25"/>
        <v>-155427.45557999986</v>
      </c>
      <c r="BS26" s="81">
        <f t="shared" si="25"/>
        <v>-401036.6762499999</v>
      </c>
      <c r="BT26" s="81">
        <f t="shared" si="25"/>
        <v>-550460.8860299997</v>
      </c>
      <c r="BU26" s="81">
        <f t="shared" si="25"/>
        <v>-554250.63003999996</v>
      </c>
      <c r="BV26" s="81">
        <f t="shared" si="25"/>
        <v>-872683.53523999988</v>
      </c>
    </row>
    <row r="27" spans="1:74" customFormat="1">
      <c r="A27" s="25"/>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84"/>
      <c r="AP27" s="84"/>
      <c r="AQ27" s="78"/>
      <c r="AR27" s="78"/>
      <c r="AS27" s="78"/>
      <c r="AT27" s="78"/>
      <c r="AU27" s="78"/>
      <c r="AV27" s="78"/>
      <c r="AW27" s="78"/>
      <c r="AX27" s="78"/>
      <c r="AY27" s="78"/>
      <c r="AZ27" s="78"/>
      <c r="BA27" s="78"/>
      <c r="BB27" s="78"/>
      <c r="BC27" s="78"/>
      <c r="BD27" s="78"/>
      <c r="BE27" s="78"/>
      <c r="BF27" s="78"/>
      <c r="BG27" s="121"/>
      <c r="BI27" s="78"/>
      <c r="BJ27" s="78"/>
      <c r="BK27" s="78"/>
      <c r="BL27" s="78"/>
      <c r="BM27" s="78"/>
      <c r="BN27" s="78"/>
      <c r="BO27" s="78"/>
      <c r="BP27" s="78"/>
      <c r="BQ27" s="78"/>
      <c r="BR27" s="78"/>
      <c r="BS27" s="78"/>
      <c r="BT27" s="78"/>
      <c r="BU27" s="78"/>
      <c r="BV27" s="78"/>
    </row>
    <row r="28" spans="1:74" customFormat="1">
      <c r="A28" s="17" t="str">
        <f>INDEX({"Equivalência Patrimonial";"Equity Equivalence"},Home!$R$30)</f>
        <v>Equivalência Patrimonial</v>
      </c>
      <c r="B28" s="80">
        <v>0</v>
      </c>
      <c r="C28" s="80">
        <v>0</v>
      </c>
      <c r="D28" s="80">
        <v>0</v>
      </c>
      <c r="E28" s="80">
        <v>0</v>
      </c>
      <c r="F28" s="80">
        <v>0</v>
      </c>
      <c r="G28" s="80">
        <v>0</v>
      </c>
      <c r="H28" s="80">
        <v>0</v>
      </c>
      <c r="I28" s="80">
        <v>0</v>
      </c>
      <c r="J28" s="80">
        <v>0</v>
      </c>
      <c r="K28" s="80">
        <v>0</v>
      </c>
      <c r="L28" s="80">
        <v>0</v>
      </c>
      <c r="M28" s="80">
        <v>0</v>
      </c>
      <c r="N28" s="80">
        <v>0</v>
      </c>
      <c r="O28" s="80">
        <v>0</v>
      </c>
      <c r="P28" s="80">
        <v>0</v>
      </c>
      <c r="Q28" s="80">
        <v>0</v>
      </c>
      <c r="R28" s="80">
        <v>0</v>
      </c>
      <c r="S28" s="80">
        <v>0</v>
      </c>
      <c r="T28" s="80">
        <v>0</v>
      </c>
      <c r="U28" s="80">
        <v>0</v>
      </c>
      <c r="V28" s="80">
        <v>0</v>
      </c>
      <c r="W28" s="80">
        <v>0</v>
      </c>
      <c r="X28" s="80">
        <v>0</v>
      </c>
      <c r="Y28" s="80">
        <v>0</v>
      </c>
      <c r="Z28" s="80">
        <v>0</v>
      </c>
      <c r="AA28" s="80">
        <v>0</v>
      </c>
      <c r="AB28" s="80">
        <v>0</v>
      </c>
      <c r="AC28" s="80">
        <v>0</v>
      </c>
      <c r="AD28" s="80">
        <v>0</v>
      </c>
      <c r="AE28" s="80">
        <v>0</v>
      </c>
      <c r="AF28" s="80">
        <v>0</v>
      </c>
      <c r="AG28" s="80">
        <v>0</v>
      </c>
      <c r="AH28" s="80">
        <v>0</v>
      </c>
      <c r="AI28" s="80">
        <v>0</v>
      </c>
      <c r="AJ28" s="80">
        <v>-4316.2464800000007</v>
      </c>
      <c r="AK28" s="80">
        <v>-3550.9015499999987</v>
      </c>
      <c r="AL28" s="80">
        <v>-1514.8493800000003</v>
      </c>
      <c r="AM28" s="80">
        <v>-1486.2648100000001</v>
      </c>
      <c r="AN28" s="80">
        <v>179.1202899999991</v>
      </c>
      <c r="AO28" s="80">
        <v>1693.8712780000008</v>
      </c>
      <c r="AP28" s="80">
        <v>43.870832000002267</v>
      </c>
      <c r="AQ28" s="80">
        <v>266.69690649999677</v>
      </c>
      <c r="AR28" s="80">
        <v>188.73401649999991</v>
      </c>
      <c r="AS28" s="80">
        <v>-2031.5395899999999</v>
      </c>
      <c r="AT28" s="80">
        <v>-2382.2872359999997</v>
      </c>
      <c r="AU28" s="80">
        <v>-836.9161089999983</v>
      </c>
      <c r="AV28" s="80">
        <v>-1854.3451285000019</v>
      </c>
      <c r="AW28" s="80">
        <v>-5547.2046895000076</v>
      </c>
      <c r="AX28" s="80">
        <v>2501.1030835000033</v>
      </c>
      <c r="AY28" s="80">
        <v>-523.69014014600032</v>
      </c>
      <c r="AZ28" s="80">
        <v>-209.30289000000246</v>
      </c>
      <c r="BA28" s="80">
        <v>2492.1149800000044</v>
      </c>
      <c r="BB28" s="80">
        <v>-1429.3415352320001</v>
      </c>
      <c r="BC28" s="80">
        <v>-466.57810236799702</v>
      </c>
      <c r="BD28" s="80">
        <v>1033.7812577280099</v>
      </c>
      <c r="BE28" s="80">
        <v>2700.8939436000001</v>
      </c>
      <c r="BF28" s="78">
        <v>-201.23324626099878</v>
      </c>
      <c r="BG28" s="121">
        <v>-180.30821289010717</v>
      </c>
      <c r="BI28" s="80">
        <f>SUM(B28:E28)</f>
        <v>0</v>
      </c>
      <c r="BJ28" s="80">
        <f>SUM(F28:I28)</f>
        <v>0</v>
      </c>
      <c r="BK28" s="80">
        <f>SUM(J28:M28)</f>
        <v>0</v>
      </c>
      <c r="BL28" s="80">
        <f>SUM(N28:Q28)</f>
        <v>0</v>
      </c>
      <c r="BM28" s="80">
        <f>SUM(R28:U28)</f>
        <v>0</v>
      </c>
      <c r="BN28" s="80">
        <f>SUM(V28:Y28)</f>
        <v>0</v>
      </c>
      <c r="BO28" s="80">
        <f>SUM(Z28:AC28)</f>
        <v>0</v>
      </c>
      <c r="BP28" s="80">
        <f>SUM(AD28:AG28)</f>
        <v>0</v>
      </c>
      <c r="BQ28" s="80">
        <f>SUM(AH28:AK28)</f>
        <v>-7867.1480299999994</v>
      </c>
      <c r="BR28" s="80">
        <f>SUM(AL28:AO28)</f>
        <v>-1128.1226220000005</v>
      </c>
      <c r="BS28" s="80">
        <f>SUM(AP28:AS28)</f>
        <v>-1532.2378350000008</v>
      </c>
      <c r="BT28" s="80">
        <f>SUM(AT28:AW28)</f>
        <v>-10620.753163000008</v>
      </c>
      <c r="BU28" s="80">
        <f>SUM(AX28:BA28)</f>
        <v>4260.2250333540051</v>
      </c>
      <c r="BV28" s="80">
        <f>SUM(BB28:BE28)</f>
        <v>1838.7555637280129</v>
      </c>
    </row>
    <row r="29" spans="1:74" customFormat="1">
      <c r="A29" s="25"/>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84"/>
      <c r="AP29" s="84"/>
      <c r="AQ29" s="78"/>
      <c r="AR29" s="78"/>
      <c r="AS29" s="78"/>
      <c r="AT29" s="78"/>
      <c r="AU29" s="78"/>
      <c r="AV29" s="78"/>
      <c r="AW29" s="78"/>
      <c r="AX29" s="78"/>
      <c r="AY29" s="78"/>
      <c r="AZ29" s="78"/>
      <c r="BA29" s="78"/>
      <c r="BB29" s="78"/>
      <c r="BC29" s="78"/>
      <c r="BD29" s="78"/>
      <c r="BE29" s="78"/>
      <c r="BF29" s="78"/>
      <c r="BG29" s="121"/>
      <c r="BI29" s="78"/>
      <c r="BJ29" s="78"/>
      <c r="BK29" s="78"/>
      <c r="BL29" s="78"/>
      <c r="BM29" s="78"/>
      <c r="BN29" s="78"/>
      <c r="BO29" s="78"/>
      <c r="BP29" s="78"/>
      <c r="BQ29" s="78"/>
      <c r="BR29" s="78"/>
      <c r="BS29" s="78"/>
      <c r="BT29" s="78"/>
      <c r="BU29" s="78"/>
      <c r="BV29" s="78"/>
    </row>
    <row r="30" spans="1:74" s="25" customFormat="1">
      <c r="A30" s="19" t="str">
        <f>INDEX({"Lucro antes do IR e da contribuição social";"Earnings before Income Tax and Social Charges"},Home!$R$30)</f>
        <v>Lucro antes do IR e da contribuição social</v>
      </c>
      <c r="B30" s="81">
        <f t="shared" ref="B30:AZ30" si="26">B26+B22+B28</f>
        <v>26029</v>
      </c>
      <c r="C30" s="81">
        <f t="shared" si="26"/>
        <v>65748</v>
      </c>
      <c r="D30" s="81">
        <f t="shared" si="26"/>
        <v>44225</v>
      </c>
      <c r="E30" s="81">
        <f t="shared" si="26"/>
        <v>22071</v>
      </c>
      <c r="F30" s="81">
        <f t="shared" si="26"/>
        <v>20786</v>
      </c>
      <c r="G30" s="81">
        <f t="shared" si="26"/>
        <v>53286</v>
      </c>
      <c r="H30" s="81">
        <f t="shared" si="26"/>
        <v>26769</v>
      </c>
      <c r="I30" s="81">
        <f t="shared" si="26"/>
        <v>38547</v>
      </c>
      <c r="J30" s="81">
        <f t="shared" si="26"/>
        <v>41272</v>
      </c>
      <c r="K30" s="81">
        <f t="shared" si="26"/>
        <v>83942</v>
      </c>
      <c r="L30" s="81">
        <f t="shared" si="26"/>
        <v>88690</v>
      </c>
      <c r="M30" s="81">
        <f t="shared" si="26"/>
        <v>91132</v>
      </c>
      <c r="N30" s="81">
        <f t="shared" si="26"/>
        <v>85126</v>
      </c>
      <c r="O30" s="81">
        <f t="shared" si="26"/>
        <v>147554</v>
      </c>
      <c r="P30" s="81">
        <f t="shared" si="26"/>
        <v>108063</v>
      </c>
      <c r="Q30" s="81">
        <f t="shared" si="26"/>
        <v>98160</v>
      </c>
      <c r="R30" s="81">
        <f t="shared" si="26"/>
        <v>112720.23000000023</v>
      </c>
      <c r="S30" s="81">
        <f t="shared" si="26"/>
        <v>213565.43000000028</v>
      </c>
      <c r="T30" s="81">
        <f t="shared" si="26"/>
        <v>152944.23999999982</v>
      </c>
      <c r="U30" s="81">
        <f t="shared" si="26"/>
        <v>115986.78999999991</v>
      </c>
      <c r="V30" s="81">
        <f t="shared" si="26"/>
        <v>134846.00999999975</v>
      </c>
      <c r="W30" s="81">
        <f t="shared" si="26"/>
        <v>190435.11999999959</v>
      </c>
      <c r="X30" s="81">
        <f t="shared" si="26"/>
        <v>180734.77000000019</v>
      </c>
      <c r="Y30" s="81">
        <f t="shared" si="26"/>
        <v>180527.94000000041</v>
      </c>
      <c r="Z30" s="81">
        <f t="shared" si="26"/>
        <v>160009.34999999998</v>
      </c>
      <c r="AA30" s="81">
        <f t="shared" si="26"/>
        <v>184277.39999999976</v>
      </c>
      <c r="AB30" s="81">
        <f t="shared" si="26"/>
        <v>159480.35999999978</v>
      </c>
      <c r="AC30" s="81">
        <f t="shared" si="26"/>
        <v>135089.08000000007</v>
      </c>
      <c r="AD30" s="81">
        <f t="shared" si="26"/>
        <v>118685.77982269767</v>
      </c>
      <c r="AE30" s="81">
        <f t="shared" si="26"/>
        <v>192602.39931999985</v>
      </c>
      <c r="AF30" s="81">
        <f t="shared" si="26"/>
        <v>181596.90954999608</v>
      </c>
      <c r="AG30" s="81">
        <f t="shared" si="26"/>
        <v>156233.77625750034</v>
      </c>
      <c r="AH30" s="81">
        <f t="shared" si="26"/>
        <v>200639.85732305175</v>
      </c>
      <c r="AI30" s="81">
        <f t="shared" si="26"/>
        <v>70450.113810000708</v>
      </c>
      <c r="AJ30" s="81">
        <f t="shared" si="26"/>
        <v>232118.77566000013</v>
      </c>
      <c r="AK30" s="81">
        <f t="shared" si="26"/>
        <v>240030.7618000017</v>
      </c>
      <c r="AL30" s="81">
        <f t="shared" si="26"/>
        <v>264592.3375900003</v>
      </c>
      <c r="AM30" s="81">
        <f t="shared" si="26"/>
        <v>370444.63926000037</v>
      </c>
      <c r="AN30" s="81">
        <f t="shared" si="26"/>
        <v>247162.48426000008</v>
      </c>
      <c r="AO30" s="81">
        <f t="shared" si="26"/>
        <v>182367.21054466756</v>
      </c>
      <c r="AP30" s="81">
        <f t="shared" si="26"/>
        <v>155096.10299533399</v>
      </c>
      <c r="AQ30" s="81">
        <f t="shared" si="26"/>
        <v>500957.99542649981</v>
      </c>
      <c r="AR30" s="81">
        <f t="shared" si="26"/>
        <v>280440.33478649764</v>
      </c>
      <c r="AS30" s="81">
        <f t="shared" si="26"/>
        <v>278636.73578666622</v>
      </c>
      <c r="AT30" s="81">
        <f t="shared" si="26"/>
        <v>216240.98538399916</v>
      </c>
      <c r="AU30" s="81">
        <f t="shared" si="26"/>
        <v>446758.96842812654</v>
      </c>
      <c r="AV30" s="81">
        <f t="shared" si="26"/>
        <v>344845.64401593641</v>
      </c>
      <c r="AW30" s="81">
        <f t="shared" si="26"/>
        <v>304347.68924493325</v>
      </c>
      <c r="AX30" s="81">
        <f t="shared" si="26"/>
        <v>308799.66752793489</v>
      </c>
      <c r="AY30" s="81">
        <f t="shared" si="26"/>
        <v>445735.4740942911</v>
      </c>
      <c r="AZ30" s="81">
        <f t="shared" si="26"/>
        <v>475734.61153443251</v>
      </c>
      <c r="BA30" s="81">
        <f t="shared" ref="BA30:BC30" si="27">BA26+BA22+BA28</f>
        <v>281892.32919586293</v>
      </c>
      <c r="BB30" s="81">
        <f t="shared" si="27"/>
        <v>189851.81857063065</v>
      </c>
      <c r="BC30" s="81">
        <f t="shared" si="27"/>
        <v>404155.63940985961</v>
      </c>
      <c r="BD30" s="81">
        <f t="shared" ref="BD30:BG30" si="28">BD26+BD22+BD28</f>
        <v>474126.44851594965</v>
      </c>
      <c r="BE30" s="81">
        <f t="shared" si="28"/>
        <v>314244.38049693889</v>
      </c>
      <c r="BF30" s="81">
        <f t="shared" si="28"/>
        <v>148340.89922208185</v>
      </c>
      <c r="BG30" s="81">
        <f t="shared" si="28"/>
        <v>553719.1133076034</v>
      </c>
      <c r="BH30"/>
      <c r="BI30" s="81">
        <f t="shared" ref="BI30:BV30" si="29">BI26+BI22+BI28</f>
        <v>158073</v>
      </c>
      <c r="BJ30" s="81">
        <f t="shared" si="29"/>
        <v>139388</v>
      </c>
      <c r="BK30" s="81">
        <f t="shared" si="29"/>
        <v>305036</v>
      </c>
      <c r="BL30" s="81">
        <f t="shared" si="29"/>
        <v>438903</v>
      </c>
      <c r="BM30" s="81">
        <f t="shared" si="29"/>
        <v>595216.68999999971</v>
      </c>
      <c r="BN30" s="81">
        <f t="shared" si="29"/>
        <v>686543.84000000055</v>
      </c>
      <c r="BO30" s="81">
        <f t="shared" si="29"/>
        <v>638856.19000000274</v>
      </c>
      <c r="BP30" s="81">
        <f t="shared" si="29"/>
        <v>649118.86495019519</v>
      </c>
      <c r="BQ30" s="81">
        <f t="shared" si="29"/>
        <v>743239.50859305542</v>
      </c>
      <c r="BR30" s="81">
        <f t="shared" si="29"/>
        <v>1064566.6716546684</v>
      </c>
      <c r="BS30" s="81">
        <f t="shared" si="29"/>
        <v>1215131.168994996</v>
      </c>
      <c r="BT30" s="81">
        <f t="shared" si="29"/>
        <v>1312193.2870729947</v>
      </c>
      <c r="BU30" s="81">
        <f t="shared" si="29"/>
        <v>1512162.0823525239</v>
      </c>
      <c r="BV30" s="81">
        <f t="shared" si="29"/>
        <v>1382378.2869933804</v>
      </c>
    </row>
    <row r="31" spans="1:74" s="25" customFormat="1">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84"/>
      <c r="AP31" s="84"/>
      <c r="AQ31" s="78"/>
      <c r="AR31" s="78"/>
      <c r="AS31" s="78"/>
      <c r="AT31" s="78"/>
      <c r="AU31" s="78"/>
      <c r="AV31" s="78"/>
      <c r="AW31" s="78"/>
      <c r="AX31" s="78"/>
      <c r="AY31" s="78"/>
      <c r="AZ31" s="78"/>
      <c r="BA31" s="78"/>
      <c r="BB31" s="78"/>
      <c r="BC31" s="78"/>
      <c r="BD31" s="78"/>
      <c r="BE31" s="78"/>
      <c r="BF31" s="78"/>
      <c r="BG31" s="121"/>
      <c r="BH31"/>
      <c r="BI31" s="78"/>
      <c r="BJ31" s="78"/>
      <c r="BK31" s="78"/>
      <c r="BL31" s="78"/>
      <c r="BM31" s="78"/>
      <c r="BN31" s="78"/>
      <c r="BO31" s="78"/>
      <c r="BP31" s="78"/>
      <c r="BQ31" s="78"/>
      <c r="BR31" s="78"/>
      <c r="BS31" s="78"/>
      <c r="BT31" s="78"/>
      <c r="BU31" s="78"/>
      <c r="BV31" s="78"/>
    </row>
    <row r="32" spans="1:74" s="25" customFormat="1">
      <c r="A32" s="17" t="str">
        <f>INDEX({"Imposto de renda e contribuição social";"Income Tax and Social Charges"},Home!$R$30)</f>
        <v>Imposto de renda e contribuição social</v>
      </c>
      <c r="B32" s="80">
        <v>-6643</v>
      </c>
      <c r="C32" s="80">
        <v>-16415</v>
      </c>
      <c r="D32" s="80">
        <v>-9497</v>
      </c>
      <c r="E32" s="80">
        <v>-20663</v>
      </c>
      <c r="F32" s="80">
        <v>-6507</v>
      </c>
      <c r="G32" s="80">
        <v>-13016</v>
      </c>
      <c r="H32" s="80">
        <v>-8151</v>
      </c>
      <c r="I32" s="80">
        <v>-10727</v>
      </c>
      <c r="J32" s="80">
        <v>-11705</v>
      </c>
      <c r="K32" s="80">
        <v>-21298</v>
      </c>
      <c r="L32" s="80">
        <v>-19955</v>
      </c>
      <c r="M32" s="80">
        <v>-28691</v>
      </c>
      <c r="N32" s="80">
        <v>-14366</v>
      </c>
      <c r="O32" s="80">
        <v>-38907</v>
      </c>
      <c r="P32" s="80">
        <v>-24064</v>
      </c>
      <c r="Q32" s="80">
        <v>-19813</v>
      </c>
      <c r="R32" s="80">
        <v>-22589</v>
      </c>
      <c r="S32" s="80">
        <v>-56497.67</v>
      </c>
      <c r="T32" s="80">
        <v>-36060.519999999997</v>
      </c>
      <c r="U32" s="80">
        <v>-28817.33</v>
      </c>
      <c r="V32" s="80">
        <v>-30844.071245399999</v>
      </c>
      <c r="W32" s="80">
        <v>-52465.29</v>
      </c>
      <c r="X32" s="80">
        <v>-44242.25</v>
      </c>
      <c r="Y32" s="80">
        <v>-46339.47</v>
      </c>
      <c r="Z32" s="80">
        <v>-38721.589999999997</v>
      </c>
      <c r="AA32" s="80">
        <v>-48742.400000000001</v>
      </c>
      <c r="AB32" s="80">
        <v>-30643.42</v>
      </c>
      <c r="AC32" s="80">
        <v>-13557.76</v>
      </c>
      <c r="AD32" s="80">
        <v>-16627.524623640002</v>
      </c>
      <c r="AE32" s="80">
        <v>-41268.707447359993</v>
      </c>
      <c r="AF32" s="80">
        <v>-35350.3158923511</v>
      </c>
      <c r="AG32" s="80">
        <v>-12958.565739209995</v>
      </c>
      <c r="AH32" s="80">
        <v>-54799.832540260009</v>
      </c>
      <c r="AI32" s="80">
        <v>-10240.073229760037</v>
      </c>
      <c r="AJ32" s="80">
        <v>-57401.618788150161</v>
      </c>
      <c r="AK32" s="80">
        <v>-41538.994142180207</v>
      </c>
      <c r="AL32" s="80">
        <v>-75803.925058240071</v>
      </c>
      <c r="AM32" s="80">
        <v>-104003.05113842012</v>
      </c>
      <c r="AN32" s="80">
        <v>-74397.255610090011</v>
      </c>
      <c r="AO32" s="80">
        <v>4787.5917570800184</v>
      </c>
      <c r="AP32" s="80">
        <v>-1511.3594768800033</v>
      </c>
      <c r="AQ32" s="80">
        <v>-128726.52530440997</v>
      </c>
      <c r="AR32" s="80">
        <v>-55073.223215409998</v>
      </c>
      <c r="AS32" s="80">
        <v>-627.51220959995283</v>
      </c>
      <c r="AT32" s="80">
        <v>-9815.0678027599806</v>
      </c>
      <c r="AU32" s="80">
        <v>-83605.18867494</v>
      </c>
      <c r="AV32" s="80">
        <v>-48275.851159509846</v>
      </c>
      <c r="AW32" s="80">
        <v>-19696.476104770132</v>
      </c>
      <c r="AX32" s="80">
        <v>-95785.818559390027</v>
      </c>
      <c r="AY32" s="80">
        <v>-97310.569091739904</v>
      </c>
      <c r="AZ32" s="80">
        <v>-113618.08394580001</v>
      </c>
      <c r="BA32" s="80">
        <v>69583.519032799712</v>
      </c>
      <c r="BB32" s="80">
        <v>-31509.586474400101</v>
      </c>
      <c r="BC32" s="80">
        <v>-61990.127069399998</v>
      </c>
      <c r="BD32" s="80">
        <v>-90193.530778799803</v>
      </c>
      <c r="BE32" s="80">
        <v>-19729.496239399901</v>
      </c>
      <c r="BF32" s="78">
        <v>13135.446247317852</v>
      </c>
      <c r="BG32" s="121">
        <v>-122027.7738121999</v>
      </c>
      <c r="BH32"/>
      <c r="BI32" s="80">
        <f>SUM(B32:E32)</f>
        <v>-53218</v>
      </c>
      <c r="BJ32" s="80">
        <f>SUM(F32:I32)</f>
        <v>-38401</v>
      </c>
      <c r="BK32" s="80">
        <f>SUM(J32:M32)</f>
        <v>-81649</v>
      </c>
      <c r="BL32" s="80">
        <f>SUM(N32:Q32)</f>
        <v>-97150</v>
      </c>
      <c r="BM32" s="80">
        <f>SUM(R32:U32)</f>
        <v>-143964.52000000002</v>
      </c>
      <c r="BN32" s="80">
        <f>SUM(V32:Y32)</f>
        <v>-173891.08124540001</v>
      </c>
      <c r="BO32" s="80">
        <f>SUM(Z32:AC32)</f>
        <v>-131665.16999999998</v>
      </c>
      <c r="BP32" s="80">
        <f>SUM(AD32:AG32)</f>
        <v>-106205.1137025611</v>
      </c>
      <c r="BQ32" s="80">
        <f>SUM(AH32:AK32)</f>
        <v>-163980.51870035043</v>
      </c>
      <c r="BR32" s="80">
        <f>SUM(AL32:AO32)</f>
        <v>-249416.64004967018</v>
      </c>
      <c r="BS32" s="80">
        <f>SUM(AP32:AS32)</f>
        <v>-185938.62020629994</v>
      </c>
      <c r="BT32" s="80">
        <f>SUM(AT32:AW32)</f>
        <v>-161392.58374197996</v>
      </c>
      <c r="BU32" s="80">
        <f>SUM(AX32:BA32)</f>
        <v>-237130.95256413025</v>
      </c>
      <c r="BV32" s="80">
        <f>SUM(BB32:BE32)</f>
        <v>-203422.74056199979</v>
      </c>
    </row>
    <row r="33" spans="1:74" s="25" customFormat="1">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121"/>
      <c r="BH33"/>
      <c r="BI33" s="78"/>
      <c r="BJ33" s="78"/>
      <c r="BK33" s="78"/>
      <c r="BL33" s="78"/>
      <c r="BM33" s="78"/>
      <c r="BN33" s="78"/>
      <c r="BO33" s="78"/>
      <c r="BP33" s="78"/>
      <c r="BQ33" s="78"/>
      <c r="BR33" s="78"/>
      <c r="BS33" s="78"/>
      <c r="BT33" s="78"/>
      <c r="BU33" s="78"/>
      <c r="BV33" s="78"/>
    </row>
    <row r="34" spans="1:74" customFormat="1">
      <c r="A34" s="94" t="str">
        <f>INDEX({"Lucro líq. operações continuadas";"Net income continued operations"},Home!$R$30)</f>
        <v>Lucro líq. operações continuadas</v>
      </c>
      <c r="B34" s="95">
        <f t="shared" ref="B34:AZ34" si="30">B32+B30</f>
        <v>19386</v>
      </c>
      <c r="C34" s="95">
        <f t="shared" si="30"/>
        <v>49333</v>
      </c>
      <c r="D34" s="95">
        <f t="shared" si="30"/>
        <v>34728</v>
      </c>
      <c r="E34" s="95">
        <f t="shared" si="30"/>
        <v>1408</v>
      </c>
      <c r="F34" s="95">
        <f t="shared" si="30"/>
        <v>14279</v>
      </c>
      <c r="G34" s="95">
        <f t="shared" si="30"/>
        <v>40270</v>
      </c>
      <c r="H34" s="95">
        <f t="shared" si="30"/>
        <v>18618</v>
      </c>
      <c r="I34" s="95">
        <f t="shared" si="30"/>
        <v>27820</v>
      </c>
      <c r="J34" s="95">
        <f t="shared" si="30"/>
        <v>29567</v>
      </c>
      <c r="K34" s="95">
        <f t="shared" si="30"/>
        <v>62644</v>
      </c>
      <c r="L34" s="95">
        <f t="shared" si="30"/>
        <v>68735</v>
      </c>
      <c r="M34" s="95">
        <f t="shared" si="30"/>
        <v>62441</v>
      </c>
      <c r="N34" s="95">
        <f t="shared" si="30"/>
        <v>70760</v>
      </c>
      <c r="O34" s="95">
        <f t="shared" si="30"/>
        <v>108647</v>
      </c>
      <c r="P34" s="95">
        <f t="shared" si="30"/>
        <v>83999</v>
      </c>
      <c r="Q34" s="95">
        <f t="shared" si="30"/>
        <v>78347</v>
      </c>
      <c r="R34" s="95">
        <f t="shared" si="30"/>
        <v>90131.230000000229</v>
      </c>
      <c r="S34" s="95">
        <f t="shared" si="30"/>
        <v>157067.7600000003</v>
      </c>
      <c r="T34" s="95">
        <f t="shared" si="30"/>
        <v>116883.71999999983</v>
      </c>
      <c r="U34" s="95">
        <f t="shared" si="30"/>
        <v>87169.459999999905</v>
      </c>
      <c r="V34" s="95">
        <f t="shared" si="30"/>
        <v>104001.93875459975</v>
      </c>
      <c r="W34" s="95">
        <f t="shared" si="30"/>
        <v>137969.82999999958</v>
      </c>
      <c r="X34" s="95">
        <f t="shared" si="30"/>
        <v>136492.52000000019</v>
      </c>
      <c r="Y34" s="95">
        <f t="shared" si="30"/>
        <v>134188.47000000041</v>
      </c>
      <c r="Z34" s="95">
        <f t="shared" si="30"/>
        <v>121287.75999999998</v>
      </c>
      <c r="AA34" s="95">
        <f t="shared" si="30"/>
        <v>135534.99999999977</v>
      </c>
      <c r="AB34" s="95">
        <f t="shared" si="30"/>
        <v>128836.93999999978</v>
      </c>
      <c r="AC34" s="95">
        <f t="shared" si="30"/>
        <v>121531.32000000008</v>
      </c>
      <c r="AD34" s="95">
        <f t="shared" si="30"/>
        <v>102058.25519905768</v>
      </c>
      <c r="AE34" s="95">
        <f t="shared" si="30"/>
        <v>151333.69187263987</v>
      </c>
      <c r="AF34" s="95">
        <f t="shared" si="30"/>
        <v>146246.59365764499</v>
      </c>
      <c r="AG34" s="95">
        <f t="shared" si="30"/>
        <v>143275.21051829035</v>
      </c>
      <c r="AH34" s="95">
        <f t="shared" si="30"/>
        <v>145840.02478279173</v>
      </c>
      <c r="AI34" s="95">
        <f t="shared" si="30"/>
        <v>60210.040580240675</v>
      </c>
      <c r="AJ34" s="95">
        <f t="shared" si="30"/>
        <v>174717.15687184996</v>
      </c>
      <c r="AK34" s="95">
        <f t="shared" si="30"/>
        <v>198491.76765782147</v>
      </c>
      <c r="AL34" s="95">
        <f t="shared" si="30"/>
        <v>188788.41253176023</v>
      </c>
      <c r="AM34" s="95">
        <f t="shared" si="30"/>
        <v>266441.58812158025</v>
      </c>
      <c r="AN34" s="95">
        <f t="shared" si="30"/>
        <v>172765.22864991007</v>
      </c>
      <c r="AO34" s="95">
        <f t="shared" si="30"/>
        <v>187154.80230174758</v>
      </c>
      <c r="AP34" s="95">
        <f t="shared" si="30"/>
        <v>153584.74351845399</v>
      </c>
      <c r="AQ34" s="95">
        <f t="shared" si="30"/>
        <v>372231.47012208984</v>
      </c>
      <c r="AR34" s="95">
        <f t="shared" si="30"/>
        <v>225367.11157108765</v>
      </c>
      <c r="AS34" s="95">
        <f t="shared" si="30"/>
        <v>278009.22357706627</v>
      </c>
      <c r="AT34" s="95">
        <f t="shared" si="30"/>
        <v>206425.91758123916</v>
      </c>
      <c r="AU34" s="95">
        <f t="shared" si="30"/>
        <v>363153.77975318651</v>
      </c>
      <c r="AV34" s="95">
        <f t="shared" si="30"/>
        <v>296569.79285642656</v>
      </c>
      <c r="AW34" s="95">
        <f t="shared" si="30"/>
        <v>284651.2131401631</v>
      </c>
      <c r="AX34" s="95">
        <f t="shared" si="30"/>
        <v>213013.84896854486</v>
      </c>
      <c r="AY34" s="95">
        <f t="shared" si="30"/>
        <v>348424.90500255121</v>
      </c>
      <c r="AZ34" s="95">
        <f t="shared" si="30"/>
        <v>362116.52758863248</v>
      </c>
      <c r="BA34" s="95">
        <f t="shared" ref="BA34:BC34" si="31">BA32+BA30</f>
        <v>351475.84822866262</v>
      </c>
      <c r="BB34" s="95">
        <f t="shared" si="31"/>
        <v>158342.23209623055</v>
      </c>
      <c r="BC34" s="95">
        <f t="shared" si="31"/>
        <v>342165.51234045962</v>
      </c>
      <c r="BD34" s="95">
        <f t="shared" ref="BD34:BG34" si="32">BD32+BD30</f>
        <v>383932.91773714987</v>
      </c>
      <c r="BE34" s="95">
        <f t="shared" si="32"/>
        <v>294514.884257539</v>
      </c>
      <c r="BF34" s="95">
        <f t="shared" si="32"/>
        <v>161476.3454693997</v>
      </c>
      <c r="BG34" s="95">
        <f t="shared" si="32"/>
        <v>431691.33949540352</v>
      </c>
      <c r="BI34" s="95">
        <f t="shared" ref="BI34:BV34" si="33">BI32+BI30</f>
        <v>104855</v>
      </c>
      <c r="BJ34" s="95">
        <f t="shared" si="33"/>
        <v>100987</v>
      </c>
      <c r="BK34" s="95">
        <f t="shared" si="33"/>
        <v>223387</v>
      </c>
      <c r="BL34" s="95">
        <f t="shared" si="33"/>
        <v>341753</v>
      </c>
      <c r="BM34" s="95">
        <f t="shared" si="33"/>
        <v>451252.16999999969</v>
      </c>
      <c r="BN34" s="95">
        <f t="shared" si="33"/>
        <v>512652.75875460054</v>
      </c>
      <c r="BO34" s="95">
        <f t="shared" si="33"/>
        <v>507191.02000000275</v>
      </c>
      <c r="BP34" s="95">
        <f t="shared" si="33"/>
        <v>542913.75124763406</v>
      </c>
      <c r="BQ34" s="95">
        <f t="shared" si="33"/>
        <v>579258.98989270499</v>
      </c>
      <c r="BR34" s="95">
        <f t="shared" si="33"/>
        <v>815150.03160499828</v>
      </c>
      <c r="BS34" s="95">
        <f t="shared" si="33"/>
        <v>1029192.5487886961</v>
      </c>
      <c r="BT34" s="95">
        <f t="shared" si="33"/>
        <v>1150800.7033310148</v>
      </c>
      <c r="BU34" s="95">
        <f t="shared" si="33"/>
        <v>1275031.1297883936</v>
      </c>
      <c r="BV34" s="95">
        <f t="shared" si="33"/>
        <v>1178955.5464313806</v>
      </c>
    </row>
    <row r="35" spans="1:74" s="25" customFormat="1">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84"/>
      <c r="AP35" s="84"/>
      <c r="AQ35" s="78"/>
      <c r="AR35" s="78"/>
      <c r="AS35" s="78"/>
      <c r="AT35" s="78"/>
      <c r="AU35" s="78"/>
      <c r="AV35" s="78"/>
      <c r="AW35" s="78"/>
      <c r="AX35" s="78"/>
      <c r="AY35" s="78"/>
      <c r="AZ35" s="78"/>
      <c r="BA35" s="78"/>
      <c r="BB35" s="78"/>
      <c r="BC35" s="78"/>
      <c r="BD35" s="78"/>
      <c r="BE35" s="78"/>
      <c r="BF35" s="78"/>
      <c r="BG35" s="121"/>
      <c r="BH35"/>
      <c r="BI35" s="78"/>
      <c r="BJ35" s="78"/>
      <c r="BK35" s="78"/>
      <c r="BL35" s="78"/>
      <c r="BM35" s="78"/>
      <c r="BN35" s="78"/>
      <c r="BO35" s="78"/>
      <c r="BP35" s="78"/>
      <c r="BQ35" s="78"/>
      <c r="BR35" s="78"/>
      <c r="BS35" s="78"/>
      <c r="BT35" s="78"/>
      <c r="BU35" s="78"/>
      <c r="BV35" s="78"/>
    </row>
    <row r="36" spans="1:74" s="25" customFormat="1">
      <c r="A36" s="17" t="str">
        <f>INDEX({"Resultado de operações descontinuadas (4Bio)";"Results of discontinued operations (4Bio)"},Home!$R$30)</f>
        <v>Resultado de operações descontinuadas (4Bio)</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22782.829760000001</v>
      </c>
      <c r="BC36" s="80">
        <v>58689.25144</v>
      </c>
      <c r="BD36" s="80">
        <v>92144.972320000001</v>
      </c>
      <c r="BE36" s="80">
        <v>9921.7264000000014</v>
      </c>
      <c r="BF36" s="78">
        <v>11720.133259999999</v>
      </c>
      <c r="BG36" s="121">
        <v>8286.9766199999995</v>
      </c>
      <c r="BH36"/>
      <c r="BI36" s="80">
        <f>SUM(B36:E36)</f>
        <v>0</v>
      </c>
      <c r="BJ36" s="80">
        <f>SUM(F36:I36)</f>
        <v>0</v>
      </c>
      <c r="BK36" s="80">
        <f>SUM(J36:M36)</f>
        <v>0</v>
      </c>
      <c r="BL36" s="80">
        <f>SUM(N36:Q36)</f>
        <v>0</v>
      </c>
      <c r="BM36" s="80">
        <f>SUM(R36:U36)</f>
        <v>0</v>
      </c>
      <c r="BN36" s="80">
        <f>SUM(V36:Y36)</f>
        <v>0</v>
      </c>
      <c r="BO36" s="80">
        <f>SUM(Z36:AC36)</f>
        <v>0</v>
      </c>
      <c r="BP36" s="80">
        <f>SUM(AD36:AG36)</f>
        <v>0</v>
      </c>
      <c r="BQ36" s="80">
        <f>SUM(AH36:AK36)</f>
        <v>0</v>
      </c>
      <c r="BR36" s="80">
        <f>SUM(AL36:AO36)</f>
        <v>0</v>
      </c>
      <c r="BS36" s="80">
        <f>SUM(AP36:AS36)</f>
        <v>0</v>
      </c>
      <c r="BT36" s="80">
        <f>SUM(AT36:AW36)</f>
        <v>0</v>
      </c>
      <c r="BU36" s="80">
        <f>SUM(AX36:BA36)</f>
        <v>0</v>
      </c>
      <c r="BV36" s="80">
        <f>SUM(BB36:BE36)</f>
        <v>183538.77992000003</v>
      </c>
    </row>
    <row r="37" spans="1:74" customFormat="1">
      <c r="A37" s="94" t="str">
        <f>INDEX({"Lucro líquido";"Net income"},Home!$R$30)</f>
        <v>Lucro líquido</v>
      </c>
      <c r="B37" s="95">
        <f t="shared" ref="B37:BG37" si="34">B36+B34</f>
        <v>19386</v>
      </c>
      <c r="C37" s="95">
        <f t="shared" si="34"/>
        <v>49333</v>
      </c>
      <c r="D37" s="95">
        <f t="shared" si="34"/>
        <v>34728</v>
      </c>
      <c r="E37" s="95">
        <f t="shared" si="34"/>
        <v>1408</v>
      </c>
      <c r="F37" s="95">
        <f t="shared" si="34"/>
        <v>14279</v>
      </c>
      <c r="G37" s="95">
        <f t="shared" si="34"/>
        <v>40270</v>
      </c>
      <c r="H37" s="95">
        <f t="shared" si="34"/>
        <v>18618</v>
      </c>
      <c r="I37" s="95">
        <f t="shared" si="34"/>
        <v>27820</v>
      </c>
      <c r="J37" s="95">
        <f t="shared" si="34"/>
        <v>29567</v>
      </c>
      <c r="K37" s="95">
        <f t="shared" si="34"/>
        <v>62644</v>
      </c>
      <c r="L37" s="95">
        <f t="shared" si="34"/>
        <v>68735</v>
      </c>
      <c r="M37" s="95">
        <f t="shared" si="34"/>
        <v>62441</v>
      </c>
      <c r="N37" s="95">
        <f t="shared" si="34"/>
        <v>70760</v>
      </c>
      <c r="O37" s="95">
        <f t="shared" si="34"/>
        <v>108647</v>
      </c>
      <c r="P37" s="95">
        <f t="shared" si="34"/>
        <v>83999</v>
      </c>
      <c r="Q37" s="95">
        <f t="shared" si="34"/>
        <v>78347</v>
      </c>
      <c r="R37" s="95">
        <f t="shared" si="34"/>
        <v>90131.230000000229</v>
      </c>
      <c r="S37" s="95">
        <f t="shared" si="34"/>
        <v>157067.7600000003</v>
      </c>
      <c r="T37" s="95">
        <f t="shared" si="34"/>
        <v>116883.71999999983</v>
      </c>
      <c r="U37" s="95">
        <f t="shared" si="34"/>
        <v>87169.459999999905</v>
      </c>
      <c r="V37" s="95">
        <f t="shared" si="34"/>
        <v>104001.93875459975</v>
      </c>
      <c r="W37" s="95">
        <f t="shared" si="34"/>
        <v>137969.82999999958</v>
      </c>
      <c r="X37" s="95">
        <f t="shared" si="34"/>
        <v>136492.52000000019</v>
      </c>
      <c r="Y37" s="95">
        <f t="shared" si="34"/>
        <v>134188.47000000041</v>
      </c>
      <c r="Z37" s="95">
        <f t="shared" si="34"/>
        <v>121287.75999999998</v>
      </c>
      <c r="AA37" s="95">
        <f t="shared" si="34"/>
        <v>135534.99999999977</v>
      </c>
      <c r="AB37" s="95">
        <f t="shared" si="34"/>
        <v>128836.93999999978</v>
      </c>
      <c r="AC37" s="95">
        <f t="shared" si="34"/>
        <v>121531.32000000008</v>
      </c>
      <c r="AD37" s="95">
        <f t="shared" si="34"/>
        <v>102058.25519905768</v>
      </c>
      <c r="AE37" s="95">
        <f t="shared" si="34"/>
        <v>151333.69187263987</v>
      </c>
      <c r="AF37" s="95">
        <f t="shared" si="34"/>
        <v>146246.59365764499</v>
      </c>
      <c r="AG37" s="95">
        <f t="shared" si="34"/>
        <v>143275.21051829035</v>
      </c>
      <c r="AH37" s="95">
        <f t="shared" si="34"/>
        <v>145840.02478279173</v>
      </c>
      <c r="AI37" s="95">
        <f t="shared" si="34"/>
        <v>60210.040580240675</v>
      </c>
      <c r="AJ37" s="95">
        <f t="shared" si="34"/>
        <v>174717.15687184996</v>
      </c>
      <c r="AK37" s="95">
        <f t="shared" si="34"/>
        <v>198491.76765782147</v>
      </c>
      <c r="AL37" s="95">
        <f t="shared" si="34"/>
        <v>188788.41253176023</v>
      </c>
      <c r="AM37" s="95">
        <f t="shared" si="34"/>
        <v>266441.58812158025</v>
      </c>
      <c r="AN37" s="95">
        <f t="shared" si="34"/>
        <v>172765.22864991007</v>
      </c>
      <c r="AO37" s="95">
        <f t="shared" si="34"/>
        <v>187154.80230174758</v>
      </c>
      <c r="AP37" s="95">
        <f t="shared" si="34"/>
        <v>153584.74351845399</v>
      </c>
      <c r="AQ37" s="95">
        <f t="shared" si="34"/>
        <v>372231.47012208984</v>
      </c>
      <c r="AR37" s="95">
        <f t="shared" si="34"/>
        <v>225367.11157108765</v>
      </c>
      <c r="AS37" s="95">
        <f t="shared" si="34"/>
        <v>278009.22357706627</v>
      </c>
      <c r="AT37" s="95">
        <f t="shared" si="34"/>
        <v>206425.91758123916</v>
      </c>
      <c r="AU37" s="95">
        <f t="shared" si="34"/>
        <v>363153.77975318651</v>
      </c>
      <c r="AV37" s="95">
        <f t="shared" si="34"/>
        <v>296569.79285642656</v>
      </c>
      <c r="AW37" s="95">
        <f t="shared" si="34"/>
        <v>284651.2131401631</v>
      </c>
      <c r="AX37" s="95">
        <f t="shared" si="34"/>
        <v>213013.84896854486</v>
      </c>
      <c r="AY37" s="95">
        <f t="shared" si="34"/>
        <v>348424.90500255121</v>
      </c>
      <c r="AZ37" s="95">
        <f t="shared" si="34"/>
        <v>362116.52758863248</v>
      </c>
      <c r="BA37" s="95">
        <f t="shared" si="34"/>
        <v>351475.84822866262</v>
      </c>
      <c r="BB37" s="95">
        <f t="shared" si="34"/>
        <v>181125.06185623055</v>
      </c>
      <c r="BC37" s="95">
        <f t="shared" si="34"/>
        <v>400854.76378045965</v>
      </c>
      <c r="BD37" s="95">
        <f t="shared" si="34"/>
        <v>476077.89005714987</v>
      </c>
      <c r="BE37" s="95">
        <f t="shared" si="34"/>
        <v>304436.61065753899</v>
      </c>
      <c r="BF37" s="95">
        <f t="shared" si="34"/>
        <v>173196.47872939971</v>
      </c>
      <c r="BG37" s="95">
        <f t="shared" si="34"/>
        <v>439978.31611540349</v>
      </c>
      <c r="BI37" s="95">
        <f>BI36+BI34</f>
        <v>104855</v>
      </c>
      <c r="BJ37" s="95">
        <f t="shared" ref="BJ37:BV37" si="35">BJ36+BJ34</f>
        <v>100987</v>
      </c>
      <c r="BK37" s="95">
        <f t="shared" si="35"/>
        <v>223387</v>
      </c>
      <c r="BL37" s="95">
        <f t="shared" si="35"/>
        <v>341753</v>
      </c>
      <c r="BM37" s="95">
        <f t="shared" si="35"/>
        <v>451252.16999999969</v>
      </c>
      <c r="BN37" s="95">
        <f t="shared" si="35"/>
        <v>512652.75875460054</v>
      </c>
      <c r="BO37" s="95">
        <f t="shared" si="35"/>
        <v>507191.02000000275</v>
      </c>
      <c r="BP37" s="95">
        <f t="shared" si="35"/>
        <v>542913.75124763406</v>
      </c>
      <c r="BQ37" s="95">
        <f t="shared" si="35"/>
        <v>579258.98989270499</v>
      </c>
      <c r="BR37" s="95">
        <f t="shared" si="35"/>
        <v>815150.03160499828</v>
      </c>
      <c r="BS37" s="95">
        <f t="shared" si="35"/>
        <v>1029192.5487886961</v>
      </c>
      <c r="BT37" s="95">
        <f t="shared" si="35"/>
        <v>1150800.7033310148</v>
      </c>
      <c r="BU37" s="95">
        <f t="shared" si="35"/>
        <v>1275031.1297883936</v>
      </c>
      <c r="BV37" s="95">
        <f t="shared" si="35"/>
        <v>1362494.3263513807</v>
      </c>
    </row>
    <row r="38" spans="1:74" s="25" customFormat="1">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O38" s="27"/>
      <c r="AP38" s="27"/>
      <c r="BG38" s="113"/>
      <c r="BH38"/>
    </row>
    <row r="39" spans="1:74" s="25" customFormat="1">
      <c r="A39" s="23" t="str">
        <f>INDEX({"*Inclui 4Bio a partir do 1T14.";"*Includes 4Bio as of 1Q14."},Home!$R$30)</f>
        <v>*Inclui 4Bio a partir do 1T14.</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O39" s="27"/>
      <c r="AP39" s="27"/>
      <c r="AQ39" s="23"/>
      <c r="AR39" s="23"/>
      <c r="AS39" s="23"/>
      <c r="AT39" s="23"/>
      <c r="AU39" s="23"/>
      <c r="AV39" s="23"/>
      <c r="AW39" s="23"/>
      <c r="AX39" s="23"/>
      <c r="AY39" s="23"/>
      <c r="AZ39" s="23"/>
      <c r="BA39" s="23"/>
      <c r="BB39" s="23"/>
      <c r="BC39" s="23"/>
      <c r="BD39" s="23"/>
      <c r="BE39" s="23"/>
      <c r="BG39" s="113"/>
      <c r="BH39"/>
    </row>
    <row r="40" spans="1:74" s="25" customFormat="1" ht="52">
      <c r="A40" s="30" t="str">
        <f>INDEX({"**Ajustado para considerar as operações da Onofre somente após suas respectivas integrações. As lojas foram incluídas de agosto em diante, enquanto a operação de e-commerce e as estruturas corporativa e de logística foram excluídas nesse trimestre.";"**Adjusted to consider Onofre’s operations only after their respective integration. Therefore, the stores are included from August onwards, while the e-commerce operations, as well as the corporate and logistics structures, have been fully excluded."},Home!$R$30)</f>
        <v>**Ajustado para considerar as operações da Onofre somente após suas respectivas integrações. As lojas foram incluídas de agosto em diante, enquanto a operação de e-commerce e as estruturas corporativa e de logística foram excluídas nesse trimestre.</v>
      </c>
      <c r="AO40" s="27"/>
      <c r="AP40" s="27"/>
      <c r="AQ40" s="23"/>
      <c r="AR40" s="23"/>
      <c r="AS40" s="23"/>
      <c r="AT40" s="23"/>
      <c r="AU40" s="23"/>
      <c r="AV40" s="23"/>
      <c r="AW40" s="23"/>
      <c r="AX40" s="23"/>
      <c r="AY40" s="23"/>
      <c r="AZ40" s="23"/>
      <c r="BA40" s="23"/>
      <c r="BB40" s="23"/>
      <c r="BC40" s="23"/>
      <c r="BD40" s="23"/>
      <c r="BE40" s="23"/>
      <c r="BG40" s="113"/>
      <c r="BH40"/>
    </row>
  </sheetData>
  <pageMargins left="0.78740157499999996" right="0.78740157499999996" top="0.984251969" bottom="0.984251969" header="0.4921259845" footer="0.4921259845"/>
  <ignoredErrors>
    <ignoredError sqref="BI3:BV37"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BG61"/>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68" customWidth="1"/>
    <col min="2" max="2" width="10.6328125" style="72" customWidth="1"/>
    <col min="3" max="32" width="10.6328125" style="72"/>
    <col min="33" max="33" width="10.6328125" style="72" customWidth="1"/>
    <col min="34" max="35" width="10.6328125" style="72"/>
    <col min="36" max="59" width="10.6328125" style="73"/>
    <col min="60" max="16384" width="10.6328125" style="15"/>
  </cols>
  <sheetData>
    <row r="1" spans="1:59" s="14" customFormat="1" ht="20" customHeight="1" thickBot="1">
      <c r="A1" s="61" t="str">
        <f>INDEX({"Balanço Patrimonial IAS 17 (R$ mil)";"Balance Sheet IAS 17 (R$ thousands)"},Home!$R$30)</f>
        <v>Balanço Patrimonial IAS 17 (R$ mil)</v>
      </c>
      <c r="B1" s="70" t="str">
        <f>INDEX({"1T12";"1Q12"},Home!$R$30)</f>
        <v>1T12</v>
      </c>
      <c r="C1" s="70" t="str">
        <f>INDEX({"2T12";"2Q12"},Home!$R$30)</f>
        <v>2T12</v>
      </c>
      <c r="D1" s="70" t="str">
        <f>INDEX({"3T12";"3Q12"},Home!$R$30)</f>
        <v>3T12</v>
      </c>
      <c r="E1" s="70" t="str">
        <f>INDEX({"4T12";"4Q12"},Home!$R$30)</f>
        <v>4T12</v>
      </c>
      <c r="F1" s="70" t="str">
        <f>INDEX({"1T13";"1Q13"},Home!$R$30)</f>
        <v>1T13</v>
      </c>
      <c r="G1" s="70" t="str">
        <f>INDEX({"2T13";"2Q13"},Home!$R$30)</f>
        <v>2T13</v>
      </c>
      <c r="H1" s="70" t="str">
        <f>INDEX({"3T13";"3Q13"},Home!$R$30)</f>
        <v>3T13</v>
      </c>
      <c r="I1" s="70" t="str">
        <f>INDEX({"4T13";"4Q13"},Home!$R$30)</f>
        <v>4T13</v>
      </c>
      <c r="J1" s="70" t="str">
        <f>INDEX({"1T14*";"1Q14*"},Home!$R$30)</f>
        <v>1T14*</v>
      </c>
      <c r="K1" s="70" t="str">
        <f>INDEX({"2T14";"2Q14"},Home!$R$30)</f>
        <v>2T14</v>
      </c>
      <c r="L1" s="70" t="str">
        <f>INDEX({"3T14";"3Q14"},Home!$R$30)</f>
        <v>3T14</v>
      </c>
      <c r="M1" s="70" t="str">
        <f>INDEX({"4T14";"4Q14"},Home!$R$30)</f>
        <v>4T14</v>
      </c>
      <c r="N1" s="70" t="str">
        <f>INDEX({"1T15";"1Q15"},Home!$R$30)</f>
        <v>1T15</v>
      </c>
      <c r="O1" s="70" t="str">
        <f>INDEX({"2T15";"2Q15"},Home!$R$30)</f>
        <v>2T15</v>
      </c>
      <c r="P1" s="70" t="str">
        <f>INDEX({"3T15";"3Q15"},Home!$R$30)</f>
        <v>3T15</v>
      </c>
      <c r="Q1" s="70" t="str">
        <f>INDEX({"4T15";"4Q15"},Home!$R$30)</f>
        <v>4T15</v>
      </c>
      <c r="R1" s="70" t="str">
        <f>INDEX({"1T16";"1Q16"},Home!$R$30)</f>
        <v>1T16</v>
      </c>
      <c r="S1" s="70" t="str">
        <f>INDEX({"2T16";"2Q16"},Home!$R$30)</f>
        <v>2T16</v>
      </c>
      <c r="T1" s="70" t="str">
        <f>INDEX({"3T16";"3Q16"},Home!$R$30)</f>
        <v>3T16</v>
      </c>
      <c r="U1" s="70" t="str">
        <f>INDEX({"4T16";"4Q16"},Home!$R$30)</f>
        <v>4T16</v>
      </c>
      <c r="V1" s="70" t="str">
        <f>INDEX({"1T17";"1Q17"},Home!$R$30)</f>
        <v>1T17</v>
      </c>
      <c r="W1" s="70" t="str">
        <f>INDEX({"2T17";"2Q17"},Home!$R$30)</f>
        <v>2T17</v>
      </c>
      <c r="X1" s="70" t="str">
        <f>INDEX({"3T17";"3Q17"},Home!$R$30)</f>
        <v>3T17</v>
      </c>
      <c r="Y1" s="70" t="str">
        <f>INDEX({"4T17";"4Q17"},Home!$R$30)</f>
        <v>4T17</v>
      </c>
      <c r="Z1" s="70" t="str">
        <f>INDEX({"1T18";"1Q18"},Home!$R$30)</f>
        <v>1T18</v>
      </c>
      <c r="AA1" s="70" t="str">
        <f>INDEX({"2T18";"2Q18"},Home!$R$30)</f>
        <v>2T18</v>
      </c>
      <c r="AB1" s="70" t="str">
        <f>INDEX({"3T18";"3Q18"},Home!$R$30)</f>
        <v>3T18</v>
      </c>
      <c r="AC1" s="70" t="str">
        <f>INDEX({"4T18";"4Q18"},Home!$R$30)</f>
        <v>4T18</v>
      </c>
      <c r="AD1" s="70" t="str">
        <f>INDEX({"1T19";"1Q19"},Home!$R$30)</f>
        <v>1T19</v>
      </c>
      <c r="AE1" s="70" t="str">
        <f>INDEX({"2T19";"2Q19"},Home!$R$30)</f>
        <v>2T19</v>
      </c>
      <c r="AF1" s="70" t="str">
        <f>INDEX({"3T19";"3Q19"},Home!$R$30)</f>
        <v>3T19</v>
      </c>
      <c r="AG1" s="70" t="str">
        <f>INDEX({"4T19";"4Q19"},Home!$R$30)</f>
        <v>4T19</v>
      </c>
      <c r="AH1" s="70" t="str">
        <f>INDEX({"1T20";"1Q20"},Home!$R$30)</f>
        <v>1T20</v>
      </c>
      <c r="AI1" s="70" t="str">
        <f>INDEX({"2T20";"2Q20"},Home!$R$30)</f>
        <v>2T20</v>
      </c>
      <c r="AJ1" s="70" t="str">
        <f>INDEX({"3T20";"3Q20"},Home!$R$30)</f>
        <v>3T20</v>
      </c>
      <c r="AK1" s="70" t="str">
        <f>INDEX({"4T20";"4Q20"},Home!$R$30)</f>
        <v>4T20</v>
      </c>
      <c r="AL1" s="70" t="str">
        <f>INDEX({"1T21";"1Q21"},Home!$R$30)</f>
        <v>1T21</v>
      </c>
      <c r="AM1" s="70" t="str">
        <f>INDEX({"2T21";"2Q21"},Home!$R$30)</f>
        <v>2T21</v>
      </c>
      <c r="AN1" s="70" t="str">
        <f>INDEX({"3T21";"3Q21"},Home!$R$30)</f>
        <v>3T21</v>
      </c>
      <c r="AO1" s="70" t="str">
        <f>INDEX({"4T21";"4Q21"},Home!$R$30)</f>
        <v>4T21</v>
      </c>
      <c r="AP1" s="70" t="str">
        <f>INDEX({"1T22";"1Q22"},Home!$R$30)</f>
        <v>1T22</v>
      </c>
      <c r="AQ1" s="70" t="str">
        <f>INDEX({"2T22";"2Q22"},Home!$R$30)</f>
        <v>2T22</v>
      </c>
      <c r="AR1" s="70" t="str">
        <f>INDEX({"3T22";"3Q22"},Home!$R$30)</f>
        <v>3T22</v>
      </c>
      <c r="AS1" s="70" t="str">
        <f>INDEX({"4T22";"4Q22"},Home!$R$30)</f>
        <v>4T22</v>
      </c>
      <c r="AT1" s="70" t="str">
        <f>INDEX({"1T23";"1Q23"},Home!$R$30)</f>
        <v>1T23</v>
      </c>
      <c r="AU1" s="70" t="str">
        <f>INDEX({"2T23";"2Q23"},Home!$R$30)</f>
        <v>2T23</v>
      </c>
      <c r="AV1" s="70" t="str">
        <f>INDEX({"3T23";"3Q23"},Home!$R$30)</f>
        <v>3T23</v>
      </c>
      <c r="AW1" s="70" t="str">
        <f>INDEX({"4T23";"4Q23"},Home!$R$30)</f>
        <v>4T23</v>
      </c>
      <c r="AX1" s="70" t="str">
        <f>INDEX({"1T24";"1Q24"},Home!$R$30)</f>
        <v>1T24</v>
      </c>
      <c r="AY1" s="70" t="str">
        <f>INDEX({"2T24";"2Q24"},Home!$R$30)</f>
        <v>2T24</v>
      </c>
      <c r="AZ1" s="70" t="str">
        <f>INDEX({"3T24";"3Q24"},Home!$R$30)</f>
        <v>3T24</v>
      </c>
      <c r="BA1" s="70" t="str">
        <f>INDEX({"4T24";"4Q24"},Home!$R$30)</f>
        <v>4T24</v>
      </c>
      <c r="BB1" s="70" t="str">
        <f>INDEX({"1T25";"1Q25"},Home!$R$30)</f>
        <v>1T25</v>
      </c>
      <c r="BC1" s="70" t="str">
        <f>INDEX({"2T25";"2Q25"},Home!$R$30)</f>
        <v>2T25</v>
      </c>
      <c r="BD1" s="70" t="str">
        <f>INDEX({"3T25";"3Q25"},Home!$R$30)</f>
        <v>3T25</v>
      </c>
      <c r="BE1" s="70" t="str">
        <f>INDEX({"4T25";"4Q25"},Home!$R$30)</f>
        <v>4T25</v>
      </c>
      <c r="BF1" s="70" t="str">
        <f>INDEX({"1T26";"1Q26"},Home!$R$30)</f>
        <v>1T26</v>
      </c>
      <c r="BG1" s="70" t="str">
        <f>INDEX({"2T26";"2Q26"},Home!$R$30)</f>
        <v>2T26</v>
      </c>
    </row>
    <row r="2" spans="1:59">
      <c r="A2" s="62"/>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79"/>
      <c r="BC2" s="79"/>
      <c r="BD2" s="79"/>
      <c r="BE2" s="79"/>
      <c r="BF2" s="79"/>
      <c r="BG2" s="79"/>
    </row>
    <row r="3" spans="1:59">
      <c r="A3" s="13" t="str">
        <f>INDEX({"Ativo";"Assets"},Home!$R$30)</f>
        <v>Ativo</v>
      </c>
      <c r="B3" s="86">
        <f t="shared" ref="B3:AG3" si="0">B25+B15</f>
        <v>3121129</v>
      </c>
      <c r="C3" s="86">
        <f t="shared" si="0"/>
        <v>3108413</v>
      </c>
      <c r="D3" s="86">
        <f t="shared" si="0"/>
        <v>3186097</v>
      </c>
      <c r="E3" s="86">
        <f t="shared" si="0"/>
        <v>3340186</v>
      </c>
      <c r="F3" s="86">
        <f t="shared" si="0"/>
        <v>3243082</v>
      </c>
      <c r="G3" s="86">
        <f t="shared" si="0"/>
        <v>3316119</v>
      </c>
      <c r="H3" s="86">
        <f t="shared" si="0"/>
        <v>3298645</v>
      </c>
      <c r="I3" s="86">
        <f t="shared" si="0"/>
        <v>3614093</v>
      </c>
      <c r="J3" s="86">
        <f t="shared" si="0"/>
        <v>3558611</v>
      </c>
      <c r="K3" s="86">
        <f t="shared" si="0"/>
        <v>3663501</v>
      </c>
      <c r="L3" s="86">
        <f t="shared" si="0"/>
        <v>3827053</v>
      </c>
      <c r="M3" s="86">
        <f t="shared" si="0"/>
        <v>4079323</v>
      </c>
      <c r="N3" s="86">
        <f t="shared" si="0"/>
        <v>4192001</v>
      </c>
      <c r="O3" s="86">
        <f t="shared" si="0"/>
        <v>4171001</v>
      </c>
      <c r="P3" s="86">
        <f t="shared" si="0"/>
        <v>4394286</v>
      </c>
      <c r="Q3" s="86">
        <f t="shared" si="0"/>
        <v>4699201</v>
      </c>
      <c r="R3" s="86">
        <f t="shared" si="0"/>
        <v>4775378</v>
      </c>
      <c r="S3" s="86">
        <f t="shared" si="0"/>
        <v>4861771</v>
      </c>
      <c r="T3" s="86">
        <f t="shared" si="0"/>
        <v>5319851.26</v>
      </c>
      <c r="U3" s="86">
        <f t="shared" si="0"/>
        <v>5659302.96</v>
      </c>
      <c r="V3" s="86">
        <f t="shared" si="0"/>
        <v>5731589.959999999</v>
      </c>
      <c r="W3" s="86">
        <f t="shared" si="0"/>
        <v>6008408.959999999</v>
      </c>
      <c r="X3" s="86">
        <f t="shared" si="0"/>
        <v>6309835.1999999993</v>
      </c>
      <c r="Y3" s="86">
        <f t="shared" si="0"/>
        <v>6464249.1799999997</v>
      </c>
      <c r="Z3" s="86">
        <f t="shared" si="0"/>
        <v>6496807.9810200008</v>
      </c>
      <c r="AA3" s="86">
        <f t="shared" si="0"/>
        <v>6759816.29</v>
      </c>
      <c r="AB3" s="86">
        <f t="shared" si="0"/>
        <v>7116260.2800000003</v>
      </c>
      <c r="AC3" s="86">
        <f t="shared" si="0"/>
        <v>7352005.4900000002</v>
      </c>
      <c r="AD3" s="86">
        <f t="shared" si="0"/>
        <v>7588574.3018765915</v>
      </c>
      <c r="AE3" s="86">
        <f t="shared" si="0"/>
        <v>7540377.640589999</v>
      </c>
      <c r="AF3" s="86">
        <f t="shared" si="0"/>
        <v>8950332.3216900006</v>
      </c>
      <c r="AG3" s="86">
        <f t="shared" si="0"/>
        <v>9212487.9084699973</v>
      </c>
      <c r="AH3" s="86">
        <f t="shared" ref="AH3:BF3" si="1">AH25+AH15</f>
        <v>9852209.4908924978</v>
      </c>
      <c r="AI3" s="86">
        <f t="shared" si="1"/>
        <v>9639781.5744965002</v>
      </c>
      <c r="AJ3" s="86">
        <f t="shared" si="1"/>
        <v>9928290.0819340032</v>
      </c>
      <c r="AK3" s="86">
        <f t="shared" si="1"/>
        <v>10665655.605811</v>
      </c>
      <c r="AL3" s="86">
        <f t="shared" si="1"/>
        <v>10972297.573217001</v>
      </c>
      <c r="AM3" s="86">
        <f t="shared" si="1"/>
        <v>10757368.021159999</v>
      </c>
      <c r="AN3" s="86">
        <f t="shared" si="1"/>
        <v>11059752.745338503</v>
      </c>
      <c r="AO3" s="86">
        <f t="shared" si="1"/>
        <v>11445383.095123168</v>
      </c>
      <c r="AP3" s="86">
        <f t="shared" si="1"/>
        <v>12221950.267758504</v>
      </c>
      <c r="AQ3" s="86">
        <f t="shared" si="1"/>
        <v>12780840.228165004</v>
      </c>
      <c r="AR3" s="86">
        <f t="shared" si="1"/>
        <v>13166892.038321501</v>
      </c>
      <c r="AS3" s="86">
        <f t="shared" si="1"/>
        <v>13807305.043801501</v>
      </c>
      <c r="AT3" s="86">
        <f t="shared" si="1"/>
        <v>14879546.117445497</v>
      </c>
      <c r="AU3" s="86">
        <f t="shared" si="1"/>
        <v>14267988.842756499</v>
      </c>
      <c r="AV3" s="86">
        <f t="shared" si="1"/>
        <v>15868492.908137999</v>
      </c>
      <c r="AW3" s="86">
        <f t="shared" si="1"/>
        <v>16507598.394598499</v>
      </c>
      <c r="AX3" s="86">
        <f t="shared" si="1"/>
        <v>16946390.004091993</v>
      </c>
      <c r="AY3" s="86">
        <f t="shared" si="1"/>
        <v>16962895.450112998</v>
      </c>
      <c r="AZ3" s="86">
        <f t="shared" si="1"/>
        <v>18091767.884813003</v>
      </c>
      <c r="BA3" s="86">
        <f t="shared" si="1"/>
        <v>18136869.247993</v>
      </c>
      <c r="BB3" s="86">
        <f t="shared" si="1"/>
        <v>18498816.150267765</v>
      </c>
      <c r="BC3" s="86">
        <f t="shared" si="1"/>
        <v>18746117.624535404</v>
      </c>
      <c r="BD3" s="86">
        <f t="shared" si="1"/>
        <v>19370639.573551513</v>
      </c>
      <c r="BE3" s="86">
        <f t="shared" si="1"/>
        <v>20630779.842509858</v>
      </c>
      <c r="BF3" s="86">
        <f t="shared" si="1"/>
        <v>20642584.642561048</v>
      </c>
      <c r="BG3" s="86">
        <f t="shared" ref="BG3" si="2">BG25+BG15</f>
        <v>20154466.890364163</v>
      </c>
    </row>
    <row r="4" spans="1:59">
      <c r="A4" s="63"/>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row>
    <row r="5" spans="1:59">
      <c r="A5" s="64" t="str">
        <f>INDEX({"Circulante";"Current Assets"},Home!$R$30)</f>
        <v>Circulante</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9"/>
      <c r="AR5" s="89"/>
      <c r="AS5" s="89"/>
      <c r="AT5" s="89"/>
      <c r="AU5" s="89"/>
      <c r="AV5" s="89"/>
      <c r="AW5" s="89"/>
      <c r="AX5" s="89"/>
      <c r="AY5" s="89"/>
      <c r="AZ5" s="89"/>
      <c r="BA5" s="89"/>
      <c r="BB5" s="89"/>
      <c r="BC5" s="89"/>
      <c r="BD5" s="89"/>
      <c r="BE5" s="89"/>
      <c r="BF5" s="89"/>
      <c r="BG5" s="89"/>
    </row>
    <row r="6" spans="1:59">
      <c r="A6" s="65" t="str">
        <f>INDEX({"Caixa e Equivalentes de Caixa";"Cash and Cash Equivalents"},Home!$R$30)</f>
        <v>Caixa e Equivalentes de Caixa</v>
      </c>
      <c r="B6" s="90">
        <v>169441</v>
      </c>
      <c r="C6" s="90">
        <v>124927</v>
      </c>
      <c r="D6" s="90">
        <v>218404</v>
      </c>
      <c r="E6" s="90">
        <v>166963</v>
      </c>
      <c r="F6" s="90">
        <v>127007</v>
      </c>
      <c r="G6" s="90">
        <v>73557</v>
      </c>
      <c r="H6" s="90">
        <v>122367</v>
      </c>
      <c r="I6" s="90">
        <v>241885</v>
      </c>
      <c r="J6" s="90">
        <v>139549</v>
      </c>
      <c r="K6" s="90">
        <v>143241</v>
      </c>
      <c r="L6" s="90">
        <v>149999</v>
      </c>
      <c r="M6" s="90">
        <v>281467</v>
      </c>
      <c r="N6" s="90">
        <v>230073</v>
      </c>
      <c r="O6" s="90">
        <v>211578</v>
      </c>
      <c r="P6" s="90">
        <v>269860</v>
      </c>
      <c r="Q6" s="90">
        <v>266051</v>
      </c>
      <c r="R6" s="90">
        <v>106770</v>
      </c>
      <c r="S6" s="90">
        <v>56496</v>
      </c>
      <c r="T6" s="90">
        <v>255827.26</v>
      </c>
      <c r="U6" s="90">
        <v>276631.73</v>
      </c>
      <c r="V6" s="90">
        <v>181600.86</v>
      </c>
      <c r="W6" s="90">
        <v>324363.12</v>
      </c>
      <c r="X6" s="90">
        <v>394562.72</v>
      </c>
      <c r="Y6" s="90">
        <v>264872.65999999997</v>
      </c>
      <c r="Z6" s="90">
        <v>102675.45786000001</v>
      </c>
      <c r="AA6" s="90">
        <v>281254.76</v>
      </c>
      <c r="AB6" s="90">
        <v>273555.26</v>
      </c>
      <c r="AC6" s="90">
        <v>241568.34</v>
      </c>
      <c r="AD6" s="90">
        <v>243596.03873000003</v>
      </c>
      <c r="AE6" s="90">
        <v>145386.97352999996</v>
      </c>
      <c r="AF6" s="90">
        <v>406680.72681000008</v>
      </c>
      <c r="AG6" s="90">
        <v>299225.77490000002</v>
      </c>
      <c r="AH6" s="90">
        <v>533707.74832000001</v>
      </c>
      <c r="AI6" s="90">
        <v>266416.04019999999</v>
      </c>
      <c r="AJ6" s="90">
        <v>600205.92084999999</v>
      </c>
      <c r="AK6" s="90">
        <v>880356.74208999996</v>
      </c>
      <c r="AL6" s="90">
        <v>734434.42387000017</v>
      </c>
      <c r="AM6" s="90">
        <v>266685.13707</v>
      </c>
      <c r="AN6" s="90">
        <v>247157.56521999996</v>
      </c>
      <c r="AO6" s="90">
        <v>356117.37972999999</v>
      </c>
      <c r="AP6" s="90">
        <v>466154.27480999986</v>
      </c>
      <c r="AQ6" s="90">
        <v>818805.44246000017</v>
      </c>
      <c r="AR6" s="90">
        <v>371171.10529000004</v>
      </c>
      <c r="AS6" s="90">
        <v>433541.16435000004</v>
      </c>
      <c r="AT6" s="90">
        <v>371266.72487000021</v>
      </c>
      <c r="AU6" s="90">
        <v>345309.16444999992</v>
      </c>
      <c r="AV6" s="90">
        <v>593586.51719000004</v>
      </c>
      <c r="AW6" s="90">
        <v>412322.14211000007</v>
      </c>
      <c r="AX6" s="90">
        <v>412597.54670999991</v>
      </c>
      <c r="AY6" s="90">
        <v>369659.72822999995</v>
      </c>
      <c r="AZ6" s="90">
        <v>410510.05687999993</v>
      </c>
      <c r="BA6" s="90">
        <v>528002.49053000007</v>
      </c>
      <c r="BB6" s="90">
        <v>352268.74456999998</v>
      </c>
      <c r="BC6" s="90">
        <v>376333.72141</v>
      </c>
      <c r="BD6" s="90">
        <v>339614.94627999997</v>
      </c>
      <c r="BE6" s="90">
        <v>358635.86352000001</v>
      </c>
      <c r="BF6" s="90">
        <v>441802.07594000001</v>
      </c>
      <c r="BG6" s="90">
        <v>536500.15952999995</v>
      </c>
    </row>
    <row r="7" spans="1:59">
      <c r="A7" s="65" t="str">
        <f>INDEX({"Aplicações Financeiras";"Financial Investments"},Home!$R$30)</f>
        <v>Aplicações Financeiras</v>
      </c>
      <c r="B7" s="90">
        <v>0</v>
      </c>
      <c r="C7" s="90">
        <v>0</v>
      </c>
      <c r="D7" s="90">
        <v>0</v>
      </c>
      <c r="E7" s="90">
        <v>0</v>
      </c>
      <c r="F7" s="90">
        <v>0</v>
      </c>
      <c r="G7" s="90">
        <v>0</v>
      </c>
      <c r="H7" s="90">
        <v>0</v>
      </c>
      <c r="I7" s="90">
        <v>0</v>
      </c>
      <c r="J7" s="90">
        <v>0</v>
      </c>
      <c r="K7" s="90">
        <v>0</v>
      </c>
      <c r="L7" s="90">
        <v>0</v>
      </c>
      <c r="M7" s="90">
        <v>0</v>
      </c>
      <c r="N7" s="90">
        <v>0</v>
      </c>
      <c r="O7" s="90">
        <v>0</v>
      </c>
      <c r="P7" s="90">
        <v>0</v>
      </c>
      <c r="Q7" s="90">
        <v>0</v>
      </c>
      <c r="R7" s="90">
        <v>0</v>
      </c>
      <c r="S7" s="90">
        <v>0</v>
      </c>
      <c r="T7" s="90">
        <v>0</v>
      </c>
      <c r="U7" s="90">
        <v>0</v>
      </c>
      <c r="V7" s="90">
        <v>0</v>
      </c>
      <c r="W7" s="90">
        <v>0</v>
      </c>
      <c r="X7" s="90">
        <v>0</v>
      </c>
      <c r="Y7" s="90">
        <v>0</v>
      </c>
      <c r="Z7" s="90">
        <v>0</v>
      </c>
      <c r="AA7" s="90">
        <v>0</v>
      </c>
      <c r="AB7" s="90">
        <v>0</v>
      </c>
      <c r="AC7" s="90">
        <v>0</v>
      </c>
      <c r="AD7" s="90">
        <v>0</v>
      </c>
      <c r="AE7" s="90">
        <v>0</v>
      </c>
      <c r="AF7" s="90">
        <v>0</v>
      </c>
      <c r="AG7" s="90">
        <v>0</v>
      </c>
      <c r="AH7" s="90">
        <v>0</v>
      </c>
      <c r="AI7" s="90">
        <v>0</v>
      </c>
      <c r="AJ7" s="90">
        <v>0</v>
      </c>
      <c r="AK7" s="90">
        <v>0</v>
      </c>
      <c r="AL7" s="90">
        <v>0</v>
      </c>
      <c r="AM7" s="90">
        <v>0</v>
      </c>
      <c r="AN7" s="90">
        <v>0</v>
      </c>
      <c r="AO7" s="90">
        <v>0</v>
      </c>
      <c r="AP7" s="90">
        <v>0</v>
      </c>
      <c r="AQ7" s="90">
        <v>0</v>
      </c>
      <c r="AR7" s="90">
        <v>0</v>
      </c>
      <c r="AS7" s="90">
        <v>0</v>
      </c>
      <c r="AT7" s="90">
        <v>991.95836999999995</v>
      </c>
      <c r="AU7" s="90">
        <v>25126.20866</v>
      </c>
      <c r="AV7" s="90">
        <v>25937.771539999998</v>
      </c>
      <c r="AW7" s="90">
        <v>0</v>
      </c>
      <c r="AX7" s="90">
        <v>0</v>
      </c>
      <c r="AY7" s="90">
        <v>0</v>
      </c>
      <c r="AZ7" s="90">
        <v>0</v>
      </c>
      <c r="BA7" s="90">
        <v>15706.799100000006</v>
      </c>
      <c r="BB7" s="90">
        <v>65794.743489999993</v>
      </c>
      <c r="BC7" s="90">
        <v>78278.49669</v>
      </c>
      <c r="BD7" s="90">
        <v>102049.70935999999</v>
      </c>
      <c r="BE7" s="90">
        <v>19119.819039999998</v>
      </c>
      <c r="BF7" s="90">
        <v>95934.293340000004</v>
      </c>
      <c r="BG7" s="90">
        <v>116448.62714</v>
      </c>
    </row>
    <row r="8" spans="1:59">
      <c r="A8" s="65" t="str">
        <f>INDEX({"Clientes";"Accounts Receivable"},Home!$R$30)</f>
        <v>Clientes</v>
      </c>
      <c r="B8" s="90">
        <v>286599</v>
      </c>
      <c r="C8" s="90">
        <v>314956</v>
      </c>
      <c r="D8" s="90">
        <v>332875</v>
      </c>
      <c r="E8" s="90">
        <v>335771</v>
      </c>
      <c r="F8" s="90">
        <v>313176</v>
      </c>
      <c r="G8" s="90">
        <v>355570</v>
      </c>
      <c r="H8" s="90">
        <v>364639</v>
      </c>
      <c r="I8" s="90">
        <v>373259</v>
      </c>
      <c r="J8" s="90">
        <v>400292</v>
      </c>
      <c r="K8" s="90">
        <v>430140</v>
      </c>
      <c r="L8" s="90">
        <v>462642</v>
      </c>
      <c r="M8" s="90">
        <v>482840</v>
      </c>
      <c r="N8" s="90">
        <v>492897</v>
      </c>
      <c r="O8" s="90">
        <v>543466</v>
      </c>
      <c r="P8" s="90">
        <v>572395</v>
      </c>
      <c r="Q8" s="90">
        <v>601831</v>
      </c>
      <c r="R8" s="90">
        <v>629502</v>
      </c>
      <c r="S8" s="90">
        <v>702467</v>
      </c>
      <c r="T8" s="90">
        <v>728660.9</v>
      </c>
      <c r="U8" s="90">
        <v>772240.55</v>
      </c>
      <c r="V8" s="90">
        <v>781330.21</v>
      </c>
      <c r="W8" s="90">
        <v>818150.82</v>
      </c>
      <c r="X8" s="90">
        <v>869800.87</v>
      </c>
      <c r="Y8" s="90">
        <v>930070.55</v>
      </c>
      <c r="Z8" s="90">
        <v>959181.2654400001</v>
      </c>
      <c r="AA8" s="90">
        <v>967282.42</v>
      </c>
      <c r="AB8" s="90">
        <v>1041121.33</v>
      </c>
      <c r="AC8" s="90">
        <v>937389.17</v>
      </c>
      <c r="AD8" s="90">
        <v>1096151.1329300001</v>
      </c>
      <c r="AE8" s="90">
        <v>1092726.07635</v>
      </c>
      <c r="AF8" s="90">
        <v>1231391.5959899998</v>
      </c>
      <c r="AG8" s="90">
        <v>1189018.6025500002</v>
      </c>
      <c r="AH8" s="90">
        <v>1472056.21227</v>
      </c>
      <c r="AI8" s="90">
        <v>1330445.6505500001</v>
      </c>
      <c r="AJ8" s="90">
        <v>1470418.6405800001</v>
      </c>
      <c r="AK8" s="90">
        <v>1555434.4234500001</v>
      </c>
      <c r="AL8" s="90">
        <v>1732296.1973100002</v>
      </c>
      <c r="AM8" s="90">
        <v>1770669.8147099998</v>
      </c>
      <c r="AN8" s="90">
        <v>1848348.9768899996</v>
      </c>
      <c r="AO8" s="90">
        <v>1710057.2892400001</v>
      </c>
      <c r="AP8" s="90">
        <v>2089165.2077999995</v>
      </c>
      <c r="AQ8" s="90">
        <v>1948433.0018100003</v>
      </c>
      <c r="AR8" s="90">
        <v>2336857.65142</v>
      </c>
      <c r="AS8" s="90">
        <v>2295640.1504299999</v>
      </c>
      <c r="AT8" s="90">
        <v>2630057.4879299994</v>
      </c>
      <c r="AU8" s="90">
        <v>2066982.2212599996</v>
      </c>
      <c r="AV8" s="90">
        <v>2904269.6235900004</v>
      </c>
      <c r="AW8" s="90">
        <v>3084939.9511800008</v>
      </c>
      <c r="AX8" s="90">
        <v>2963924.9726799992</v>
      </c>
      <c r="AY8" s="90">
        <v>2910130.8470400008</v>
      </c>
      <c r="AZ8" s="90">
        <v>3362713.2177299997</v>
      </c>
      <c r="BA8" s="90">
        <v>2666758.29734</v>
      </c>
      <c r="BB8" s="90">
        <v>2090776.8245600001</v>
      </c>
      <c r="BC8" s="90">
        <v>2373076.4278299999</v>
      </c>
      <c r="BD8" s="90">
        <v>2848274.3021999998</v>
      </c>
      <c r="BE8" s="90">
        <v>2833401.3280199999</v>
      </c>
      <c r="BF8" s="90">
        <v>2835139.2179100001</v>
      </c>
      <c r="BG8" s="90">
        <v>3095747.6930199997</v>
      </c>
    </row>
    <row r="9" spans="1:59">
      <c r="A9" s="65" t="str">
        <f>INDEX({"Estoques";"Inventories"},Home!$R$30)</f>
        <v>Estoques</v>
      </c>
      <c r="B9" s="90">
        <v>910612</v>
      </c>
      <c r="C9" s="90">
        <v>900762</v>
      </c>
      <c r="D9" s="90">
        <v>829405</v>
      </c>
      <c r="E9" s="90">
        <v>973396</v>
      </c>
      <c r="F9" s="90">
        <v>907468</v>
      </c>
      <c r="G9" s="90">
        <v>1008445</v>
      </c>
      <c r="H9" s="90">
        <v>948534</v>
      </c>
      <c r="I9" s="90">
        <v>1132620</v>
      </c>
      <c r="J9" s="90">
        <v>1124787</v>
      </c>
      <c r="K9" s="90">
        <v>1178056</v>
      </c>
      <c r="L9" s="90">
        <v>1272249</v>
      </c>
      <c r="M9" s="90">
        <v>1350971</v>
      </c>
      <c r="N9" s="90">
        <v>1454149</v>
      </c>
      <c r="O9" s="90">
        <v>1386053</v>
      </c>
      <c r="P9" s="90">
        <v>1473533</v>
      </c>
      <c r="Q9" s="90">
        <v>1650453</v>
      </c>
      <c r="R9" s="90">
        <v>1775777</v>
      </c>
      <c r="S9" s="90">
        <v>1777080</v>
      </c>
      <c r="T9" s="90">
        <v>1944365.47</v>
      </c>
      <c r="U9" s="90">
        <v>2149468.42</v>
      </c>
      <c r="V9" s="90">
        <v>2221116.0699999998</v>
      </c>
      <c r="W9" s="90">
        <v>2254559.54</v>
      </c>
      <c r="X9" s="90">
        <v>2338694.17</v>
      </c>
      <c r="Y9" s="90">
        <v>2517594.37</v>
      </c>
      <c r="Z9" s="90">
        <v>2627073.4498600001</v>
      </c>
      <c r="AA9" s="90">
        <v>2640797.88</v>
      </c>
      <c r="AB9" s="90">
        <v>2806901.67</v>
      </c>
      <c r="AC9" s="90">
        <v>3087274.69</v>
      </c>
      <c r="AD9" s="90">
        <v>3008239.0620100009</v>
      </c>
      <c r="AE9" s="90">
        <v>3016386.9210900003</v>
      </c>
      <c r="AF9" s="90">
        <v>3462287.99217</v>
      </c>
      <c r="AG9" s="90">
        <v>3851388.6175600002</v>
      </c>
      <c r="AH9" s="90">
        <v>3932728.2914900002</v>
      </c>
      <c r="AI9" s="90">
        <v>4114635.2931300001</v>
      </c>
      <c r="AJ9" s="90">
        <v>3926676.1388700004</v>
      </c>
      <c r="AK9" s="90">
        <v>4225407.1646300005</v>
      </c>
      <c r="AL9" s="90">
        <v>4514392.1297199996</v>
      </c>
      <c r="AM9" s="90">
        <v>4603133.0599499978</v>
      </c>
      <c r="AN9" s="90">
        <v>4717258.3788900003</v>
      </c>
      <c r="AO9" s="90">
        <v>5117798.6430099998</v>
      </c>
      <c r="AP9" s="90">
        <v>5324336.8700100007</v>
      </c>
      <c r="AQ9" s="90">
        <v>5566835.2680200012</v>
      </c>
      <c r="AR9" s="90">
        <v>5832183.6385699995</v>
      </c>
      <c r="AS9" s="90">
        <v>6126056.2906999998</v>
      </c>
      <c r="AT9" s="90">
        <v>6791082.2019599993</v>
      </c>
      <c r="AU9" s="90">
        <v>6627088.3993000006</v>
      </c>
      <c r="AV9" s="90">
        <v>6925863.1583300009</v>
      </c>
      <c r="AW9" s="90">
        <v>7197426.3680299995</v>
      </c>
      <c r="AX9" s="90">
        <v>7677321.5267399997</v>
      </c>
      <c r="AY9" s="90">
        <v>7693557.43946</v>
      </c>
      <c r="AZ9" s="90">
        <v>8132531.6225400008</v>
      </c>
      <c r="BA9" s="90">
        <v>8407429.0126699992</v>
      </c>
      <c r="BB9" s="90">
        <v>8213536.3439199999</v>
      </c>
      <c r="BC9" s="90">
        <v>7948263.91866</v>
      </c>
      <c r="BD9" s="90">
        <v>8125436.8928300003</v>
      </c>
      <c r="BE9" s="90">
        <v>9132735.5380099993</v>
      </c>
      <c r="BF9" s="90">
        <v>8440463.8366800006</v>
      </c>
      <c r="BG9" s="90">
        <v>8333896.5001999997</v>
      </c>
    </row>
    <row r="10" spans="1:59">
      <c r="A10" s="65" t="str">
        <f>INDEX({"Tributos a Recuperar";"Taxes Receivable"},Home!$R$30)</f>
        <v>Tributos a Recuperar</v>
      </c>
      <c r="B10" s="90">
        <v>85585</v>
      </c>
      <c r="C10" s="90">
        <v>91496</v>
      </c>
      <c r="D10" s="90">
        <v>62110</v>
      </c>
      <c r="E10" s="90">
        <v>96316</v>
      </c>
      <c r="F10" s="90">
        <v>82370</v>
      </c>
      <c r="G10" s="90">
        <v>67939</v>
      </c>
      <c r="H10" s="90">
        <v>58136</v>
      </c>
      <c r="I10" s="90">
        <v>38658</v>
      </c>
      <c r="J10" s="90">
        <v>34401</v>
      </c>
      <c r="K10" s="90">
        <v>29455</v>
      </c>
      <c r="L10" s="90">
        <v>38847</v>
      </c>
      <c r="M10" s="90">
        <v>39429</v>
      </c>
      <c r="N10" s="90">
        <v>59254</v>
      </c>
      <c r="O10" s="90">
        <v>48919</v>
      </c>
      <c r="P10" s="90">
        <v>61688</v>
      </c>
      <c r="Q10" s="90">
        <v>59530</v>
      </c>
      <c r="R10" s="90">
        <v>79305</v>
      </c>
      <c r="S10" s="90">
        <v>84579</v>
      </c>
      <c r="T10" s="90">
        <v>115348.02</v>
      </c>
      <c r="U10" s="90">
        <v>111771.72</v>
      </c>
      <c r="V10" s="90">
        <v>95620.05</v>
      </c>
      <c r="W10" s="90">
        <v>86415.46</v>
      </c>
      <c r="X10" s="90">
        <v>83702.75</v>
      </c>
      <c r="Y10" s="90">
        <v>78777.31</v>
      </c>
      <c r="Z10" s="90">
        <v>68597.784390000001</v>
      </c>
      <c r="AA10" s="90">
        <v>66874.44</v>
      </c>
      <c r="AB10" s="90">
        <v>75027.289999999994</v>
      </c>
      <c r="AC10" s="90">
        <v>84852.39</v>
      </c>
      <c r="AD10" s="90">
        <v>108710.52388000001</v>
      </c>
      <c r="AE10" s="90">
        <v>104622.64708</v>
      </c>
      <c r="AF10" s="90">
        <v>188519.23521999997</v>
      </c>
      <c r="AG10" s="90">
        <v>155395.26269999999</v>
      </c>
      <c r="AH10" s="90">
        <v>121018.48186000001</v>
      </c>
      <c r="AI10" s="90">
        <v>140052.57988999999</v>
      </c>
      <c r="AJ10" s="90">
        <v>91268.891569999992</v>
      </c>
      <c r="AK10" s="90">
        <v>61490.563519999996</v>
      </c>
      <c r="AL10" s="90">
        <v>66319.837320000006</v>
      </c>
      <c r="AM10" s="90">
        <v>90999.122719999999</v>
      </c>
      <c r="AN10" s="90">
        <v>102214.28444999999</v>
      </c>
      <c r="AO10" s="90">
        <v>195729.76241</v>
      </c>
      <c r="AP10" s="90">
        <v>267334.11861</v>
      </c>
      <c r="AQ10" s="90">
        <v>272369.93593000004</v>
      </c>
      <c r="AR10" s="90">
        <v>298623.15344000002</v>
      </c>
      <c r="AS10" s="90">
        <v>393299.21467000007</v>
      </c>
      <c r="AT10" s="90">
        <v>395474.56630000001</v>
      </c>
      <c r="AU10" s="90">
        <v>415124.69562999991</v>
      </c>
      <c r="AV10" s="90">
        <v>417496.10676999995</v>
      </c>
      <c r="AW10" s="90">
        <v>353373.85088999994</v>
      </c>
      <c r="AX10" s="90">
        <v>344996.87977999996</v>
      </c>
      <c r="AY10" s="90">
        <v>323991.98853000003</v>
      </c>
      <c r="AZ10" s="90">
        <v>377907.38202999992</v>
      </c>
      <c r="BA10" s="90">
        <v>483452.46747999993</v>
      </c>
      <c r="BB10" s="90">
        <v>433917.88793000003</v>
      </c>
      <c r="BC10" s="90">
        <v>436986.83747000003</v>
      </c>
      <c r="BD10" s="90">
        <v>466245.61171000003</v>
      </c>
      <c r="BE10" s="90">
        <v>519282.04741</v>
      </c>
      <c r="BF10" s="90">
        <v>1041064.7514900002</v>
      </c>
      <c r="BG10" s="90">
        <v>1066713.3447900002</v>
      </c>
    </row>
    <row r="11" spans="1:59">
      <c r="A11" s="65" t="str">
        <f>INDEX({"Despesas Antecipadas";"Anticipated Expenses"},Home!$R$30)</f>
        <v>Despesas Antecipadas</v>
      </c>
      <c r="B11" s="90">
        <v>14636</v>
      </c>
      <c r="C11" s="90">
        <v>14772</v>
      </c>
      <c r="D11" s="90">
        <v>11472</v>
      </c>
      <c r="E11" s="90">
        <v>4646</v>
      </c>
      <c r="F11" s="90">
        <v>12578</v>
      </c>
      <c r="G11" s="90">
        <v>12876</v>
      </c>
      <c r="H11" s="90">
        <v>11889</v>
      </c>
      <c r="I11" s="90">
        <v>8200</v>
      </c>
      <c r="J11" s="90">
        <v>16574</v>
      </c>
      <c r="K11" s="90">
        <v>14311</v>
      </c>
      <c r="L11" s="90">
        <v>10947</v>
      </c>
      <c r="M11" s="90">
        <v>9972</v>
      </c>
      <c r="N11" s="90">
        <v>17170</v>
      </c>
      <c r="O11" s="90">
        <v>15186</v>
      </c>
      <c r="P11" s="90">
        <v>13173</v>
      </c>
      <c r="Q11" s="90">
        <v>9718</v>
      </c>
      <c r="R11" s="90">
        <v>19419</v>
      </c>
      <c r="S11" s="90">
        <v>20947</v>
      </c>
      <c r="T11" s="90">
        <v>16960.78</v>
      </c>
      <c r="U11" s="90">
        <v>12558.09</v>
      </c>
      <c r="V11" s="90">
        <v>28452.32</v>
      </c>
      <c r="W11" s="90">
        <v>27171.78</v>
      </c>
      <c r="X11" s="90">
        <v>21724.61</v>
      </c>
      <c r="Y11" s="90">
        <v>17885.18</v>
      </c>
      <c r="Z11" s="90">
        <v>32454.069530000001</v>
      </c>
      <c r="AA11" s="90">
        <v>35179.21</v>
      </c>
      <c r="AB11" s="90">
        <v>29573.75</v>
      </c>
      <c r="AC11" s="90">
        <v>21893.26</v>
      </c>
      <c r="AD11" s="90">
        <v>46442.166710000005</v>
      </c>
      <c r="AE11" s="90">
        <v>41118.252769999999</v>
      </c>
      <c r="AF11" s="90">
        <v>37132.774879999997</v>
      </c>
      <c r="AG11" s="90">
        <v>26368.783689999997</v>
      </c>
      <c r="AH11" s="90">
        <v>58421.807059999999</v>
      </c>
      <c r="AI11" s="90">
        <v>54924.64546</v>
      </c>
      <c r="AJ11" s="90">
        <v>47733.161259999993</v>
      </c>
      <c r="AK11" s="90">
        <v>36738.078649999996</v>
      </c>
      <c r="AL11" s="90">
        <v>55416.368199999997</v>
      </c>
      <c r="AM11" s="90">
        <v>59773.364280000002</v>
      </c>
      <c r="AN11" s="90">
        <v>50439.776339999997</v>
      </c>
      <c r="AO11" s="90">
        <v>48359.410779999998</v>
      </c>
      <c r="AP11" s="90">
        <v>76398.557619999992</v>
      </c>
      <c r="AQ11" s="90">
        <v>73641.370989999996</v>
      </c>
      <c r="AR11" s="90">
        <v>70637.680500000002</v>
      </c>
      <c r="AS11" s="90">
        <v>61613.833810000004</v>
      </c>
      <c r="AT11" s="90">
        <v>112041.62980999998</v>
      </c>
      <c r="AU11" s="90">
        <v>102145.67313</v>
      </c>
      <c r="AV11" s="90">
        <v>91061.912260000012</v>
      </c>
      <c r="AW11" s="90">
        <v>98854.94276999998</v>
      </c>
      <c r="AX11" s="90">
        <v>132113.19074999998</v>
      </c>
      <c r="AY11" s="90">
        <v>134643.07280000002</v>
      </c>
      <c r="AZ11" s="90">
        <v>117744.88829999998</v>
      </c>
      <c r="BA11" s="90">
        <v>112610.73724999999</v>
      </c>
      <c r="BB11" s="90">
        <v>145121.87263</v>
      </c>
      <c r="BC11" s="90">
        <v>151807.72268000001</v>
      </c>
      <c r="BD11" s="90">
        <v>115992.58001000001</v>
      </c>
      <c r="BE11" s="90">
        <v>115063.71670999999</v>
      </c>
      <c r="BF11" s="90">
        <v>158787.05039999998</v>
      </c>
      <c r="BG11" s="90">
        <v>156290.27998999998</v>
      </c>
    </row>
    <row r="12" spans="1:59">
      <c r="A12" s="66" t="str">
        <f>INDEX({"Depósitos Judiciais";"Deposit in Court"},Home!$R$30)</f>
        <v>Depósitos Judiciais</v>
      </c>
      <c r="B12" s="91">
        <v>0</v>
      </c>
      <c r="C12" s="91">
        <v>0</v>
      </c>
      <c r="D12" s="91">
        <v>0</v>
      </c>
      <c r="E12" s="91">
        <v>0</v>
      </c>
      <c r="F12" s="91">
        <v>0</v>
      </c>
      <c r="G12" s="91">
        <v>0</v>
      </c>
      <c r="H12" s="91">
        <v>0</v>
      </c>
      <c r="I12" s="91">
        <v>0</v>
      </c>
      <c r="J12" s="91">
        <v>0</v>
      </c>
      <c r="K12" s="91">
        <v>0</v>
      </c>
      <c r="L12" s="91">
        <v>0</v>
      </c>
      <c r="M12" s="91">
        <v>0</v>
      </c>
      <c r="N12" s="91">
        <v>0</v>
      </c>
      <c r="O12" s="91">
        <v>0</v>
      </c>
      <c r="P12" s="91">
        <v>0</v>
      </c>
      <c r="Q12" s="91">
        <v>0</v>
      </c>
      <c r="R12" s="91">
        <v>0</v>
      </c>
      <c r="S12" s="91">
        <v>0</v>
      </c>
      <c r="T12" s="91">
        <v>0</v>
      </c>
      <c r="U12" s="91">
        <v>0</v>
      </c>
      <c r="V12" s="91">
        <v>0</v>
      </c>
      <c r="W12" s="91">
        <v>0</v>
      </c>
      <c r="X12" s="91">
        <v>0</v>
      </c>
      <c r="Y12" s="91">
        <v>0</v>
      </c>
      <c r="Z12" s="91">
        <v>0</v>
      </c>
      <c r="AA12" s="91">
        <v>0</v>
      </c>
      <c r="AB12" s="91">
        <v>0</v>
      </c>
      <c r="AC12" s="91">
        <v>0</v>
      </c>
      <c r="AD12" s="91">
        <v>0</v>
      </c>
      <c r="AE12" s="91">
        <v>0</v>
      </c>
      <c r="AF12" s="91">
        <v>0</v>
      </c>
      <c r="AG12" s="91">
        <v>0</v>
      </c>
      <c r="AH12" s="91">
        <v>0</v>
      </c>
      <c r="AI12" s="91">
        <v>0</v>
      </c>
      <c r="AJ12" s="91">
        <v>0</v>
      </c>
      <c r="AK12" s="91">
        <v>0</v>
      </c>
      <c r="AL12" s="91">
        <v>0</v>
      </c>
      <c r="AM12" s="91">
        <v>0</v>
      </c>
      <c r="AN12" s="91">
        <v>0</v>
      </c>
      <c r="AO12" s="91">
        <v>0</v>
      </c>
      <c r="AP12" s="91">
        <v>0</v>
      </c>
      <c r="AQ12" s="91">
        <v>0</v>
      </c>
      <c r="AR12" s="91">
        <v>0</v>
      </c>
      <c r="AS12" s="91">
        <v>0</v>
      </c>
      <c r="AT12" s="91">
        <v>0</v>
      </c>
      <c r="AU12" s="91">
        <v>0</v>
      </c>
      <c r="AV12" s="91">
        <v>0</v>
      </c>
      <c r="AW12" s="91">
        <v>0</v>
      </c>
      <c r="AX12" s="91">
        <v>0</v>
      </c>
      <c r="AY12" s="91">
        <v>2333.7486699999999</v>
      </c>
      <c r="AZ12" s="91">
        <v>2378.3778600000001</v>
      </c>
      <c r="BA12" s="91">
        <v>3018.8696299999997</v>
      </c>
      <c r="BB12" s="91">
        <v>3016.5777899999998</v>
      </c>
      <c r="BC12" s="91">
        <v>4059.83329</v>
      </c>
      <c r="BD12" s="91">
        <v>6825.2751699999999</v>
      </c>
      <c r="BE12" s="91">
        <v>4970.0210100000004</v>
      </c>
      <c r="BF12" s="91">
        <v>4886.0403699999997</v>
      </c>
      <c r="BG12" s="91">
        <v>3782.0803300000002</v>
      </c>
    </row>
    <row r="13" spans="1:59">
      <c r="A13" s="66" t="str">
        <f>INDEX({"Ativos de investimento à venda (4Bio)";"Assets of investment for sale (4Bio)"},Home!$R$30)</f>
        <v>Ativos de investimento à venda (4Bio)</v>
      </c>
      <c r="B13" s="91">
        <v>0</v>
      </c>
      <c r="C13" s="91">
        <v>0</v>
      </c>
      <c r="D13" s="91">
        <v>0</v>
      </c>
      <c r="E13" s="91">
        <v>0</v>
      </c>
      <c r="F13" s="91">
        <v>0</v>
      </c>
      <c r="G13" s="91">
        <v>0</v>
      </c>
      <c r="H13" s="91">
        <v>0</v>
      </c>
      <c r="I13" s="91">
        <v>0</v>
      </c>
      <c r="J13" s="91">
        <v>0</v>
      </c>
      <c r="K13" s="91">
        <v>0</v>
      </c>
      <c r="L13" s="91">
        <v>0</v>
      </c>
      <c r="M13" s="91">
        <v>0</v>
      </c>
      <c r="N13" s="91">
        <v>0</v>
      </c>
      <c r="O13" s="91">
        <v>0</v>
      </c>
      <c r="P13" s="91">
        <v>0</v>
      </c>
      <c r="Q13" s="91">
        <v>0</v>
      </c>
      <c r="R13" s="91">
        <v>0</v>
      </c>
      <c r="S13" s="91">
        <v>0</v>
      </c>
      <c r="T13" s="91">
        <v>0</v>
      </c>
      <c r="U13" s="91">
        <v>0</v>
      </c>
      <c r="V13" s="91">
        <v>0</v>
      </c>
      <c r="W13" s="91">
        <v>0</v>
      </c>
      <c r="X13" s="91">
        <v>0</v>
      </c>
      <c r="Y13" s="91">
        <v>0</v>
      </c>
      <c r="Z13" s="91">
        <v>0</v>
      </c>
      <c r="AA13" s="91">
        <v>0</v>
      </c>
      <c r="AB13" s="91">
        <v>0</v>
      </c>
      <c r="AC13" s="91">
        <v>0</v>
      </c>
      <c r="AD13" s="91">
        <v>0</v>
      </c>
      <c r="AE13" s="91">
        <v>0</v>
      </c>
      <c r="AF13" s="91">
        <v>0</v>
      </c>
      <c r="AG13" s="91">
        <v>0</v>
      </c>
      <c r="AH13" s="91">
        <v>0</v>
      </c>
      <c r="AI13" s="91">
        <v>0</v>
      </c>
      <c r="AJ13" s="91">
        <v>0</v>
      </c>
      <c r="AK13" s="91">
        <v>0</v>
      </c>
      <c r="AL13" s="91">
        <v>0</v>
      </c>
      <c r="AM13" s="91">
        <v>0</v>
      </c>
      <c r="AN13" s="91">
        <v>0</v>
      </c>
      <c r="AO13" s="91">
        <v>0</v>
      </c>
      <c r="AP13" s="91">
        <v>0</v>
      </c>
      <c r="AQ13" s="91">
        <v>0</v>
      </c>
      <c r="AR13" s="91">
        <v>0</v>
      </c>
      <c r="AS13" s="91">
        <v>0</v>
      </c>
      <c r="AT13" s="91">
        <v>0</v>
      </c>
      <c r="AU13" s="91">
        <v>0</v>
      </c>
      <c r="AV13" s="91">
        <v>0</v>
      </c>
      <c r="AW13" s="91">
        <v>0</v>
      </c>
      <c r="AX13" s="91">
        <v>0</v>
      </c>
      <c r="AY13" s="91">
        <v>0</v>
      </c>
      <c r="AZ13" s="91">
        <v>0</v>
      </c>
      <c r="BA13" s="91">
        <v>0</v>
      </c>
      <c r="BB13" s="91">
        <v>1641849.94166</v>
      </c>
      <c r="BC13" s="91">
        <v>1658025.3902799999</v>
      </c>
      <c r="BD13" s="91">
        <v>1504998.35148</v>
      </c>
      <c r="BE13" s="91">
        <v>1626651.72285</v>
      </c>
      <c r="BF13" s="91">
        <v>1512830.1663125001</v>
      </c>
      <c r="BG13" s="91">
        <v>0</v>
      </c>
    </row>
    <row r="14" spans="1:59" ht="15" thickBot="1">
      <c r="A14" s="65" t="str">
        <f>INDEX({"Outras Contas a Receber";"Other Accounts Receivable"},Home!$R$30)</f>
        <v>Outras Contas a Receber</v>
      </c>
      <c r="B14" s="90">
        <v>91355</v>
      </c>
      <c r="C14" s="90">
        <v>99178</v>
      </c>
      <c r="D14" s="90">
        <v>103853</v>
      </c>
      <c r="E14" s="90">
        <v>116772</v>
      </c>
      <c r="F14" s="90">
        <v>138885</v>
      </c>
      <c r="G14" s="90">
        <v>118743</v>
      </c>
      <c r="H14" s="90">
        <v>96374</v>
      </c>
      <c r="I14" s="90">
        <v>108953</v>
      </c>
      <c r="J14" s="90">
        <v>121886</v>
      </c>
      <c r="K14" s="90">
        <v>120736</v>
      </c>
      <c r="L14" s="90">
        <v>121520</v>
      </c>
      <c r="M14" s="90">
        <v>107638</v>
      </c>
      <c r="N14" s="90">
        <v>112845</v>
      </c>
      <c r="O14" s="90">
        <v>113169</v>
      </c>
      <c r="P14" s="90">
        <v>111809</v>
      </c>
      <c r="Q14" s="90">
        <v>98261</v>
      </c>
      <c r="R14" s="90">
        <v>110901</v>
      </c>
      <c r="S14" s="90">
        <v>117503</v>
      </c>
      <c r="T14" s="90">
        <v>94905.41</v>
      </c>
      <c r="U14" s="90">
        <v>105111.34</v>
      </c>
      <c r="V14" s="90">
        <v>139298.51</v>
      </c>
      <c r="W14" s="90">
        <v>138949.94</v>
      </c>
      <c r="X14" s="90">
        <v>135386.35999999999</v>
      </c>
      <c r="Y14" s="90">
        <v>119003.89</v>
      </c>
      <c r="Z14" s="90">
        <v>141816.13989999998</v>
      </c>
      <c r="AA14" s="90">
        <v>134342.16</v>
      </c>
      <c r="AB14" s="90">
        <v>169396.03</v>
      </c>
      <c r="AC14" s="90">
        <v>156847.75</v>
      </c>
      <c r="AD14" s="90">
        <v>178616.56882659189</v>
      </c>
      <c r="AE14" s="90">
        <v>192867.05922</v>
      </c>
      <c r="AF14" s="90">
        <v>202427.33216000005</v>
      </c>
      <c r="AG14" s="90">
        <v>244699.43354</v>
      </c>
      <c r="AH14" s="90">
        <v>252348.90377000003</v>
      </c>
      <c r="AI14" s="90">
        <v>233490.05145</v>
      </c>
      <c r="AJ14" s="90">
        <v>222376.04074</v>
      </c>
      <c r="AK14" s="90">
        <v>261044.53375</v>
      </c>
      <c r="AL14" s="90">
        <v>230860.75524</v>
      </c>
      <c r="AM14" s="90">
        <v>220028.07853</v>
      </c>
      <c r="AN14" s="90">
        <v>264627.19183000003</v>
      </c>
      <c r="AO14" s="90">
        <v>290836.77264000004</v>
      </c>
      <c r="AP14" s="90">
        <v>260603.99468</v>
      </c>
      <c r="AQ14" s="90">
        <v>263312.90491000004</v>
      </c>
      <c r="AR14" s="90">
        <v>282757.49358000007</v>
      </c>
      <c r="AS14" s="90">
        <v>266905.01014999999</v>
      </c>
      <c r="AT14" s="90">
        <v>315950.54152000003</v>
      </c>
      <c r="AU14" s="90">
        <v>313959.78707000008</v>
      </c>
      <c r="AV14" s="90">
        <v>362581.20060000004</v>
      </c>
      <c r="AW14" s="90">
        <v>414754.69201000012</v>
      </c>
      <c r="AX14" s="90">
        <v>497296.83551999991</v>
      </c>
      <c r="AY14" s="90">
        <v>515502.19516</v>
      </c>
      <c r="AZ14" s="90">
        <v>486600.33895000006</v>
      </c>
      <c r="BA14" s="90">
        <v>486709.20028999989</v>
      </c>
      <c r="BB14" s="90">
        <v>522842.7304</v>
      </c>
      <c r="BC14" s="90">
        <v>609793.84258000006</v>
      </c>
      <c r="BD14" s="90">
        <v>608926.06816000002</v>
      </c>
      <c r="BE14" s="90">
        <v>679778.18975999998</v>
      </c>
      <c r="BF14" s="90">
        <v>819031.11235999991</v>
      </c>
      <c r="BG14" s="90">
        <v>942368.35876000009</v>
      </c>
    </row>
    <row r="15" spans="1:59">
      <c r="A15" s="67" t="str">
        <f>INDEX({"Subtotal";"Subtotal"},Home!$R$30)</f>
        <v>Subtotal</v>
      </c>
      <c r="B15" s="92">
        <f t="shared" ref="B15:AG15" si="3">SUM(B6:B14)</f>
        <v>1558228</v>
      </c>
      <c r="C15" s="92">
        <f t="shared" si="3"/>
        <v>1546091</v>
      </c>
      <c r="D15" s="92">
        <f t="shared" si="3"/>
        <v>1558119</v>
      </c>
      <c r="E15" s="92">
        <f t="shared" si="3"/>
        <v>1693864</v>
      </c>
      <c r="F15" s="92">
        <f t="shared" si="3"/>
        <v>1581484</v>
      </c>
      <c r="G15" s="92">
        <f t="shared" si="3"/>
        <v>1637130</v>
      </c>
      <c r="H15" s="92">
        <f t="shared" si="3"/>
        <v>1601939</v>
      </c>
      <c r="I15" s="92">
        <f t="shared" si="3"/>
        <v>1903575</v>
      </c>
      <c r="J15" s="92">
        <f t="shared" si="3"/>
        <v>1837489</v>
      </c>
      <c r="K15" s="92">
        <f t="shared" si="3"/>
        <v>1915939</v>
      </c>
      <c r="L15" s="92">
        <f t="shared" si="3"/>
        <v>2056204</v>
      </c>
      <c r="M15" s="92">
        <f t="shared" si="3"/>
        <v>2272317</v>
      </c>
      <c r="N15" s="92">
        <f t="shared" si="3"/>
        <v>2366388</v>
      </c>
      <c r="O15" s="92">
        <f t="shared" si="3"/>
        <v>2318371</v>
      </c>
      <c r="P15" s="92">
        <f t="shared" si="3"/>
        <v>2502458</v>
      </c>
      <c r="Q15" s="92">
        <f t="shared" si="3"/>
        <v>2685844</v>
      </c>
      <c r="R15" s="92">
        <f t="shared" si="3"/>
        <v>2721674</v>
      </c>
      <c r="S15" s="92">
        <f t="shared" si="3"/>
        <v>2759072</v>
      </c>
      <c r="T15" s="92">
        <f t="shared" si="3"/>
        <v>3156067.84</v>
      </c>
      <c r="U15" s="92">
        <f t="shared" si="3"/>
        <v>3427781.85</v>
      </c>
      <c r="V15" s="92">
        <f t="shared" si="3"/>
        <v>3447418.0199999996</v>
      </c>
      <c r="W15" s="92">
        <f t="shared" si="3"/>
        <v>3649610.6599999997</v>
      </c>
      <c r="X15" s="92">
        <f t="shared" si="3"/>
        <v>3843871.4799999995</v>
      </c>
      <c r="Y15" s="92">
        <f t="shared" si="3"/>
        <v>3928203.9600000004</v>
      </c>
      <c r="Z15" s="92">
        <f t="shared" si="3"/>
        <v>3931798.1669800002</v>
      </c>
      <c r="AA15" s="92">
        <f t="shared" si="3"/>
        <v>4125730.87</v>
      </c>
      <c r="AB15" s="92">
        <f t="shared" si="3"/>
        <v>4395575.33</v>
      </c>
      <c r="AC15" s="92">
        <f t="shared" si="3"/>
        <v>4529825.5999999996</v>
      </c>
      <c r="AD15" s="92">
        <f t="shared" si="3"/>
        <v>4681755.4930865923</v>
      </c>
      <c r="AE15" s="92">
        <f t="shared" si="3"/>
        <v>4593107.93004</v>
      </c>
      <c r="AF15" s="92">
        <f t="shared" si="3"/>
        <v>5528439.65723</v>
      </c>
      <c r="AG15" s="92">
        <f t="shared" si="3"/>
        <v>5766096.4749400001</v>
      </c>
      <c r="AH15" s="92">
        <f t="shared" ref="AH15:BF15" si="4">SUM(AH6:AH14)</f>
        <v>6370281.444769999</v>
      </c>
      <c r="AI15" s="92">
        <f t="shared" si="4"/>
        <v>6139964.2606800003</v>
      </c>
      <c r="AJ15" s="92">
        <f t="shared" si="4"/>
        <v>6358678.7938700011</v>
      </c>
      <c r="AK15" s="92">
        <f t="shared" si="4"/>
        <v>7020471.5060900003</v>
      </c>
      <c r="AL15" s="92">
        <f t="shared" si="4"/>
        <v>7333719.7116600005</v>
      </c>
      <c r="AM15" s="92">
        <f t="shared" si="4"/>
        <v>7011288.5772599978</v>
      </c>
      <c r="AN15" s="92">
        <f t="shared" si="4"/>
        <v>7230046.1736200005</v>
      </c>
      <c r="AO15" s="92">
        <f t="shared" si="4"/>
        <v>7718899.2578099994</v>
      </c>
      <c r="AP15" s="92">
        <f t="shared" si="4"/>
        <v>8483993.0235300008</v>
      </c>
      <c r="AQ15" s="92">
        <f t="shared" si="4"/>
        <v>8943397.9241200034</v>
      </c>
      <c r="AR15" s="92">
        <f t="shared" si="4"/>
        <v>9192230.7228000015</v>
      </c>
      <c r="AS15" s="92">
        <f t="shared" si="4"/>
        <v>9577055.6641100012</v>
      </c>
      <c r="AT15" s="92">
        <f t="shared" si="4"/>
        <v>10616865.110759998</v>
      </c>
      <c r="AU15" s="92">
        <f t="shared" si="4"/>
        <v>9895736.1494999994</v>
      </c>
      <c r="AV15" s="92">
        <f t="shared" si="4"/>
        <v>11320796.290280001</v>
      </c>
      <c r="AW15" s="92">
        <f t="shared" si="4"/>
        <v>11561671.94699</v>
      </c>
      <c r="AX15" s="92">
        <f t="shared" si="4"/>
        <v>12028250.952179996</v>
      </c>
      <c r="AY15" s="92">
        <f t="shared" si="4"/>
        <v>11949819.019890001</v>
      </c>
      <c r="AZ15" s="92">
        <f t="shared" si="4"/>
        <v>12890385.88429</v>
      </c>
      <c r="BA15" s="92">
        <f t="shared" si="4"/>
        <v>12703687.874289999</v>
      </c>
      <c r="BB15" s="92">
        <f t="shared" si="4"/>
        <v>13469125.666949999</v>
      </c>
      <c r="BC15" s="92">
        <f t="shared" si="4"/>
        <v>13636626.190890001</v>
      </c>
      <c r="BD15" s="92">
        <f t="shared" si="4"/>
        <v>14118363.737200001</v>
      </c>
      <c r="BE15" s="92">
        <f t="shared" si="4"/>
        <v>15289638.246329999</v>
      </c>
      <c r="BF15" s="92">
        <f t="shared" si="4"/>
        <v>15349938.544802504</v>
      </c>
      <c r="BG15" s="92">
        <f t="shared" ref="BG15" si="5">SUM(BG6:BG14)</f>
        <v>14251747.04376</v>
      </c>
    </row>
    <row r="16" spans="1:59">
      <c r="A16" s="63"/>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row>
    <row r="17" spans="1:59">
      <c r="A17" s="64" t="str">
        <f>INDEX({"Não Circulante";"Non-current Assets"},Home!$R$30)</f>
        <v>Não Circulante</v>
      </c>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9"/>
      <c r="AR17" s="89"/>
      <c r="AS17" s="89"/>
      <c r="AT17" s="89"/>
      <c r="AU17" s="89"/>
      <c r="AV17" s="89"/>
      <c r="AW17" s="89"/>
      <c r="AX17" s="89"/>
      <c r="AY17" s="89"/>
      <c r="AZ17" s="89"/>
      <c r="BA17" s="89"/>
      <c r="BB17" s="89"/>
      <c r="BC17" s="89"/>
      <c r="BD17" s="89"/>
      <c r="BE17" s="89"/>
      <c r="BF17" s="89"/>
      <c r="BG17" s="89"/>
    </row>
    <row r="18" spans="1:59">
      <c r="A18" s="65" t="str">
        <f>INDEX({"Depósitos Judiciais";"Deposits in Court"},Home!$R$30)</f>
        <v>Depósitos Judiciais</v>
      </c>
      <c r="B18" s="90">
        <v>8758</v>
      </c>
      <c r="C18" s="90">
        <v>9987</v>
      </c>
      <c r="D18" s="90">
        <v>10349</v>
      </c>
      <c r="E18" s="90">
        <v>11010</v>
      </c>
      <c r="F18" s="90">
        <v>10782</v>
      </c>
      <c r="G18" s="90">
        <v>9851</v>
      </c>
      <c r="H18" s="90">
        <v>10276</v>
      </c>
      <c r="I18" s="90">
        <v>10763</v>
      </c>
      <c r="J18" s="90">
        <v>10992</v>
      </c>
      <c r="K18" s="90">
        <v>11841</v>
      </c>
      <c r="L18" s="90">
        <v>12649</v>
      </c>
      <c r="M18" s="90">
        <v>14116</v>
      </c>
      <c r="N18" s="90">
        <v>18120</v>
      </c>
      <c r="O18" s="90">
        <v>17620</v>
      </c>
      <c r="P18" s="90">
        <v>18670</v>
      </c>
      <c r="Q18" s="90">
        <v>18730</v>
      </c>
      <c r="R18" s="90">
        <v>23230</v>
      </c>
      <c r="S18" s="90">
        <v>23061</v>
      </c>
      <c r="T18" s="90">
        <v>20281.13</v>
      </c>
      <c r="U18" s="90">
        <v>23007.29</v>
      </c>
      <c r="V18" s="90">
        <v>25076.16</v>
      </c>
      <c r="W18" s="90">
        <v>26473.9</v>
      </c>
      <c r="X18" s="90">
        <v>27946.97</v>
      </c>
      <c r="Y18" s="90">
        <v>29214.68</v>
      </c>
      <c r="Z18" s="90">
        <v>29972.194749999999</v>
      </c>
      <c r="AA18" s="90">
        <v>33398.53</v>
      </c>
      <c r="AB18" s="90">
        <v>33368.769999999997</v>
      </c>
      <c r="AC18" s="90">
        <v>25770.34</v>
      </c>
      <c r="AD18" s="90">
        <v>24371.39544</v>
      </c>
      <c r="AE18" s="90">
        <v>26034.106549999997</v>
      </c>
      <c r="AF18" s="90">
        <v>28317.63852</v>
      </c>
      <c r="AG18" s="90">
        <v>30000.933109999998</v>
      </c>
      <c r="AH18" s="90">
        <v>30850.200370000002</v>
      </c>
      <c r="AI18" s="90">
        <v>30594.962420000003</v>
      </c>
      <c r="AJ18" s="90">
        <v>29331.488689999998</v>
      </c>
      <c r="AK18" s="90">
        <v>25753.058619999996</v>
      </c>
      <c r="AL18" s="90">
        <v>26967.053619999999</v>
      </c>
      <c r="AM18" s="90">
        <v>26752.366710000002</v>
      </c>
      <c r="AN18" s="90">
        <v>27391.776550000002</v>
      </c>
      <c r="AO18" s="90">
        <v>29951.709780000001</v>
      </c>
      <c r="AP18" s="90">
        <v>29081.671700000006</v>
      </c>
      <c r="AQ18" s="90">
        <v>71015.89267999999</v>
      </c>
      <c r="AR18" s="90">
        <v>101818.49189999999</v>
      </c>
      <c r="AS18" s="90">
        <v>137623.45434999999</v>
      </c>
      <c r="AT18" s="90">
        <v>137184.58481</v>
      </c>
      <c r="AU18" s="90">
        <v>132500.69631999999</v>
      </c>
      <c r="AV18" s="90">
        <v>131428.71541999999</v>
      </c>
      <c r="AW18" s="90">
        <v>228446.83843999999</v>
      </c>
      <c r="AX18" s="90">
        <v>234080.67375999998</v>
      </c>
      <c r="AY18" s="90">
        <v>243987.84976999997</v>
      </c>
      <c r="AZ18" s="90">
        <v>247105.27144000001</v>
      </c>
      <c r="BA18" s="90">
        <v>250762.95436999999</v>
      </c>
      <c r="BB18" s="90">
        <v>27578.086309999999</v>
      </c>
      <c r="BC18" s="90">
        <v>32718.48546</v>
      </c>
      <c r="BD18" s="90">
        <v>58853.473059999997</v>
      </c>
      <c r="BE18" s="90">
        <v>61238.758329999997</v>
      </c>
      <c r="BF18" s="90">
        <v>64629.691279999999</v>
      </c>
      <c r="BG18" s="90">
        <v>64898.385010000005</v>
      </c>
    </row>
    <row r="19" spans="1:59">
      <c r="A19" s="65" t="str">
        <f>INDEX({"Tributos a Recuperar";"Taxes Receivable"},Home!$R$30)</f>
        <v>Tributos a Recuperar</v>
      </c>
      <c r="B19" s="90">
        <v>45373</v>
      </c>
      <c r="C19" s="90">
        <v>25444</v>
      </c>
      <c r="D19" s="90">
        <v>66609</v>
      </c>
      <c r="E19" s="90">
        <v>9614</v>
      </c>
      <c r="F19" s="90">
        <v>10223</v>
      </c>
      <c r="G19" s="90">
        <v>10515</v>
      </c>
      <c r="H19" s="90">
        <v>11202</v>
      </c>
      <c r="I19" s="90">
        <v>11859</v>
      </c>
      <c r="J19" s="90">
        <v>12552</v>
      </c>
      <c r="K19" s="90">
        <v>14067</v>
      </c>
      <c r="L19" s="90">
        <v>15585</v>
      </c>
      <c r="M19" s="90">
        <v>17330</v>
      </c>
      <c r="N19" s="90">
        <v>20241</v>
      </c>
      <c r="O19" s="90">
        <v>18292</v>
      </c>
      <c r="P19" s="90">
        <v>19637</v>
      </c>
      <c r="Q19" s="90">
        <v>23156</v>
      </c>
      <c r="R19" s="90">
        <v>23861</v>
      </c>
      <c r="S19" s="90">
        <v>25629</v>
      </c>
      <c r="T19" s="90">
        <v>20855.599999999999</v>
      </c>
      <c r="U19" s="90">
        <v>22963.45</v>
      </c>
      <c r="V19" s="90">
        <v>24301.7</v>
      </c>
      <c r="W19" s="90">
        <v>30001.89</v>
      </c>
      <c r="X19" s="90">
        <v>33161.769999999997</v>
      </c>
      <c r="Y19" s="90">
        <v>34292.589999999997</v>
      </c>
      <c r="Z19" s="90">
        <v>34682.738469999997</v>
      </c>
      <c r="AA19" s="90">
        <v>36126.44</v>
      </c>
      <c r="AB19" s="90">
        <v>38879.800000000003</v>
      </c>
      <c r="AC19" s="90">
        <v>44577.83</v>
      </c>
      <c r="AD19" s="90">
        <v>52842.35168</v>
      </c>
      <c r="AE19" s="90">
        <v>54936.77824</v>
      </c>
      <c r="AF19" s="90">
        <v>55531.874929999998</v>
      </c>
      <c r="AG19" s="90">
        <v>58303.885490000001</v>
      </c>
      <c r="AH19" s="90">
        <v>67255.28499</v>
      </c>
      <c r="AI19" s="90">
        <v>71493.988920000003</v>
      </c>
      <c r="AJ19" s="90">
        <v>102188.93741000001</v>
      </c>
      <c r="AK19" s="90">
        <v>111547.91821</v>
      </c>
      <c r="AL19" s="90">
        <v>97508.222480000011</v>
      </c>
      <c r="AM19" s="90">
        <v>129763.89443</v>
      </c>
      <c r="AN19" s="90">
        <v>126786.54899000001</v>
      </c>
      <c r="AO19" s="90">
        <v>132929.03514000002</v>
      </c>
      <c r="AP19" s="90">
        <v>127773.13279000002</v>
      </c>
      <c r="AQ19" s="90">
        <v>121890.21279000001</v>
      </c>
      <c r="AR19" s="90">
        <v>110103.36891</v>
      </c>
      <c r="AS19" s="90">
        <v>121434.45259999999</v>
      </c>
      <c r="AT19" s="90">
        <v>128056.06468000001</v>
      </c>
      <c r="AU19" s="90">
        <v>115839.65065000003</v>
      </c>
      <c r="AV19" s="90">
        <v>118949.23715</v>
      </c>
      <c r="AW19" s="90">
        <v>246008.35957000003</v>
      </c>
      <c r="AX19" s="90">
        <v>229597.53135999999</v>
      </c>
      <c r="AY19" s="90">
        <v>253203.40665000011</v>
      </c>
      <c r="AZ19" s="90">
        <v>300577.43959000002</v>
      </c>
      <c r="BA19" s="90">
        <v>287938.74406</v>
      </c>
      <c r="BB19" s="90">
        <v>215553.37676000001</v>
      </c>
      <c r="BC19" s="90">
        <v>225666.38023000001</v>
      </c>
      <c r="BD19" s="90">
        <v>233344.57222</v>
      </c>
      <c r="BE19" s="90">
        <v>227330.80890999999</v>
      </c>
      <c r="BF19" s="90">
        <v>218625.60644</v>
      </c>
      <c r="BG19" s="90">
        <v>236633.51511999997</v>
      </c>
    </row>
    <row r="20" spans="1:59">
      <c r="A20" s="65" t="str">
        <f>INDEX({"IR e Contribuição Social Diferidos";"Deferred Taxes"},Home!$R$30)</f>
        <v>IR e Contribuição Social Diferidos</v>
      </c>
      <c r="B20" s="90">
        <v>0</v>
      </c>
      <c r="C20" s="90">
        <v>0</v>
      </c>
      <c r="D20" s="90">
        <v>0</v>
      </c>
      <c r="E20" s="90">
        <v>0</v>
      </c>
      <c r="F20" s="90">
        <v>0</v>
      </c>
      <c r="G20" s="90">
        <v>0</v>
      </c>
      <c r="H20" s="90">
        <v>0</v>
      </c>
      <c r="I20" s="90">
        <v>0</v>
      </c>
      <c r="J20" s="90">
        <v>0</v>
      </c>
      <c r="K20" s="90">
        <v>0</v>
      </c>
      <c r="L20" s="90">
        <v>0</v>
      </c>
      <c r="M20" s="90">
        <v>0</v>
      </c>
      <c r="N20" s="90">
        <v>0</v>
      </c>
      <c r="O20" s="90">
        <v>0</v>
      </c>
      <c r="P20" s="90">
        <v>0</v>
      </c>
      <c r="Q20" s="90">
        <v>0</v>
      </c>
      <c r="R20" s="90">
        <v>0</v>
      </c>
      <c r="S20" s="90">
        <v>0</v>
      </c>
      <c r="T20" s="90">
        <v>0</v>
      </c>
      <c r="U20" s="90">
        <v>0</v>
      </c>
      <c r="V20" s="90">
        <v>0</v>
      </c>
      <c r="W20" s="90">
        <v>0</v>
      </c>
      <c r="X20" s="90">
        <v>0</v>
      </c>
      <c r="Y20" s="90">
        <v>0</v>
      </c>
      <c r="Z20" s="90">
        <v>0</v>
      </c>
      <c r="AA20" s="90">
        <v>0</v>
      </c>
      <c r="AB20" s="90">
        <v>0</v>
      </c>
      <c r="AC20" s="90">
        <v>0</v>
      </c>
      <c r="AD20" s="90">
        <v>0</v>
      </c>
      <c r="AE20" s="90">
        <v>0</v>
      </c>
      <c r="AF20" s="90">
        <v>0</v>
      </c>
      <c r="AG20" s="90">
        <v>0</v>
      </c>
      <c r="AH20" s="90">
        <v>21153.753499999999</v>
      </c>
      <c r="AI20" s="90">
        <v>19677.787069999998</v>
      </c>
      <c r="AJ20" s="90">
        <v>19656.61807</v>
      </c>
      <c r="AK20" s="90">
        <v>34604.558669999991</v>
      </c>
      <c r="AL20" s="90">
        <v>37462.540259999994</v>
      </c>
      <c r="AM20" s="90">
        <v>37899.499859999996</v>
      </c>
      <c r="AN20" s="90">
        <v>38082.859509999995</v>
      </c>
      <c r="AO20" s="90">
        <v>49046.761229999996</v>
      </c>
      <c r="AP20" s="90">
        <v>47054.935549999995</v>
      </c>
      <c r="AQ20" s="90">
        <v>31038.260100000003</v>
      </c>
      <c r="AR20" s="90">
        <v>23271.766920000002</v>
      </c>
      <c r="AS20" s="90">
        <v>10357.418210000002</v>
      </c>
      <c r="AT20" s="90">
        <v>16770.5026</v>
      </c>
      <c r="AU20" s="90">
        <v>24066.854500000001</v>
      </c>
      <c r="AV20" s="90">
        <v>34905.345500000003</v>
      </c>
      <c r="AW20" s="90">
        <v>74702.107799999998</v>
      </c>
      <c r="AX20" s="90">
        <v>74937.297030000002</v>
      </c>
      <c r="AY20" s="90">
        <v>75242.354139999996</v>
      </c>
      <c r="AZ20" s="90">
        <v>79492.789439999993</v>
      </c>
      <c r="BA20" s="90">
        <v>158041.48747999998</v>
      </c>
      <c r="BB20" s="90">
        <v>48181.36634</v>
      </c>
      <c r="BC20" s="90">
        <v>48181.951520000002</v>
      </c>
      <c r="BD20" s="90">
        <v>46163.588589999999</v>
      </c>
      <c r="BE20" s="90">
        <v>45014.045100000003</v>
      </c>
      <c r="BF20" s="90">
        <v>44252.90745554999</v>
      </c>
      <c r="BG20" s="90">
        <v>51012.070110000001</v>
      </c>
    </row>
    <row r="21" spans="1:59">
      <c r="A21" s="65" t="str">
        <f>INDEX({"Outros Créditos";"Other Credits"},Home!$R$30)</f>
        <v>Outros Créditos</v>
      </c>
      <c r="B21" s="90">
        <v>974</v>
      </c>
      <c r="C21" s="90">
        <v>1042</v>
      </c>
      <c r="D21" s="90">
        <v>1168</v>
      </c>
      <c r="E21" s="90">
        <v>1178</v>
      </c>
      <c r="F21" s="90">
        <v>1146</v>
      </c>
      <c r="G21" s="90">
        <v>868</v>
      </c>
      <c r="H21" s="90">
        <v>715</v>
      </c>
      <c r="I21" s="90">
        <v>728</v>
      </c>
      <c r="J21" s="90">
        <v>1782</v>
      </c>
      <c r="K21" s="90">
        <v>1943</v>
      </c>
      <c r="L21" s="90">
        <v>1917</v>
      </c>
      <c r="M21" s="90">
        <v>1923</v>
      </c>
      <c r="N21" s="90">
        <v>2114</v>
      </c>
      <c r="O21" s="90">
        <v>2119</v>
      </c>
      <c r="P21" s="90">
        <v>2249</v>
      </c>
      <c r="Q21" s="90">
        <v>2613</v>
      </c>
      <c r="R21" s="90">
        <v>2290</v>
      </c>
      <c r="S21" s="90">
        <v>3489</v>
      </c>
      <c r="T21" s="90">
        <v>4035.42</v>
      </c>
      <c r="U21" s="90">
        <v>4887.38</v>
      </c>
      <c r="V21" s="90">
        <v>5769.83</v>
      </c>
      <c r="W21" s="90">
        <v>5510.88</v>
      </c>
      <c r="X21" s="90">
        <v>4972.79</v>
      </c>
      <c r="Y21" s="90">
        <v>5245.9</v>
      </c>
      <c r="Z21" s="90">
        <v>3091.86618</v>
      </c>
      <c r="AA21" s="90">
        <v>2598.86</v>
      </c>
      <c r="AB21" s="90">
        <v>2598.71</v>
      </c>
      <c r="AC21" s="90">
        <v>2483.86</v>
      </c>
      <c r="AD21" s="90">
        <v>2352.5800099999997</v>
      </c>
      <c r="AE21" s="90">
        <v>2008.7961600000001</v>
      </c>
      <c r="AF21" s="90">
        <v>329431.52207000001</v>
      </c>
      <c r="AG21" s="90">
        <v>334910.59327999997</v>
      </c>
      <c r="AH21" s="90">
        <v>338365.53473999997</v>
      </c>
      <c r="AI21" s="90">
        <v>340901.45899999997</v>
      </c>
      <c r="AJ21" s="90">
        <v>345424.32811</v>
      </c>
      <c r="AK21" s="90">
        <v>352350.08500999992</v>
      </c>
      <c r="AL21" s="90">
        <v>354668.57841999998</v>
      </c>
      <c r="AM21" s="90">
        <v>356933.55625999998</v>
      </c>
      <c r="AN21" s="90">
        <v>361786.01676000003</v>
      </c>
      <c r="AO21" s="90">
        <v>28454.050640000001</v>
      </c>
      <c r="AP21" s="90">
        <v>39964.003199999999</v>
      </c>
      <c r="AQ21" s="90">
        <v>49190.275649999996</v>
      </c>
      <c r="AR21" s="90">
        <v>18659.129949999999</v>
      </c>
      <c r="AS21" s="90">
        <v>21837.465499999998</v>
      </c>
      <c r="AT21" s="90">
        <v>6115.6116300000003</v>
      </c>
      <c r="AU21" s="90">
        <v>6522.8614799999996</v>
      </c>
      <c r="AV21" s="90">
        <v>15994.331110000001</v>
      </c>
      <c r="AW21" s="90">
        <v>11091.5965</v>
      </c>
      <c r="AX21" s="90">
        <v>11008.692679999998</v>
      </c>
      <c r="AY21" s="90">
        <v>10952.730489999998</v>
      </c>
      <c r="AZ21" s="90">
        <v>10082.69075</v>
      </c>
      <c r="BA21" s="90">
        <v>13377.00071</v>
      </c>
      <c r="BB21" s="90">
        <v>19863.72136</v>
      </c>
      <c r="BC21" s="90">
        <v>14927.90546</v>
      </c>
      <c r="BD21" s="90">
        <v>9951.2501699999993</v>
      </c>
      <c r="BE21" s="90">
        <v>7589.1039499999997</v>
      </c>
      <c r="BF21" s="90">
        <v>9292.7334499999997</v>
      </c>
      <c r="BG21" s="90">
        <v>541550.80379000003</v>
      </c>
    </row>
    <row r="22" spans="1:59">
      <c r="A22" s="65" t="str">
        <f>INDEX({"Investimentos";"Investments"},Home!$R$30)</f>
        <v>Investimentos</v>
      </c>
      <c r="B22" s="90">
        <v>0</v>
      </c>
      <c r="C22" s="90">
        <v>0</v>
      </c>
      <c r="D22" s="90">
        <v>0</v>
      </c>
      <c r="E22" s="90">
        <v>0</v>
      </c>
      <c r="F22" s="90">
        <v>0</v>
      </c>
      <c r="G22" s="90">
        <v>0</v>
      </c>
      <c r="H22" s="90">
        <v>0</v>
      </c>
      <c r="I22" s="90">
        <v>0</v>
      </c>
      <c r="J22" s="90">
        <v>0</v>
      </c>
      <c r="K22" s="90">
        <v>0</v>
      </c>
      <c r="L22" s="90">
        <v>0</v>
      </c>
      <c r="M22" s="90">
        <v>0</v>
      </c>
      <c r="N22" s="90">
        <v>0</v>
      </c>
      <c r="O22" s="90">
        <v>0</v>
      </c>
      <c r="P22" s="90">
        <v>0</v>
      </c>
      <c r="Q22" s="90">
        <v>0</v>
      </c>
      <c r="R22" s="90">
        <v>0</v>
      </c>
      <c r="S22" s="90">
        <v>0</v>
      </c>
      <c r="T22" s="90">
        <v>0</v>
      </c>
      <c r="U22" s="90">
        <v>0</v>
      </c>
      <c r="V22" s="90">
        <v>0</v>
      </c>
      <c r="W22" s="90">
        <v>0</v>
      </c>
      <c r="X22" s="90">
        <v>0</v>
      </c>
      <c r="Y22" s="90">
        <v>0</v>
      </c>
      <c r="Z22" s="90">
        <v>0</v>
      </c>
      <c r="AA22" s="90">
        <v>0</v>
      </c>
      <c r="AB22" s="90">
        <v>0</v>
      </c>
      <c r="AC22" s="90">
        <v>0</v>
      </c>
      <c r="AD22" s="90">
        <v>0</v>
      </c>
      <c r="AE22" s="90">
        <v>0</v>
      </c>
      <c r="AF22" s="90">
        <v>0</v>
      </c>
      <c r="AG22" s="90">
        <v>0</v>
      </c>
      <c r="AH22" s="90">
        <v>3289.198112499982</v>
      </c>
      <c r="AI22" s="90">
        <v>3289.1981164999975</v>
      </c>
      <c r="AJ22" s="90">
        <v>3.3999994397163391E-5</v>
      </c>
      <c r="AK22" s="90">
        <v>4.1000008583068847E-5</v>
      </c>
      <c r="AL22" s="90">
        <v>8180.2265270000398</v>
      </c>
      <c r="AM22" s="90">
        <v>8096.8376900000276</v>
      </c>
      <c r="AN22" s="90">
        <v>8096.8376885000471</v>
      </c>
      <c r="AO22" s="90">
        <v>830.246216499865</v>
      </c>
      <c r="AP22" s="90">
        <v>1071.4634085000753</v>
      </c>
      <c r="AQ22" s="90">
        <v>1922.6405249999166</v>
      </c>
      <c r="AR22" s="90">
        <v>5773.0048714998366</v>
      </c>
      <c r="AS22" s="90">
        <v>4479.0642215000398</v>
      </c>
      <c r="AT22" s="90">
        <v>2426.2446154998543</v>
      </c>
      <c r="AU22" s="90">
        <v>2829.369866499901</v>
      </c>
      <c r="AV22" s="90">
        <v>5927.0372380000354</v>
      </c>
      <c r="AW22" s="90">
        <v>14975.513778499842</v>
      </c>
      <c r="AX22" s="90">
        <v>10279.077101999997</v>
      </c>
      <c r="AY22" s="90">
        <v>9755.1190330001118</v>
      </c>
      <c r="AZ22" s="90">
        <v>9558.1750230001217</v>
      </c>
      <c r="BA22" s="90">
        <v>14785.57600300002</v>
      </c>
      <c r="BB22" s="90">
        <v>13663.077357768199</v>
      </c>
      <c r="BC22" s="90">
        <v>13447.168155400601</v>
      </c>
      <c r="BD22" s="90">
        <v>16659.819041511801</v>
      </c>
      <c r="BE22" s="90">
        <v>19603.4435398612</v>
      </c>
      <c r="BF22" s="90">
        <v>21488.354643000068</v>
      </c>
      <c r="BG22" s="90">
        <v>186.30673300004005</v>
      </c>
    </row>
    <row r="23" spans="1:59">
      <c r="A23" s="65" t="str">
        <f>INDEX({"Imobilizado";"Property, Plant and Equipment"},Home!$R$30)</f>
        <v>Imobilizado</v>
      </c>
      <c r="B23" s="90">
        <v>376808</v>
      </c>
      <c r="C23" s="90">
        <v>397236</v>
      </c>
      <c r="D23" s="90">
        <v>422083</v>
      </c>
      <c r="E23" s="90">
        <v>454322</v>
      </c>
      <c r="F23" s="90">
        <v>475099</v>
      </c>
      <c r="G23" s="90">
        <v>499337</v>
      </c>
      <c r="H23" s="90">
        <v>518411</v>
      </c>
      <c r="I23" s="90">
        <v>536629</v>
      </c>
      <c r="J23" s="90">
        <v>554796</v>
      </c>
      <c r="K23" s="90">
        <v>583491</v>
      </c>
      <c r="L23" s="90">
        <v>610404</v>
      </c>
      <c r="M23" s="90">
        <v>648360</v>
      </c>
      <c r="N23" s="90">
        <v>665690</v>
      </c>
      <c r="O23" s="90">
        <v>691991</v>
      </c>
      <c r="P23" s="90">
        <v>728262</v>
      </c>
      <c r="Q23" s="90">
        <v>801985</v>
      </c>
      <c r="R23" s="90">
        <v>835302</v>
      </c>
      <c r="S23" s="90">
        <v>888662</v>
      </c>
      <c r="T23" s="90">
        <v>950189.66</v>
      </c>
      <c r="U23" s="90">
        <v>1006606.36</v>
      </c>
      <c r="V23" s="90">
        <v>1049967.3899999999</v>
      </c>
      <c r="W23" s="90">
        <v>1114876.47</v>
      </c>
      <c r="X23" s="90">
        <v>1212883.97</v>
      </c>
      <c r="Y23" s="90">
        <v>1276275.92</v>
      </c>
      <c r="Z23" s="90">
        <v>1306937.3728200002</v>
      </c>
      <c r="AA23" s="90">
        <v>1368359.39</v>
      </c>
      <c r="AB23" s="90">
        <v>1446531.51</v>
      </c>
      <c r="AC23" s="90">
        <v>1546960.28</v>
      </c>
      <c r="AD23" s="90">
        <v>1624707.0432299993</v>
      </c>
      <c r="AE23" s="90">
        <v>1659837.5998699991</v>
      </c>
      <c r="AF23" s="90">
        <v>1761701.7397999999</v>
      </c>
      <c r="AG23" s="90">
        <v>1777735.222619998</v>
      </c>
      <c r="AH23" s="90">
        <v>1769798.1110099994</v>
      </c>
      <c r="AI23" s="90">
        <v>1780195.6778199992</v>
      </c>
      <c r="AJ23" s="90">
        <v>1817792.2026300016</v>
      </c>
      <c r="AK23" s="90">
        <v>1859220.401240001</v>
      </c>
      <c r="AL23" s="90">
        <v>1850360.8917600005</v>
      </c>
      <c r="AM23" s="90">
        <v>1870331.0341100015</v>
      </c>
      <c r="AN23" s="90">
        <v>1921621.5270700026</v>
      </c>
      <c r="AO23" s="90">
        <v>1999020.3265600025</v>
      </c>
      <c r="AP23" s="90">
        <v>2004251.3256000029</v>
      </c>
      <c r="AQ23" s="90">
        <v>2051536.8869500004</v>
      </c>
      <c r="AR23" s="90">
        <v>2110713.9466499989</v>
      </c>
      <c r="AS23" s="90">
        <v>2196404.8182700002</v>
      </c>
      <c r="AT23" s="90">
        <v>2222853.726389999</v>
      </c>
      <c r="AU23" s="90">
        <v>2276261.1349999998</v>
      </c>
      <c r="AV23" s="90">
        <v>2364103.4769599992</v>
      </c>
      <c r="AW23" s="90">
        <v>2453423.4388699997</v>
      </c>
      <c r="AX23" s="90">
        <v>2451557.4479599996</v>
      </c>
      <c r="AY23" s="90">
        <v>2475943.9807199975</v>
      </c>
      <c r="AZ23" s="90">
        <v>2563819.5273700007</v>
      </c>
      <c r="BA23" s="90">
        <v>2682671.9915100001</v>
      </c>
      <c r="BB23" s="90">
        <v>2693140.8660200001</v>
      </c>
      <c r="BC23" s="90">
        <v>2737577.76394</v>
      </c>
      <c r="BD23" s="90">
        <v>2822575.8415799998</v>
      </c>
      <c r="BE23" s="90">
        <v>2934656.7168100001</v>
      </c>
      <c r="BF23" s="90">
        <v>2929600.4086899962</v>
      </c>
      <c r="BG23" s="90">
        <v>2970045.6788799991</v>
      </c>
    </row>
    <row r="24" spans="1:59" ht="15" thickBot="1">
      <c r="A24" s="66" t="str">
        <f>INDEX({"Intangível";"Intangible"},Home!$R$30)</f>
        <v>Intangível</v>
      </c>
      <c r="B24" s="91">
        <v>1130988</v>
      </c>
      <c r="C24" s="91">
        <v>1128613</v>
      </c>
      <c r="D24" s="91">
        <v>1127769</v>
      </c>
      <c r="E24" s="91">
        <v>1170198</v>
      </c>
      <c r="F24" s="91">
        <v>1164348</v>
      </c>
      <c r="G24" s="91">
        <v>1158418</v>
      </c>
      <c r="H24" s="91">
        <v>1156102</v>
      </c>
      <c r="I24" s="91">
        <v>1150539</v>
      </c>
      <c r="J24" s="91">
        <v>1141000</v>
      </c>
      <c r="K24" s="91">
        <v>1136220</v>
      </c>
      <c r="L24" s="91">
        <v>1130294</v>
      </c>
      <c r="M24" s="91">
        <v>1125277</v>
      </c>
      <c r="N24" s="91">
        <v>1119448</v>
      </c>
      <c r="O24" s="91">
        <v>1122608</v>
      </c>
      <c r="P24" s="91">
        <v>1123010</v>
      </c>
      <c r="Q24" s="91">
        <v>1166873</v>
      </c>
      <c r="R24" s="91">
        <v>1169021</v>
      </c>
      <c r="S24" s="91">
        <v>1161858</v>
      </c>
      <c r="T24" s="91">
        <v>1168421.6100000001</v>
      </c>
      <c r="U24" s="91">
        <v>1174056.6299999999</v>
      </c>
      <c r="V24" s="91">
        <v>1179056.8600000001</v>
      </c>
      <c r="W24" s="91">
        <v>1181935.1599999999</v>
      </c>
      <c r="X24" s="91">
        <v>1186998.22</v>
      </c>
      <c r="Y24" s="91">
        <v>1191016.1299999999</v>
      </c>
      <c r="Z24" s="91">
        <v>1190325.6418200003</v>
      </c>
      <c r="AA24" s="91">
        <v>1193602.2</v>
      </c>
      <c r="AB24" s="91">
        <v>1199306.1599999999</v>
      </c>
      <c r="AC24" s="91">
        <v>1202387.58</v>
      </c>
      <c r="AD24" s="91">
        <v>1202545.4384300003</v>
      </c>
      <c r="AE24" s="91">
        <v>1204452.42973</v>
      </c>
      <c r="AF24" s="91">
        <v>1246909.8891399996</v>
      </c>
      <c r="AG24" s="91">
        <v>1245440.7990299996</v>
      </c>
      <c r="AH24" s="91">
        <v>1251215.9633999998</v>
      </c>
      <c r="AI24" s="91">
        <v>1253664.2404700001</v>
      </c>
      <c r="AJ24" s="91">
        <v>1255217.7131200002</v>
      </c>
      <c r="AK24" s="91">
        <v>1261708.0779299997</v>
      </c>
      <c r="AL24" s="91">
        <v>1263430.34849</v>
      </c>
      <c r="AM24" s="91">
        <v>1316302.2548399996</v>
      </c>
      <c r="AN24" s="91">
        <v>1345941.0051499996</v>
      </c>
      <c r="AO24" s="91">
        <v>1486251.7077466666</v>
      </c>
      <c r="AP24" s="91">
        <v>1488760.7119799999</v>
      </c>
      <c r="AQ24" s="91">
        <v>1510848.1353500001</v>
      </c>
      <c r="AR24" s="91">
        <v>1604321.60632</v>
      </c>
      <c r="AS24" s="91">
        <v>1738112.7065399999</v>
      </c>
      <c r="AT24" s="91">
        <v>1749274.2719600003</v>
      </c>
      <c r="AU24" s="91">
        <v>1814232.1254400001</v>
      </c>
      <c r="AV24" s="91">
        <v>1876388.4744799996</v>
      </c>
      <c r="AW24" s="91">
        <v>1917278.59265</v>
      </c>
      <c r="AX24" s="91">
        <v>1906678.3320199994</v>
      </c>
      <c r="AY24" s="91">
        <v>1943990.98942</v>
      </c>
      <c r="AZ24" s="91">
        <v>1990746.1069100001</v>
      </c>
      <c r="BA24" s="91">
        <v>2025603.6195699996</v>
      </c>
      <c r="BB24" s="91">
        <v>2011709.98917</v>
      </c>
      <c r="BC24" s="91">
        <v>2036971.7788800001</v>
      </c>
      <c r="BD24" s="91">
        <v>2064727.2916900001</v>
      </c>
      <c r="BE24" s="91">
        <v>2045708.71954</v>
      </c>
      <c r="BF24" s="91">
        <v>2004756.3958000001</v>
      </c>
      <c r="BG24" s="91">
        <v>2038393.086961162</v>
      </c>
    </row>
    <row r="25" spans="1:59">
      <c r="A25" s="67" t="str">
        <f>INDEX({"Subtotal";"Subtotal"},Home!$R$30)</f>
        <v>Subtotal</v>
      </c>
      <c r="B25" s="92">
        <f t="shared" ref="B25:AG25" si="6">SUM(B18:B24)</f>
        <v>1562901</v>
      </c>
      <c r="C25" s="92">
        <f t="shared" si="6"/>
        <v>1562322</v>
      </c>
      <c r="D25" s="92">
        <f t="shared" si="6"/>
        <v>1627978</v>
      </c>
      <c r="E25" s="92">
        <f t="shared" si="6"/>
        <v>1646322</v>
      </c>
      <c r="F25" s="92">
        <f t="shared" si="6"/>
        <v>1661598</v>
      </c>
      <c r="G25" s="92">
        <f t="shared" si="6"/>
        <v>1678989</v>
      </c>
      <c r="H25" s="92">
        <f t="shared" si="6"/>
        <v>1696706</v>
      </c>
      <c r="I25" s="92">
        <f t="shared" si="6"/>
        <v>1710518</v>
      </c>
      <c r="J25" s="92">
        <f t="shared" si="6"/>
        <v>1721122</v>
      </c>
      <c r="K25" s="92">
        <f t="shared" si="6"/>
        <v>1747562</v>
      </c>
      <c r="L25" s="92">
        <f t="shared" si="6"/>
        <v>1770849</v>
      </c>
      <c r="M25" s="92">
        <f t="shared" si="6"/>
        <v>1807006</v>
      </c>
      <c r="N25" s="92">
        <f t="shared" si="6"/>
        <v>1825613</v>
      </c>
      <c r="O25" s="92">
        <f t="shared" si="6"/>
        <v>1852630</v>
      </c>
      <c r="P25" s="92">
        <f t="shared" si="6"/>
        <v>1891828</v>
      </c>
      <c r="Q25" s="92">
        <f t="shared" si="6"/>
        <v>2013357</v>
      </c>
      <c r="R25" s="92">
        <f t="shared" si="6"/>
        <v>2053704</v>
      </c>
      <c r="S25" s="92">
        <f t="shared" si="6"/>
        <v>2102699</v>
      </c>
      <c r="T25" s="92">
        <f t="shared" si="6"/>
        <v>2163783.42</v>
      </c>
      <c r="U25" s="92">
        <f t="shared" si="6"/>
        <v>2231521.11</v>
      </c>
      <c r="V25" s="92">
        <f t="shared" si="6"/>
        <v>2284171.94</v>
      </c>
      <c r="W25" s="92">
        <f t="shared" si="6"/>
        <v>2358798.2999999998</v>
      </c>
      <c r="X25" s="92">
        <f t="shared" si="6"/>
        <v>2465963.7199999997</v>
      </c>
      <c r="Y25" s="92">
        <f t="shared" si="6"/>
        <v>2536045.2199999997</v>
      </c>
      <c r="Z25" s="92">
        <f t="shared" si="6"/>
        <v>2565009.8140400006</v>
      </c>
      <c r="AA25" s="92">
        <f t="shared" si="6"/>
        <v>2634085.42</v>
      </c>
      <c r="AB25" s="92">
        <f t="shared" si="6"/>
        <v>2720684.95</v>
      </c>
      <c r="AC25" s="92">
        <f t="shared" si="6"/>
        <v>2822179.89</v>
      </c>
      <c r="AD25" s="92">
        <f t="shared" si="6"/>
        <v>2906818.8087899997</v>
      </c>
      <c r="AE25" s="92">
        <f t="shared" si="6"/>
        <v>2947269.710549999</v>
      </c>
      <c r="AF25" s="92">
        <f t="shared" si="6"/>
        <v>3421892.6644599997</v>
      </c>
      <c r="AG25" s="92">
        <f t="shared" si="6"/>
        <v>3446391.4335299972</v>
      </c>
      <c r="AH25" s="92">
        <f t="shared" ref="AH25:BF25" si="7">SUM(AH18:AH24)</f>
        <v>3481928.0461224993</v>
      </c>
      <c r="AI25" s="92">
        <f t="shared" si="7"/>
        <v>3499817.3138164994</v>
      </c>
      <c r="AJ25" s="92">
        <f t="shared" si="7"/>
        <v>3569611.2880640021</v>
      </c>
      <c r="AK25" s="92">
        <f t="shared" si="7"/>
        <v>3645184.0997210005</v>
      </c>
      <c r="AL25" s="92">
        <f t="shared" si="7"/>
        <v>3638577.8615570003</v>
      </c>
      <c r="AM25" s="92">
        <f t="shared" si="7"/>
        <v>3746079.4439000012</v>
      </c>
      <c r="AN25" s="92">
        <f t="shared" si="7"/>
        <v>3829706.5717185023</v>
      </c>
      <c r="AO25" s="92">
        <f t="shared" si="7"/>
        <v>3726483.8373131687</v>
      </c>
      <c r="AP25" s="92">
        <f t="shared" si="7"/>
        <v>3737957.2442285027</v>
      </c>
      <c r="AQ25" s="92">
        <f t="shared" si="7"/>
        <v>3837442.3040450006</v>
      </c>
      <c r="AR25" s="92">
        <f t="shared" si="7"/>
        <v>3974661.3155214991</v>
      </c>
      <c r="AS25" s="92">
        <f t="shared" si="7"/>
        <v>4230249.3796915002</v>
      </c>
      <c r="AT25" s="92">
        <f t="shared" si="7"/>
        <v>4262681.0066854991</v>
      </c>
      <c r="AU25" s="92">
        <f t="shared" si="7"/>
        <v>4372252.6932564992</v>
      </c>
      <c r="AV25" s="92">
        <f t="shared" si="7"/>
        <v>4547696.6178579992</v>
      </c>
      <c r="AW25" s="92">
        <f t="shared" si="7"/>
        <v>4945926.4476084998</v>
      </c>
      <c r="AX25" s="92">
        <f t="shared" si="7"/>
        <v>4918139.0519119985</v>
      </c>
      <c r="AY25" s="92">
        <f t="shared" si="7"/>
        <v>5013076.4302229974</v>
      </c>
      <c r="AZ25" s="92">
        <f t="shared" si="7"/>
        <v>5201382.000523001</v>
      </c>
      <c r="BA25" s="92">
        <f t="shared" si="7"/>
        <v>5433181.3737029992</v>
      </c>
      <c r="BB25" s="92">
        <f t="shared" si="7"/>
        <v>5029690.4833177682</v>
      </c>
      <c r="BC25" s="92">
        <f t="shared" si="7"/>
        <v>5109491.4336454011</v>
      </c>
      <c r="BD25" s="92">
        <f t="shared" si="7"/>
        <v>5252275.836351512</v>
      </c>
      <c r="BE25" s="92">
        <f t="shared" si="7"/>
        <v>5341141.5961798616</v>
      </c>
      <c r="BF25" s="92">
        <f t="shared" si="7"/>
        <v>5292646.0977585465</v>
      </c>
      <c r="BG25" s="92">
        <f t="shared" ref="BG25" si="8">SUM(BG18:BG24)</f>
        <v>5902719.846604161</v>
      </c>
    </row>
    <row r="26" spans="1:59">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row>
    <row r="27" spans="1:59">
      <c r="A27" s="13" t="str">
        <f>INDEX({"Passivo e Patrimônio Líquido";"Liabilities &amp; Equity"},Home!$R$30)</f>
        <v>Passivo e Patrimônio Líquido</v>
      </c>
      <c r="B27" s="86">
        <f t="shared" ref="B27:AZ27" si="9">B56+B45+B38</f>
        <v>3121129</v>
      </c>
      <c r="C27" s="86">
        <f t="shared" si="9"/>
        <v>3108413</v>
      </c>
      <c r="D27" s="86">
        <f t="shared" si="9"/>
        <v>3186097</v>
      </c>
      <c r="E27" s="86">
        <f t="shared" si="9"/>
        <v>3340186</v>
      </c>
      <c r="F27" s="86">
        <f t="shared" si="9"/>
        <v>3243082</v>
      </c>
      <c r="G27" s="86">
        <f t="shared" si="9"/>
        <v>3316119</v>
      </c>
      <c r="H27" s="86">
        <f t="shared" si="9"/>
        <v>3298645</v>
      </c>
      <c r="I27" s="86">
        <f t="shared" si="9"/>
        <v>3614093</v>
      </c>
      <c r="J27" s="86">
        <f t="shared" si="9"/>
        <v>3558611</v>
      </c>
      <c r="K27" s="86">
        <f t="shared" si="9"/>
        <v>3663501</v>
      </c>
      <c r="L27" s="86">
        <f t="shared" si="9"/>
        <v>3827053</v>
      </c>
      <c r="M27" s="86">
        <f t="shared" si="9"/>
        <v>4079503</v>
      </c>
      <c r="N27" s="86">
        <f t="shared" si="9"/>
        <v>4192181</v>
      </c>
      <c r="O27" s="86">
        <f t="shared" si="9"/>
        <v>4171178</v>
      </c>
      <c r="P27" s="86">
        <f t="shared" si="9"/>
        <v>4394724</v>
      </c>
      <c r="Q27" s="86">
        <f t="shared" si="9"/>
        <v>4699201</v>
      </c>
      <c r="R27" s="86">
        <f t="shared" si="9"/>
        <v>4775378</v>
      </c>
      <c r="S27" s="86">
        <f t="shared" si="9"/>
        <v>4861771</v>
      </c>
      <c r="T27" s="86">
        <f t="shared" si="9"/>
        <v>5319851.3499999996</v>
      </c>
      <c r="U27" s="86">
        <f t="shared" si="9"/>
        <v>5659302.9699999997</v>
      </c>
      <c r="V27" s="86">
        <f t="shared" si="9"/>
        <v>5731589.96</v>
      </c>
      <c r="W27" s="86">
        <f t="shared" si="9"/>
        <v>6008408.9500000002</v>
      </c>
      <c r="X27" s="86">
        <f t="shared" si="9"/>
        <v>6309835.1900000004</v>
      </c>
      <c r="Y27" s="86">
        <f t="shared" si="9"/>
        <v>6464249.1600000001</v>
      </c>
      <c r="Z27" s="86">
        <f t="shared" si="9"/>
        <v>6496807.9699999997</v>
      </c>
      <c r="AA27" s="86">
        <f t="shared" si="9"/>
        <v>6759816.2600000007</v>
      </c>
      <c r="AB27" s="86">
        <f t="shared" si="9"/>
        <v>7116260.2699999996</v>
      </c>
      <c r="AC27" s="86">
        <f t="shared" si="9"/>
        <v>7352005.4799999995</v>
      </c>
      <c r="AD27" s="86">
        <f t="shared" si="9"/>
        <v>7588574.301885793</v>
      </c>
      <c r="AE27" s="86">
        <f t="shared" si="9"/>
        <v>7540377.640612727</v>
      </c>
      <c r="AF27" s="86">
        <f t="shared" si="9"/>
        <v>8950332.32167417</v>
      </c>
      <c r="AG27" s="86">
        <f t="shared" si="9"/>
        <v>9212487.9085742254</v>
      </c>
      <c r="AH27" s="86">
        <f t="shared" si="9"/>
        <v>9852209.4908895977</v>
      </c>
      <c r="AI27" s="86">
        <f t="shared" si="9"/>
        <v>9639781.5749435965</v>
      </c>
      <c r="AJ27" s="86">
        <f t="shared" si="9"/>
        <v>9928290.0823710971</v>
      </c>
      <c r="AK27" s="86">
        <f t="shared" si="9"/>
        <v>10665655.606272947</v>
      </c>
      <c r="AL27" s="86">
        <f t="shared" si="9"/>
        <v>10972297.574058946</v>
      </c>
      <c r="AM27" s="86">
        <f t="shared" si="9"/>
        <v>10757368.02115922</v>
      </c>
      <c r="AN27" s="86">
        <f t="shared" si="9"/>
        <v>11059752.745337721</v>
      </c>
      <c r="AO27" s="86">
        <f t="shared" si="9"/>
        <v>11445383.09512233</v>
      </c>
      <c r="AP27" s="86">
        <f t="shared" si="9"/>
        <v>12221950.267763954</v>
      </c>
      <c r="AQ27" s="86">
        <f t="shared" si="9"/>
        <v>12780840.22812948</v>
      </c>
      <c r="AR27" s="86">
        <f t="shared" si="9"/>
        <v>13166892.038330257</v>
      </c>
      <c r="AS27" s="86">
        <f t="shared" si="9"/>
        <v>13807305.043201987</v>
      </c>
      <c r="AT27" s="86">
        <f t="shared" si="9"/>
        <v>14879546.117427893</v>
      </c>
      <c r="AU27" s="86">
        <f t="shared" si="9"/>
        <v>14267988.842728132</v>
      </c>
      <c r="AV27" s="86">
        <f t="shared" si="9"/>
        <v>15868492.908130717</v>
      </c>
      <c r="AW27" s="86">
        <f t="shared" si="9"/>
        <v>16507598.394597962</v>
      </c>
      <c r="AX27" s="86">
        <f t="shared" si="9"/>
        <v>16946390.004063301</v>
      </c>
      <c r="AY27" s="86">
        <f t="shared" si="9"/>
        <v>16962895.450104296</v>
      </c>
      <c r="AZ27" s="86">
        <f t="shared" si="9"/>
        <v>18091767.884804297</v>
      </c>
      <c r="BA27" s="86">
        <f t="shared" ref="BA27:BC27" si="10">BA56+BA45+BA38</f>
        <v>18136869.248014301</v>
      </c>
      <c r="BB27" s="86">
        <f t="shared" si="10"/>
        <v>18498816.150274303</v>
      </c>
      <c r="BC27" s="86">
        <f t="shared" si="10"/>
        <v>18746117.624554306</v>
      </c>
      <c r="BD27" s="86">
        <f t="shared" ref="BD27:BF27" si="11">BD56+BD45+BD38</f>
        <v>19370639.573534302</v>
      </c>
      <c r="BE27" s="86">
        <f t="shared" si="11"/>
        <v>20630779.842511162</v>
      </c>
      <c r="BF27" s="86">
        <f t="shared" si="11"/>
        <v>20642584.642550558</v>
      </c>
      <c r="BG27" s="86">
        <f t="shared" ref="BG27" si="12">BG56+BG45+BG38</f>
        <v>20154466.890346907</v>
      </c>
    </row>
    <row r="28" spans="1:59">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row>
    <row r="29" spans="1:59">
      <c r="A29" s="64" t="str">
        <f>INDEX({"Circulante";"Current Liabilities"},Home!$R$30)</f>
        <v>Circulante</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9"/>
      <c r="AR29" s="89"/>
      <c r="AS29" s="89"/>
      <c r="AT29" s="89"/>
      <c r="AU29" s="89"/>
      <c r="AV29" s="89"/>
      <c r="AW29" s="89"/>
      <c r="AX29" s="89"/>
      <c r="AY29" s="89"/>
      <c r="AZ29" s="89"/>
      <c r="BA29" s="89"/>
      <c r="BB29" s="89"/>
      <c r="BC29" s="89"/>
      <c r="BD29" s="89"/>
      <c r="BE29" s="89"/>
      <c r="BF29" s="89"/>
      <c r="BG29" s="89"/>
    </row>
    <row r="30" spans="1:59">
      <c r="A30" s="65" t="str">
        <f>INDEX({"Fornecedores";"Suppliers"},Home!$R$30)</f>
        <v>Fornecedores</v>
      </c>
      <c r="B30" s="90">
        <v>495722</v>
      </c>
      <c r="C30" s="90">
        <v>409832</v>
      </c>
      <c r="D30" s="90">
        <v>466636</v>
      </c>
      <c r="E30" s="90">
        <v>575587</v>
      </c>
      <c r="F30" s="90">
        <v>456464</v>
      </c>
      <c r="G30" s="90">
        <v>489390</v>
      </c>
      <c r="H30" s="90">
        <v>445899</v>
      </c>
      <c r="I30" s="90">
        <v>671455</v>
      </c>
      <c r="J30" s="90">
        <v>560262</v>
      </c>
      <c r="K30" s="90">
        <v>635006</v>
      </c>
      <c r="L30" s="90">
        <v>717337</v>
      </c>
      <c r="M30" s="90">
        <v>886533</v>
      </c>
      <c r="N30" s="90">
        <v>943256</v>
      </c>
      <c r="O30" s="90">
        <v>836549</v>
      </c>
      <c r="P30" s="90">
        <v>959353</v>
      </c>
      <c r="Q30" s="90">
        <v>1203382</v>
      </c>
      <c r="R30" s="90">
        <v>1157077</v>
      </c>
      <c r="S30" s="90">
        <v>1079108</v>
      </c>
      <c r="T30" s="90">
        <v>1325003.6100000001</v>
      </c>
      <c r="U30" s="90">
        <v>1615586.18</v>
      </c>
      <c r="V30" s="90">
        <v>1483477.48</v>
      </c>
      <c r="W30" s="90">
        <v>1396475.85</v>
      </c>
      <c r="X30" s="90">
        <v>1558783.31</v>
      </c>
      <c r="Y30" s="90">
        <v>1815687.05</v>
      </c>
      <c r="Z30" s="90">
        <v>1832996.16</v>
      </c>
      <c r="AA30" s="90">
        <v>1670110.53</v>
      </c>
      <c r="AB30" s="90">
        <v>1862895.52</v>
      </c>
      <c r="AC30" s="90">
        <v>2141273.91</v>
      </c>
      <c r="AD30" s="90">
        <v>2019929.0005399999</v>
      </c>
      <c r="AE30" s="90">
        <v>1959369.7924000002</v>
      </c>
      <c r="AF30" s="90">
        <v>2279946.1875800006</v>
      </c>
      <c r="AG30" s="90">
        <v>2653236.5114799999</v>
      </c>
      <c r="AH30" s="90">
        <v>2784446.0045399996</v>
      </c>
      <c r="AI30" s="90">
        <v>2232219.0502800001</v>
      </c>
      <c r="AJ30" s="90">
        <v>2339320.1812399998</v>
      </c>
      <c r="AK30" s="90">
        <v>3106937.1383499997</v>
      </c>
      <c r="AL30" s="90">
        <v>3196508.0662500001</v>
      </c>
      <c r="AM30" s="90">
        <v>2682594.7376100007</v>
      </c>
      <c r="AN30" s="90">
        <v>2850604.1444899999</v>
      </c>
      <c r="AO30" s="90">
        <v>3656605.2658600006</v>
      </c>
      <c r="AP30" s="90">
        <v>3600986.0289200004</v>
      </c>
      <c r="AQ30" s="90">
        <v>3538543.9639300001</v>
      </c>
      <c r="AR30" s="90">
        <v>3753793.4863299998</v>
      </c>
      <c r="AS30" s="90">
        <v>4258916.8156300001</v>
      </c>
      <c r="AT30" s="90">
        <v>5106693.800950001</v>
      </c>
      <c r="AU30" s="90">
        <v>4105650.4272600003</v>
      </c>
      <c r="AV30" s="90">
        <v>4642770.5221900009</v>
      </c>
      <c r="AW30" s="90">
        <v>5095166.3915499998</v>
      </c>
      <c r="AX30" s="90">
        <v>5592413.6271600006</v>
      </c>
      <c r="AY30" s="90">
        <v>4897662.2051199991</v>
      </c>
      <c r="AZ30" s="90">
        <v>5712822.9871699996</v>
      </c>
      <c r="BA30" s="90">
        <v>5825380.7123600002</v>
      </c>
      <c r="BB30" s="90">
        <v>5577390.38509</v>
      </c>
      <c r="BC30" s="90">
        <v>5192141.1172700003</v>
      </c>
      <c r="BD30" s="90">
        <v>5739195.4023099998</v>
      </c>
      <c r="BE30" s="90">
        <v>6429186.4127599997</v>
      </c>
      <c r="BF30" s="90">
        <v>6469285.2530100001</v>
      </c>
      <c r="BG30" s="90">
        <v>6375301.6436100006</v>
      </c>
    </row>
    <row r="31" spans="1:59">
      <c r="A31" s="65" t="str">
        <f>INDEX({"Empréstimos e Financiamentos";"Loans and Financing"},Home!$R$30)</f>
        <v>Empréstimos e Financiamentos</v>
      </c>
      <c r="B31" s="90">
        <v>51678</v>
      </c>
      <c r="C31" s="90">
        <v>64443</v>
      </c>
      <c r="D31" s="90">
        <v>61011</v>
      </c>
      <c r="E31" s="90">
        <v>60712</v>
      </c>
      <c r="F31" s="90">
        <v>61551</v>
      </c>
      <c r="G31" s="90">
        <v>71246</v>
      </c>
      <c r="H31" s="90">
        <v>79878</v>
      </c>
      <c r="I31" s="90">
        <v>83944</v>
      </c>
      <c r="J31" s="90">
        <v>108769</v>
      </c>
      <c r="K31" s="90">
        <v>105506</v>
      </c>
      <c r="L31" s="90">
        <v>104126</v>
      </c>
      <c r="M31" s="90">
        <v>103686</v>
      </c>
      <c r="N31" s="90">
        <v>95417</v>
      </c>
      <c r="O31" s="90">
        <v>101856</v>
      </c>
      <c r="P31" s="90">
        <v>105409</v>
      </c>
      <c r="Q31" s="90">
        <v>108191</v>
      </c>
      <c r="R31" s="90">
        <v>108675</v>
      </c>
      <c r="S31" s="90">
        <v>111741</v>
      </c>
      <c r="T31" s="90">
        <v>117787</v>
      </c>
      <c r="U31" s="90">
        <v>132580.81</v>
      </c>
      <c r="V31" s="90">
        <v>167928.33</v>
      </c>
      <c r="W31" s="90">
        <v>240625.5</v>
      </c>
      <c r="X31" s="90">
        <v>231775</v>
      </c>
      <c r="Y31" s="90">
        <v>196247.77</v>
      </c>
      <c r="Z31" s="90">
        <v>186159.53</v>
      </c>
      <c r="AA31" s="90">
        <v>227242.11</v>
      </c>
      <c r="AB31" s="90">
        <v>237205.23</v>
      </c>
      <c r="AC31" s="90">
        <v>272938.92</v>
      </c>
      <c r="AD31" s="90">
        <v>280764.66185999999</v>
      </c>
      <c r="AE31" s="90">
        <v>274744.37971000007</v>
      </c>
      <c r="AF31" s="90">
        <v>247469.29256999999</v>
      </c>
      <c r="AG31" s="90">
        <v>228660.98630999998</v>
      </c>
      <c r="AH31" s="90">
        <v>533457.93981999997</v>
      </c>
      <c r="AI31" s="90">
        <v>537353.15946</v>
      </c>
      <c r="AJ31" s="90">
        <v>536490.18571999995</v>
      </c>
      <c r="AK31" s="90">
        <v>531203.58834999998</v>
      </c>
      <c r="AL31" s="90">
        <v>206650.11112000002</v>
      </c>
      <c r="AM31" s="90">
        <v>622705.24872000003</v>
      </c>
      <c r="AN31" s="90">
        <v>630096.03844000003</v>
      </c>
      <c r="AO31" s="90">
        <v>613830.51089000015</v>
      </c>
      <c r="AP31" s="90">
        <v>533453.31230999995</v>
      </c>
      <c r="AQ31" s="90">
        <v>228200.89268000002</v>
      </c>
      <c r="AR31" s="90">
        <v>134789.92296999996</v>
      </c>
      <c r="AS31" s="90">
        <v>186355.76365000001</v>
      </c>
      <c r="AT31" s="90">
        <v>443799.04950999998</v>
      </c>
      <c r="AU31" s="90">
        <v>569822.23011</v>
      </c>
      <c r="AV31" s="90">
        <v>581004.19892</v>
      </c>
      <c r="AW31" s="90">
        <v>604600.82670999994</v>
      </c>
      <c r="AX31" s="90">
        <v>311914.26239999995</v>
      </c>
      <c r="AY31" s="90">
        <v>415442.26026999997</v>
      </c>
      <c r="AZ31" s="90">
        <v>619036.66347999999</v>
      </c>
      <c r="BA31" s="90">
        <v>637109.33168000006</v>
      </c>
      <c r="BB31" s="90">
        <v>672158.23614000005</v>
      </c>
      <c r="BC31" s="90">
        <v>849691.48855999997</v>
      </c>
      <c r="BD31" s="90">
        <v>522497.36427000002</v>
      </c>
      <c r="BE31" s="90">
        <v>508136.50446999999</v>
      </c>
      <c r="BF31" s="90">
        <v>425458.46025999996</v>
      </c>
      <c r="BG31" s="90">
        <v>365265.75353999995</v>
      </c>
    </row>
    <row r="32" spans="1:59">
      <c r="A32" s="65" t="str">
        <f>INDEX({"Salários e Encargos Sociais";"Salaries and Social Charges Payable"},Home!$R$30)</f>
        <v>Salários e Encargos Sociais</v>
      </c>
      <c r="B32" s="90">
        <v>85344</v>
      </c>
      <c r="C32" s="90">
        <v>105472</v>
      </c>
      <c r="D32" s="90">
        <v>120587</v>
      </c>
      <c r="E32" s="90">
        <v>92899</v>
      </c>
      <c r="F32" s="90">
        <v>93266</v>
      </c>
      <c r="G32" s="90">
        <v>111195</v>
      </c>
      <c r="H32" s="90">
        <v>139259</v>
      </c>
      <c r="I32" s="90">
        <v>116352</v>
      </c>
      <c r="J32" s="90">
        <v>128625</v>
      </c>
      <c r="K32" s="90">
        <v>153878</v>
      </c>
      <c r="L32" s="90">
        <v>174885</v>
      </c>
      <c r="M32" s="90">
        <v>142635</v>
      </c>
      <c r="N32" s="90">
        <v>142959</v>
      </c>
      <c r="O32" s="90">
        <v>178095</v>
      </c>
      <c r="P32" s="90">
        <v>196881</v>
      </c>
      <c r="Q32" s="90">
        <v>165409</v>
      </c>
      <c r="R32" s="90">
        <v>164597</v>
      </c>
      <c r="S32" s="90">
        <v>209616</v>
      </c>
      <c r="T32" s="90">
        <v>239457.32</v>
      </c>
      <c r="U32" s="90">
        <v>199377.71</v>
      </c>
      <c r="V32" s="90">
        <v>193325.14</v>
      </c>
      <c r="W32" s="90">
        <v>224889.22</v>
      </c>
      <c r="X32" s="90">
        <v>251622.85</v>
      </c>
      <c r="Y32" s="90">
        <v>202798.99</v>
      </c>
      <c r="Z32" s="90">
        <v>205256.63</v>
      </c>
      <c r="AA32" s="90">
        <v>254223.07</v>
      </c>
      <c r="AB32" s="90">
        <v>288636.27</v>
      </c>
      <c r="AC32" s="90">
        <v>237541.92</v>
      </c>
      <c r="AD32" s="90">
        <v>239841.88368999999</v>
      </c>
      <c r="AE32" s="90">
        <v>298980.95042000001</v>
      </c>
      <c r="AF32" s="90">
        <v>346202.46389999997</v>
      </c>
      <c r="AG32" s="90">
        <v>296673.12047999998</v>
      </c>
      <c r="AH32" s="90">
        <v>293518.44209999999</v>
      </c>
      <c r="AI32" s="90">
        <v>415427.08364999999</v>
      </c>
      <c r="AJ32" s="90">
        <v>409270.91871999996</v>
      </c>
      <c r="AK32" s="90">
        <v>309161.41562999994</v>
      </c>
      <c r="AL32" s="90">
        <v>319416.15724000009</v>
      </c>
      <c r="AM32" s="90">
        <v>413458.74962000002</v>
      </c>
      <c r="AN32" s="90">
        <v>484720.99226999999</v>
      </c>
      <c r="AO32" s="90">
        <v>420356.23634999996</v>
      </c>
      <c r="AP32" s="90">
        <v>431109.82893000008</v>
      </c>
      <c r="AQ32" s="90">
        <v>529539.1942400001</v>
      </c>
      <c r="AR32" s="90">
        <v>617244.50549999997</v>
      </c>
      <c r="AS32" s="90">
        <v>561622.5086399999</v>
      </c>
      <c r="AT32" s="90">
        <v>526307.60415999999</v>
      </c>
      <c r="AU32" s="90">
        <v>626385.2393400002</v>
      </c>
      <c r="AV32" s="90">
        <v>735009.76287000009</v>
      </c>
      <c r="AW32" s="90">
        <v>636393.24650000001</v>
      </c>
      <c r="AX32" s="90">
        <v>604956.9545799999</v>
      </c>
      <c r="AY32" s="90">
        <v>716546.40734000027</v>
      </c>
      <c r="AZ32" s="90">
        <v>816546.60336999991</v>
      </c>
      <c r="BA32" s="90">
        <v>686526.08820999996</v>
      </c>
      <c r="BB32" s="90">
        <v>646954.02890999999</v>
      </c>
      <c r="BC32" s="90">
        <v>777865.68273999996</v>
      </c>
      <c r="BD32" s="90">
        <v>895260.37081999995</v>
      </c>
      <c r="BE32" s="90">
        <v>757549.54075000004</v>
      </c>
      <c r="BF32" s="90">
        <v>745744.26264999993</v>
      </c>
      <c r="BG32" s="90">
        <v>925554.25994000002</v>
      </c>
    </row>
    <row r="33" spans="1:59">
      <c r="A33" s="65" t="str">
        <f>INDEX({"Impostos, Taxas e Contribuições";"Taxes Payable"},Home!$R$30)</f>
        <v>Impostos, Taxas e Contribuições</v>
      </c>
      <c r="B33" s="90">
        <v>35256</v>
      </c>
      <c r="C33" s="90">
        <v>49165</v>
      </c>
      <c r="D33" s="90">
        <v>40998</v>
      </c>
      <c r="E33" s="90">
        <v>40489</v>
      </c>
      <c r="F33" s="90">
        <v>36772</v>
      </c>
      <c r="G33" s="90">
        <v>45408</v>
      </c>
      <c r="H33" s="90">
        <v>39721</v>
      </c>
      <c r="I33" s="90">
        <v>65920</v>
      </c>
      <c r="J33" s="90">
        <v>53664</v>
      </c>
      <c r="K33" s="90">
        <v>41834</v>
      </c>
      <c r="L33" s="90">
        <v>40112</v>
      </c>
      <c r="M33" s="90">
        <v>43516</v>
      </c>
      <c r="N33" s="90">
        <v>46120</v>
      </c>
      <c r="O33" s="90">
        <v>41207</v>
      </c>
      <c r="P33" s="90">
        <v>48629</v>
      </c>
      <c r="Q33" s="90">
        <v>55877</v>
      </c>
      <c r="R33" s="90">
        <v>79309</v>
      </c>
      <c r="S33" s="90">
        <v>73495</v>
      </c>
      <c r="T33" s="90">
        <v>89000.14</v>
      </c>
      <c r="U33" s="90">
        <v>96730.6</v>
      </c>
      <c r="V33" s="90">
        <v>127156.94</v>
      </c>
      <c r="W33" s="90">
        <v>116917.26</v>
      </c>
      <c r="X33" s="90">
        <v>121243.41</v>
      </c>
      <c r="Y33" s="90">
        <v>130432.12</v>
      </c>
      <c r="Z33" s="90">
        <v>98993.75</v>
      </c>
      <c r="AA33" s="90">
        <v>83199.97</v>
      </c>
      <c r="AB33" s="90">
        <v>82483.22</v>
      </c>
      <c r="AC33" s="90">
        <v>92964.01</v>
      </c>
      <c r="AD33" s="90">
        <v>118992.73735</v>
      </c>
      <c r="AE33" s="90">
        <v>132658.36727000002</v>
      </c>
      <c r="AF33" s="90">
        <v>146493.98202000002</v>
      </c>
      <c r="AG33" s="90">
        <v>102671.50203999999</v>
      </c>
      <c r="AH33" s="90">
        <v>161355.41661000001</v>
      </c>
      <c r="AI33" s="90">
        <v>119333.19583999999</v>
      </c>
      <c r="AJ33" s="90">
        <v>123286.27921000004</v>
      </c>
      <c r="AK33" s="90">
        <v>138672.69519999999</v>
      </c>
      <c r="AL33" s="90">
        <v>143983.24267000001</v>
      </c>
      <c r="AM33" s="90">
        <v>151858.89923999997</v>
      </c>
      <c r="AN33" s="90">
        <v>153701.94257000001</v>
      </c>
      <c r="AO33" s="90">
        <v>154772.45628000004</v>
      </c>
      <c r="AP33" s="90">
        <v>176333.15604000003</v>
      </c>
      <c r="AQ33" s="90">
        <v>239696.52193999998</v>
      </c>
      <c r="AR33" s="90">
        <v>186320.89450999998</v>
      </c>
      <c r="AS33" s="90">
        <v>213298.33749000006</v>
      </c>
      <c r="AT33" s="90">
        <v>263123.21571000002</v>
      </c>
      <c r="AU33" s="90">
        <v>310175.63698999997</v>
      </c>
      <c r="AV33" s="90">
        <v>289770.95581000007</v>
      </c>
      <c r="AW33" s="90">
        <v>360571.64367000002</v>
      </c>
      <c r="AX33" s="90">
        <v>360411.37567999988</v>
      </c>
      <c r="AY33" s="90">
        <v>411332.37758999999</v>
      </c>
      <c r="AZ33" s="90">
        <v>414068.42215</v>
      </c>
      <c r="BA33" s="90">
        <v>364903.43821999995</v>
      </c>
      <c r="BB33" s="90">
        <v>377395.40732</v>
      </c>
      <c r="BC33" s="90">
        <v>384087.62777000002</v>
      </c>
      <c r="BD33" s="90">
        <v>453139.97998</v>
      </c>
      <c r="BE33" s="90">
        <v>397995.23339000001</v>
      </c>
      <c r="BF33" s="90">
        <v>423362.63919999998</v>
      </c>
      <c r="BG33" s="90">
        <v>508068.45655999996</v>
      </c>
    </row>
    <row r="34" spans="1:59">
      <c r="A34" s="65" t="str">
        <f>INDEX({"Dividendo e Juros Sobre o Capital Próprio";"Dividend and Interest on Equity"},Home!$R$30)</f>
        <v>Dividendo e Juros Sobre o Capital Próprio</v>
      </c>
      <c r="B34" s="90">
        <v>9720</v>
      </c>
      <c r="C34" s="90">
        <v>22599</v>
      </c>
      <c r="D34" s="90">
        <v>35051</v>
      </c>
      <c r="E34" s="90">
        <v>5451</v>
      </c>
      <c r="F34" s="90">
        <v>8378</v>
      </c>
      <c r="G34" s="90">
        <v>17317</v>
      </c>
      <c r="H34" s="90">
        <v>22049</v>
      </c>
      <c r="I34" s="90">
        <v>9464</v>
      </c>
      <c r="J34" s="90">
        <v>15725</v>
      </c>
      <c r="K34" s="90">
        <v>25531</v>
      </c>
      <c r="L34" s="90">
        <v>44429</v>
      </c>
      <c r="M34" s="90">
        <v>28664</v>
      </c>
      <c r="N34" s="90">
        <v>55948</v>
      </c>
      <c r="O34" s="90">
        <v>58944</v>
      </c>
      <c r="P34" s="90">
        <v>92825</v>
      </c>
      <c r="Q34" s="90">
        <v>24402</v>
      </c>
      <c r="R34" s="90">
        <v>113695</v>
      </c>
      <c r="S34" s="90">
        <v>83318</v>
      </c>
      <c r="T34" s="90">
        <v>125707.08</v>
      </c>
      <c r="U34" s="90">
        <v>25933.41</v>
      </c>
      <c r="V34" s="90">
        <v>131169.1</v>
      </c>
      <c r="W34" s="90">
        <v>87625.69</v>
      </c>
      <c r="X34" s="90">
        <v>131372.57</v>
      </c>
      <c r="Y34" s="90">
        <v>37474.199999999997</v>
      </c>
      <c r="Z34" s="90">
        <v>133932.81</v>
      </c>
      <c r="AA34" s="90">
        <v>89932.43</v>
      </c>
      <c r="AB34" s="90">
        <v>134419.5</v>
      </c>
      <c r="AC34" s="90">
        <v>24842.58</v>
      </c>
      <c r="AD34" s="90">
        <v>72147.518849999993</v>
      </c>
      <c r="AE34" s="90">
        <v>96150.317660000001</v>
      </c>
      <c r="AF34" s="90">
        <v>140601.47974000001</v>
      </c>
      <c r="AG34" s="90">
        <v>92946.485425999999</v>
      </c>
      <c r="AH34" s="90">
        <v>133190.257216</v>
      </c>
      <c r="AI34" s="90">
        <v>109951.01730599999</v>
      </c>
      <c r="AJ34" s="90">
        <v>153219.744466</v>
      </c>
      <c r="AK34" s="90">
        <v>66295.035575999995</v>
      </c>
      <c r="AL34" s="90">
        <v>173828.19750600003</v>
      </c>
      <c r="AM34" s="90">
        <v>133309.22125599999</v>
      </c>
      <c r="AN34" s="90">
        <v>133246.010606</v>
      </c>
      <c r="AO34" s="90">
        <v>76787.252729999993</v>
      </c>
      <c r="AP34" s="90">
        <v>133780.11469999998</v>
      </c>
      <c r="AQ34" s="90">
        <v>123618.92477</v>
      </c>
      <c r="AR34" s="90">
        <v>302155.05682</v>
      </c>
      <c r="AS34" s="90">
        <v>62417.172570000002</v>
      </c>
      <c r="AT34" s="90">
        <v>131994.60427000001</v>
      </c>
      <c r="AU34" s="90">
        <v>160560.008</v>
      </c>
      <c r="AV34" s="90">
        <v>238728.82206999999</v>
      </c>
      <c r="AW34" s="90">
        <v>23508.48703</v>
      </c>
      <c r="AX34" s="90">
        <v>87394.796730000002</v>
      </c>
      <c r="AY34" s="90">
        <v>134046.50992000001</v>
      </c>
      <c r="AZ34" s="90">
        <v>336979.74962999998</v>
      </c>
      <c r="BA34" s="90">
        <v>241475.61680000002</v>
      </c>
      <c r="BB34" s="90">
        <v>343002.91872000002</v>
      </c>
      <c r="BC34" s="90">
        <v>217181.35720999999</v>
      </c>
      <c r="BD34" s="90">
        <v>338195.87647000002</v>
      </c>
      <c r="BE34" s="90">
        <v>2566.34726</v>
      </c>
      <c r="BF34" s="90">
        <v>131419.41935000001</v>
      </c>
      <c r="BG34" s="90">
        <v>306115.31711</v>
      </c>
    </row>
    <row r="35" spans="1:59">
      <c r="A35" s="65" t="str">
        <f>INDEX({"Provisão para Demandas Judiciais";"Provision for Lawsuits"},Home!$R$30)</f>
        <v>Provisão para Demandas Judiciais</v>
      </c>
      <c r="B35" s="90">
        <v>1280</v>
      </c>
      <c r="C35" s="90">
        <v>2192</v>
      </c>
      <c r="D35" s="90">
        <v>3131</v>
      </c>
      <c r="E35" s="90">
        <v>4129</v>
      </c>
      <c r="F35" s="90">
        <v>4396</v>
      </c>
      <c r="G35" s="90">
        <v>4618</v>
      </c>
      <c r="H35" s="90">
        <v>4948</v>
      </c>
      <c r="I35" s="90">
        <v>4912</v>
      </c>
      <c r="J35" s="90">
        <v>4835</v>
      </c>
      <c r="K35" s="90">
        <v>5219</v>
      </c>
      <c r="L35" s="90">
        <v>5188</v>
      </c>
      <c r="M35" s="90">
        <v>5209</v>
      </c>
      <c r="N35" s="90">
        <v>4205</v>
      </c>
      <c r="O35" s="90">
        <v>3899</v>
      </c>
      <c r="P35" s="90">
        <v>2996</v>
      </c>
      <c r="Q35" s="90">
        <v>3346</v>
      </c>
      <c r="R35" s="90">
        <v>1690</v>
      </c>
      <c r="S35" s="90">
        <v>942</v>
      </c>
      <c r="T35" s="90">
        <v>1396.33</v>
      </c>
      <c r="U35" s="90">
        <v>0</v>
      </c>
      <c r="V35" s="90">
        <v>5596.12</v>
      </c>
      <c r="W35" s="90">
        <v>4244.0600000000004</v>
      </c>
      <c r="X35" s="90">
        <v>4042.14</v>
      </c>
      <c r="Y35" s="90">
        <v>2724.13</v>
      </c>
      <c r="Z35" s="90">
        <v>4195.9399999999996</v>
      </c>
      <c r="AA35" s="90">
        <v>1060.45</v>
      </c>
      <c r="AB35" s="90">
        <v>286.38</v>
      </c>
      <c r="AC35" s="90">
        <v>2511.54</v>
      </c>
      <c r="AD35" s="90">
        <v>3485.1217900000011</v>
      </c>
      <c r="AE35" s="90">
        <v>9583.36931</v>
      </c>
      <c r="AF35" s="90">
        <v>22521.942780000001</v>
      </c>
      <c r="AG35" s="90">
        <v>26007.866069999996</v>
      </c>
      <c r="AH35" s="90">
        <v>28130.545320000001</v>
      </c>
      <c r="AI35" s="90">
        <v>28870.226889999998</v>
      </c>
      <c r="AJ35" s="90">
        <v>32327.468619999996</v>
      </c>
      <c r="AK35" s="90">
        <v>32834.732609999999</v>
      </c>
      <c r="AL35" s="90">
        <v>44332.929520000005</v>
      </c>
      <c r="AM35" s="90">
        <v>46997.984479999992</v>
      </c>
      <c r="AN35" s="90">
        <v>40849.258019999994</v>
      </c>
      <c r="AO35" s="90">
        <v>43559.773900000007</v>
      </c>
      <c r="AP35" s="90">
        <v>44352.785040000002</v>
      </c>
      <c r="AQ35" s="90">
        <v>47908.571830000008</v>
      </c>
      <c r="AR35" s="90">
        <v>49029.508550000006</v>
      </c>
      <c r="AS35" s="90">
        <v>53584.341659999998</v>
      </c>
      <c r="AT35" s="90">
        <v>54372.111449999997</v>
      </c>
      <c r="AU35" s="90">
        <v>52138.672290000002</v>
      </c>
      <c r="AV35" s="90">
        <v>53569.09117</v>
      </c>
      <c r="AW35" s="90">
        <v>57223.527320000001</v>
      </c>
      <c r="AX35" s="90">
        <v>56600.73846</v>
      </c>
      <c r="AY35" s="90">
        <v>62590.004529999998</v>
      </c>
      <c r="AZ35" s="90">
        <v>69726.077519999992</v>
      </c>
      <c r="BA35" s="90">
        <v>81828.865090000007</v>
      </c>
      <c r="BB35" s="90">
        <v>86280.036389999994</v>
      </c>
      <c r="BC35" s="90">
        <v>77279.015539999993</v>
      </c>
      <c r="BD35" s="90">
        <v>48335.528579999998</v>
      </c>
      <c r="BE35" s="90">
        <v>58220.571380000001</v>
      </c>
      <c r="BF35" s="90">
        <v>51833.024859999998</v>
      </c>
      <c r="BG35" s="90">
        <v>42116.447260000008</v>
      </c>
    </row>
    <row r="36" spans="1:59">
      <c r="A36" s="65" t="str">
        <f>INDEX({"Passivos de investimento à venda (4Bio)";"Liabilities of investment for sale (4Bio)"},Home!$R$30)</f>
        <v>Passivos de investimento à venda (4Bio)</v>
      </c>
      <c r="B36" s="91">
        <v>0</v>
      </c>
      <c r="C36" s="91">
        <v>0</v>
      </c>
      <c r="D36" s="91">
        <v>0</v>
      </c>
      <c r="E36" s="91">
        <v>0</v>
      </c>
      <c r="F36" s="91">
        <v>0</v>
      </c>
      <c r="G36" s="91">
        <v>0</v>
      </c>
      <c r="H36" s="91">
        <v>0</v>
      </c>
      <c r="I36" s="91">
        <v>0</v>
      </c>
      <c r="J36" s="91">
        <v>0</v>
      </c>
      <c r="K36" s="91">
        <v>0</v>
      </c>
      <c r="L36" s="91">
        <v>0</v>
      </c>
      <c r="M36" s="91">
        <v>0</v>
      </c>
      <c r="N36" s="91">
        <v>0</v>
      </c>
      <c r="O36" s="91">
        <v>0</v>
      </c>
      <c r="P36" s="91">
        <v>0</v>
      </c>
      <c r="Q36" s="91">
        <v>0</v>
      </c>
      <c r="R36" s="91">
        <v>0</v>
      </c>
      <c r="S36" s="91">
        <v>0</v>
      </c>
      <c r="T36" s="91">
        <v>0</v>
      </c>
      <c r="U36" s="91">
        <v>0</v>
      </c>
      <c r="V36" s="91">
        <v>0</v>
      </c>
      <c r="W36" s="91">
        <v>0</v>
      </c>
      <c r="X36" s="91">
        <v>0</v>
      </c>
      <c r="Y36" s="91">
        <v>0</v>
      </c>
      <c r="Z36" s="91">
        <v>0</v>
      </c>
      <c r="AA36" s="91">
        <v>0</v>
      </c>
      <c r="AB36" s="91">
        <v>0</v>
      </c>
      <c r="AC36" s="91">
        <v>0</v>
      </c>
      <c r="AD36" s="91">
        <v>0</v>
      </c>
      <c r="AE36" s="91">
        <v>0</v>
      </c>
      <c r="AF36" s="91">
        <v>0</v>
      </c>
      <c r="AG36" s="91">
        <v>0</v>
      </c>
      <c r="AH36" s="91">
        <v>0</v>
      </c>
      <c r="AI36" s="91">
        <v>0</v>
      </c>
      <c r="AJ36" s="91">
        <v>0</v>
      </c>
      <c r="AK36" s="91">
        <v>0</v>
      </c>
      <c r="AL36" s="91">
        <v>0</v>
      </c>
      <c r="AM36" s="91">
        <v>0</v>
      </c>
      <c r="AN36" s="91">
        <v>0</v>
      </c>
      <c r="AO36" s="91">
        <v>0</v>
      </c>
      <c r="AP36" s="91">
        <v>0</v>
      </c>
      <c r="AQ36" s="91">
        <v>0</v>
      </c>
      <c r="AR36" s="91">
        <v>0</v>
      </c>
      <c r="AS36" s="91">
        <v>0</v>
      </c>
      <c r="AT36" s="91">
        <v>0</v>
      </c>
      <c r="AU36" s="91">
        <v>0</v>
      </c>
      <c r="AV36" s="91">
        <v>0</v>
      </c>
      <c r="AW36" s="91">
        <v>0</v>
      </c>
      <c r="AX36" s="91">
        <v>0</v>
      </c>
      <c r="AY36" s="91">
        <v>0</v>
      </c>
      <c r="AZ36" s="91">
        <v>0</v>
      </c>
      <c r="BA36" s="91">
        <v>0</v>
      </c>
      <c r="BB36" s="91">
        <v>839140.97334000003</v>
      </c>
      <c r="BC36" s="91">
        <v>796567.32612999994</v>
      </c>
      <c r="BD36" s="91">
        <v>551325.07585000002</v>
      </c>
      <c r="BE36" s="91">
        <v>662887.11315999995</v>
      </c>
      <c r="BF36" s="91">
        <v>720060.87362999993</v>
      </c>
      <c r="BG36" s="91">
        <v>0</v>
      </c>
    </row>
    <row r="37" spans="1:59" ht="15" thickBot="1">
      <c r="A37" s="66" t="str">
        <f>INDEX({"Outras Contas a Pagar";"Other Accounts Payable"},Home!$R$30)</f>
        <v>Outras Contas a Pagar</v>
      </c>
      <c r="B37" s="91">
        <v>58440</v>
      </c>
      <c r="C37" s="91">
        <v>54617</v>
      </c>
      <c r="D37" s="91">
        <v>52608</v>
      </c>
      <c r="E37" s="91">
        <v>84009</v>
      </c>
      <c r="F37" s="91">
        <v>79351</v>
      </c>
      <c r="G37" s="91">
        <v>67931</v>
      </c>
      <c r="H37" s="91">
        <v>58884</v>
      </c>
      <c r="I37" s="91">
        <v>67957</v>
      </c>
      <c r="J37" s="91">
        <v>61193</v>
      </c>
      <c r="K37" s="91">
        <v>64492</v>
      </c>
      <c r="L37" s="91">
        <v>77498</v>
      </c>
      <c r="M37" s="91">
        <v>88368</v>
      </c>
      <c r="N37" s="91">
        <v>88907</v>
      </c>
      <c r="O37" s="91">
        <v>92821</v>
      </c>
      <c r="P37" s="91">
        <v>91228</v>
      </c>
      <c r="Q37" s="91">
        <v>88159</v>
      </c>
      <c r="R37" s="91">
        <v>95867</v>
      </c>
      <c r="S37" s="91">
        <v>108854</v>
      </c>
      <c r="T37" s="91">
        <v>112767.92</v>
      </c>
      <c r="U37" s="91">
        <v>114473.91</v>
      </c>
      <c r="V37" s="91">
        <v>120630.78</v>
      </c>
      <c r="W37" s="91">
        <v>122938.81</v>
      </c>
      <c r="X37" s="91">
        <v>117837.09</v>
      </c>
      <c r="Y37" s="91">
        <v>108414.88</v>
      </c>
      <c r="Z37" s="91">
        <v>113828.4</v>
      </c>
      <c r="AA37" s="91">
        <v>112331.5</v>
      </c>
      <c r="AB37" s="91">
        <v>122613.67</v>
      </c>
      <c r="AC37" s="91">
        <v>141369.76</v>
      </c>
      <c r="AD37" s="91">
        <v>141686.57724706552</v>
      </c>
      <c r="AE37" s="91">
        <v>128919.84556999999</v>
      </c>
      <c r="AF37" s="91">
        <v>160042.74410700004</v>
      </c>
      <c r="AG37" s="91">
        <v>160631.59119000001</v>
      </c>
      <c r="AH37" s="91">
        <v>162021.35475</v>
      </c>
      <c r="AI37" s="91">
        <v>170099.37846000001</v>
      </c>
      <c r="AJ37" s="91">
        <v>173421.19480999999</v>
      </c>
      <c r="AK37" s="91">
        <v>181417.497</v>
      </c>
      <c r="AL37" s="91">
        <v>208887.79009999998</v>
      </c>
      <c r="AM37" s="91">
        <v>270529.32962000003</v>
      </c>
      <c r="AN37" s="91">
        <v>248713.78638999999</v>
      </c>
      <c r="AO37" s="91">
        <v>245169.90334999998</v>
      </c>
      <c r="AP37" s="91">
        <v>251774.36999999997</v>
      </c>
      <c r="AQ37" s="91">
        <v>259471.16220000002</v>
      </c>
      <c r="AR37" s="91">
        <v>269427.84262000036</v>
      </c>
      <c r="AS37" s="91">
        <v>282298.04222854791</v>
      </c>
      <c r="AT37" s="91">
        <v>326298.09329310368</v>
      </c>
      <c r="AU37" s="91">
        <v>319986.6415833807</v>
      </c>
      <c r="AV37" s="91">
        <v>316708.36881141202</v>
      </c>
      <c r="AW37" s="91">
        <v>451404.994918162</v>
      </c>
      <c r="AX37" s="91">
        <v>497855.89741999999</v>
      </c>
      <c r="AY37" s="91">
        <v>361657.39559999987</v>
      </c>
      <c r="AZ37" s="91">
        <v>391188.88156000001</v>
      </c>
      <c r="BA37" s="91">
        <v>412763.26837999991</v>
      </c>
      <c r="BB37" s="91">
        <v>457459.49768999999</v>
      </c>
      <c r="BC37" s="91">
        <v>415224.25803000003</v>
      </c>
      <c r="BD37" s="91">
        <v>442814.87965999998</v>
      </c>
      <c r="BE37" s="91">
        <v>478666.83906000003</v>
      </c>
      <c r="BF37" s="91">
        <v>469631.92472000001</v>
      </c>
      <c r="BG37" s="91">
        <v>593733.83939999994</v>
      </c>
    </row>
    <row r="38" spans="1:59">
      <c r="A38" s="67" t="str">
        <f>INDEX({"Subtotal";"Subtotal"},Home!$R$30)</f>
        <v>Subtotal</v>
      </c>
      <c r="B38" s="92">
        <f t="shared" ref="B38:AG38" si="13">SUM(B30:B37)</f>
        <v>737440</v>
      </c>
      <c r="C38" s="92">
        <f t="shared" si="13"/>
        <v>708320</v>
      </c>
      <c r="D38" s="92">
        <f t="shared" si="13"/>
        <v>780022</v>
      </c>
      <c r="E38" s="92">
        <f t="shared" si="13"/>
        <v>863276</v>
      </c>
      <c r="F38" s="92">
        <f t="shared" si="13"/>
        <v>740178</v>
      </c>
      <c r="G38" s="92">
        <f t="shared" si="13"/>
        <v>807105</v>
      </c>
      <c r="H38" s="92">
        <f t="shared" si="13"/>
        <v>790638</v>
      </c>
      <c r="I38" s="92">
        <f t="shared" si="13"/>
        <v>1020004</v>
      </c>
      <c r="J38" s="92">
        <f t="shared" si="13"/>
        <v>933073</v>
      </c>
      <c r="K38" s="92">
        <f t="shared" si="13"/>
        <v>1031466</v>
      </c>
      <c r="L38" s="92">
        <f t="shared" si="13"/>
        <v>1163575</v>
      </c>
      <c r="M38" s="92">
        <f t="shared" si="13"/>
        <v>1298611</v>
      </c>
      <c r="N38" s="92">
        <f t="shared" si="13"/>
        <v>1376812</v>
      </c>
      <c r="O38" s="92">
        <f t="shared" si="13"/>
        <v>1313371</v>
      </c>
      <c r="P38" s="92">
        <f t="shared" si="13"/>
        <v>1497321</v>
      </c>
      <c r="Q38" s="92">
        <f t="shared" si="13"/>
        <v>1648766</v>
      </c>
      <c r="R38" s="92">
        <f t="shared" si="13"/>
        <v>1720910</v>
      </c>
      <c r="S38" s="92">
        <f t="shared" si="13"/>
        <v>1667074</v>
      </c>
      <c r="T38" s="92">
        <f t="shared" si="13"/>
        <v>2011119.4000000001</v>
      </c>
      <c r="U38" s="92">
        <f t="shared" si="13"/>
        <v>2184682.62</v>
      </c>
      <c r="V38" s="92">
        <f t="shared" si="13"/>
        <v>2229283.89</v>
      </c>
      <c r="W38" s="92">
        <f t="shared" si="13"/>
        <v>2193716.39</v>
      </c>
      <c r="X38" s="92">
        <f t="shared" si="13"/>
        <v>2416676.37</v>
      </c>
      <c r="Y38" s="92">
        <f t="shared" si="13"/>
        <v>2493779.14</v>
      </c>
      <c r="Z38" s="92">
        <f t="shared" si="13"/>
        <v>2575363.2199999997</v>
      </c>
      <c r="AA38" s="92">
        <f t="shared" si="13"/>
        <v>2438100.0600000005</v>
      </c>
      <c r="AB38" s="92">
        <f t="shared" si="13"/>
        <v>2728539.79</v>
      </c>
      <c r="AC38" s="92">
        <f t="shared" si="13"/>
        <v>2913442.6399999997</v>
      </c>
      <c r="AD38" s="92">
        <f t="shared" si="13"/>
        <v>2876847.5013270653</v>
      </c>
      <c r="AE38" s="92">
        <f t="shared" si="13"/>
        <v>2900407.0223400001</v>
      </c>
      <c r="AF38" s="92">
        <f t="shared" si="13"/>
        <v>3343278.0926970006</v>
      </c>
      <c r="AG38" s="92">
        <f t="shared" si="13"/>
        <v>3560828.0629960001</v>
      </c>
      <c r="AH38" s="92">
        <f t="shared" ref="AH38:AV38" si="14">SUM(AH30:AH37)</f>
        <v>4096119.9603559999</v>
      </c>
      <c r="AI38" s="92">
        <f t="shared" si="14"/>
        <v>3613253.1118859998</v>
      </c>
      <c r="AJ38" s="92">
        <f t="shared" si="14"/>
        <v>3767335.9727859991</v>
      </c>
      <c r="AK38" s="92">
        <f t="shared" si="14"/>
        <v>4366522.1027159989</v>
      </c>
      <c r="AL38" s="92">
        <f t="shared" si="14"/>
        <v>4293606.4944059998</v>
      </c>
      <c r="AM38" s="92">
        <f t="shared" si="14"/>
        <v>4321454.1705460008</v>
      </c>
      <c r="AN38" s="92">
        <f t="shared" si="14"/>
        <v>4541932.1727859993</v>
      </c>
      <c r="AO38" s="92">
        <f t="shared" si="14"/>
        <v>5211081.3993600011</v>
      </c>
      <c r="AP38" s="92">
        <f t="shared" si="14"/>
        <v>5171789.5959400004</v>
      </c>
      <c r="AQ38" s="92">
        <f t="shared" si="14"/>
        <v>4966979.2315900009</v>
      </c>
      <c r="AR38" s="92">
        <f t="shared" si="14"/>
        <v>5312761.2172999997</v>
      </c>
      <c r="AS38" s="92">
        <f t="shared" si="14"/>
        <v>5618492.9818685483</v>
      </c>
      <c r="AT38" s="92">
        <f t="shared" si="14"/>
        <v>6852588.4793431042</v>
      </c>
      <c r="AU38" s="92">
        <f t="shared" si="14"/>
        <v>6144718.8555733804</v>
      </c>
      <c r="AV38" s="92">
        <f t="shared" si="14"/>
        <v>6857561.7218414126</v>
      </c>
      <c r="AW38" s="92">
        <f>SUM(AW30:AW37)</f>
        <v>7228869.1176981628</v>
      </c>
      <c r="AX38" s="92">
        <f t="shared" ref="AX38:AZ38" si="15">SUM(AX30:AX37)</f>
        <v>7511547.6524299998</v>
      </c>
      <c r="AY38" s="92">
        <f t="shared" si="15"/>
        <v>6999277.1603699978</v>
      </c>
      <c r="AZ38" s="92">
        <f t="shared" si="15"/>
        <v>8360369.3848799989</v>
      </c>
      <c r="BA38" s="92">
        <f t="shared" ref="BA38:BC38" si="16">SUM(BA30:BA37)</f>
        <v>8249987.3207400003</v>
      </c>
      <c r="BB38" s="92">
        <f t="shared" si="16"/>
        <v>8999781.4835999999</v>
      </c>
      <c r="BC38" s="92">
        <f t="shared" si="16"/>
        <v>8710037.8732500002</v>
      </c>
      <c r="BD38" s="92">
        <f t="shared" ref="BD38:BF38" si="17">SUM(BD30:BD37)</f>
        <v>8990764.4779399987</v>
      </c>
      <c r="BE38" s="92">
        <f t="shared" si="17"/>
        <v>9295208.5622299984</v>
      </c>
      <c r="BF38" s="92">
        <f t="shared" si="17"/>
        <v>9436795.8576800004</v>
      </c>
      <c r="BG38" s="92">
        <f t="shared" ref="BG38" si="18">SUM(BG30:BG37)</f>
        <v>9116155.7174200006</v>
      </c>
    </row>
    <row r="39" spans="1:59">
      <c r="A39" s="63"/>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row>
    <row r="40" spans="1:59">
      <c r="A40" s="64" t="str">
        <f>INDEX({"Não Circulante";"Non-current Liabilities"},Home!$R$30)</f>
        <v>Não Circulante</v>
      </c>
      <c r="B40" s="88"/>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9"/>
      <c r="AR40" s="89"/>
      <c r="AS40" s="89"/>
      <c r="AT40" s="89"/>
      <c r="AU40" s="89"/>
      <c r="AV40" s="89"/>
      <c r="AW40" s="89"/>
      <c r="AX40" s="89"/>
      <c r="AY40" s="89"/>
      <c r="AZ40" s="89"/>
      <c r="BA40" s="89"/>
      <c r="BB40" s="89"/>
      <c r="BC40" s="89"/>
      <c r="BD40" s="89"/>
      <c r="BE40" s="89"/>
      <c r="BF40" s="89"/>
      <c r="BG40" s="89"/>
    </row>
    <row r="41" spans="1:59">
      <c r="A41" s="65" t="str">
        <f>INDEX({"Empréstimos e Financiamentos";"Loans and Financing"},Home!$R$30)</f>
        <v>Empréstimos e Financiamentos</v>
      </c>
      <c r="B41" s="90">
        <v>104983</v>
      </c>
      <c r="C41" s="90">
        <v>99583</v>
      </c>
      <c r="D41" s="90">
        <v>87962</v>
      </c>
      <c r="E41" s="90">
        <v>131460</v>
      </c>
      <c r="F41" s="90">
        <v>140386</v>
      </c>
      <c r="G41" s="90">
        <v>121620</v>
      </c>
      <c r="H41" s="90">
        <v>103933</v>
      </c>
      <c r="I41" s="90">
        <v>160881</v>
      </c>
      <c r="J41" s="90">
        <v>162321</v>
      </c>
      <c r="K41" s="90">
        <v>148634</v>
      </c>
      <c r="L41" s="90">
        <v>127924</v>
      </c>
      <c r="M41" s="90">
        <v>188200</v>
      </c>
      <c r="N41" s="90">
        <v>169937</v>
      </c>
      <c r="O41" s="90">
        <v>173696</v>
      </c>
      <c r="P41" s="90">
        <v>162300</v>
      </c>
      <c r="Q41" s="90">
        <v>188196</v>
      </c>
      <c r="R41" s="90">
        <v>185015</v>
      </c>
      <c r="S41" s="90">
        <v>211395</v>
      </c>
      <c r="T41" s="90">
        <v>242296.58</v>
      </c>
      <c r="U41" s="90">
        <v>281386.53999999998</v>
      </c>
      <c r="V41" s="90">
        <v>305479.27</v>
      </c>
      <c r="W41" s="90">
        <v>513038.15</v>
      </c>
      <c r="X41" s="90">
        <v>486714.56</v>
      </c>
      <c r="Y41" s="90">
        <v>414710.62</v>
      </c>
      <c r="Z41" s="90">
        <v>387345.44</v>
      </c>
      <c r="AA41" s="90">
        <v>684375.59</v>
      </c>
      <c r="AB41" s="90">
        <v>665920.87</v>
      </c>
      <c r="AC41" s="90">
        <v>570211.06000000006</v>
      </c>
      <c r="AD41" s="90">
        <v>797522.45000999991</v>
      </c>
      <c r="AE41" s="90">
        <v>704966.29896999989</v>
      </c>
      <c r="AF41" s="90">
        <v>989944.52298999985</v>
      </c>
      <c r="AG41" s="90">
        <v>897815.18391999986</v>
      </c>
      <c r="AH41" s="90">
        <v>879715.64112999989</v>
      </c>
      <c r="AI41" s="90">
        <v>1191067.4017</v>
      </c>
      <c r="AJ41" s="90">
        <v>1195515.6059599998</v>
      </c>
      <c r="AK41" s="90">
        <v>1122249.5689399999</v>
      </c>
      <c r="AL41" s="90">
        <v>1426167.8971099998</v>
      </c>
      <c r="AM41" s="90">
        <v>934331.79834999994</v>
      </c>
      <c r="AN41" s="90">
        <v>934692.61352999997</v>
      </c>
      <c r="AO41" s="90">
        <v>891392.53367000003</v>
      </c>
      <c r="AP41" s="90">
        <v>1635614.8427399998</v>
      </c>
      <c r="AQ41" s="90">
        <v>2141378.9182199999</v>
      </c>
      <c r="AR41" s="90">
        <v>2130227.8744399999</v>
      </c>
      <c r="AS41" s="90">
        <v>2131548.1336699999</v>
      </c>
      <c r="AT41" s="90">
        <v>1832601.18429</v>
      </c>
      <c r="AU41" s="90">
        <v>1833783.3422300001</v>
      </c>
      <c r="AV41" s="90">
        <v>2523461.0106700002</v>
      </c>
      <c r="AW41" s="90">
        <v>2526101.7167399996</v>
      </c>
      <c r="AX41" s="90">
        <v>2527998.5803</v>
      </c>
      <c r="AY41" s="90">
        <v>3003280.0117899999</v>
      </c>
      <c r="AZ41" s="90">
        <v>2655148.07766</v>
      </c>
      <c r="BA41" s="90">
        <v>2656820.0830100002</v>
      </c>
      <c r="BB41" s="90">
        <v>2408492.0883999998</v>
      </c>
      <c r="BC41" s="90">
        <v>2758637.87219</v>
      </c>
      <c r="BD41" s="90">
        <v>2760115.9586299998</v>
      </c>
      <c r="BE41" s="90">
        <v>3359617.5323800002</v>
      </c>
      <c r="BF41" s="90">
        <v>3236090.4150200002</v>
      </c>
      <c r="BG41" s="90">
        <v>3087383.4745999998</v>
      </c>
    </row>
    <row r="42" spans="1:59">
      <c r="A42" s="65" t="str">
        <f>INDEX({"Provisão para Demandas Judiciais";"Provision for Lawsuits"},Home!$R$30)</f>
        <v>Provisão para Demandas Judiciais</v>
      </c>
      <c r="B42" s="90">
        <v>3972</v>
      </c>
      <c r="C42" s="90">
        <v>4585</v>
      </c>
      <c r="D42" s="90">
        <v>4123</v>
      </c>
      <c r="E42" s="90">
        <v>9721</v>
      </c>
      <c r="F42" s="90">
        <v>9765</v>
      </c>
      <c r="G42" s="90">
        <v>8936</v>
      </c>
      <c r="H42" s="90">
        <v>8463</v>
      </c>
      <c r="I42" s="90">
        <v>8021</v>
      </c>
      <c r="J42" s="90">
        <v>9581</v>
      </c>
      <c r="K42" s="90">
        <v>9981</v>
      </c>
      <c r="L42" s="90">
        <v>8953</v>
      </c>
      <c r="M42" s="90">
        <v>4113</v>
      </c>
      <c r="N42" s="90">
        <v>3718</v>
      </c>
      <c r="O42" s="90">
        <v>3658</v>
      </c>
      <c r="P42" s="90">
        <v>4542</v>
      </c>
      <c r="Q42" s="90">
        <v>3352</v>
      </c>
      <c r="R42" s="90">
        <v>3120</v>
      </c>
      <c r="S42" s="90">
        <v>4928</v>
      </c>
      <c r="T42" s="90">
        <v>2722.09</v>
      </c>
      <c r="U42" s="90">
        <v>2591.36</v>
      </c>
      <c r="V42" s="90">
        <v>7373.29</v>
      </c>
      <c r="W42" s="90">
        <v>8693.58</v>
      </c>
      <c r="X42" s="90">
        <v>7395.48</v>
      </c>
      <c r="Y42" s="90">
        <v>8169.76</v>
      </c>
      <c r="Z42" s="90">
        <v>5972.78</v>
      </c>
      <c r="AA42" s="90">
        <v>6090.36</v>
      </c>
      <c r="AB42" s="90">
        <v>6439.47</v>
      </c>
      <c r="AC42" s="90">
        <v>48876.94</v>
      </c>
      <c r="AD42" s="90">
        <v>44295.267850000004</v>
      </c>
      <c r="AE42" s="90">
        <v>36990.208199999994</v>
      </c>
      <c r="AF42" s="90">
        <v>60843.129830000005</v>
      </c>
      <c r="AG42" s="90">
        <v>67113.964220000009</v>
      </c>
      <c r="AH42" s="90">
        <v>69374.885699999984</v>
      </c>
      <c r="AI42" s="90">
        <v>72545.051329999988</v>
      </c>
      <c r="AJ42" s="90">
        <v>70097.554400000008</v>
      </c>
      <c r="AK42" s="90">
        <v>70821.763519999993</v>
      </c>
      <c r="AL42" s="90">
        <v>68363.004249999998</v>
      </c>
      <c r="AM42" s="90">
        <v>61137.721530000003</v>
      </c>
      <c r="AN42" s="90">
        <v>54435.849289999998</v>
      </c>
      <c r="AO42" s="90">
        <v>52915.489430000001</v>
      </c>
      <c r="AP42" s="90">
        <v>49857.137620000001</v>
      </c>
      <c r="AQ42" s="90">
        <v>52936.794780000004</v>
      </c>
      <c r="AR42" s="90">
        <v>50206.953710000016</v>
      </c>
      <c r="AS42" s="90">
        <v>55011.675830000007</v>
      </c>
      <c r="AT42" s="90">
        <v>54644.840460000007</v>
      </c>
      <c r="AU42" s="90">
        <v>57650.118930000011</v>
      </c>
      <c r="AV42" s="90">
        <v>60653.096239999999</v>
      </c>
      <c r="AW42" s="90">
        <v>256234.30450999999</v>
      </c>
      <c r="AX42" s="90">
        <v>256092.45060000001</v>
      </c>
      <c r="AY42" s="90">
        <v>261940.39142000003</v>
      </c>
      <c r="AZ42" s="90">
        <v>235310.27781999999</v>
      </c>
      <c r="BA42" s="90">
        <v>282059.12951999996</v>
      </c>
      <c r="BB42" s="90">
        <v>84144.740260000006</v>
      </c>
      <c r="BC42" s="90">
        <v>102132.98139</v>
      </c>
      <c r="BD42" s="90">
        <v>143283.26001</v>
      </c>
      <c r="BE42" s="90">
        <v>135298.36184</v>
      </c>
      <c r="BF42" s="90">
        <v>144588.24102000002</v>
      </c>
      <c r="BG42" s="90">
        <v>145180.95262999999</v>
      </c>
    </row>
    <row r="43" spans="1:59">
      <c r="A43" s="65" t="str">
        <f>INDEX({"IR e Contribuição Social Diferidos";"Income Tax and Social Charges Deferred"},Home!$R$30)</f>
        <v>IR e Contribuição Social Diferidos</v>
      </c>
      <c r="B43" s="90">
        <v>52673</v>
      </c>
      <c r="C43" s="90">
        <v>53174</v>
      </c>
      <c r="D43" s="90">
        <v>51488</v>
      </c>
      <c r="E43" s="90">
        <v>64021</v>
      </c>
      <c r="F43" s="90">
        <v>70542</v>
      </c>
      <c r="G43" s="90">
        <v>80302</v>
      </c>
      <c r="H43" s="90">
        <v>87876</v>
      </c>
      <c r="I43" s="90">
        <v>93980</v>
      </c>
      <c r="J43" s="90">
        <v>100525</v>
      </c>
      <c r="K43" s="90">
        <v>108207</v>
      </c>
      <c r="L43" s="90">
        <v>115159</v>
      </c>
      <c r="M43" s="90">
        <v>125946</v>
      </c>
      <c r="N43" s="90">
        <v>140038</v>
      </c>
      <c r="O43" s="90">
        <v>144710</v>
      </c>
      <c r="P43" s="90">
        <v>149314</v>
      </c>
      <c r="Q43" s="90">
        <v>165981</v>
      </c>
      <c r="R43" s="90">
        <v>175072</v>
      </c>
      <c r="S43" s="90">
        <v>173228</v>
      </c>
      <c r="T43" s="90">
        <v>186335.68</v>
      </c>
      <c r="U43" s="90">
        <v>193188.37</v>
      </c>
      <c r="V43" s="90">
        <v>199069.48</v>
      </c>
      <c r="W43" s="90">
        <v>204822.55</v>
      </c>
      <c r="X43" s="90">
        <v>217649.78</v>
      </c>
      <c r="Y43" s="90">
        <v>228714.06</v>
      </c>
      <c r="Z43" s="90">
        <v>243586.68</v>
      </c>
      <c r="AA43" s="90">
        <v>255521.14</v>
      </c>
      <c r="AB43" s="90">
        <v>256905.24</v>
      </c>
      <c r="AC43" s="90">
        <v>237757.32</v>
      </c>
      <c r="AD43" s="90">
        <v>243820.69746824008</v>
      </c>
      <c r="AE43" s="90">
        <v>240169.05025658</v>
      </c>
      <c r="AF43" s="90">
        <v>183696.49143568004</v>
      </c>
      <c r="AG43" s="90">
        <v>166234.07161186999</v>
      </c>
      <c r="AH43" s="90">
        <v>185127.06862673</v>
      </c>
      <c r="AI43" s="90">
        <v>162924.82814108997</v>
      </c>
      <c r="AJ43" s="90">
        <v>161201.04150384027</v>
      </c>
      <c r="AK43" s="90">
        <v>158141.3015342204</v>
      </c>
      <c r="AL43" s="90">
        <v>165593.45669746047</v>
      </c>
      <c r="AM43" s="90">
        <v>149169.82521748054</v>
      </c>
      <c r="AN43" s="90">
        <v>130416.03589257078</v>
      </c>
      <c r="AO43" s="90">
        <v>200659.94733029057</v>
      </c>
      <c r="AP43" s="90">
        <v>191018.94318217059</v>
      </c>
      <c r="AQ43" s="90">
        <v>169631.70008158058</v>
      </c>
      <c r="AR43" s="90">
        <v>154468.31229199062</v>
      </c>
      <c r="AS43" s="90">
        <v>137015.90761659056</v>
      </c>
      <c r="AT43" s="90">
        <v>148310.71065435058</v>
      </c>
      <c r="AU43" s="90">
        <v>140180.08680429056</v>
      </c>
      <c r="AV43" s="90">
        <v>114853.1432288004</v>
      </c>
      <c r="AW43" s="90">
        <v>48188.305198570633</v>
      </c>
      <c r="AX43" s="90">
        <v>84210.934782960583</v>
      </c>
      <c r="AY43" s="90">
        <v>78824.312379700525</v>
      </c>
      <c r="AZ43" s="90">
        <v>67265.604740500596</v>
      </c>
      <c r="BA43" s="90">
        <v>40356.942912700855</v>
      </c>
      <c r="BB43" s="90">
        <v>38276.010232100904</v>
      </c>
      <c r="BC43" s="90">
        <v>25503.375966501</v>
      </c>
      <c r="BD43" s="90">
        <v>2355.5246803008699</v>
      </c>
      <c r="BE43" s="90">
        <v>8608.8875847007093</v>
      </c>
      <c r="BF43" s="90">
        <v>-23734.56258729917</v>
      </c>
      <c r="BG43" s="90">
        <v>23417.389116900653</v>
      </c>
    </row>
    <row r="44" spans="1:59" ht="15" thickBot="1">
      <c r="A44" s="66" t="str">
        <f>INDEX({"Outras Obrigações";"Other Accounts Payable"},Home!$R$30)</f>
        <v>Outras Obrigações</v>
      </c>
      <c r="B44" s="91">
        <v>8501</v>
      </c>
      <c r="C44" s="91">
        <v>7965</v>
      </c>
      <c r="D44" s="91">
        <v>7487</v>
      </c>
      <c r="E44" s="91">
        <v>7049</v>
      </c>
      <c r="F44" s="91">
        <v>6673</v>
      </c>
      <c r="G44" s="91">
        <v>6407</v>
      </c>
      <c r="H44" s="91">
        <v>2868</v>
      </c>
      <c r="I44" s="91">
        <v>4224</v>
      </c>
      <c r="J44" s="91">
        <v>4015</v>
      </c>
      <c r="K44" s="91">
        <v>3802</v>
      </c>
      <c r="L44" s="91">
        <v>3295</v>
      </c>
      <c r="M44" s="91">
        <v>3792</v>
      </c>
      <c r="N44" s="91">
        <v>3916</v>
      </c>
      <c r="O44" s="91">
        <v>4181</v>
      </c>
      <c r="P44" s="91">
        <v>5117</v>
      </c>
      <c r="Q44" s="91">
        <v>36108</v>
      </c>
      <c r="R44" s="91">
        <v>35781</v>
      </c>
      <c r="S44" s="91">
        <v>37383</v>
      </c>
      <c r="T44" s="91">
        <v>38961.1</v>
      </c>
      <c r="U44" s="91">
        <v>61499.07</v>
      </c>
      <c r="V44" s="91">
        <v>59985.69</v>
      </c>
      <c r="W44" s="91">
        <v>64888.53</v>
      </c>
      <c r="X44" s="91">
        <v>69349.31</v>
      </c>
      <c r="Y44" s="91">
        <v>68503.17</v>
      </c>
      <c r="Z44" s="91">
        <v>60147.61</v>
      </c>
      <c r="AA44" s="91">
        <v>61068.72</v>
      </c>
      <c r="AB44" s="91">
        <v>63599.46</v>
      </c>
      <c r="AC44" s="91">
        <v>46948.59</v>
      </c>
      <c r="AD44" s="91">
        <v>43072.488879999997</v>
      </c>
      <c r="AE44" s="91">
        <v>44533.40223</v>
      </c>
      <c r="AF44" s="91">
        <v>333049.54856000002</v>
      </c>
      <c r="AG44" s="91">
        <v>386449.25682000001</v>
      </c>
      <c r="AH44" s="91">
        <v>385539.61551999993</v>
      </c>
      <c r="AI44" s="91">
        <v>389208.69480999996</v>
      </c>
      <c r="AJ44" s="91">
        <v>393572.62725000002</v>
      </c>
      <c r="AK44" s="91">
        <v>406057.70073999994</v>
      </c>
      <c r="AL44" s="91">
        <v>402597.19191000005</v>
      </c>
      <c r="AM44" s="91">
        <v>452920.63127000001</v>
      </c>
      <c r="AN44" s="91">
        <v>455037.99682000006</v>
      </c>
      <c r="AO44" s="91">
        <v>153466.10444999998</v>
      </c>
      <c r="AP44" s="91">
        <v>151999.82106000048</v>
      </c>
      <c r="AQ44" s="91">
        <v>148964.22337999998</v>
      </c>
      <c r="AR44" s="91">
        <v>170670.04233000099</v>
      </c>
      <c r="AS44" s="91">
        <v>230256.86808063718</v>
      </c>
      <c r="AT44" s="91">
        <v>227337.10702798131</v>
      </c>
      <c r="AU44" s="91">
        <v>229385.74084695015</v>
      </c>
      <c r="AV44" s="91">
        <v>228136.22923000003</v>
      </c>
      <c r="AW44" s="91">
        <v>125983.58009</v>
      </c>
      <c r="AX44" s="91">
        <v>110125.90905999999</v>
      </c>
      <c r="AY44" s="91">
        <v>98471.018830001907</v>
      </c>
      <c r="AZ44" s="91">
        <v>103505.82136000002</v>
      </c>
      <c r="BA44" s="91">
        <v>109538.47776000001</v>
      </c>
      <c r="BB44" s="91">
        <v>100773.95836</v>
      </c>
      <c r="BC44" s="91">
        <v>77625.209740000006</v>
      </c>
      <c r="BD44" s="91">
        <v>64948.087160000003</v>
      </c>
      <c r="BE44" s="91">
        <v>82491.167196861395</v>
      </c>
      <c r="BF44" s="91">
        <v>80848.110276260966</v>
      </c>
      <c r="BG44" s="91">
        <v>48458.161882606895</v>
      </c>
    </row>
    <row r="45" spans="1:59">
      <c r="A45" s="67" t="str">
        <f>INDEX({"Subtotal";"Subtotal"},Home!$R$30)</f>
        <v>Subtotal</v>
      </c>
      <c r="B45" s="92">
        <f t="shared" ref="B45:AV45" si="19">SUM(B41:B44)</f>
        <v>170129</v>
      </c>
      <c r="C45" s="92">
        <f t="shared" si="19"/>
        <v>165307</v>
      </c>
      <c r="D45" s="92">
        <f t="shared" si="19"/>
        <v>151060</v>
      </c>
      <c r="E45" s="92">
        <f t="shared" si="19"/>
        <v>212251</v>
      </c>
      <c r="F45" s="92">
        <f t="shared" si="19"/>
        <v>227366</v>
      </c>
      <c r="G45" s="92">
        <f t="shared" si="19"/>
        <v>217265</v>
      </c>
      <c r="H45" s="92">
        <f t="shared" si="19"/>
        <v>203140</v>
      </c>
      <c r="I45" s="92">
        <f t="shared" si="19"/>
        <v>267106</v>
      </c>
      <c r="J45" s="92">
        <f t="shared" si="19"/>
        <v>276442</v>
      </c>
      <c r="K45" s="92">
        <f t="shared" si="19"/>
        <v>270624</v>
      </c>
      <c r="L45" s="92">
        <f t="shared" si="19"/>
        <v>255331</v>
      </c>
      <c r="M45" s="92">
        <f t="shared" si="19"/>
        <v>322051</v>
      </c>
      <c r="N45" s="92">
        <f t="shared" si="19"/>
        <v>317609</v>
      </c>
      <c r="O45" s="92">
        <f t="shared" si="19"/>
        <v>326245</v>
      </c>
      <c r="P45" s="92">
        <f t="shared" si="19"/>
        <v>321273</v>
      </c>
      <c r="Q45" s="92">
        <f t="shared" si="19"/>
        <v>393637</v>
      </c>
      <c r="R45" s="92">
        <f t="shared" si="19"/>
        <v>398988</v>
      </c>
      <c r="S45" s="92">
        <f t="shared" si="19"/>
        <v>426934</v>
      </c>
      <c r="T45" s="92">
        <f t="shared" si="19"/>
        <v>470315.44999999995</v>
      </c>
      <c r="U45" s="92">
        <f t="shared" si="19"/>
        <v>538665.34</v>
      </c>
      <c r="V45" s="92">
        <f t="shared" si="19"/>
        <v>571907.73</v>
      </c>
      <c r="W45" s="92">
        <f t="shared" si="19"/>
        <v>791442.81</v>
      </c>
      <c r="X45" s="92">
        <f t="shared" si="19"/>
        <v>781109.12999999989</v>
      </c>
      <c r="Y45" s="92">
        <f t="shared" si="19"/>
        <v>720097.61</v>
      </c>
      <c r="Z45" s="92">
        <f t="shared" si="19"/>
        <v>697052.51</v>
      </c>
      <c r="AA45" s="92">
        <f t="shared" si="19"/>
        <v>1007055.8099999999</v>
      </c>
      <c r="AB45" s="92">
        <f t="shared" si="19"/>
        <v>992865.03999999992</v>
      </c>
      <c r="AC45" s="92">
        <f t="shared" si="19"/>
        <v>903793.91</v>
      </c>
      <c r="AD45" s="92">
        <f t="shared" si="19"/>
        <v>1128710.9042082401</v>
      </c>
      <c r="AE45" s="92">
        <f t="shared" si="19"/>
        <v>1026658.9596565799</v>
      </c>
      <c r="AF45" s="92">
        <f t="shared" si="19"/>
        <v>1567533.6928156801</v>
      </c>
      <c r="AG45" s="92">
        <f t="shared" si="19"/>
        <v>1517612.4765718698</v>
      </c>
      <c r="AH45" s="92">
        <f t="shared" si="19"/>
        <v>1519757.2109767299</v>
      </c>
      <c r="AI45" s="92">
        <f t="shared" si="19"/>
        <v>1815745.97598109</v>
      </c>
      <c r="AJ45" s="92">
        <f t="shared" si="19"/>
        <v>1820386.8291138401</v>
      </c>
      <c r="AK45" s="92">
        <f t="shared" si="19"/>
        <v>1757270.3347342203</v>
      </c>
      <c r="AL45" s="92">
        <f t="shared" si="19"/>
        <v>2062721.5499674603</v>
      </c>
      <c r="AM45" s="92">
        <f t="shared" si="19"/>
        <v>1597559.9763674804</v>
      </c>
      <c r="AN45" s="92">
        <f t="shared" si="19"/>
        <v>1574582.4955325709</v>
      </c>
      <c r="AO45" s="92">
        <f t="shared" si="19"/>
        <v>1298434.0748802905</v>
      </c>
      <c r="AP45" s="92">
        <f t="shared" si="19"/>
        <v>2028490.7446021708</v>
      </c>
      <c r="AQ45" s="92">
        <f t="shared" si="19"/>
        <v>2512911.6364615806</v>
      </c>
      <c r="AR45" s="92">
        <f t="shared" si="19"/>
        <v>2505573.1827719915</v>
      </c>
      <c r="AS45" s="92">
        <f t="shared" si="19"/>
        <v>2553832.585197228</v>
      </c>
      <c r="AT45" s="92">
        <f t="shared" si="19"/>
        <v>2262893.8424323322</v>
      </c>
      <c r="AU45" s="92">
        <f t="shared" si="19"/>
        <v>2260999.2888112408</v>
      </c>
      <c r="AV45" s="92">
        <f t="shared" si="19"/>
        <v>2927103.4793688008</v>
      </c>
      <c r="AW45" s="92">
        <f>SUM(AW41:AW44)</f>
        <v>2956507.9065385703</v>
      </c>
      <c r="AX45" s="92">
        <f t="shared" ref="AX45:AZ45" si="20">SUM(AX41:AX44)</f>
        <v>2978427.8747429606</v>
      </c>
      <c r="AY45" s="92">
        <f t="shared" si="20"/>
        <v>3442515.7344197026</v>
      </c>
      <c r="AZ45" s="92">
        <f t="shared" si="20"/>
        <v>3061229.7815805003</v>
      </c>
      <c r="BA45" s="92">
        <f t="shared" ref="BA45:BC45" si="21">SUM(BA41:BA44)</f>
        <v>3088774.6332027013</v>
      </c>
      <c r="BB45" s="92">
        <f t="shared" si="21"/>
        <v>2631686.7972521004</v>
      </c>
      <c r="BC45" s="92">
        <f t="shared" si="21"/>
        <v>2963899.4392865007</v>
      </c>
      <c r="BD45" s="92">
        <f t="shared" ref="BD45:BF45" si="22">SUM(BD41:BD44)</f>
        <v>2970702.8304803008</v>
      </c>
      <c r="BE45" s="92">
        <f t="shared" si="22"/>
        <v>3586015.9490015623</v>
      </c>
      <c r="BF45" s="92">
        <f t="shared" si="22"/>
        <v>3437792.2037289618</v>
      </c>
      <c r="BG45" s="92">
        <f t="shared" ref="BG45" si="23">SUM(BG41:BG44)</f>
        <v>3304439.9782295073</v>
      </c>
    </row>
    <row r="46" spans="1:59">
      <c r="A46" s="63"/>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row>
    <row r="47" spans="1:59">
      <c r="A47" s="64" t="str">
        <f>INDEX({"Patrimônio Líquido";"Equity"},Home!$R$30)</f>
        <v>Patrimônio Líquido</v>
      </c>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9"/>
      <c r="AR47" s="89"/>
      <c r="AS47" s="89"/>
      <c r="AT47" s="89"/>
      <c r="AU47" s="89"/>
      <c r="AV47" s="89"/>
      <c r="AW47" s="89"/>
      <c r="AX47" s="89"/>
      <c r="AY47" s="89"/>
      <c r="AZ47" s="89"/>
      <c r="BA47" s="89"/>
      <c r="BB47" s="89"/>
      <c r="BC47" s="89"/>
      <c r="BD47" s="89"/>
      <c r="BE47" s="89"/>
      <c r="BF47" s="89"/>
      <c r="BG47" s="89"/>
    </row>
    <row r="48" spans="1:59">
      <c r="A48" s="65" t="str">
        <f>INDEX({"Capital Social";"Common Stock"},Home!$R$30)</f>
        <v>Capital Social</v>
      </c>
      <c r="B48" s="90">
        <v>908639</v>
      </c>
      <c r="C48" s="90">
        <v>908639</v>
      </c>
      <c r="D48" s="90">
        <v>908639</v>
      </c>
      <c r="E48" s="90">
        <v>908639</v>
      </c>
      <c r="F48" s="90">
        <v>908639</v>
      </c>
      <c r="G48" s="90">
        <v>908639</v>
      </c>
      <c r="H48" s="90">
        <v>908639</v>
      </c>
      <c r="I48" s="90">
        <v>908639</v>
      </c>
      <c r="J48" s="90">
        <v>909407</v>
      </c>
      <c r="K48" s="90">
        <v>909407</v>
      </c>
      <c r="L48" s="90">
        <v>909407</v>
      </c>
      <c r="M48" s="90">
        <v>909407</v>
      </c>
      <c r="N48" s="90">
        <v>909407</v>
      </c>
      <c r="O48" s="90">
        <v>909407</v>
      </c>
      <c r="P48" s="90">
        <v>909407</v>
      </c>
      <c r="Q48" s="90">
        <v>1808639</v>
      </c>
      <c r="R48" s="90">
        <v>1808639</v>
      </c>
      <c r="S48" s="90">
        <v>1808639</v>
      </c>
      <c r="T48" s="90">
        <v>1808639</v>
      </c>
      <c r="U48" s="90">
        <v>1808639.25</v>
      </c>
      <c r="V48" s="90">
        <v>1808639.25</v>
      </c>
      <c r="W48" s="90">
        <v>1808639.25</v>
      </c>
      <c r="X48" s="90">
        <v>1808639.25</v>
      </c>
      <c r="Y48" s="90">
        <v>1808639.25</v>
      </c>
      <c r="Z48" s="90">
        <v>1808639.25</v>
      </c>
      <c r="AA48" s="90">
        <v>1808639.25</v>
      </c>
      <c r="AB48" s="90">
        <v>1808639.25</v>
      </c>
      <c r="AC48" s="90">
        <v>1808639.25</v>
      </c>
      <c r="AD48" s="90">
        <v>1808639.2545699999</v>
      </c>
      <c r="AE48" s="90">
        <v>2500000</v>
      </c>
      <c r="AF48" s="90">
        <v>2500000</v>
      </c>
      <c r="AG48" s="90">
        <v>2500000</v>
      </c>
      <c r="AH48" s="90">
        <v>2500000</v>
      </c>
      <c r="AI48" s="90">
        <v>2500000</v>
      </c>
      <c r="AJ48" s="90">
        <v>2500000</v>
      </c>
      <c r="AK48" s="90">
        <v>2500000</v>
      </c>
      <c r="AL48" s="90">
        <v>2500000</v>
      </c>
      <c r="AM48" s="90">
        <v>2500000</v>
      </c>
      <c r="AN48" s="90">
        <v>2500000</v>
      </c>
      <c r="AO48" s="90">
        <v>2500000</v>
      </c>
      <c r="AP48" s="90">
        <v>2500000</v>
      </c>
      <c r="AQ48" s="90">
        <v>2500000</v>
      </c>
      <c r="AR48" s="90">
        <v>2500000</v>
      </c>
      <c r="AS48" s="90">
        <v>2500000</v>
      </c>
      <c r="AT48" s="90">
        <v>2500000</v>
      </c>
      <c r="AU48" s="90">
        <v>4000000</v>
      </c>
      <c r="AV48" s="90">
        <v>4000000</v>
      </c>
      <c r="AW48" s="90">
        <v>4000000</v>
      </c>
      <c r="AX48" s="90">
        <v>4000000</v>
      </c>
      <c r="AY48" s="90">
        <v>4000000</v>
      </c>
      <c r="AZ48" s="90">
        <v>4000000</v>
      </c>
      <c r="BA48" s="90">
        <v>4000000</v>
      </c>
      <c r="BB48" s="90">
        <v>4000000</v>
      </c>
      <c r="BC48" s="90">
        <v>4000000</v>
      </c>
      <c r="BD48" s="90">
        <v>4000000</v>
      </c>
      <c r="BE48" s="90">
        <v>4750000</v>
      </c>
      <c r="BF48" s="90">
        <v>4750000</v>
      </c>
      <c r="BG48" s="90">
        <v>4750000</v>
      </c>
    </row>
    <row r="49" spans="1:59">
      <c r="A49" s="65" t="str">
        <f>INDEX({"Reservas de Capital";"Capital Reserves"},Home!$R$30)</f>
        <v>Reservas de Capital</v>
      </c>
      <c r="B49" s="90">
        <v>1039935</v>
      </c>
      <c r="C49" s="90">
        <v>1039935</v>
      </c>
      <c r="D49" s="90">
        <v>1039935</v>
      </c>
      <c r="E49" s="90">
        <v>1039935</v>
      </c>
      <c r="F49" s="90">
        <v>1039935</v>
      </c>
      <c r="G49" s="90">
        <v>1039935</v>
      </c>
      <c r="H49" s="90">
        <v>1039935</v>
      </c>
      <c r="I49" s="90">
        <v>1039935</v>
      </c>
      <c r="J49" s="90">
        <v>1039935</v>
      </c>
      <c r="K49" s="90">
        <v>1019037</v>
      </c>
      <c r="L49" s="90">
        <v>1019036</v>
      </c>
      <c r="M49" s="90">
        <v>1019791</v>
      </c>
      <c r="N49" s="90">
        <v>1020249</v>
      </c>
      <c r="O49" s="90">
        <v>1021170</v>
      </c>
      <c r="P49" s="90">
        <v>1022266</v>
      </c>
      <c r="Q49" s="90">
        <v>128767</v>
      </c>
      <c r="R49" s="90">
        <v>133262</v>
      </c>
      <c r="S49" s="90">
        <v>136222</v>
      </c>
      <c r="T49" s="90">
        <v>139192.19</v>
      </c>
      <c r="U49" s="90">
        <v>138553.21</v>
      </c>
      <c r="V49" s="90">
        <v>141318.70000000001</v>
      </c>
      <c r="W49" s="90">
        <v>144731.10999999999</v>
      </c>
      <c r="X49" s="90">
        <v>148038.51</v>
      </c>
      <c r="Y49" s="90">
        <v>151155.85999999999</v>
      </c>
      <c r="Z49" s="90">
        <v>107490.12</v>
      </c>
      <c r="AA49" s="90">
        <v>110345.78</v>
      </c>
      <c r="AB49" s="90">
        <v>113517.77</v>
      </c>
      <c r="AC49" s="90">
        <v>116363.25</v>
      </c>
      <c r="AD49" s="90">
        <v>119551.95929000001</v>
      </c>
      <c r="AE49" s="90">
        <v>122833.21170000001</v>
      </c>
      <c r="AF49" s="90">
        <v>126572.45004000001</v>
      </c>
      <c r="AG49" s="90">
        <v>129768.45095</v>
      </c>
      <c r="AH49" s="90">
        <v>133213.37675000002</v>
      </c>
      <c r="AI49" s="90">
        <v>137812.60282</v>
      </c>
      <c r="AJ49" s="90">
        <v>142880.23934999999</v>
      </c>
      <c r="AK49" s="90">
        <v>148028.74849999999</v>
      </c>
      <c r="AL49" s="90">
        <v>146824.28104</v>
      </c>
      <c r="AM49" s="90">
        <v>152448.22496000002</v>
      </c>
      <c r="AN49" s="90">
        <v>84567.090230000016</v>
      </c>
      <c r="AO49" s="90">
        <v>89914.14264000002</v>
      </c>
      <c r="AP49" s="90">
        <v>88980.819589999985</v>
      </c>
      <c r="AQ49" s="90">
        <v>95407.007709999976</v>
      </c>
      <c r="AR49" s="90">
        <v>105463.66503</v>
      </c>
      <c r="AS49" s="90">
        <v>112761.55774</v>
      </c>
      <c r="AT49" s="90">
        <v>115466.06898</v>
      </c>
      <c r="AU49" s="90">
        <v>125745.61203999999</v>
      </c>
      <c r="AV49" s="90">
        <v>136616.61649000001</v>
      </c>
      <c r="AW49" s="90">
        <v>146560.12138999999</v>
      </c>
      <c r="AX49" s="90">
        <v>145371.88894999999</v>
      </c>
      <c r="AY49" s="90">
        <v>157622.87044999999</v>
      </c>
      <c r="AZ49" s="90">
        <v>168672.71186000001</v>
      </c>
      <c r="BA49" s="90">
        <v>111309.31421999999</v>
      </c>
      <c r="BB49" s="90">
        <v>117893.70411000001</v>
      </c>
      <c r="BC49" s="90">
        <v>131106.60805000001</v>
      </c>
      <c r="BD49" s="90">
        <v>125346.4224</v>
      </c>
      <c r="BE49" s="90">
        <v>139290.52901</v>
      </c>
      <c r="BF49" s="90">
        <v>149003.85320000001</v>
      </c>
      <c r="BG49" s="90">
        <v>159823.23319</v>
      </c>
    </row>
    <row r="50" spans="1:59">
      <c r="A50" s="65" t="str">
        <f>INDEX({"Reserva de Reavaliação";"Revaluation Reserve"},Home!$R$30)</f>
        <v>Reserva de Reavaliação</v>
      </c>
      <c r="B50" s="90">
        <v>13275</v>
      </c>
      <c r="C50" s="90">
        <v>13224</v>
      </c>
      <c r="D50" s="90">
        <v>13174</v>
      </c>
      <c r="E50" s="90">
        <v>13127</v>
      </c>
      <c r="F50" s="90">
        <v>13057</v>
      </c>
      <c r="G50" s="90">
        <v>13034</v>
      </c>
      <c r="H50" s="90">
        <v>12988</v>
      </c>
      <c r="I50" s="90">
        <v>12941</v>
      </c>
      <c r="J50" s="90">
        <v>12895</v>
      </c>
      <c r="K50" s="90">
        <v>12848</v>
      </c>
      <c r="L50" s="90">
        <v>12802</v>
      </c>
      <c r="M50" s="90">
        <v>12755</v>
      </c>
      <c r="N50" s="90">
        <v>12708</v>
      </c>
      <c r="O50" s="90">
        <v>12662</v>
      </c>
      <c r="P50" s="90">
        <v>12616</v>
      </c>
      <c r="Q50" s="90">
        <v>12569</v>
      </c>
      <c r="R50" s="90">
        <v>12523</v>
      </c>
      <c r="S50" s="90">
        <v>12476</v>
      </c>
      <c r="T50" s="90">
        <v>12429.63</v>
      </c>
      <c r="U50" s="90">
        <v>12383.13</v>
      </c>
      <c r="V50" s="90">
        <v>12336.62</v>
      </c>
      <c r="W50" s="90">
        <v>12290.12</v>
      </c>
      <c r="X50" s="90">
        <v>12243.62</v>
      </c>
      <c r="Y50" s="90">
        <v>12197.12</v>
      </c>
      <c r="Z50" s="90">
        <v>12152.9</v>
      </c>
      <c r="AA50" s="90">
        <v>12109.35</v>
      </c>
      <c r="AB50" s="90">
        <v>12065.8</v>
      </c>
      <c r="AC50" s="90">
        <v>12022.26</v>
      </c>
      <c r="AD50" s="90">
        <v>11978.713750000001</v>
      </c>
      <c r="AE50" s="90">
        <v>11935.168420000002</v>
      </c>
      <c r="AF50" s="90">
        <v>11891.62311</v>
      </c>
      <c r="AG50" s="90">
        <v>11848.077709999998</v>
      </c>
      <c r="AH50" s="90">
        <v>11805.151619999997</v>
      </c>
      <c r="AI50" s="90">
        <v>11762.284529999997</v>
      </c>
      <c r="AJ50" s="90">
        <v>11719.417449999999</v>
      </c>
      <c r="AK50" s="90">
        <v>11676.550329999998</v>
      </c>
      <c r="AL50" s="90">
        <v>11635.370269999996</v>
      </c>
      <c r="AM50" s="90">
        <v>11595.036049999997</v>
      </c>
      <c r="AN50" s="90">
        <v>11554.701840000002</v>
      </c>
      <c r="AO50" s="90">
        <v>11514.36757</v>
      </c>
      <c r="AP50" s="90">
        <v>11474.033329999995</v>
      </c>
      <c r="AQ50" s="90">
        <v>11433.69911</v>
      </c>
      <c r="AR50" s="90">
        <v>11384.605440000001</v>
      </c>
      <c r="AS50" s="90">
        <v>11353.03061</v>
      </c>
      <c r="AT50" s="90">
        <v>11312.696300000005</v>
      </c>
      <c r="AU50" s="90">
        <v>11273.30264</v>
      </c>
      <c r="AV50" s="90">
        <v>11241.93413</v>
      </c>
      <c r="AW50" s="90">
        <v>11210.565599999998</v>
      </c>
      <c r="AX50" s="90">
        <v>11179.197059999999</v>
      </c>
      <c r="AY50" s="90">
        <v>11147.828569999998</v>
      </c>
      <c r="AZ50" s="90">
        <v>11116.460050000002</v>
      </c>
      <c r="BA50" s="90">
        <v>11085.091529999998</v>
      </c>
      <c r="BB50" s="90">
        <v>11053.72299</v>
      </c>
      <c r="BC50" s="90">
        <v>11022.354499999999</v>
      </c>
      <c r="BD50" s="90">
        <v>10990.965980000001</v>
      </c>
      <c r="BE50" s="90">
        <v>10959.597519999999</v>
      </c>
      <c r="BF50" s="90">
        <v>10928.078459999997</v>
      </c>
      <c r="BG50" s="90">
        <v>10895.274219999999</v>
      </c>
    </row>
    <row r="51" spans="1:59">
      <c r="A51" s="65" t="str">
        <f>INDEX({"Reservas de Lucros";"Income Reserves"},Home!$R$30)</f>
        <v>Reservas de Lucros</v>
      </c>
      <c r="B51" s="90">
        <v>229536</v>
      </c>
      <c r="C51" s="90">
        <v>229537</v>
      </c>
      <c r="D51" s="90">
        <v>229536</v>
      </c>
      <c r="E51" s="90">
        <v>294721</v>
      </c>
      <c r="F51" s="90">
        <v>294721</v>
      </c>
      <c r="G51" s="90">
        <v>294721</v>
      </c>
      <c r="H51" s="90">
        <v>294721</v>
      </c>
      <c r="I51" s="90">
        <v>357170</v>
      </c>
      <c r="J51" s="90">
        <v>357169</v>
      </c>
      <c r="K51" s="90">
        <v>357169</v>
      </c>
      <c r="L51" s="90">
        <v>357169</v>
      </c>
      <c r="M51" s="90">
        <v>475420</v>
      </c>
      <c r="N51" s="90">
        <v>475420</v>
      </c>
      <c r="O51" s="90">
        <v>475420</v>
      </c>
      <c r="P51" s="90">
        <v>475420</v>
      </c>
      <c r="Q51" s="90">
        <v>665821</v>
      </c>
      <c r="R51" s="90">
        <v>665820</v>
      </c>
      <c r="S51" s="90">
        <v>665820</v>
      </c>
      <c r="T51" s="90">
        <v>665820</v>
      </c>
      <c r="U51" s="90">
        <v>919116.94</v>
      </c>
      <c r="V51" s="90">
        <v>919116.94</v>
      </c>
      <c r="W51" s="90">
        <v>919116.94</v>
      </c>
      <c r="X51" s="90">
        <v>919116.94</v>
      </c>
      <c r="Y51" s="90">
        <v>1228148.6499999999</v>
      </c>
      <c r="Z51" s="90">
        <v>1228148.6499999999</v>
      </c>
      <c r="AA51" s="90">
        <v>1228148.6499999999</v>
      </c>
      <c r="AB51" s="90">
        <v>1228148.6499999999</v>
      </c>
      <c r="AC51" s="90">
        <v>1522073.26</v>
      </c>
      <c r="AD51" s="90">
        <v>1522073.2566600002</v>
      </c>
      <c r="AE51" s="90">
        <v>830712.51123000006</v>
      </c>
      <c r="AF51" s="90">
        <v>830712.51123000006</v>
      </c>
      <c r="AG51" s="90">
        <v>1429597.3525999999</v>
      </c>
      <c r="AH51" s="90">
        <v>1429597.3525999999</v>
      </c>
      <c r="AI51" s="90">
        <v>1429597.3525999999</v>
      </c>
      <c r="AJ51" s="90">
        <v>1429597.3525999999</v>
      </c>
      <c r="AK51" s="90">
        <v>1780379.4083999998</v>
      </c>
      <c r="AL51" s="90">
        <v>1780379.4083999998</v>
      </c>
      <c r="AM51" s="90">
        <v>1780379.4083999998</v>
      </c>
      <c r="AN51" s="90">
        <v>1780379.4083999998</v>
      </c>
      <c r="AO51" s="90">
        <v>2267879.1848162119</v>
      </c>
      <c r="AP51" s="90">
        <v>2267879.1848162119</v>
      </c>
      <c r="AQ51" s="90">
        <v>2267879.1848162119</v>
      </c>
      <c r="AR51" s="90">
        <v>2267879.1848162119</v>
      </c>
      <c r="AS51" s="90">
        <v>2781229.0097062122</v>
      </c>
      <c r="AT51" s="90">
        <v>2781229.0097062127</v>
      </c>
      <c r="AU51" s="90">
        <v>1281229.009706211</v>
      </c>
      <c r="AV51" s="90">
        <v>1281229.009706211</v>
      </c>
      <c r="AW51" s="90">
        <v>1871200.27345123</v>
      </c>
      <c r="AX51" s="90">
        <v>1871200.2734512298</v>
      </c>
      <c r="AY51" s="90">
        <v>1871214.5250812299</v>
      </c>
      <c r="AZ51" s="90">
        <v>1871214.5250812299</v>
      </c>
      <c r="BA51" s="90">
        <v>2529319.6761016008</v>
      </c>
      <c r="BB51" s="90">
        <v>2529319.6761015998</v>
      </c>
      <c r="BC51" s="90">
        <v>2529319.6761015998</v>
      </c>
      <c r="BD51" s="90">
        <v>2529319.6761015998</v>
      </c>
      <c r="BE51" s="90">
        <v>2489083.9523495999</v>
      </c>
      <c r="BF51" s="90">
        <v>2489083.9523495981</v>
      </c>
      <c r="BG51" s="90">
        <v>2489083.9523495981</v>
      </c>
    </row>
    <row r="52" spans="1:59">
      <c r="A52" s="65" t="str">
        <f>INDEX({"Lucros Acumulados";"Accrued Income"},Home!$R$30)</f>
        <v>Lucros Acumulados</v>
      </c>
      <c r="B52" s="90">
        <v>12437</v>
      </c>
      <c r="C52" s="90">
        <v>43451</v>
      </c>
      <c r="D52" s="90">
        <v>63731</v>
      </c>
      <c r="E52" s="90">
        <v>0</v>
      </c>
      <c r="F52" s="90">
        <v>10949</v>
      </c>
      <c r="G52" s="90">
        <v>35420</v>
      </c>
      <c r="H52" s="90">
        <v>48584</v>
      </c>
      <c r="I52" s="90">
        <v>0</v>
      </c>
      <c r="J52" s="90">
        <v>21392</v>
      </c>
      <c r="K52" s="90">
        <v>62950</v>
      </c>
      <c r="L52" s="90">
        <v>109733</v>
      </c>
      <c r="M52" s="90">
        <v>1137</v>
      </c>
      <c r="N52" s="90">
        <v>39645</v>
      </c>
      <c r="O52" s="90">
        <v>112903</v>
      </c>
      <c r="P52" s="90">
        <v>156421</v>
      </c>
      <c r="Q52" s="90">
        <v>0</v>
      </c>
      <c r="R52" s="90">
        <v>42347</v>
      </c>
      <c r="S52" s="90">
        <v>149930</v>
      </c>
      <c r="T52" s="90">
        <v>216620.65</v>
      </c>
      <c r="U52" s="90">
        <v>0</v>
      </c>
      <c r="V52" s="90">
        <v>52902.69</v>
      </c>
      <c r="W52" s="90">
        <v>141512.17000000001</v>
      </c>
      <c r="X52" s="90">
        <v>226618.76</v>
      </c>
      <c r="Y52" s="90">
        <v>0</v>
      </c>
      <c r="Z52" s="90">
        <v>69998.14</v>
      </c>
      <c r="AA52" s="90">
        <v>156256.07999999999</v>
      </c>
      <c r="AB52" s="90">
        <v>232246.86</v>
      </c>
      <c r="AC52" s="90">
        <v>0</v>
      </c>
      <c r="AD52" s="90">
        <v>43105.123677760217</v>
      </c>
      <c r="AE52" s="90">
        <v>138837.30299342022</v>
      </c>
      <c r="AF52" s="90">
        <v>558127.96144876257</v>
      </c>
      <c r="AG52" s="90">
        <v>2.3628596663475038E-5</v>
      </c>
      <c r="AH52" s="90">
        <v>98159.996654139788</v>
      </c>
      <c r="AI52" s="90">
        <v>108149.53908377963</v>
      </c>
      <c r="AJ52" s="90">
        <v>232616.48579853031</v>
      </c>
      <c r="AK52" s="90">
        <v>0</v>
      </c>
      <c r="AL52" s="90">
        <v>142892.69390275894</v>
      </c>
      <c r="AM52" s="90">
        <v>358641.01064573979</v>
      </c>
      <c r="AN52" s="90">
        <v>527500.20336914982</v>
      </c>
      <c r="AO52" s="90">
        <v>0</v>
      </c>
      <c r="AP52" s="90">
        <v>84360.481810119425</v>
      </c>
      <c r="AQ52" s="90">
        <v>374317.47901721305</v>
      </c>
      <c r="AR52" s="90">
        <v>405666.00066330266</v>
      </c>
      <c r="AS52" s="90">
        <v>-1.1920928955078125E-9</v>
      </c>
      <c r="AT52" s="90">
        <v>120644.38591624335</v>
      </c>
      <c r="AU52" s="90">
        <v>377272.04313730012</v>
      </c>
      <c r="AV52" s="90">
        <v>578245.66391429049</v>
      </c>
      <c r="AW52" s="90">
        <v>0</v>
      </c>
      <c r="AX52" s="90">
        <v>135603.47835910969</v>
      </c>
      <c r="AY52" s="90">
        <v>404934.96818336687</v>
      </c>
      <c r="AZ52" s="90">
        <v>542903.73683256714</v>
      </c>
      <c r="BA52" s="90">
        <v>0</v>
      </c>
      <c r="BB52" s="90">
        <v>62099.4523606027</v>
      </c>
      <c r="BC52" s="90">
        <v>322824.226666203</v>
      </c>
      <c r="BD52" s="90">
        <v>666109.27671240305</v>
      </c>
      <c r="BE52" s="90">
        <v>0</v>
      </c>
      <c r="BF52" s="90">
        <v>22827.997791999282</v>
      </c>
      <c r="BG52" s="90">
        <v>261045.83187779947</v>
      </c>
    </row>
    <row r="53" spans="1:59">
      <c r="A53" s="65" t="str">
        <f>INDEX({"Ajustes de Avaliação Patrimonial";"Equity Adjustments"},Home!$R$30)</f>
        <v>Ajustes de Avaliação Patrimonial</v>
      </c>
      <c r="B53" s="90">
        <v>0</v>
      </c>
      <c r="C53" s="90">
        <v>0</v>
      </c>
      <c r="D53" s="90">
        <v>0</v>
      </c>
      <c r="E53" s="90">
        <v>0</v>
      </c>
      <c r="F53" s="90">
        <v>0</v>
      </c>
      <c r="G53" s="90">
        <v>0</v>
      </c>
      <c r="H53" s="90">
        <v>0</v>
      </c>
      <c r="I53" s="90">
        <v>0</v>
      </c>
      <c r="J53" s="90">
        <v>0</v>
      </c>
      <c r="K53" s="90">
        <v>0</v>
      </c>
      <c r="L53" s="90">
        <v>0</v>
      </c>
      <c r="M53" s="90">
        <v>0</v>
      </c>
      <c r="N53" s="90">
        <v>0</v>
      </c>
      <c r="O53" s="90">
        <v>0</v>
      </c>
      <c r="P53" s="90">
        <v>0</v>
      </c>
      <c r="Q53" s="90">
        <v>-30230</v>
      </c>
      <c r="R53" s="90">
        <v>-30230</v>
      </c>
      <c r="S53" s="90">
        <v>-30230</v>
      </c>
      <c r="T53" s="90">
        <v>-30230</v>
      </c>
      <c r="U53" s="90">
        <v>-30230.3</v>
      </c>
      <c r="V53" s="90">
        <v>-30230.3</v>
      </c>
      <c r="W53" s="90">
        <v>-30230.3</v>
      </c>
      <c r="X53" s="90">
        <v>-30230.3</v>
      </c>
      <c r="Y53" s="90">
        <v>-30230.3</v>
      </c>
      <c r="Z53" s="90">
        <v>-30230.3</v>
      </c>
      <c r="AA53" s="90">
        <v>-30230.3</v>
      </c>
      <c r="AB53" s="90">
        <v>-30230.3</v>
      </c>
      <c r="AC53" s="90">
        <v>-30230.3</v>
      </c>
      <c r="AD53" s="90">
        <v>-30230.295409999999</v>
      </c>
      <c r="AE53" s="90">
        <v>-30230.295409999999</v>
      </c>
      <c r="AF53" s="90">
        <v>-30230.295409999999</v>
      </c>
      <c r="AG53" s="90">
        <v>-30230.295409999999</v>
      </c>
      <c r="AH53" s="90">
        <v>-30230.295409999999</v>
      </c>
      <c r="AI53" s="90">
        <v>-30230.295409999999</v>
      </c>
      <c r="AJ53" s="90">
        <v>-30230.295409999999</v>
      </c>
      <c r="AK53" s="90">
        <v>-30230.295409999999</v>
      </c>
      <c r="AL53" s="90">
        <v>-30230.295409999999</v>
      </c>
      <c r="AM53" s="90">
        <v>3820.8615799999943</v>
      </c>
      <c r="AN53" s="90">
        <v>3820.8615799999943</v>
      </c>
      <c r="AO53" s="90">
        <v>3261.1539799999928</v>
      </c>
      <c r="AP53" s="90">
        <v>3261.1539799999928</v>
      </c>
      <c r="AQ53" s="90">
        <v>613.30774999999301</v>
      </c>
      <c r="AR53" s="90">
        <v>3261.1539799999928</v>
      </c>
      <c r="AS53" s="90">
        <v>-22.237980000006967</v>
      </c>
      <c r="AT53" s="90">
        <v>2808.858049999993</v>
      </c>
      <c r="AU53" s="90">
        <v>-3147.9309300000073</v>
      </c>
      <c r="AV53" s="90">
        <v>3261.1539799999928</v>
      </c>
      <c r="AW53" s="90">
        <v>3261.1539799999928</v>
      </c>
      <c r="AX53" s="90">
        <v>2059.2921399999927</v>
      </c>
      <c r="AY53" s="90">
        <v>62571.150529999999</v>
      </c>
      <c r="AZ53" s="90">
        <v>62688.002480000003</v>
      </c>
      <c r="BA53" s="90">
        <v>62968.916669999999</v>
      </c>
      <c r="BB53" s="90">
        <v>62968.916669999999</v>
      </c>
      <c r="BC53" s="90">
        <v>62968.916669999999</v>
      </c>
      <c r="BD53" s="90">
        <v>62968.916669999999</v>
      </c>
      <c r="BE53" s="90">
        <v>62968.916669999999</v>
      </c>
      <c r="BF53" s="90">
        <v>62968.916669999999</v>
      </c>
      <c r="BG53" s="90">
        <v>63022.903060000004</v>
      </c>
    </row>
    <row r="54" spans="1:59">
      <c r="A54" s="65" t="str">
        <f>INDEX({"Participação de Não Controladores";"Non Controller Interest"},Home!$R$30)</f>
        <v>Participação de Não Controladores</v>
      </c>
      <c r="B54" s="90">
        <v>0</v>
      </c>
      <c r="C54" s="90">
        <v>0</v>
      </c>
      <c r="D54" s="90">
        <v>0</v>
      </c>
      <c r="E54" s="90">
        <v>0</v>
      </c>
      <c r="F54" s="90">
        <v>0</v>
      </c>
      <c r="G54" s="90">
        <v>0</v>
      </c>
      <c r="H54" s="90">
        <v>0</v>
      </c>
      <c r="I54" s="90">
        <v>0</v>
      </c>
      <c r="J54" s="90">
        <v>0</v>
      </c>
      <c r="K54" s="90">
        <v>0</v>
      </c>
      <c r="L54" s="90">
        <v>0</v>
      </c>
      <c r="M54" s="90">
        <v>0</v>
      </c>
      <c r="N54" s="90">
        <v>0</v>
      </c>
      <c r="O54" s="90">
        <v>0</v>
      </c>
      <c r="P54" s="90">
        <v>0</v>
      </c>
      <c r="Q54" s="90">
        <v>22989</v>
      </c>
      <c r="R54" s="90">
        <v>23119</v>
      </c>
      <c r="S54" s="90">
        <v>24906</v>
      </c>
      <c r="T54" s="90">
        <v>25945.03</v>
      </c>
      <c r="U54" s="90">
        <v>26168.69</v>
      </c>
      <c r="V54" s="90">
        <v>26314.44</v>
      </c>
      <c r="W54" s="90">
        <v>27190.46</v>
      </c>
      <c r="X54" s="90">
        <v>27622.91</v>
      </c>
      <c r="Y54" s="90">
        <v>27859.64</v>
      </c>
      <c r="Z54" s="90">
        <v>28193.48</v>
      </c>
      <c r="AA54" s="90">
        <v>29391.58</v>
      </c>
      <c r="AB54" s="90">
        <v>30467.41</v>
      </c>
      <c r="AC54" s="90">
        <v>34911.42</v>
      </c>
      <c r="AD54" s="90">
        <v>36908.096652727276</v>
      </c>
      <c r="AE54" s="90">
        <v>39223.759682727279</v>
      </c>
      <c r="AF54" s="90">
        <v>42446.285742727276</v>
      </c>
      <c r="AG54" s="90">
        <v>51420.690652727273</v>
      </c>
      <c r="AH54" s="90">
        <v>52143.644862727277</v>
      </c>
      <c r="AI54" s="90">
        <v>53691.003452727273</v>
      </c>
      <c r="AJ54" s="90">
        <v>53984.080682727275</v>
      </c>
      <c r="AK54" s="90">
        <v>62530.620212727277</v>
      </c>
      <c r="AL54" s="90">
        <v>64468.071482727275</v>
      </c>
      <c r="AM54" s="90">
        <v>31469.332610000005</v>
      </c>
      <c r="AN54" s="90">
        <v>35415.811600000001</v>
      </c>
      <c r="AO54" s="90">
        <v>41169.639665824994</v>
      </c>
      <c r="AP54" s="90">
        <v>43585.121485449999</v>
      </c>
      <c r="AQ54" s="90">
        <v>51298.681674474996</v>
      </c>
      <c r="AR54" s="90">
        <v>54903.028328749999</v>
      </c>
      <c r="AS54" s="90">
        <v>62131.701410000001</v>
      </c>
      <c r="AT54" s="90">
        <v>65076.362050000003</v>
      </c>
      <c r="AU54" s="90">
        <v>69898.661800000002</v>
      </c>
      <c r="AV54" s="90">
        <v>73233.328699999984</v>
      </c>
      <c r="AW54" s="90">
        <v>72391.373259999993</v>
      </c>
      <c r="AX54" s="90">
        <v>73402.464250000005</v>
      </c>
      <c r="AY54" s="90">
        <v>13611.2125</v>
      </c>
      <c r="AZ54" s="90">
        <v>13573.282039999998</v>
      </c>
      <c r="BA54" s="90">
        <v>13528.911599999999</v>
      </c>
      <c r="BB54" s="90">
        <v>14117.01324</v>
      </c>
      <c r="BC54" s="90">
        <v>14938.53003</v>
      </c>
      <c r="BD54" s="90">
        <v>14437.007250000001</v>
      </c>
      <c r="BE54" s="90">
        <v>14068.55306</v>
      </c>
      <c r="BF54" s="90">
        <v>0</v>
      </c>
      <c r="BG54" s="90">
        <v>0</v>
      </c>
    </row>
    <row r="55" spans="1:59" ht="15" thickBot="1">
      <c r="A55" s="66" t="str">
        <f>INDEX({"Dividendo Adicional Proposto";"Additional Dividend Proposed"},Home!$R$30)</f>
        <v>Dividendo Adicional Proposto</v>
      </c>
      <c r="B55" s="91">
        <v>9738</v>
      </c>
      <c r="C55" s="91">
        <v>0</v>
      </c>
      <c r="D55" s="91">
        <v>0</v>
      </c>
      <c r="E55" s="91">
        <v>8237</v>
      </c>
      <c r="F55" s="91">
        <v>8237</v>
      </c>
      <c r="G55" s="91">
        <v>0</v>
      </c>
      <c r="H55" s="91">
        <v>0</v>
      </c>
      <c r="I55" s="91">
        <v>8298</v>
      </c>
      <c r="J55" s="91">
        <v>8298</v>
      </c>
      <c r="K55" s="91">
        <v>0</v>
      </c>
      <c r="L55" s="91">
        <v>0</v>
      </c>
      <c r="M55" s="91">
        <v>40331</v>
      </c>
      <c r="N55" s="91">
        <v>40331</v>
      </c>
      <c r="O55" s="91">
        <v>0</v>
      </c>
      <c r="P55" s="91">
        <v>0</v>
      </c>
      <c r="Q55" s="91">
        <v>48243</v>
      </c>
      <c r="R55" s="91">
        <v>0</v>
      </c>
      <c r="S55" s="91">
        <v>0</v>
      </c>
      <c r="T55" s="91">
        <v>0</v>
      </c>
      <c r="U55" s="91">
        <v>61324.09</v>
      </c>
      <c r="V55" s="91">
        <v>0</v>
      </c>
      <c r="W55" s="91">
        <v>0</v>
      </c>
      <c r="X55" s="91">
        <v>0</v>
      </c>
      <c r="Y55" s="91">
        <v>52602.19</v>
      </c>
      <c r="Z55" s="91">
        <v>0</v>
      </c>
      <c r="AA55" s="91">
        <v>0</v>
      </c>
      <c r="AB55" s="91">
        <v>0</v>
      </c>
      <c r="AC55" s="91">
        <v>70989.789999999994</v>
      </c>
      <c r="AD55" s="91">
        <v>70989.787159999993</v>
      </c>
      <c r="AE55" s="91">
        <v>0</v>
      </c>
      <c r="AF55" s="91">
        <v>0</v>
      </c>
      <c r="AG55" s="91">
        <v>41643.092479999999</v>
      </c>
      <c r="AH55" s="91">
        <v>41643.092479999999</v>
      </c>
      <c r="AI55" s="91">
        <v>0</v>
      </c>
      <c r="AJ55" s="91">
        <v>0</v>
      </c>
      <c r="AK55" s="91">
        <v>69478.136790000004</v>
      </c>
      <c r="AL55" s="91">
        <v>0</v>
      </c>
      <c r="AM55" s="91">
        <v>0</v>
      </c>
      <c r="AN55" s="91">
        <v>0</v>
      </c>
      <c r="AO55" s="91">
        <v>22129.13221</v>
      </c>
      <c r="AP55" s="91">
        <v>22129.13221</v>
      </c>
      <c r="AQ55" s="91">
        <v>0</v>
      </c>
      <c r="AR55" s="91">
        <v>0</v>
      </c>
      <c r="AS55" s="91">
        <v>167526.41464999999</v>
      </c>
      <c r="AT55" s="91">
        <v>167526.41464999999</v>
      </c>
      <c r="AU55" s="91">
        <v>-5.0000000000000002E-5</v>
      </c>
      <c r="AV55" s="91">
        <v>0</v>
      </c>
      <c r="AW55" s="91">
        <v>217597.88268000001</v>
      </c>
      <c r="AX55" s="91">
        <v>217597.88268000001</v>
      </c>
      <c r="AY55" s="91">
        <v>0</v>
      </c>
      <c r="AZ55" s="91">
        <v>0</v>
      </c>
      <c r="BA55" s="91">
        <v>69895.383950000003</v>
      </c>
      <c r="BB55" s="91">
        <v>69895.383950000003</v>
      </c>
      <c r="BC55" s="91">
        <v>0</v>
      </c>
      <c r="BD55" s="91">
        <v>0</v>
      </c>
      <c r="BE55" s="91">
        <v>283183.78266999999</v>
      </c>
      <c r="BF55" s="91">
        <v>283183.78267000004</v>
      </c>
      <c r="BG55" s="91">
        <v>0</v>
      </c>
    </row>
    <row r="56" spans="1:59">
      <c r="A56" s="67" t="str">
        <f>INDEX({"Subtotal";"Subtotal"},Home!$R$30)</f>
        <v>Subtotal</v>
      </c>
      <c r="B56" s="92">
        <f t="shared" ref="B56:AV56" si="24">SUM(B48:B55)</f>
        <v>2213560</v>
      </c>
      <c r="C56" s="92">
        <f t="shared" si="24"/>
        <v>2234786</v>
      </c>
      <c r="D56" s="92">
        <f t="shared" si="24"/>
        <v>2255015</v>
      </c>
      <c r="E56" s="92">
        <f t="shared" si="24"/>
        <v>2264659</v>
      </c>
      <c r="F56" s="92">
        <f t="shared" si="24"/>
        <v>2275538</v>
      </c>
      <c r="G56" s="92">
        <f t="shared" si="24"/>
        <v>2291749</v>
      </c>
      <c r="H56" s="92">
        <f t="shared" si="24"/>
        <v>2304867</v>
      </c>
      <c r="I56" s="92">
        <f t="shared" si="24"/>
        <v>2326983</v>
      </c>
      <c r="J56" s="92">
        <f t="shared" si="24"/>
        <v>2349096</v>
      </c>
      <c r="K56" s="92">
        <f t="shared" si="24"/>
        <v>2361411</v>
      </c>
      <c r="L56" s="92">
        <f t="shared" si="24"/>
        <v>2408147</v>
      </c>
      <c r="M56" s="92">
        <f t="shared" si="24"/>
        <v>2458841</v>
      </c>
      <c r="N56" s="92">
        <f t="shared" si="24"/>
        <v>2497760</v>
      </c>
      <c r="O56" s="92">
        <f t="shared" si="24"/>
        <v>2531562</v>
      </c>
      <c r="P56" s="92">
        <f t="shared" si="24"/>
        <v>2576130</v>
      </c>
      <c r="Q56" s="92">
        <f t="shared" si="24"/>
        <v>2656798</v>
      </c>
      <c r="R56" s="92">
        <f t="shared" si="24"/>
        <v>2655480</v>
      </c>
      <c r="S56" s="92">
        <f t="shared" si="24"/>
        <v>2767763</v>
      </c>
      <c r="T56" s="92">
        <f t="shared" si="24"/>
        <v>2838416.4999999995</v>
      </c>
      <c r="U56" s="92">
        <f t="shared" si="24"/>
        <v>2935955.01</v>
      </c>
      <c r="V56" s="92">
        <f t="shared" si="24"/>
        <v>2930398.34</v>
      </c>
      <c r="W56" s="92">
        <f t="shared" si="24"/>
        <v>3023249.75</v>
      </c>
      <c r="X56" s="92">
        <f t="shared" si="24"/>
        <v>3112049.6900000004</v>
      </c>
      <c r="Y56" s="92">
        <f t="shared" si="24"/>
        <v>3250372.41</v>
      </c>
      <c r="Z56" s="92">
        <f t="shared" si="24"/>
        <v>3224392.24</v>
      </c>
      <c r="AA56" s="92">
        <f t="shared" si="24"/>
        <v>3314660.3900000006</v>
      </c>
      <c r="AB56" s="92">
        <f t="shared" si="24"/>
        <v>3394855.44</v>
      </c>
      <c r="AC56" s="92">
        <f t="shared" si="24"/>
        <v>3534768.93</v>
      </c>
      <c r="AD56" s="92">
        <f t="shared" si="24"/>
        <v>3583015.8963504876</v>
      </c>
      <c r="AE56" s="92">
        <f t="shared" si="24"/>
        <v>3613311.6586161479</v>
      </c>
      <c r="AF56" s="92">
        <f t="shared" si="24"/>
        <v>4039520.5361614898</v>
      </c>
      <c r="AG56" s="92">
        <f t="shared" si="24"/>
        <v>4134047.3690063558</v>
      </c>
      <c r="AH56" s="92">
        <f t="shared" si="24"/>
        <v>4236332.3195568677</v>
      </c>
      <c r="AI56" s="92">
        <f t="shared" si="24"/>
        <v>4210782.4870765069</v>
      </c>
      <c r="AJ56" s="92">
        <f t="shared" si="24"/>
        <v>4340567.2804712579</v>
      </c>
      <c r="AK56" s="92">
        <f t="shared" si="24"/>
        <v>4541863.1688227272</v>
      </c>
      <c r="AL56" s="92">
        <f t="shared" si="24"/>
        <v>4615969.5296854861</v>
      </c>
      <c r="AM56" s="92">
        <f t="shared" si="24"/>
        <v>4838353.8742457405</v>
      </c>
      <c r="AN56" s="92">
        <f t="shared" si="24"/>
        <v>4943238.0770191504</v>
      </c>
      <c r="AO56" s="92">
        <f t="shared" si="24"/>
        <v>4935867.6208820371</v>
      </c>
      <c r="AP56" s="92">
        <f t="shared" si="24"/>
        <v>5021669.9272217816</v>
      </c>
      <c r="AQ56" s="92">
        <f t="shared" si="24"/>
        <v>5300949.3600778989</v>
      </c>
      <c r="AR56" s="92">
        <f t="shared" si="24"/>
        <v>5348557.6382582653</v>
      </c>
      <c r="AS56" s="92">
        <f t="shared" si="24"/>
        <v>5634979.4761362113</v>
      </c>
      <c r="AT56" s="92">
        <f t="shared" si="24"/>
        <v>5764063.7956524557</v>
      </c>
      <c r="AU56" s="92">
        <f t="shared" si="24"/>
        <v>5862270.6983435107</v>
      </c>
      <c r="AV56" s="92">
        <f t="shared" si="24"/>
        <v>6083827.7069205018</v>
      </c>
      <c r="AW56" s="92">
        <f>SUM(AW48:AW55)</f>
        <v>6322221.3703612294</v>
      </c>
      <c r="AX56" s="92">
        <f t="shared" ref="AX56:AZ56" si="25">SUM(AX48:AX55)</f>
        <v>6456414.4768903395</v>
      </c>
      <c r="AY56" s="92">
        <f t="shared" si="25"/>
        <v>6521102.5553145967</v>
      </c>
      <c r="AZ56" s="92">
        <f t="shared" si="25"/>
        <v>6670168.7183437971</v>
      </c>
      <c r="BA56" s="92">
        <f t="shared" ref="BA56:BC56" si="26">SUM(BA48:BA55)</f>
        <v>6798107.2940716008</v>
      </c>
      <c r="BB56" s="92">
        <f t="shared" si="26"/>
        <v>6867347.8694222029</v>
      </c>
      <c r="BC56" s="92">
        <f t="shared" si="26"/>
        <v>7072180.3120178031</v>
      </c>
      <c r="BD56" s="92">
        <f t="shared" ref="BD56:BF56" si="27">SUM(BD48:BD55)</f>
        <v>7409172.2651140019</v>
      </c>
      <c r="BE56" s="92">
        <f t="shared" si="27"/>
        <v>7749555.3312796</v>
      </c>
      <c r="BF56" s="92">
        <f t="shared" si="27"/>
        <v>7767996.5811415967</v>
      </c>
      <c r="BG56" s="92">
        <f t="shared" ref="BG56" si="28">SUM(BG48:BG55)</f>
        <v>7733871.1946973987</v>
      </c>
    </row>
    <row r="57" spans="1:59">
      <c r="A57" s="63"/>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row>
    <row r="58" spans="1:59">
      <c r="A58" s="69" t="str">
        <f>INDEX({"*Inclui 4Bio a partir do 1T14.";"*Includes 4Bio as of 1Q14."},Home!$R$30)</f>
        <v>*Inclui 4Bio a partir do 1T14.</v>
      </c>
      <c r="AQ58" s="75"/>
      <c r="AR58" s="75"/>
      <c r="AS58" s="75"/>
      <c r="AT58" s="75"/>
      <c r="AU58" s="75"/>
      <c r="AV58" s="75"/>
      <c r="AW58" s="75"/>
      <c r="AX58" s="75"/>
      <c r="AY58" s="75"/>
      <c r="AZ58" s="75"/>
      <c r="BA58" s="75"/>
      <c r="BB58" s="75"/>
      <c r="BC58" s="75"/>
      <c r="BD58" s="75"/>
      <c r="BE58" s="75"/>
      <c r="BF58" s="75"/>
      <c r="BG58" s="75"/>
    </row>
    <row r="59" spans="1:59">
      <c r="Y59" s="74"/>
      <c r="Z59" s="74"/>
      <c r="AA59" s="74"/>
      <c r="AB59" s="74"/>
      <c r="AC59" s="74"/>
      <c r="AD59" s="74"/>
      <c r="AE59" s="74"/>
      <c r="AF59" s="74"/>
      <c r="AG59" s="74"/>
      <c r="AH59" s="74"/>
      <c r="AI59" s="74"/>
    </row>
    <row r="60" spans="1:59">
      <c r="Y60" s="74"/>
      <c r="Z60" s="74"/>
      <c r="AA60" s="74"/>
      <c r="AB60" s="74"/>
      <c r="AC60" s="74"/>
      <c r="AD60" s="74"/>
      <c r="AE60" s="74"/>
      <c r="AF60" s="74"/>
      <c r="AG60" s="74"/>
      <c r="AH60" s="74"/>
      <c r="AI60" s="74"/>
    </row>
    <row r="61" spans="1:59">
      <c r="Y61" s="74"/>
      <c r="Z61" s="74"/>
      <c r="AA61" s="74"/>
      <c r="AB61" s="74"/>
      <c r="AC61" s="74"/>
      <c r="AD61" s="74"/>
      <c r="AE61" s="74"/>
      <c r="AF61" s="74"/>
      <c r="AG61" s="74"/>
      <c r="AH61" s="74"/>
      <c r="AI61" s="74"/>
    </row>
  </sheetData>
  <pageMargins left="0.78740157499999996" right="0.78740157499999996" top="0.984251969" bottom="0.984251969" header="0.4921259845" footer="0.492125984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BG68"/>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21" customWidth="1"/>
    <col min="2" max="2" width="10.6328125" style="15" customWidth="1"/>
    <col min="3" max="35" width="10.6328125" style="15"/>
    <col min="36" max="58" width="10.6328125" style="21"/>
    <col min="59" max="16384" width="10.6328125" style="15"/>
  </cols>
  <sheetData>
    <row r="1" spans="1:59" s="14" customFormat="1" ht="20" customHeight="1" thickBot="1">
      <c r="A1" s="61" t="str">
        <f>INDEX({"Fluxo de Caixa IAS 17 (R$ mil)";"Cash Flow Statement IAS 17 (R$ thousands)"},Home!$R$30)</f>
        <v>Fluxo de Caixa IAS 17 (R$ mil)</v>
      </c>
      <c r="B1" s="70" t="str">
        <f>INDEX({"1T12";"1Q12"},Home!$R$30)</f>
        <v>1T12</v>
      </c>
      <c r="C1" s="70" t="str">
        <f>INDEX({"2T12";"2Q12"},Home!$R$30)</f>
        <v>2T12</v>
      </c>
      <c r="D1" s="70" t="str">
        <f>INDEX({"3T12";"3Q12"},Home!$R$30)</f>
        <v>3T12</v>
      </c>
      <c r="E1" s="70" t="str">
        <f>INDEX({"4T12";"4Q12"},Home!$R$30)</f>
        <v>4T12</v>
      </c>
      <c r="F1" s="70" t="str">
        <f>INDEX({"1T13";"1Q13"},Home!$R$30)</f>
        <v>1T13</v>
      </c>
      <c r="G1" s="70" t="str">
        <f>INDEX({"2T13";"2Q13"},Home!$R$30)</f>
        <v>2T13</v>
      </c>
      <c r="H1" s="70" t="str">
        <f>INDEX({"3T13";"3Q13"},Home!$R$30)</f>
        <v>3T13</v>
      </c>
      <c r="I1" s="70" t="str">
        <f>INDEX({"4T13";"4Q13"},Home!$R$30)</f>
        <v>4T13</v>
      </c>
      <c r="J1" s="70" t="str">
        <f>INDEX({"1T14";"1Q14"},Home!$R$30)</f>
        <v>1T14</v>
      </c>
      <c r="K1" s="70" t="str">
        <f>INDEX({"2T14";"2Q14"},Home!$R$30)</f>
        <v>2T14</v>
      </c>
      <c r="L1" s="70" t="str">
        <f>INDEX({"3T14";"3Q14"},Home!$R$30)</f>
        <v>3T14</v>
      </c>
      <c r="M1" s="70" t="str">
        <f>INDEX({"4T14";"4Q14"},Home!$R$30)</f>
        <v>4T14</v>
      </c>
      <c r="N1" s="70" t="str">
        <f>INDEX({"1T15*";"1Q15*"},Home!$R$30)</f>
        <v>1T15*</v>
      </c>
      <c r="O1" s="70" t="str">
        <f>INDEX({"2T15";"2Q15"},Home!$R$30)</f>
        <v>2T15</v>
      </c>
      <c r="P1" s="70" t="str">
        <f>INDEX({"3T15";"3Q15"},Home!$R$30)</f>
        <v>3T15</v>
      </c>
      <c r="Q1" s="70" t="str">
        <f>INDEX({"4T15";"4Q15"},Home!$R$30)</f>
        <v>4T15</v>
      </c>
      <c r="R1" s="70" t="str">
        <f>INDEX({"1T16";"1Q16"},Home!$R$30)</f>
        <v>1T16</v>
      </c>
      <c r="S1" s="70" t="str">
        <f>INDEX({"2T16";"2Q16"},Home!$R$30)</f>
        <v>2T16</v>
      </c>
      <c r="T1" s="70" t="str">
        <f>INDEX({"3T16";"3Q16"},Home!$R$30)</f>
        <v>3T16</v>
      </c>
      <c r="U1" s="70" t="str">
        <f>INDEX({"4T16";"4Q16"},Home!$R$30)</f>
        <v>4T16</v>
      </c>
      <c r="V1" s="70" t="str">
        <f>INDEX({"1T17";"1Q17"},Home!$R$30)</f>
        <v>1T17</v>
      </c>
      <c r="W1" s="70" t="str">
        <f>INDEX({"2T17";"2Q17"},Home!$R$30)</f>
        <v>2T17</v>
      </c>
      <c r="X1" s="70" t="str">
        <f>INDEX({"3T17";"3Q17"},Home!$R$30)</f>
        <v>3T17</v>
      </c>
      <c r="Y1" s="70" t="str">
        <f>INDEX({"4T17";"4Q17"},Home!$R$30)</f>
        <v>4T17</v>
      </c>
      <c r="Z1" s="70" t="str">
        <f>INDEX({"1T18";"1Q18"},Home!$R$30)</f>
        <v>1T18</v>
      </c>
      <c r="AA1" s="70" t="str">
        <f>INDEX({"2T18";"2Q18"},Home!$R$30)</f>
        <v>2T18</v>
      </c>
      <c r="AB1" s="70" t="str">
        <f>INDEX({"3T18";"3Q18"},Home!$R$30)</f>
        <v>3T18</v>
      </c>
      <c r="AC1" s="70" t="str">
        <f>INDEX({"4T18";"4Q18"},Home!$R$30)</f>
        <v>4T18</v>
      </c>
      <c r="AD1" s="70" t="str">
        <f>INDEX({"1T19";"1Q19"},Home!$R$30)</f>
        <v>1T19</v>
      </c>
      <c r="AE1" s="70" t="str">
        <f>INDEX({"2T19";"2Q19"},Home!$R$30)</f>
        <v>2T19</v>
      </c>
      <c r="AF1" s="70" t="str">
        <f>INDEX({"3T19";"3Q19"},Home!$R$30)</f>
        <v>3T19</v>
      </c>
      <c r="AG1" s="70" t="str">
        <f>INDEX({"4T19";"4Q19"},Home!$R$30)</f>
        <v>4T19</v>
      </c>
      <c r="AH1" s="70" t="str">
        <f>INDEX({"1T20";"1Q20"},Home!$R$30)</f>
        <v>1T20</v>
      </c>
      <c r="AI1" s="70" t="str">
        <f>INDEX({"2T20";"2Q20"},Home!$R$30)</f>
        <v>2T20</v>
      </c>
      <c r="AJ1" s="70" t="str">
        <f>INDEX({"3T20";"3Q20"},Home!$R$30)</f>
        <v>3T20</v>
      </c>
      <c r="AK1" s="70" t="str">
        <f>INDEX({"4T20";"4Q20"},Home!$R$30)</f>
        <v>4T20</v>
      </c>
      <c r="AL1" s="70" t="str">
        <f>INDEX({"1T21";"1Q21"},Home!$R$30)</f>
        <v>1T21</v>
      </c>
      <c r="AM1" s="70" t="str">
        <f>INDEX({"2T21";"2Q21"},Home!$R$30)</f>
        <v>2T21</v>
      </c>
      <c r="AN1" s="70" t="str">
        <f>INDEX({"3T21";"3Q21"},Home!$R$30)</f>
        <v>3T21</v>
      </c>
      <c r="AO1" s="70" t="str">
        <f>INDEX({"4T21";"4Q21"},Home!$R$30)</f>
        <v>4T21</v>
      </c>
      <c r="AP1" s="70" t="str">
        <f>INDEX({"1T22";"1Q22"},Home!$R$30)</f>
        <v>1T22</v>
      </c>
      <c r="AQ1" s="70" t="str">
        <f>INDEX({"2T22";"2Q22"},Home!$R$30)</f>
        <v>2T22</v>
      </c>
      <c r="AR1" s="70" t="str">
        <f>INDEX({"3T22";"3Q22"},Home!$R$30)</f>
        <v>3T22</v>
      </c>
      <c r="AS1" s="70" t="str">
        <f>INDEX({"4T22";"4Q22"},Home!$R$30)</f>
        <v>4T22</v>
      </c>
      <c r="AT1" s="70" t="str">
        <f>INDEX({"1T23";"1Q23"},Home!$R$30)</f>
        <v>1T23</v>
      </c>
      <c r="AU1" s="70" t="str">
        <f>INDEX({"2T23";"2Q23"},Home!$R$30)</f>
        <v>2T23</v>
      </c>
      <c r="AV1" s="70" t="str">
        <f>INDEX({"3T23";"3Q23"},Home!$R$30)</f>
        <v>3T23</v>
      </c>
      <c r="AW1" s="70" t="str">
        <f>INDEX({"4T23";"4Q23"},Home!$R$30)</f>
        <v>4T23</v>
      </c>
      <c r="AX1" s="70" t="str">
        <f>INDEX({"1T24";"1Q24"},Home!$R$30)</f>
        <v>1T24</v>
      </c>
      <c r="AY1" s="70" t="str">
        <f>INDEX({"2T24";"2Q24"},Home!$R$30)</f>
        <v>2T24</v>
      </c>
      <c r="AZ1" s="70" t="str">
        <f>INDEX({"3T24";"3Q24"},Home!$R$30)</f>
        <v>3T24</v>
      </c>
      <c r="BA1" s="70" t="str">
        <f>INDEX({"4T24";"4Q24"},Home!$R$30)</f>
        <v>4T24</v>
      </c>
      <c r="BB1" s="70" t="str">
        <f>INDEX({"1T25";"1Q25"},Home!$R$30)</f>
        <v>1T25</v>
      </c>
      <c r="BC1" s="70" t="str">
        <f>INDEX({"2T25";"2Q25"},Home!$R$30)</f>
        <v>2T25</v>
      </c>
      <c r="BD1" s="70" t="str">
        <f>INDEX({"3T25";"3Q25"},Home!$R$30)</f>
        <v>3T25</v>
      </c>
      <c r="BE1" s="70" t="str">
        <f>INDEX({"4T25";"4Q25"},Home!$R$30)</f>
        <v>4T25</v>
      </c>
      <c r="BF1" s="70" t="str">
        <f>INDEX({"1T26";"1Q26"},Home!$R$30)</f>
        <v>1T26</v>
      </c>
      <c r="BG1" s="70" t="str">
        <f>INDEX({"2T26";"2Q26"},Home!$R$30)</f>
        <v>2T26</v>
      </c>
    </row>
    <row r="2" spans="1:59">
      <c r="A2" s="15"/>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79" t="s">
        <v>6</v>
      </c>
      <c r="BC2" s="79" t="s">
        <v>6</v>
      </c>
      <c r="BD2" s="79" t="s">
        <v>6</v>
      </c>
      <c r="BE2" s="79" t="s">
        <v>6</v>
      </c>
      <c r="BF2" s="79"/>
    </row>
    <row r="3" spans="1:59">
      <c r="A3" s="13" t="str">
        <f>INDEX({"Lucro antes do Imposto de Renda e da Contribuição Social";"Earnings before Income Tax and Social Charges"},Home!$R$30)</f>
        <v>Lucro antes do Imposto de Renda e da Contribuição Social</v>
      </c>
      <c r="B3" s="86">
        <v>26029</v>
      </c>
      <c r="C3" s="86">
        <v>65749</v>
      </c>
      <c r="D3" s="86">
        <v>44226</v>
      </c>
      <c r="E3" s="86">
        <v>22070</v>
      </c>
      <c r="F3" s="86">
        <v>20786</v>
      </c>
      <c r="G3" s="86">
        <v>53286</v>
      </c>
      <c r="H3" s="86">
        <v>26769</v>
      </c>
      <c r="I3" s="86">
        <v>38546</v>
      </c>
      <c r="J3" s="86">
        <v>40637</v>
      </c>
      <c r="K3" s="86">
        <v>83136</v>
      </c>
      <c r="L3" s="86">
        <v>87544</v>
      </c>
      <c r="M3" s="86">
        <v>91132</v>
      </c>
      <c r="N3" s="86">
        <v>85127</v>
      </c>
      <c r="O3" s="86">
        <v>147555</v>
      </c>
      <c r="P3" s="86">
        <v>108063</v>
      </c>
      <c r="Q3" s="86">
        <v>96011</v>
      </c>
      <c r="R3" s="86">
        <v>112720</v>
      </c>
      <c r="S3" s="86">
        <v>213565</v>
      </c>
      <c r="T3" s="86">
        <v>152944</v>
      </c>
      <c r="U3" s="86">
        <v>115987</v>
      </c>
      <c r="V3" s="86">
        <v>134846.00501999998</v>
      </c>
      <c r="W3" s="86">
        <v>190435.12809000013</v>
      </c>
      <c r="X3" s="86">
        <v>180734.78603000025</v>
      </c>
      <c r="Y3" s="86">
        <v>180527.93897000028</v>
      </c>
      <c r="Z3" s="86">
        <v>160009.34313000104</v>
      </c>
      <c r="AA3" s="86">
        <v>184277.3959800002</v>
      </c>
      <c r="AB3" s="86">
        <v>159480.36678999991</v>
      </c>
      <c r="AC3" s="86">
        <v>135089.09130999967</v>
      </c>
      <c r="AD3" s="86">
        <v>118685.88502</v>
      </c>
      <c r="AE3" s="86">
        <v>192602.39931999985</v>
      </c>
      <c r="AF3" s="86">
        <v>441066.28802999918</v>
      </c>
      <c r="AG3" s="86">
        <v>156233.77625750034</v>
      </c>
      <c r="AH3" s="86">
        <v>200639.85732305175</v>
      </c>
      <c r="AI3" s="86">
        <v>70450.113810000708</v>
      </c>
      <c r="AJ3" s="86">
        <v>234681.88618999929</v>
      </c>
      <c r="AK3" s="86">
        <v>237468</v>
      </c>
      <c r="AL3" s="86">
        <v>264592.3375900003</v>
      </c>
      <c r="AM3" s="86">
        <v>339384</v>
      </c>
      <c r="AN3" s="86">
        <v>251110</v>
      </c>
      <c r="AO3" s="86">
        <v>188109</v>
      </c>
      <c r="AP3" s="86">
        <v>155102</v>
      </c>
      <c r="AQ3" s="86">
        <v>500958</v>
      </c>
      <c r="AR3" s="86">
        <v>294173</v>
      </c>
      <c r="AS3" s="86">
        <v>242976</v>
      </c>
      <c r="AT3" s="86">
        <v>216401</v>
      </c>
      <c r="AU3" s="86">
        <v>353338</v>
      </c>
      <c r="AV3" s="86">
        <v>307450</v>
      </c>
      <c r="AW3" s="86">
        <v>435004</v>
      </c>
      <c r="AX3" s="86">
        <v>212995</v>
      </c>
      <c r="AY3" s="86">
        <v>348405</v>
      </c>
      <c r="AZ3" s="86">
        <v>362155</v>
      </c>
      <c r="BA3" s="86">
        <v>351476</v>
      </c>
      <c r="BB3" s="86">
        <v>189852</v>
      </c>
      <c r="BC3" s="86">
        <v>404155</v>
      </c>
      <c r="BD3" s="86">
        <v>474127</v>
      </c>
      <c r="BE3" s="86">
        <v>314244</v>
      </c>
      <c r="BF3" s="107">
        <v>148341</v>
      </c>
      <c r="BG3" s="107">
        <v>553718</v>
      </c>
    </row>
    <row r="4" spans="1:59">
      <c r="A4" s="15"/>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row>
    <row r="5" spans="1:59">
      <c r="A5" s="16" t="str">
        <f>INDEX({"Ajustes";"Adjustments"},Home!$R$30)</f>
        <v>Ajustes</v>
      </c>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8"/>
      <c r="AR5" s="98"/>
      <c r="AS5" s="98"/>
      <c r="AT5" s="98"/>
      <c r="AU5" s="98"/>
      <c r="AV5" s="98"/>
      <c r="AW5" s="98"/>
      <c r="AX5" s="98"/>
      <c r="AY5" s="98"/>
      <c r="AZ5" s="98"/>
      <c r="BA5" s="98"/>
      <c r="BB5" s="98"/>
      <c r="BC5" s="98"/>
      <c r="BD5" s="98"/>
      <c r="BE5" s="98"/>
      <c r="BF5" s="98"/>
      <c r="BG5" s="98"/>
    </row>
    <row r="6" spans="1:59">
      <c r="A6" s="17" t="str">
        <f>INDEX({"Depreciações e amortizações";"Depreciation and Amortization"},Home!$R$30)</f>
        <v>Depreciações e amortizações</v>
      </c>
      <c r="B6" s="80">
        <v>28913</v>
      </c>
      <c r="C6" s="80">
        <v>30384</v>
      </c>
      <c r="D6" s="80">
        <v>31868</v>
      </c>
      <c r="E6" s="80">
        <v>33162</v>
      </c>
      <c r="F6" s="80">
        <v>36065</v>
      </c>
      <c r="G6" s="80">
        <v>39005</v>
      </c>
      <c r="H6" s="80">
        <v>41220</v>
      </c>
      <c r="I6" s="80">
        <v>42446</v>
      </c>
      <c r="J6" s="80">
        <v>43644</v>
      </c>
      <c r="K6" s="80">
        <v>44020</v>
      </c>
      <c r="L6" s="80">
        <v>48300</v>
      </c>
      <c r="M6" s="80">
        <v>51669</v>
      </c>
      <c r="N6" s="80">
        <v>53573</v>
      </c>
      <c r="O6" s="80">
        <v>55640</v>
      </c>
      <c r="P6" s="80">
        <v>57760</v>
      </c>
      <c r="Q6" s="80">
        <v>60882</v>
      </c>
      <c r="R6" s="80">
        <v>62930</v>
      </c>
      <c r="S6" s="80">
        <v>66609</v>
      </c>
      <c r="T6" s="80">
        <v>70499</v>
      </c>
      <c r="U6" s="80">
        <v>74396</v>
      </c>
      <c r="V6" s="80">
        <v>77521.924239999993</v>
      </c>
      <c r="W6" s="80">
        <v>81509.78284</v>
      </c>
      <c r="X6" s="80">
        <v>86759.895869999993</v>
      </c>
      <c r="Y6" s="80">
        <v>92122</v>
      </c>
      <c r="Z6" s="80">
        <v>96038</v>
      </c>
      <c r="AA6" s="80">
        <v>100268</v>
      </c>
      <c r="AB6" s="80">
        <v>105518</v>
      </c>
      <c r="AC6" s="80">
        <v>112310</v>
      </c>
      <c r="AD6" s="80">
        <v>117818.68935999999</v>
      </c>
      <c r="AE6" s="80">
        <v>124442.45311</v>
      </c>
      <c r="AF6" s="80">
        <v>131752.58487332801</v>
      </c>
      <c r="AG6" s="80">
        <v>133255</v>
      </c>
      <c r="AH6" s="80">
        <v>135812</v>
      </c>
      <c r="AI6" s="80">
        <v>138933</v>
      </c>
      <c r="AJ6" s="80">
        <v>141531</v>
      </c>
      <c r="AK6" s="80">
        <v>147572</v>
      </c>
      <c r="AL6" s="99">
        <v>147342</v>
      </c>
      <c r="AM6" s="99">
        <v>150430</v>
      </c>
      <c r="AN6" s="99">
        <v>157976</v>
      </c>
      <c r="AO6" s="99">
        <v>171064</v>
      </c>
      <c r="AP6" s="99">
        <v>167693</v>
      </c>
      <c r="AQ6" s="99">
        <v>171080</v>
      </c>
      <c r="AR6" s="99">
        <v>177582</v>
      </c>
      <c r="AS6" s="99">
        <v>183811</v>
      </c>
      <c r="AT6" s="99">
        <v>188541</v>
      </c>
      <c r="AU6" s="99">
        <v>195201</v>
      </c>
      <c r="AV6" s="99">
        <v>204475</v>
      </c>
      <c r="AW6" s="99">
        <v>209473</v>
      </c>
      <c r="AX6" s="99">
        <v>216110</v>
      </c>
      <c r="AY6" s="99">
        <v>222168</v>
      </c>
      <c r="AZ6" s="99">
        <v>232772</v>
      </c>
      <c r="BA6" s="99">
        <v>240915</v>
      </c>
      <c r="BB6" s="99">
        <v>246742</v>
      </c>
      <c r="BC6" s="99">
        <v>251317</v>
      </c>
      <c r="BD6" s="99">
        <v>255196</v>
      </c>
      <c r="BE6" s="99">
        <v>291133</v>
      </c>
      <c r="BF6" s="99">
        <v>272348.14399999997</v>
      </c>
      <c r="BG6" s="99">
        <v>277203.85600000003</v>
      </c>
    </row>
    <row r="7" spans="1:59">
      <c r="A7" s="17" t="str">
        <f>INDEX({"Plano de remuneração com ações restritas, líquido";"Compensation plan with restricted shares, net"},Home!$R$30)</f>
        <v>Plano de remuneração com ações restritas, líquido</v>
      </c>
      <c r="B7" s="80">
        <v>0</v>
      </c>
      <c r="C7" s="80">
        <v>0</v>
      </c>
      <c r="D7" s="80">
        <v>0</v>
      </c>
      <c r="E7" s="80">
        <v>0</v>
      </c>
      <c r="F7" s="80">
        <v>0</v>
      </c>
      <c r="G7" s="80">
        <v>0</v>
      </c>
      <c r="H7" s="80">
        <v>0</v>
      </c>
      <c r="I7" s="80">
        <v>0</v>
      </c>
      <c r="J7" s="80">
        <v>0</v>
      </c>
      <c r="K7" s="80">
        <v>0</v>
      </c>
      <c r="L7" s="80">
        <v>0</v>
      </c>
      <c r="M7" s="80">
        <v>754</v>
      </c>
      <c r="N7" s="80">
        <v>457</v>
      </c>
      <c r="O7" s="80">
        <v>922</v>
      </c>
      <c r="P7" s="80">
        <v>1096</v>
      </c>
      <c r="Q7" s="80">
        <v>996</v>
      </c>
      <c r="R7" s="80">
        <v>3234</v>
      </c>
      <c r="S7" s="80">
        <v>2962</v>
      </c>
      <c r="T7" s="80">
        <v>2969</v>
      </c>
      <c r="U7" s="80">
        <v>-1181</v>
      </c>
      <c r="V7" s="80">
        <v>2768</v>
      </c>
      <c r="W7" s="80">
        <v>3424</v>
      </c>
      <c r="X7" s="80">
        <v>3317</v>
      </c>
      <c r="Y7" s="80">
        <v>3129</v>
      </c>
      <c r="Z7" s="80">
        <v>3271</v>
      </c>
      <c r="AA7" s="80">
        <v>2872</v>
      </c>
      <c r="AB7" s="80">
        <v>3186</v>
      </c>
      <c r="AC7" s="80">
        <v>3186</v>
      </c>
      <c r="AD7" s="80">
        <v>3130</v>
      </c>
      <c r="AE7" s="80">
        <v>3319</v>
      </c>
      <c r="AF7" s="80">
        <v>3766</v>
      </c>
      <c r="AG7" s="80">
        <v>3224</v>
      </c>
      <c r="AH7" s="80">
        <v>3476</v>
      </c>
      <c r="AI7" s="80">
        <v>4533</v>
      </c>
      <c r="AJ7" s="80">
        <v>4974</v>
      </c>
      <c r="AK7" s="80">
        <v>5107</v>
      </c>
      <c r="AL7" s="99">
        <v>-1247</v>
      </c>
      <c r="AM7" s="99">
        <v>5666</v>
      </c>
      <c r="AN7" s="99">
        <v>5224</v>
      </c>
      <c r="AO7" s="99">
        <v>5470</v>
      </c>
      <c r="AP7" s="99">
        <v>-933</v>
      </c>
      <c r="AQ7" s="99">
        <v>6426</v>
      </c>
      <c r="AR7" s="99">
        <v>9813</v>
      </c>
      <c r="AS7" s="99">
        <v>7298</v>
      </c>
      <c r="AT7" s="99">
        <v>2598</v>
      </c>
      <c r="AU7" s="99">
        <v>9803</v>
      </c>
      <c r="AV7" s="99">
        <v>10871</v>
      </c>
      <c r="AW7" s="99">
        <v>9943</v>
      </c>
      <c r="AX7" s="99">
        <v>-1708</v>
      </c>
      <c r="AY7" s="99">
        <v>11713</v>
      </c>
      <c r="AZ7" s="99">
        <v>11049</v>
      </c>
      <c r="BA7" s="99">
        <v>16980</v>
      </c>
      <c r="BB7" s="99">
        <v>6585</v>
      </c>
      <c r="BC7" s="99">
        <v>13213</v>
      </c>
      <c r="BD7" s="99">
        <v>-5761</v>
      </c>
      <c r="BE7" s="99">
        <v>13944</v>
      </c>
      <c r="BF7" s="99">
        <v>9713</v>
      </c>
      <c r="BG7" s="99">
        <v>10819</v>
      </c>
    </row>
    <row r="8" spans="1:59">
      <c r="A8" s="17" t="str">
        <f>INDEX({"Juros sobre opção de compra de ações adicionais";"Interest over additional stock option"},Home!$R$30)</f>
        <v>Juros sobre opção de compra de ações adicionais</v>
      </c>
      <c r="B8" s="80">
        <v>0</v>
      </c>
      <c r="C8" s="80">
        <v>0</v>
      </c>
      <c r="D8" s="80">
        <v>0</v>
      </c>
      <c r="E8" s="80">
        <v>0</v>
      </c>
      <c r="F8" s="80">
        <v>0</v>
      </c>
      <c r="G8" s="80">
        <v>0</v>
      </c>
      <c r="H8" s="80">
        <v>0</v>
      </c>
      <c r="I8" s="80">
        <v>0</v>
      </c>
      <c r="J8" s="80">
        <v>0</v>
      </c>
      <c r="K8" s="80">
        <v>0</v>
      </c>
      <c r="L8" s="80">
        <v>0</v>
      </c>
      <c r="M8" s="80">
        <v>0</v>
      </c>
      <c r="N8" s="80">
        <v>0</v>
      </c>
      <c r="O8" s="80">
        <v>0</v>
      </c>
      <c r="P8" s="80">
        <v>0</v>
      </c>
      <c r="Q8" s="80">
        <v>1402</v>
      </c>
      <c r="R8" s="80">
        <v>1467</v>
      </c>
      <c r="S8" s="80">
        <v>1535</v>
      </c>
      <c r="T8" s="80">
        <v>1605</v>
      </c>
      <c r="U8" s="80">
        <v>8989</v>
      </c>
      <c r="V8" s="80">
        <v>2310</v>
      </c>
      <c r="W8" s="80">
        <v>2427</v>
      </c>
      <c r="X8" s="80">
        <v>2550</v>
      </c>
      <c r="Y8" s="80">
        <v>-5000</v>
      </c>
      <c r="Z8" s="80">
        <v>1348</v>
      </c>
      <c r="AA8" s="80">
        <v>1386</v>
      </c>
      <c r="AB8" s="80">
        <v>1425</v>
      </c>
      <c r="AC8" s="80">
        <v>-15294</v>
      </c>
      <c r="AD8" s="80">
        <v>883</v>
      </c>
      <c r="AE8" s="80">
        <v>905</v>
      </c>
      <c r="AF8" s="80">
        <v>8043</v>
      </c>
      <c r="AG8" s="80">
        <v>-4097</v>
      </c>
      <c r="AH8" s="80">
        <v>1192</v>
      </c>
      <c r="AI8" s="80">
        <v>1226</v>
      </c>
      <c r="AJ8" s="80">
        <v>1260</v>
      </c>
      <c r="AK8" s="80">
        <v>657</v>
      </c>
      <c r="AL8" s="99">
        <v>676</v>
      </c>
      <c r="AM8" s="99">
        <v>694</v>
      </c>
      <c r="AN8" s="99">
        <v>715</v>
      </c>
      <c r="AO8" s="99">
        <v>734</v>
      </c>
      <c r="AP8" s="99">
        <v>755</v>
      </c>
      <c r="AQ8" s="99">
        <v>777</v>
      </c>
      <c r="AR8" s="99">
        <v>24642</v>
      </c>
      <c r="AS8" s="99">
        <v>595</v>
      </c>
      <c r="AT8" s="99">
        <v>29969</v>
      </c>
      <c r="AU8" s="99">
        <v>2089</v>
      </c>
      <c r="AV8" s="99">
        <v>1428</v>
      </c>
      <c r="AW8" s="99">
        <v>0</v>
      </c>
      <c r="AX8" s="99">
        <v>31151</v>
      </c>
      <c r="AY8" s="99">
        <v>1348</v>
      </c>
      <c r="AZ8" s="99">
        <v>341</v>
      </c>
      <c r="BA8" s="99">
        <v>-30799</v>
      </c>
      <c r="BB8" s="99">
        <v>405</v>
      </c>
      <c r="BC8" s="99">
        <v>467</v>
      </c>
      <c r="BD8" s="99">
        <v>8325</v>
      </c>
      <c r="BE8" s="99">
        <v>-7252</v>
      </c>
      <c r="BF8" s="99">
        <v>337</v>
      </c>
      <c r="BG8" s="99">
        <v>723</v>
      </c>
    </row>
    <row r="9" spans="1:59">
      <c r="A9" s="17" t="str">
        <f>INDEX({"Resultado na venda ou baixa do ativo imobilizado e intangível";"P,P&amp;E and Intangible Assets residual value"},Home!$R$30)</f>
        <v>Resultado na venda ou baixa do ativo imobilizado e intangível</v>
      </c>
      <c r="B9" s="80">
        <v>249</v>
      </c>
      <c r="C9" s="80">
        <v>746</v>
      </c>
      <c r="D9" s="80">
        <v>696</v>
      </c>
      <c r="E9" s="80">
        <v>5203</v>
      </c>
      <c r="F9" s="80">
        <v>859</v>
      </c>
      <c r="G9" s="80">
        <v>1079</v>
      </c>
      <c r="H9" s="80">
        <v>2723</v>
      </c>
      <c r="I9" s="80">
        <v>5227</v>
      </c>
      <c r="J9" s="80">
        <v>1137</v>
      </c>
      <c r="K9" s="80">
        <v>-712</v>
      </c>
      <c r="L9" s="80">
        <v>259</v>
      </c>
      <c r="M9" s="80">
        <v>-1518</v>
      </c>
      <c r="N9" s="80">
        <v>100</v>
      </c>
      <c r="O9" s="80">
        <v>1581</v>
      </c>
      <c r="P9" s="80">
        <v>1328</v>
      </c>
      <c r="Q9" s="80">
        <v>1719</v>
      </c>
      <c r="R9" s="80">
        <v>163</v>
      </c>
      <c r="S9" s="80">
        <v>619</v>
      </c>
      <c r="T9" s="80">
        <v>5577</v>
      </c>
      <c r="U9" s="80">
        <v>5830</v>
      </c>
      <c r="V9" s="80">
        <v>429</v>
      </c>
      <c r="W9" s="80">
        <v>2257</v>
      </c>
      <c r="X9" s="80">
        <v>1970</v>
      </c>
      <c r="Y9" s="80">
        <v>1953</v>
      </c>
      <c r="Z9" s="80">
        <v>1787</v>
      </c>
      <c r="AA9" s="80">
        <v>2734</v>
      </c>
      <c r="AB9" s="80">
        <v>2751</v>
      </c>
      <c r="AC9" s="80">
        <v>4894</v>
      </c>
      <c r="AD9" s="80">
        <v>5932</v>
      </c>
      <c r="AE9" s="80">
        <v>-3019</v>
      </c>
      <c r="AF9" s="80">
        <v>13680</v>
      </c>
      <c r="AG9" s="80">
        <v>7881</v>
      </c>
      <c r="AH9" s="80">
        <v>992</v>
      </c>
      <c r="AI9" s="80">
        <v>233</v>
      </c>
      <c r="AJ9" s="80">
        <v>1662</v>
      </c>
      <c r="AK9" s="80">
        <v>693</v>
      </c>
      <c r="AL9" s="99">
        <v>8035</v>
      </c>
      <c r="AM9" s="99">
        <v>872</v>
      </c>
      <c r="AN9" s="99">
        <v>2531</v>
      </c>
      <c r="AO9" s="99">
        <v>12427</v>
      </c>
      <c r="AP9" s="99">
        <v>6621</v>
      </c>
      <c r="AQ9" s="99">
        <v>8085</v>
      </c>
      <c r="AR9" s="99">
        <v>10186</v>
      </c>
      <c r="AS9" s="99">
        <v>4341</v>
      </c>
      <c r="AT9" s="99">
        <v>15872</v>
      </c>
      <c r="AU9" s="99">
        <v>-7138</v>
      </c>
      <c r="AV9" s="99">
        <v>3359</v>
      </c>
      <c r="AW9" s="99">
        <v>56337</v>
      </c>
      <c r="AX9" s="99">
        <v>5495</v>
      </c>
      <c r="AY9" s="99">
        <v>1817</v>
      </c>
      <c r="AZ9" s="99">
        <v>4946</v>
      </c>
      <c r="BA9" s="99">
        <v>43884</v>
      </c>
      <c r="BB9" s="99">
        <v>4327</v>
      </c>
      <c r="BC9" s="99">
        <v>889</v>
      </c>
      <c r="BD9" s="99">
        <v>7522</v>
      </c>
      <c r="BE9" s="99">
        <v>55463</v>
      </c>
      <c r="BF9" s="99">
        <v>968.04</v>
      </c>
      <c r="BG9" s="99">
        <v>54019.96</v>
      </c>
    </row>
    <row r="10" spans="1:59">
      <c r="A10" s="49" t="str">
        <f>INDEX({"Provisão (reversão) para demandas judiciais";"Provisioned Lawsuits"},Home!$R$30)</f>
        <v>Provisão (reversão) para demandas judiciais</v>
      </c>
      <c r="B10" s="80">
        <v>-739</v>
      </c>
      <c r="C10" s="80">
        <v>1311</v>
      </c>
      <c r="D10" s="80">
        <v>590</v>
      </c>
      <c r="E10" s="80">
        <v>6575</v>
      </c>
      <c r="F10" s="80">
        <v>1218</v>
      </c>
      <c r="G10" s="80">
        <v>997</v>
      </c>
      <c r="H10" s="80">
        <v>114</v>
      </c>
      <c r="I10" s="80">
        <v>524</v>
      </c>
      <c r="J10" s="80">
        <v>1691</v>
      </c>
      <c r="K10" s="80">
        <v>1376</v>
      </c>
      <c r="L10" s="80">
        <v>-845</v>
      </c>
      <c r="M10" s="80">
        <v>-5669</v>
      </c>
      <c r="N10" s="80">
        <v>-1601</v>
      </c>
      <c r="O10" s="80">
        <v>-559</v>
      </c>
      <c r="P10" s="80">
        <v>262</v>
      </c>
      <c r="Q10" s="80">
        <v>-1726</v>
      </c>
      <c r="R10" s="80">
        <v>153</v>
      </c>
      <c r="S10" s="80">
        <v>2587</v>
      </c>
      <c r="T10" s="80">
        <v>1344</v>
      </c>
      <c r="U10" s="80">
        <v>2583</v>
      </c>
      <c r="V10" s="80">
        <v>10534</v>
      </c>
      <c r="W10" s="80">
        <v>-1511</v>
      </c>
      <c r="X10" s="80">
        <v>-1157</v>
      </c>
      <c r="Y10" s="80">
        <v>-78</v>
      </c>
      <c r="Z10" s="80">
        <v>598</v>
      </c>
      <c r="AA10" s="80">
        <v>-3703</v>
      </c>
      <c r="AB10" s="80">
        <v>-572</v>
      </c>
      <c r="AC10" s="80">
        <v>52844</v>
      </c>
      <c r="AD10" s="80">
        <v>-2172</v>
      </c>
      <c r="AE10" s="80">
        <v>-4026</v>
      </c>
      <c r="AF10" s="80">
        <v>-4201</v>
      </c>
      <c r="AG10" s="80">
        <v>14291</v>
      </c>
      <c r="AH10" s="80">
        <v>3084</v>
      </c>
      <c r="AI10" s="80">
        <v>2976</v>
      </c>
      <c r="AJ10" s="80">
        <v>3243</v>
      </c>
      <c r="AK10" s="99">
        <v>83076</v>
      </c>
      <c r="AL10" s="99">
        <v>62843.187120000002</v>
      </c>
      <c r="AM10" s="99">
        <v>58267.616309999998</v>
      </c>
      <c r="AN10" s="99">
        <v>-93486.80343</v>
      </c>
      <c r="AO10" s="99">
        <v>14406</v>
      </c>
      <c r="AP10" s="99">
        <v>8352</v>
      </c>
      <c r="AQ10" s="99">
        <v>18597</v>
      </c>
      <c r="AR10" s="99">
        <v>14849</v>
      </c>
      <c r="AS10" s="99">
        <v>22871</v>
      </c>
      <c r="AT10" s="99">
        <v>16239</v>
      </c>
      <c r="AU10" s="99">
        <v>18162</v>
      </c>
      <c r="AV10" s="99">
        <v>20333</v>
      </c>
      <c r="AW10" s="99">
        <v>213848</v>
      </c>
      <c r="AX10" s="99">
        <v>14263</v>
      </c>
      <c r="AY10" s="99">
        <v>23920</v>
      </c>
      <c r="AZ10" s="99">
        <v>4767</v>
      </c>
      <c r="BA10" s="99">
        <v>81399</v>
      </c>
      <c r="BB10" s="99">
        <v>23679</v>
      </c>
      <c r="BC10" s="99">
        <v>-11282</v>
      </c>
      <c r="BD10" s="99">
        <v>115246</v>
      </c>
      <c r="BE10" s="99">
        <v>-44162</v>
      </c>
      <c r="BF10" s="99">
        <v>26613.723999999998</v>
      </c>
      <c r="BG10" s="99">
        <v>20579.276000000002</v>
      </c>
    </row>
    <row r="11" spans="1:59">
      <c r="A11" s="17" t="str">
        <f>INDEX({"Provisão (reversão) para perdas no estoque";"Provisioned Inventory Loss"},Home!$R$30)</f>
        <v>Provisão (reversão) para perdas no estoque</v>
      </c>
      <c r="B11" s="80">
        <v>1098</v>
      </c>
      <c r="C11" s="80">
        <v>578</v>
      </c>
      <c r="D11" s="80">
        <v>1551</v>
      </c>
      <c r="E11" s="80">
        <v>2681</v>
      </c>
      <c r="F11" s="80">
        <v>3197</v>
      </c>
      <c r="G11" s="80">
        <v>6453</v>
      </c>
      <c r="H11" s="80">
        <v>-237</v>
      </c>
      <c r="I11" s="80">
        <v>5854</v>
      </c>
      <c r="J11" s="80">
        <v>-2298</v>
      </c>
      <c r="K11" s="80">
        <v>4861</v>
      </c>
      <c r="L11" s="80">
        <v>2441</v>
      </c>
      <c r="M11" s="80">
        <v>5234</v>
      </c>
      <c r="N11" s="80">
        <v>-261</v>
      </c>
      <c r="O11" s="80">
        <v>1870</v>
      </c>
      <c r="P11" s="80">
        <v>-4354</v>
      </c>
      <c r="Q11" s="80">
        <v>-9361</v>
      </c>
      <c r="R11" s="80">
        <v>-3596</v>
      </c>
      <c r="S11" s="80">
        <v>-1991</v>
      </c>
      <c r="T11" s="80">
        <v>-1198</v>
      </c>
      <c r="U11" s="80">
        <v>-7362</v>
      </c>
      <c r="V11" s="80">
        <v>1086</v>
      </c>
      <c r="W11" s="80">
        <v>958</v>
      </c>
      <c r="X11" s="80">
        <v>-92</v>
      </c>
      <c r="Y11" s="80">
        <v>1704</v>
      </c>
      <c r="Z11" s="80">
        <v>-507</v>
      </c>
      <c r="AA11" s="80">
        <v>576</v>
      </c>
      <c r="AB11" s="80">
        <v>-1105</v>
      </c>
      <c r="AC11" s="80">
        <v>-1644</v>
      </c>
      <c r="AD11" s="80">
        <v>-1443</v>
      </c>
      <c r="AE11" s="80">
        <v>1222</v>
      </c>
      <c r="AF11" s="80">
        <v>68</v>
      </c>
      <c r="AG11" s="80">
        <v>-432</v>
      </c>
      <c r="AH11" s="80">
        <v>23200</v>
      </c>
      <c r="AI11" s="80">
        <v>-2610</v>
      </c>
      <c r="AJ11" s="80">
        <v>2732</v>
      </c>
      <c r="AK11" s="80">
        <v>-8242</v>
      </c>
      <c r="AL11" s="99">
        <v>2501</v>
      </c>
      <c r="AM11" s="99">
        <v>2753</v>
      </c>
      <c r="AN11" s="99">
        <v>286</v>
      </c>
      <c r="AO11" s="99">
        <v>-1122</v>
      </c>
      <c r="AP11" s="99">
        <v>6320</v>
      </c>
      <c r="AQ11" s="99">
        <v>963</v>
      </c>
      <c r="AR11" s="99">
        <v>20181</v>
      </c>
      <c r="AS11" s="99">
        <v>-380</v>
      </c>
      <c r="AT11" s="99">
        <v>-12858</v>
      </c>
      <c r="AU11" s="99">
        <v>13579</v>
      </c>
      <c r="AV11" s="99">
        <v>255</v>
      </c>
      <c r="AW11" s="99">
        <v>-2298</v>
      </c>
      <c r="AX11" s="99">
        <v>1613</v>
      </c>
      <c r="AY11" s="99">
        <v>3907</v>
      </c>
      <c r="AZ11" s="99">
        <v>13395</v>
      </c>
      <c r="BA11" s="99">
        <v>6122</v>
      </c>
      <c r="BB11" s="99">
        <v>11542</v>
      </c>
      <c r="BC11" s="99">
        <v>-19566</v>
      </c>
      <c r="BD11" s="99">
        <v>8773</v>
      </c>
      <c r="BE11" s="99">
        <v>-10986</v>
      </c>
      <c r="BF11" s="99">
        <v>-4340.5630000000001</v>
      </c>
      <c r="BG11" s="99">
        <v>-5535.4369999999999</v>
      </c>
    </row>
    <row r="12" spans="1:59">
      <c r="A12" s="17" t="str">
        <f>INDEX({"Provisão (reversão) para créditos de liquidação duvidosa";"Provision for Doubtful Accounts"},Home!$R$30)</f>
        <v>Provisão (reversão) para créditos de liquidação duvidosa</v>
      </c>
      <c r="B12" s="80">
        <v>1003</v>
      </c>
      <c r="C12" s="80">
        <v>-30</v>
      </c>
      <c r="D12" s="80">
        <v>928</v>
      </c>
      <c r="E12" s="80">
        <v>3713</v>
      </c>
      <c r="F12" s="80">
        <v>-519</v>
      </c>
      <c r="G12" s="80">
        <v>-258</v>
      </c>
      <c r="H12" s="80">
        <v>-469</v>
      </c>
      <c r="I12" s="80">
        <v>200</v>
      </c>
      <c r="J12" s="80">
        <v>-587</v>
      </c>
      <c r="K12" s="80">
        <v>1327</v>
      </c>
      <c r="L12" s="80">
        <v>-1502</v>
      </c>
      <c r="M12" s="80">
        <v>-1184</v>
      </c>
      <c r="N12" s="80">
        <v>-128</v>
      </c>
      <c r="O12" s="80">
        <v>605</v>
      </c>
      <c r="P12" s="80">
        <v>154</v>
      </c>
      <c r="Q12" s="80">
        <v>4813</v>
      </c>
      <c r="R12" s="80">
        <v>651</v>
      </c>
      <c r="S12" s="80">
        <v>201</v>
      </c>
      <c r="T12" s="80">
        <v>-665</v>
      </c>
      <c r="U12" s="80">
        <v>-691</v>
      </c>
      <c r="V12" s="80">
        <v>1540</v>
      </c>
      <c r="W12" s="80">
        <v>-738</v>
      </c>
      <c r="X12" s="80">
        <v>924</v>
      </c>
      <c r="Y12" s="80">
        <v>588</v>
      </c>
      <c r="Z12" s="80">
        <v>-2359</v>
      </c>
      <c r="AA12" s="80">
        <v>-2013</v>
      </c>
      <c r="AB12" s="80">
        <v>268</v>
      </c>
      <c r="AC12" s="80">
        <v>-635</v>
      </c>
      <c r="AD12" s="80">
        <v>794</v>
      </c>
      <c r="AE12" s="80">
        <v>170</v>
      </c>
      <c r="AF12" s="80">
        <v>-1079</v>
      </c>
      <c r="AG12" s="80">
        <v>1773</v>
      </c>
      <c r="AH12" s="80">
        <v>180</v>
      </c>
      <c r="AI12" s="80">
        <v>-85</v>
      </c>
      <c r="AJ12" s="80">
        <v>1739</v>
      </c>
      <c r="AK12" s="80">
        <v>9646</v>
      </c>
      <c r="AL12" s="99">
        <v>770</v>
      </c>
      <c r="AM12" s="99">
        <v>1885</v>
      </c>
      <c r="AN12" s="99">
        <v>1206</v>
      </c>
      <c r="AO12" s="99">
        <v>3871</v>
      </c>
      <c r="AP12" s="99">
        <v>2858</v>
      </c>
      <c r="AQ12" s="99">
        <v>427</v>
      </c>
      <c r="AR12" s="99">
        <v>167</v>
      </c>
      <c r="AS12" s="99">
        <v>3793</v>
      </c>
      <c r="AT12" s="99">
        <v>1334</v>
      </c>
      <c r="AU12" s="99">
        <v>1070</v>
      </c>
      <c r="AV12" s="99">
        <v>4901</v>
      </c>
      <c r="AW12" s="99">
        <v>5476</v>
      </c>
      <c r="AX12" s="99">
        <v>2804</v>
      </c>
      <c r="AY12" s="99">
        <v>6337</v>
      </c>
      <c r="AZ12" s="99">
        <v>6375</v>
      </c>
      <c r="BA12" s="99">
        <v>5776</v>
      </c>
      <c r="BB12" s="99">
        <v>-8104</v>
      </c>
      <c r="BC12" s="99">
        <v>2502</v>
      </c>
      <c r="BD12" s="99">
        <v>-266</v>
      </c>
      <c r="BE12" s="99">
        <v>2204</v>
      </c>
      <c r="BF12" s="99">
        <v>-3794.0859999999998</v>
      </c>
      <c r="BG12" s="99">
        <v>2708.8329399995846</v>
      </c>
    </row>
    <row r="13" spans="1:59">
      <c r="A13" s="17" t="str">
        <f>INDEX({"Provisão (reversão) para encerramento de lojas";"Provisioned Store Closures"},Home!$R$30)</f>
        <v>Provisão (reversão) para encerramento de lojas</v>
      </c>
      <c r="B13" s="80">
        <v>0</v>
      </c>
      <c r="C13" s="80">
        <v>0</v>
      </c>
      <c r="D13" s="80">
        <v>0</v>
      </c>
      <c r="E13" s="80">
        <v>0</v>
      </c>
      <c r="F13" s="80">
        <v>0</v>
      </c>
      <c r="G13" s="80">
        <v>0</v>
      </c>
      <c r="H13" s="80">
        <v>0</v>
      </c>
      <c r="I13" s="80">
        <v>0</v>
      </c>
      <c r="J13" s="80">
        <v>0</v>
      </c>
      <c r="K13" s="80">
        <v>3081</v>
      </c>
      <c r="L13" s="80">
        <v>0</v>
      </c>
      <c r="M13" s="80">
        <v>570</v>
      </c>
      <c r="N13" s="80">
        <v>-332</v>
      </c>
      <c r="O13" s="80">
        <v>-981</v>
      </c>
      <c r="P13" s="80">
        <v>1457</v>
      </c>
      <c r="Q13" s="80">
        <v>-1559</v>
      </c>
      <c r="R13" s="80">
        <v>0</v>
      </c>
      <c r="S13" s="80">
        <v>4818</v>
      </c>
      <c r="T13" s="80">
        <v>-5756</v>
      </c>
      <c r="U13" s="80">
        <v>1675</v>
      </c>
      <c r="V13" s="80">
        <v>-91</v>
      </c>
      <c r="W13" s="80">
        <v>-462</v>
      </c>
      <c r="X13" s="80">
        <v>-1787</v>
      </c>
      <c r="Y13" s="80">
        <v>1529</v>
      </c>
      <c r="Z13" s="80">
        <v>-592</v>
      </c>
      <c r="AA13" s="80">
        <v>-636</v>
      </c>
      <c r="AB13" s="80">
        <v>0</v>
      </c>
      <c r="AC13" s="80">
        <v>2784</v>
      </c>
      <c r="AD13" s="80">
        <v>-3540</v>
      </c>
      <c r="AE13" s="80">
        <v>0</v>
      </c>
      <c r="AF13" s="80">
        <v>-2964</v>
      </c>
      <c r="AG13" s="80">
        <v>-1</v>
      </c>
      <c r="AH13" s="80">
        <v>-1198</v>
      </c>
      <c r="AI13" s="80">
        <v>0</v>
      </c>
      <c r="AJ13" s="80">
        <v>-715</v>
      </c>
      <c r="AK13" s="80">
        <v>4173</v>
      </c>
      <c r="AL13" s="99">
        <v>-8853</v>
      </c>
      <c r="AM13" s="99">
        <v>5068</v>
      </c>
      <c r="AN13" s="99">
        <v>-4392</v>
      </c>
      <c r="AO13" s="99">
        <v>8072</v>
      </c>
      <c r="AP13" s="99">
        <v>-4553</v>
      </c>
      <c r="AQ13" s="99">
        <v>6335</v>
      </c>
      <c r="AR13" s="99">
        <v>-8922</v>
      </c>
      <c r="AS13" s="99">
        <v>6068</v>
      </c>
      <c r="AT13" s="99">
        <v>-2474</v>
      </c>
      <c r="AU13" s="99">
        <v>-4361</v>
      </c>
      <c r="AV13" s="99">
        <v>-783</v>
      </c>
      <c r="AW13" s="99">
        <v>5410</v>
      </c>
      <c r="AX13" s="99">
        <v>-3281</v>
      </c>
      <c r="AY13" s="99">
        <v>-1130</v>
      </c>
      <c r="AZ13" s="99">
        <v>-3110</v>
      </c>
      <c r="BA13" s="99">
        <v>1857</v>
      </c>
      <c r="BB13" s="99">
        <v>-2608</v>
      </c>
      <c r="BC13" s="99">
        <v>-310</v>
      </c>
      <c r="BD13" s="99">
        <v>-330</v>
      </c>
      <c r="BE13" s="99">
        <v>1205</v>
      </c>
      <c r="BF13" s="99">
        <v>-147</v>
      </c>
      <c r="BG13" s="99">
        <v>4492</v>
      </c>
    </row>
    <row r="14" spans="1:59">
      <c r="A14" s="17" t="str">
        <f>INDEX({"Despesas de juros";"Interest Expenses"},Home!$R$30)</f>
        <v>Despesas de juros</v>
      </c>
      <c r="B14" s="80">
        <v>4287</v>
      </c>
      <c r="C14" s="80">
        <v>3746</v>
      </c>
      <c r="D14" s="80">
        <v>3817</v>
      </c>
      <c r="E14" s="80">
        <v>4314</v>
      </c>
      <c r="F14" s="80">
        <v>4470</v>
      </c>
      <c r="G14" s="80">
        <v>4319</v>
      </c>
      <c r="H14" s="80">
        <v>4154</v>
      </c>
      <c r="I14" s="80">
        <v>4383</v>
      </c>
      <c r="J14" s="80">
        <v>6300</v>
      </c>
      <c r="K14" s="80">
        <v>6065</v>
      </c>
      <c r="L14" s="80">
        <v>5670</v>
      </c>
      <c r="M14" s="80">
        <v>5798</v>
      </c>
      <c r="N14" s="80">
        <v>7577</v>
      </c>
      <c r="O14" s="80">
        <v>7609</v>
      </c>
      <c r="P14" s="80">
        <v>7990</v>
      </c>
      <c r="Q14" s="80">
        <v>8909</v>
      </c>
      <c r="R14" s="80">
        <v>9279</v>
      </c>
      <c r="S14" s="80">
        <v>9224</v>
      </c>
      <c r="T14" s="80">
        <v>11394</v>
      </c>
      <c r="U14" s="80">
        <v>12126</v>
      </c>
      <c r="V14" s="80">
        <v>13050</v>
      </c>
      <c r="W14" s="80">
        <v>19016</v>
      </c>
      <c r="X14" s="80">
        <v>18515</v>
      </c>
      <c r="Y14" s="80">
        <v>13653</v>
      </c>
      <c r="Z14" s="80">
        <v>11128</v>
      </c>
      <c r="AA14" s="80">
        <v>15382</v>
      </c>
      <c r="AB14" s="80">
        <v>16107</v>
      </c>
      <c r="AC14" s="80">
        <v>14082</v>
      </c>
      <c r="AD14" s="80">
        <v>14790</v>
      </c>
      <c r="AE14" s="80">
        <v>16264</v>
      </c>
      <c r="AF14" s="80">
        <v>20019</v>
      </c>
      <c r="AG14" s="80">
        <v>15673</v>
      </c>
      <c r="AH14" s="80">
        <v>12477</v>
      </c>
      <c r="AI14" s="80">
        <v>17829</v>
      </c>
      <c r="AJ14" s="80">
        <v>15205</v>
      </c>
      <c r="AK14" s="80">
        <v>14004</v>
      </c>
      <c r="AL14" s="99">
        <v>13832</v>
      </c>
      <c r="AM14" s="99">
        <v>17686</v>
      </c>
      <c r="AN14" s="99">
        <v>25003</v>
      </c>
      <c r="AO14" s="99">
        <v>29658</v>
      </c>
      <c r="AP14" s="99">
        <v>51241</v>
      </c>
      <c r="AQ14" s="99">
        <v>59646</v>
      </c>
      <c r="AR14" s="99">
        <v>84245</v>
      </c>
      <c r="AS14" s="99">
        <v>79830</v>
      </c>
      <c r="AT14" s="99">
        <v>81364</v>
      </c>
      <c r="AU14" s="99">
        <v>80314</v>
      </c>
      <c r="AV14" s="99">
        <v>88264</v>
      </c>
      <c r="AW14" s="99">
        <v>97275</v>
      </c>
      <c r="AX14" s="99">
        <v>90556</v>
      </c>
      <c r="AY14" s="99">
        <v>87982</v>
      </c>
      <c r="AZ14" s="99">
        <v>93513</v>
      </c>
      <c r="BA14" s="99">
        <v>125970</v>
      </c>
      <c r="BB14" s="99">
        <v>91174</v>
      </c>
      <c r="BC14" s="99">
        <v>120904</v>
      </c>
      <c r="BD14" s="99">
        <v>153784</v>
      </c>
      <c r="BE14" s="99">
        <v>128983</v>
      </c>
      <c r="BF14" s="99">
        <v>135842.30153999999</v>
      </c>
      <c r="BG14" s="99">
        <v>125300.69846000001</v>
      </c>
    </row>
    <row r="15" spans="1:59">
      <c r="A15" s="17" t="str">
        <f>INDEX({"Amortizações do custo de transação de financiamentos";"Debt Issuance Costs Amortization"},Home!$R$30)</f>
        <v>Amortizações do custo de transação de financiamentos</v>
      </c>
      <c r="B15" s="80">
        <v>0</v>
      </c>
      <c r="C15" s="80">
        <v>0</v>
      </c>
      <c r="D15" s="80">
        <v>0</v>
      </c>
      <c r="E15" s="80">
        <v>0</v>
      </c>
      <c r="F15" s="80">
        <v>0</v>
      </c>
      <c r="G15" s="80">
        <v>0</v>
      </c>
      <c r="H15" s="80">
        <v>0</v>
      </c>
      <c r="I15" s="80">
        <v>0</v>
      </c>
      <c r="J15" s="80">
        <v>0</v>
      </c>
      <c r="K15" s="80">
        <v>0</v>
      </c>
      <c r="L15" s="80">
        <v>0</v>
      </c>
      <c r="M15" s="80">
        <v>0</v>
      </c>
      <c r="N15" s="80">
        <v>0</v>
      </c>
      <c r="O15" s="80">
        <v>0</v>
      </c>
      <c r="P15" s="80">
        <v>0</v>
      </c>
      <c r="Q15" s="80">
        <v>0</v>
      </c>
      <c r="R15" s="80">
        <v>0</v>
      </c>
      <c r="S15" s="80">
        <v>0</v>
      </c>
      <c r="T15" s="80">
        <v>0</v>
      </c>
      <c r="U15" s="80">
        <v>0</v>
      </c>
      <c r="V15" s="80">
        <v>0</v>
      </c>
      <c r="W15" s="80">
        <v>60</v>
      </c>
      <c r="X15" s="80">
        <v>63</v>
      </c>
      <c r="Y15" s="80">
        <v>65</v>
      </c>
      <c r="Z15" s="80">
        <v>-3938</v>
      </c>
      <c r="AA15" s="80">
        <v>542</v>
      </c>
      <c r="AB15" s="80">
        <v>513</v>
      </c>
      <c r="AC15" s="80">
        <v>495</v>
      </c>
      <c r="AD15" s="80">
        <v>608</v>
      </c>
      <c r="AE15" s="80">
        <v>736</v>
      </c>
      <c r="AF15" s="80">
        <v>646</v>
      </c>
      <c r="AG15" s="80">
        <v>728</v>
      </c>
      <c r="AH15" s="80">
        <v>714</v>
      </c>
      <c r="AI15" s="80">
        <v>991</v>
      </c>
      <c r="AJ15" s="80">
        <v>1575</v>
      </c>
      <c r="AK15" s="80">
        <v>1296</v>
      </c>
      <c r="AL15" s="99">
        <v>1261</v>
      </c>
      <c r="AM15" s="99">
        <v>1127</v>
      </c>
      <c r="AN15" s="99">
        <v>965</v>
      </c>
      <c r="AO15" s="99">
        <v>968</v>
      </c>
      <c r="AP15" s="99">
        <v>1080</v>
      </c>
      <c r="AQ15" s="99">
        <v>926</v>
      </c>
      <c r="AR15" s="99">
        <v>1313</v>
      </c>
      <c r="AS15" s="99">
        <v>1320</v>
      </c>
      <c r="AT15" s="99">
        <v>1321</v>
      </c>
      <c r="AU15" s="99">
        <v>1027</v>
      </c>
      <c r="AV15" s="99">
        <v>1360</v>
      </c>
      <c r="AW15" s="99">
        <v>1594</v>
      </c>
      <c r="AX15" s="99">
        <v>1913</v>
      </c>
      <c r="AY15" s="99">
        <v>-166</v>
      </c>
      <c r="AZ15" s="99">
        <v>5233</v>
      </c>
      <c r="BA15" s="99">
        <v>2391</v>
      </c>
      <c r="BB15" s="99">
        <v>2384</v>
      </c>
      <c r="BC15" s="99">
        <v>2444</v>
      </c>
      <c r="BD15" s="99">
        <v>2326</v>
      </c>
      <c r="BE15" s="99">
        <v>2125</v>
      </c>
      <c r="BF15" s="99">
        <v>2216</v>
      </c>
      <c r="BG15" s="99">
        <v>1917</v>
      </c>
    </row>
    <row r="16" spans="1:59">
      <c r="A16" s="17" t="str">
        <f>INDEX({"Resultado de Equivalência Patrimonial";"Equity Equivalence Result "},Home!$R$30)</f>
        <v>Resultado de Equivalência Patrimonial</v>
      </c>
      <c r="B16" s="80">
        <v>0</v>
      </c>
      <c r="C16" s="80">
        <v>0</v>
      </c>
      <c r="D16" s="80">
        <v>0</v>
      </c>
      <c r="E16" s="80">
        <v>0</v>
      </c>
      <c r="F16" s="80">
        <v>0</v>
      </c>
      <c r="G16" s="80">
        <v>0</v>
      </c>
      <c r="H16" s="80">
        <v>0</v>
      </c>
      <c r="I16" s="80">
        <v>0</v>
      </c>
      <c r="J16" s="80">
        <v>0</v>
      </c>
      <c r="K16" s="80">
        <v>0</v>
      </c>
      <c r="L16" s="80">
        <v>0</v>
      </c>
      <c r="M16" s="80">
        <v>0</v>
      </c>
      <c r="N16" s="80">
        <v>0</v>
      </c>
      <c r="O16" s="80">
        <v>0</v>
      </c>
      <c r="P16" s="80">
        <v>0</v>
      </c>
      <c r="Q16" s="80">
        <v>0</v>
      </c>
      <c r="R16" s="80">
        <v>0</v>
      </c>
      <c r="S16" s="80">
        <v>0</v>
      </c>
      <c r="T16" s="80">
        <v>0</v>
      </c>
      <c r="U16" s="80">
        <v>0</v>
      </c>
      <c r="V16" s="80">
        <v>0</v>
      </c>
      <c r="W16" s="80">
        <v>0</v>
      </c>
      <c r="X16" s="80">
        <v>0</v>
      </c>
      <c r="Y16" s="80">
        <v>0</v>
      </c>
      <c r="Z16" s="80">
        <v>0</v>
      </c>
      <c r="AA16" s="80">
        <v>0</v>
      </c>
      <c r="AB16" s="80">
        <v>0</v>
      </c>
      <c r="AC16" s="80">
        <v>0</v>
      </c>
      <c r="AD16" s="80">
        <v>0</v>
      </c>
      <c r="AE16" s="80">
        <v>0</v>
      </c>
      <c r="AF16" s="80">
        <v>0</v>
      </c>
      <c r="AG16" s="80">
        <v>0</v>
      </c>
      <c r="AH16" s="80">
        <v>0</v>
      </c>
      <c r="AI16" s="80">
        <v>0</v>
      </c>
      <c r="AJ16" s="80">
        <v>1027</v>
      </c>
      <c r="AK16" s="80">
        <v>6840</v>
      </c>
      <c r="AL16" s="99">
        <v>1515</v>
      </c>
      <c r="AM16" s="99">
        <v>1486</v>
      </c>
      <c r="AN16" s="99">
        <v>-179</v>
      </c>
      <c r="AO16" s="99">
        <v>-1694</v>
      </c>
      <c r="AP16" s="99">
        <v>-30</v>
      </c>
      <c r="AQ16" s="99">
        <v>-283</v>
      </c>
      <c r="AR16" s="99">
        <v>814</v>
      </c>
      <c r="AS16" s="99">
        <v>-2033</v>
      </c>
      <c r="AT16" s="99">
        <v>2382</v>
      </c>
      <c r="AU16" s="99">
        <v>837</v>
      </c>
      <c r="AV16" s="99">
        <v>2100</v>
      </c>
      <c r="AW16" s="99">
        <v>7190</v>
      </c>
      <c r="AX16" s="99">
        <v>-340</v>
      </c>
      <c r="AY16" s="99">
        <v>588</v>
      </c>
      <c r="AZ16" s="99">
        <v>213</v>
      </c>
      <c r="BA16" s="99">
        <v>-1530</v>
      </c>
      <c r="BB16" s="99">
        <v>1274</v>
      </c>
      <c r="BC16" s="99">
        <v>434</v>
      </c>
      <c r="BD16" s="99">
        <v>-1026</v>
      </c>
      <c r="BE16" s="99">
        <v>-2675</v>
      </c>
      <c r="BF16" s="99">
        <v>237</v>
      </c>
      <c r="BG16" s="99">
        <v>180</v>
      </c>
    </row>
    <row r="17" spans="1:59">
      <c r="A17" s="17" t="str">
        <f>INDEX({"Ganho adquirido em combinação de negócio";"Gains from business combination"},Home!$R$30)</f>
        <v>Ganho adquirido em combinação de negócio</v>
      </c>
      <c r="B17" s="80">
        <v>0</v>
      </c>
      <c r="C17" s="80">
        <v>0</v>
      </c>
      <c r="D17" s="80">
        <v>0</v>
      </c>
      <c r="E17" s="80">
        <v>0</v>
      </c>
      <c r="F17" s="80">
        <v>0</v>
      </c>
      <c r="G17" s="80">
        <v>0</v>
      </c>
      <c r="H17" s="80">
        <v>0</v>
      </c>
      <c r="I17" s="80">
        <v>0</v>
      </c>
      <c r="J17" s="80">
        <v>0</v>
      </c>
      <c r="K17" s="80">
        <v>0</v>
      </c>
      <c r="L17" s="80">
        <v>0</v>
      </c>
      <c r="M17" s="80">
        <v>0</v>
      </c>
      <c r="N17" s="80">
        <v>0</v>
      </c>
      <c r="O17" s="80">
        <v>0</v>
      </c>
      <c r="P17" s="80">
        <v>0</v>
      </c>
      <c r="Q17" s="80">
        <v>0</v>
      </c>
      <c r="R17" s="80">
        <v>0</v>
      </c>
      <c r="S17" s="80">
        <v>0</v>
      </c>
      <c r="T17" s="80">
        <v>0</v>
      </c>
      <c r="U17" s="80">
        <v>0</v>
      </c>
      <c r="V17" s="80">
        <v>0</v>
      </c>
      <c r="W17" s="80">
        <v>0</v>
      </c>
      <c r="X17" s="80">
        <v>0</v>
      </c>
      <c r="Y17" s="80">
        <v>0</v>
      </c>
      <c r="Z17" s="80">
        <v>0</v>
      </c>
      <c r="AA17" s="80">
        <v>0</v>
      </c>
      <c r="AB17" s="80">
        <v>0</v>
      </c>
      <c r="AC17" s="80">
        <v>0</v>
      </c>
      <c r="AD17" s="80">
        <v>0</v>
      </c>
      <c r="AE17" s="80">
        <v>0</v>
      </c>
      <c r="AF17" s="80">
        <v>-359035</v>
      </c>
      <c r="AG17" s="80">
        <v>2407</v>
      </c>
      <c r="AH17" s="80">
        <v>0</v>
      </c>
      <c r="AI17" s="80">
        <v>0</v>
      </c>
      <c r="AJ17" s="80">
        <v>0</v>
      </c>
      <c r="AK17" s="80">
        <v>0</v>
      </c>
      <c r="AL17" s="99">
        <v>0</v>
      </c>
      <c r="AM17" s="99">
        <v>0</v>
      </c>
      <c r="AN17" s="99">
        <v>0</v>
      </c>
      <c r="AO17" s="99">
        <v>0</v>
      </c>
      <c r="AP17" s="99">
        <v>0</v>
      </c>
      <c r="AQ17" s="99">
        <v>0</v>
      </c>
      <c r="AR17" s="99">
        <v>0</v>
      </c>
      <c r="AS17" s="99">
        <v>0</v>
      </c>
      <c r="AT17" s="99">
        <v>0</v>
      </c>
      <c r="AU17" s="99">
        <v>0</v>
      </c>
      <c r="AV17" s="99">
        <v>0</v>
      </c>
      <c r="AW17" s="99">
        <v>0</v>
      </c>
      <c r="AX17" s="99">
        <v>0</v>
      </c>
      <c r="AY17" s="99">
        <v>59708</v>
      </c>
      <c r="AZ17" s="99">
        <v>0</v>
      </c>
      <c r="BA17" s="99">
        <v>1</v>
      </c>
      <c r="BB17" s="99">
        <v>0</v>
      </c>
      <c r="BC17" s="99">
        <v>0</v>
      </c>
      <c r="BD17" s="99">
        <v>0</v>
      </c>
      <c r="BE17" s="99">
        <v>0</v>
      </c>
      <c r="BF17" s="99">
        <v>0</v>
      </c>
      <c r="BG17" s="99">
        <v>-19568</v>
      </c>
    </row>
    <row r="18" spans="1:59">
      <c r="A18" s="17" t="str">
        <f>INDEX({"Provisão (Reversão) Perdas estimadas em outros ativos";"Provision for Estimated Losses on other Assets"},Home!$R$30)</f>
        <v>Provisão (Reversão) Perdas estimadas em outros ativos</v>
      </c>
      <c r="B18" s="80">
        <v>0</v>
      </c>
      <c r="C18" s="80">
        <v>0</v>
      </c>
      <c r="D18" s="80">
        <v>0</v>
      </c>
      <c r="E18" s="80">
        <v>0</v>
      </c>
      <c r="F18" s="80">
        <v>0</v>
      </c>
      <c r="G18" s="80">
        <v>0</v>
      </c>
      <c r="H18" s="80">
        <v>0</v>
      </c>
      <c r="I18" s="80">
        <v>0</v>
      </c>
      <c r="J18" s="80">
        <v>0</v>
      </c>
      <c r="K18" s="80">
        <v>0</v>
      </c>
      <c r="L18" s="80">
        <v>0</v>
      </c>
      <c r="M18" s="80">
        <v>0</v>
      </c>
      <c r="N18" s="80">
        <v>0</v>
      </c>
      <c r="O18" s="80">
        <v>0</v>
      </c>
      <c r="P18" s="80">
        <v>0</v>
      </c>
      <c r="Q18" s="80">
        <v>0</v>
      </c>
      <c r="R18" s="80">
        <v>0</v>
      </c>
      <c r="S18" s="80">
        <v>0</v>
      </c>
      <c r="T18" s="80">
        <v>0</v>
      </c>
      <c r="U18" s="80">
        <v>0</v>
      </c>
      <c r="V18" s="80">
        <v>0</v>
      </c>
      <c r="W18" s="80">
        <v>0</v>
      </c>
      <c r="X18" s="80">
        <v>0</v>
      </c>
      <c r="Y18" s="80">
        <v>0</v>
      </c>
      <c r="Z18" s="80">
        <v>0</v>
      </c>
      <c r="AA18" s="80">
        <v>0</v>
      </c>
      <c r="AB18" s="80">
        <v>0</v>
      </c>
      <c r="AC18" s="80">
        <v>0</v>
      </c>
      <c r="AD18" s="80">
        <v>0</v>
      </c>
      <c r="AE18" s="80">
        <v>0</v>
      </c>
      <c r="AF18" s="80">
        <v>0</v>
      </c>
      <c r="AG18" s="80">
        <v>0</v>
      </c>
      <c r="AH18" s="80">
        <v>0</v>
      </c>
      <c r="AI18" s="80">
        <v>-29</v>
      </c>
      <c r="AJ18" s="80">
        <v>29</v>
      </c>
      <c r="AK18" s="80">
        <v>0</v>
      </c>
      <c r="AL18" s="99">
        <v>0</v>
      </c>
      <c r="AM18" s="99">
        <v>0</v>
      </c>
      <c r="AN18" s="99">
        <v>0</v>
      </c>
      <c r="AO18" s="99">
        <v>0</v>
      </c>
      <c r="AP18" s="99">
        <v>0</v>
      </c>
      <c r="AQ18" s="99">
        <v>0</v>
      </c>
      <c r="AR18" s="99">
        <v>0</v>
      </c>
      <c r="AS18" s="99">
        <v>0</v>
      </c>
      <c r="AT18" s="99">
        <v>0</v>
      </c>
      <c r="AU18" s="99">
        <v>0</v>
      </c>
      <c r="AV18" s="99">
        <v>0</v>
      </c>
      <c r="AW18" s="99">
        <v>0</v>
      </c>
      <c r="AX18" s="99">
        <v>0</v>
      </c>
      <c r="AY18" s="99">
        <v>0</v>
      </c>
      <c r="AZ18" s="99">
        <v>0</v>
      </c>
      <c r="BA18" s="99">
        <v>0</v>
      </c>
      <c r="BB18" s="99">
        <v>0</v>
      </c>
      <c r="BC18" s="99">
        <v>0</v>
      </c>
      <c r="BD18" s="99">
        <v>0</v>
      </c>
      <c r="BE18" s="99">
        <v>0</v>
      </c>
      <c r="BF18" s="99">
        <v>0</v>
      </c>
      <c r="BG18" s="99">
        <v>0</v>
      </c>
    </row>
    <row r="19" spans="1:59">
      <c r="A19" s="17" t="str">
        <f>INDEX({"Valoração Cotistas Seniores";"Net Valuation of Senior Quota Holders"},Home!$R$30)</f>
        <v>Valoração Cotistas Seniores</v>
      </c>
      <c r="B19" s="80">
        <v>0</v>
      </c>
      <c r="C19" s="80">
        <v>0</v>
      </c>
      <c r="D19" s="80">
        <v>0</v>
      </c>
      <c r="E19" s="80">
        <v>0</v>
      </c>
      <c r="F19" s="80">
        <v>0</v>
      </c>
      <c r="G19" s="80">
        <v>0</v>
      </c>
      <c r="H19" s="80">
        <v>0</v>
      </c>
      <c r="I19" s="80">
        <v>0</v>
      </c>
      <c r="J19" s="80">
        <v>0</v>
      </c>
      <c r="K19" s="80">
        <v>0</v>
      </c>
      <c r="L19" s="80">
        <v>0</v>
      </c>
      <c r="M19" s="80">
        <v>0</v>
      </c>
      <c r="N19" s="80">
        <v>0</v>
      </c>
      <c r="O19" s="80">
        <v>0</v>
      </c>
      <c r="P19" s="80">
        <v>0</v>
      </c>
      <c r="Q19" s="80">
        <v>0</v>
      </c>
      <c r="R19" s="80">
        <v>0</v>
      </c>
      <c r="S19" s="80">
        <v>0</v>
      </c>
      <c r="T19" s="80">
        <v>0</v>
      </c>
      <c r="U19" s="80">
        <v>0</v>
      </c>
      <c r="V19" s="80">
        <v>0</v>
      </c>
      <c r="W19" s="80">
        <v>0</v>
      </c>
      <c r="X19" s="80">
        <v>0</v>
      </c>
      <c r="Y19" s="80">
        <v>0</v>
      </c>
      <c r="Z19" s="80">
        <v>0</v>
      </c>
      <c r="AA19" s="80">
        <v>0</v>
      </c>
      <c r="AB19" s="80">
        <v>0</v>
      </c>
      <c r="AC19" s="80">
        <v>0</v>
      </c>
      <c r="AD19" s="80">
        <v>0</v>
      </c>
      <c r="AE19" s="80">
        <v>0</v>
      </c>
      <c r="AF19" s="80">
        <v>0</v>
      </c>
      <c r="AG19" s="80">
        <v>0</v>
      </c>
      <c r="AH19" s="80">
        <v>0</v>
      </c>
      <c r="AI19" s="80">
        <v>0</v>
      </c>
      <c r="AJ19" s="80">
        <v>0</v>
      </c>
      <c r="AK19" s="80">
        <v>0</v>
      </c>
      <c r="AL19" s="99">
        <v>-1873</v>
      </c>
      <c r="AM19" s="99">
        <v>-4546</v>
      </c>
      <c r="AN19" s="99">
        <v>796</v>
      </c>
      <c r="AO19" s="99">
        <v>-767</v>
      </c>
      <c r="AP19" s="99">
        <v>-577</v>
      </c>
      <c r="AQ19" s="99">
        <v>577</v>
      </c>
      <c r="AR19" s="99">
        <v>0</v>
      </c>
      <c r="AS19" s="99">
        <v>0</v>
      </c>
      <c r="AT19" s="99">
        <v>0</v>
      </c>
      <c r="AU19" s="99">
        <v>0</v>
      </c>
      <c r="AV19" s="99">
        <v>0</v>
      </c>
      <c r="AW19" s="99">
        <v>0</v>
      </c>
      <c r="AX19" s="99">
        <v>0</v>
      </c>
      <c r="AY19" s="99">
        <v>0</v>
      </c>
      <c r="AZ19" s="99">
        <v>0</v>
      </c>
      <c r="BA19" s="99">
        <v>0</v>
      </c>
      <c r="BB19" s="99">
        <v>0</v>
      </c>
      <c r="BC19" s="99">
        <v>0</v>
      </c>
      <c r="BD19" s="99">
        <v>0</v>
      </c>
      <c r="BE19" s="99">
        <v>350</v>
      </c>
      <c r="BF19" s="99">
        <v>0</v>
      </c>
      <c r="BG19" s="99">
        <v>0</v>
      </c>
    </row>
    <row r="20" spans="1:59" ht="15" thickBot="1">
      <c r="A20" s="17" t="str">
        <f>INDEX({"Provisão para realização do valor recuperável em investimento";"Provision for realization of recoverable investment"},Home!$R$30)</f>
        <v>Provisão para realização do valor recuperável em investimento</v>
      </c>
      <c r="B20" s="108">
        <v>0</v>
      </c>
      <c r="C20" s="108">
        <v>0</v>
      </c>
      <c r="D20" s="108">
        <v>0</v>
      </c>
      <c r="E20" s="108">
        <v>0</v>
      </c>
      <c r="F20" s="108">
        <v>0</v>
      </c>
      <c r="G20" s="108">
        <v>0</v>
      </c>
      <c r="H20" s="108">
        <v>0</v>
      </c>
      <c r="I20" s="108">
        <v>0</v>
      </c>
      <c r="J20" s="108">
        <v>0</v>
      </c>
      <c r="K20" s="108">
        <v>0</v>
      </c>
      <c r="L20" s="108">
        <v>0</v>
      </c>
      <c r="M20" s="108">
        <v>0</v>
      </c>
      <c r="N20" s="108">
        <v>0</v>
      </c>
      <c r="O20" s="108">
        <v>0</v>
      </c>
      <c r="P20" s="108">
        <v>0</v>
      </c>
      <c r="Q20" s="108">
        <v>0</v>
      </c>
      <c r="R20" s="108">
        <v>0</v>
      </c>
      <c r="S20" s="108">
        <v>0</v>
      </c>
      <c r="T20" s="108">
        <v>0</v>
      </c>
      <c r="U20" s="108">
        <v>0</v>
      </c>
      <c r="V20" s="108">
        <v>0</v>
      </c>
      <c r="W20" s="108">
        <v>0</v>
      </c>
      <c r="X20" s="108">
        <v>0</v>
      </c>
      <c r="Y20" s="108">
        <v>0</v>
      </c>
      <c r="Z20" s="108">
        <v>0</v>
      </c>
      <c r="AA20" s="108">
        <v>0</v>
      </c>
      <c r="AB20" s="108">
        <v>0</v>
      </c>
      <c r="AC20" s="108">
        <v>0</v>
      </c>
      <c r="AD20" s="108">
        <v>0</v>
      </c>
      <c r="AE20" s="108">
        <v>0</v>
      </c>
      <c r="AF20" s="108">
        <v>0</v>
      </c>
      <c r="AG20" s="108">
        <v>0</v>
      </c>
      <c r="AH20" s="108">
        <v>0</v>
      </c>
      <c r="AI20" s="108">
        <v>0</v>
      </c>
      <c r="AJ20" s="108">
        <v>0</v>
      </c>
      <c r="AK20" s="108">
        <v>0</v>
      </c>
      <c r="AL20" s="108">
        <v>0</v>
      </c>
      <c r="AM20" s="108">
        <v>0</v>
      </c>
      <c r="AN20" s="108">
        <v>0</v>
      </c>
      <c r="AO20" s="108">
        <v>0</v>
      </c>
      <c r="AP20" s="108">
        <v>0</v>
      </c>
      <c r="AQ20" s="108">
        <v>0</v>
      </c>
      <c r="AR20" s="108">
        <v>0</v>
      </c>
      <c r="AS20" s="108">
        <v>0</v>
      </c>
      <c r="AT20" s="108">
        <v>0</v>
      </c>
      <c r="AU20" s="108">
        <v>0</v>
      </c>
      <c r="AV20" s="108">
        <v>0</v>
      </c>
      <c r="AW20" s="108">
        <v>0</v>
      </c>
      <c r="AX20" s="108">
        <v>0</v>
      </c>
      <c r="AY20" s="108">
        <v>0</v>
      </c>
      <c r="AZ20" s="108">
        <v>0</v>
      </c>
      <c r="BA20" s="108">
        <v>0</v>
      </c>
      <c r="BB20" s="108">
        <v>0</v>
      </c>
      <c r="BC20" s="108">
        <v>0</v>
      </c>
      <c r="BD20" s="108">
        <v>0</v>
      </c>
      <c r="BE20" s="108">
        <v>0</v>
      </c>
      <c r="BF20" s="99">
        <v>196098</v>
      </c>
      <c r="BG20" s="99">
        <v>6698</v>
      </c>
    </row>
    <row r="21" spans="1:59">
      <c r="A21" s="67" t="str">
        <f>INDEX({"Subtotal";"Subtotal"},Home!$R$30)</f>
        <v>Subtotal</v>
      </c>
      <c r="B21" s="92">
        <f t="shared" ref="B21:AG21" si="0">SUM(B6:B20)+B3</f>
        <v>60840</v>
      </c>
      <c r="C21" s="92">
        <f t="shared" si="0"/>
        <v>102484</v>
      </c>
      <c r="D21" s="92">
        <f t="shared" si="0"/>
        <v>83676</v>
      </c>
      <c r="E21" s="92">
        <f t="shared" si="0"/>
        <v>77718</v>
      </c>
      <c r="F21" s="92">
        <f t="shared" si="0"/>
        <v>66076</v>
      </c>
      <c r="G21" s="92">
        <f t="shared" si="0"/>
        <v>104881</v>
      </c>
      <c r="H21" s="92">
        <f t="shared" si="0"/>
        <v>74274</v>
      </c>
      <c r="I21" s="92">
        <f t="shared" si="0"/>
        <v>97180</v>
      </c>
      <c r="J21" s="92">
        <f t="shared" si="0"/>
        <v>90524</v>
      </c>
      <c r="K21" s="92">
        <f t="shared" si="0"/>
        <v>143154</v>
      </c>
      <c r="L21" s="92">
        <f t="shared" si="0"/>
        <v>141867</v>
      </c>
      <c r="M21" s="92">
        <f t="shared" si="0"/>
        <v>146786</v>
      </c>
      <c r="N21" s="92">
        <f t="shared" si="0"/>
        <v>144512</v>
      </c>
      <c r="O21" s="92">
        <f t="shared" si="0"/>
        <v>214242</v>
      </c>
      <c r="P21" s="92">
        <f t="shared" si="0"/>
        <v>173756</v>
      </c>
      <c r="Q21" s="92">
        <f t="shared" si="0"/>
        <v>162086</v>
      </c>
      <c r="R21" s="92">
        <f t="shared" si="0"/>
        <v>187001</v>
      </c>
      <c r="S21" s="92">
        <f t="shared" si="0"/>
        <v>300129</v>
      </c>
      <c r="T21" s="92">
        <f t="shared" si="0"/>
        <v>238713</v>
      </c>
      <c r="U21" s="92">
        <f t="shared" si="0"/>
        <v>212352</v>
      </c>
      <c r="V21" s="92">
        <f t="shared" si="0"/>
        <v>243993.92925999998</v>
      </c>
      <c r="W21" s="92">
        <f t="shared" si="0"/>
        <v>297375.91093000013</v>
      </c>
      <c r="X21" s="92">
        <f t="shared" si="0"/>
        <v>291797.68190000026</v>
      </c>
      <c r="Y21" s="92">
        <f t="shared" si="0"/>
        <v>290192.93897000025</v>
      </c>
      <c r="Z21" s="92">
        <f t="shared" si="0"/>
        <v>266783.34313000104</v>
      </c>
      <c r="AA21" s="92">
        <f t="shared" si="0"/>
        <v>301685.3959800002</v>
      </c>
      <c r="AB21" s="92">
        <f t="shared" si="0"/>
        <v>287571.36678999988</v>
      </c>
      <c r="AC21" s="92">
        <f t="shared" si="0"/>
        <v>308111.0913099997</v>
      </c>
      <c r="AD21" s="92">
        <f t="shared" si="0"/>
        <v>255486.57438000001</v>
      </c>
      <c r="AE21" s="92">
        <f t="shared" si="0"/>
        <v>332615.85242999985</v>
      </c>
      <c r="AF21" s="92">
        <f t="shared" si="0"/>
        <v>251761.8729033272</v>
      </c>
      <c r="AG21" s="92">
        <f t="shared" si="0"/>
        <v>330935.77625750034</v>
      </c>
      <c r="AH21" s="92">
        <f t="shared" ref="AH21:BF21" si="1">SUM(AH6:AH20)+AH3</f>
        <v>380568.85732305178</v>
      </c>
      <c r="AI21" s="92">
        <f t="shared" si="1"/>
        <v>234447.11381000071</v>
      </c>
      <c r="AJ21" s="92">
        <f t="shared" si="1"/>
        <v>408943.88618999929</v>
      </c>
      <c r="AK21" s="92">
        <f t="shared" si="1"/>
        <v>502290</v>
      </c>
      <c r="AL21" s="92">
        <f t="shared" si="1"/>
        <v>491394.52471000032</v>
      </c>
      <c r="AM21" s="92">
        <f t="shared" si="1"/>
        <v>580772.61630999995</v>
      </c>
      <c r="AN21" s="92">
        <f t="shared" si="1"/>
        <v>347754.19657000003</v>
      </c>
      <c r="AO21" s="92">
        <f t="shared" si="1"/>
        <v>431196</v>
      </c>
      <c r="AP21" s="92">
        <f t="shared" si="1"/>
        <v>393929</v>
      </c>
      <c r="AQ21" s="92">
        <f t="shared" si="1"/>
        <v>774514</v>
      </c>
      <c r="AR21" s="92">
        <f t="shared" si="1"/>
        <v>629043</v>
      </c>
      <c r="AS21" s="92">
        <f t="shared" si="1"/>
        <v>550490</v>
      </c>
      <c r="AT21" s="92">
        <f t="shared" si="1"/>
        <v>540689</v>
      </c>
      <c r="AU21" s="92">
        <f t="shared" si="1"/>
        <v>663921</v>
      </c>
      <c r="AV21" s="92">
        <f t="shared" si="1"/>
        <v>644013</v>
      </c>
      <c r="AW21" s="92">
        <f t="shared" si="1"/>
        <v>1039252</v>
      </c>
      <c r="AX21" s="92">
        <f t="shared" si="1"/>
        <v>571571</v>
      </c>
      <c r="AY21" s="92">
        <f t="shared" si="1"/>
        <v>766597</v>
      </c>
      <c r="AZ21" s="92">
        <f t="shared" si="1"/>
        <v>731649</v>
      </c>
      <c r="BA21" s="92">
        <f t="shared" si="1"/>
        <v>844442</v>
      </c>
      <c r="BB21" s="92">
        <f t="shared" si="1"/>
        <v>567252</v>
      </c>
      <c r="BC21" s="92">
        <f t="shared" si="1"/>
        <v>765167</v>
      </c>
      <c r="BD21" s="92">
        <f t="shared" si="1"/>
        <v>1017916</v>
      </c>
      <c r="BE21" s="92">
        <f t="shared" si="1"/>
        <v>744576</v>
      </c>
      <c r="BF21" s="92">
        <f t="shared" si="1"/>
        <v>784432.56053999986</v>
      </c>
      <c r="BG21" s="92">
        <f t="shared" ref="BG21" si="2">SUM(BG6:BG20)+BG3</f>
        <v>1033256.1863999997</v>
      </c>
    </row>
    <row r="22" spans="1:59">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1"/>
      <c r="AR22" s="101"/>
      <c r="AS22" s="101"/>
      <c r="AT22" s="101"/>
      <c r="AU22" s="101"/>
      <c r="AV22" s="101"/>
      <c r="AW22" s="101"/>
      <c r="AX22" s="101"/>
      <c r="AY22" s="101"/>
      <c r="AZ22" s="101"/>
      <c r="BA22" s="101"/>
      <c r="BB22" s="101"/>
      <c r="BC22" s="101"/>
      <c r="BD22" s="101"/>
      <c r="BE22" s="101"/>
      <c r="BF22" s="101"/>
      <c r="BG22" s="101"/>
    </row>
    <row r="23" spans="1:59">
      <c r="A23" s="16" t="str">
        <f>INDEX({"Variações nos ativos e passivos";"Assets and Liabilities Variation"},Home!$R$30)</f>
        <v>Variações nos ativos e passivos</v>
      </c>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8"/>
      <c r="AR23" s="98"/>
      <c r="AS23" s="98"/>
      <c r="AT23" s="98"/>
      <c r="AU23" s="98"/>
      <c r="AV23" s="98"/>
      <c r="AW23" s="98"/>
      <c r="AX23" s="98"/>
      <c r="AY23" s="98"/>
      <c r="AZ23" s="98"/>
      <c r="BA23" s="98"/>
      <c r="BB23" s="98"/>
      <c r="BC23" s="98"/>
      <c r="BD23" s="98"/>
      <c r="BE23" s="98"/>
      <c r="BF23" s="98"/>
      <c r="BG23" s="98"/>
    </row>
    <row r="24" spans="1:59">
      <c r="A24" s="17" t="str">
        <f>INDEX({"Clientes e outras contas a receber";"Clients and Other Accounts Receivable"},Home!$R$30)</f>
        <v>Clientes e outras contas a receber</v>
      </c>
      <c r="B24" s="80">
        <v>-11774</v>
      </c>
      <c r="C24" s="80">
        <v>-36150</v>
      </c>
      <c r="D24" s="80">
        <v>-23523</v>
      </c>
      <c r="E24" s="80">
        <v>-19527</v>
      </c>
      <c r="F24" s="80">
        <v>999</v>
      </c>
      <c r="G24" s="80">
        <v>-21957</v>
      </c>
      <c r="H24" s="80">
        <v>13769</v>
      </c>
      <c r="I24" s="80">
        <v>-21396</v>
      </c>
      <c r="J24" s="80">
        <v>-24303</v>
      </c>
      <c r="K24" s="80">
        <v>-29503</v>
      </c>
      <c r="L24" s="80">
        <v>-30145</v>
      </c>
      <c r="M24" s="80">
        <v>-5130</v>
      </c>
      <c r="N24" s="80">
        <v>-15123</v>
      </c>
      <c r="O24" s="80">
        <v>-51410</v>
      </c>
      <c r="P24" s="80">
        <v>-27687</v>
      </c>
      <c r="Q24" s="80">
        <v>-20599</v>
      </c>
      <c r="R24" s="80">
        <v>-40899</v>
      </c>
      <c r="S24" s="80">
        <v>-79650</v>
      </c>
      <c r="T24" s="80">
        <v>-2611</v>
      </c>
      <c r="U24" s="80">
        <v>-53095</v>
      </c>
      <c r="V24" s="80">
        <v>-44802</v>
      </c>
      <c r="W24" s="80">
        <v>-35742</v>
      </c>
      <c r="X24" s="80">
        <v>-48713</v>
      </c>
      <c r="Y24" s="80">
        <v>-44471</v>
      </c>
      <c r="Z24" s="80">
        <v>-49554</v>
      </c>
      <c r="AA24" s="80">
        <v>1454</v>
      </c>
      <c r="AB24" s="80">
        <v>-68462</v>
      </c>
      <c r="AC24" s="80">
        <v>117695</v>
      </c>
      <c r="AD24" s="80">
        <v>-180381.53</v>
      </c>
      <c r="AE24" s="80">
        <v>-10118</v>
      </c>
      <c r="AF24" s="80">
        <v>-72679.679909999977</v>
      </c>
      <c r="AG24" s="80">
        <v>11136</v>
      </c>
      <c r="AH24" s="80">
        <v>-290235</v>
      </c>
      <c r="AI24" s="80">
        <v>161169</v>
      </c>
      <c r="AJ24" s="80">
        <v>-154168</v>
      </c>
      <c r="AK24" s="80">
        <v>-94660</v>
      </c>
      <c r="AL24" s="99">
        <v>-177633</v>
      </c>
      <c r="AM24" s="99">
        <v>-37625</v>
      </c>
      <c r="AN24" s="99">
        <v>-78885</v>
      </c>
      <c r="AO24" s="99">
        <v>136050</v>
      </c>
      <c r="AP24" s="99">
        <v>-381967</v>
      </c>
      <c r="AQ24" s="99">
        <v>140625</v>
      </c>
      <c r="AR24" s="99">
        <v>-373102</v>
      </c>
      <c r="AS24" s="99">
        <v>30843</v>
      </c>
      <c r="AT24" s="99">
        <v>-321950</v>
      </c>
      <c r="AU24" s="99">
        <v>560478</v>
      </c>
      <c r="AV24" s="99">
        <v>-842250</v>
      </c>
      <c r="AW24" s="99">
        <v>-184469</v>
      </c>
      <c r="AX24" s="99">
        <v>118210</v>
      </c>
      <c r="AY24" s="99">
        <v>47459</v>
      </c>
      <c r="AZ24" s="99">
        <v>-458958</v>
      </c>
      <c r="BA24" s="99">
        <v>690179</v>
      </c>
      <c r="BB24" s="99">
        <v>-120796</v>
      </c>
      <c r="BC24" s="99">
        <v>-284796</v>
      </c>
      <c r="BD24" s="99">
        <v>-474927</v>
      </c>
      <c r="BE24" s="99">
        <v>12803</v>
      </c>
      <c r="BF24" s="99">
        <v>2328.8490299999698</v>
      </c>
      <c r="BG24" s="99">
        <v>-263317.83293999959</v>
      </c>
    </row>
    <row r="25" spans="1:59">
      <c r="A25" s="17" t="str">
        <f>INDEX({"Estoques";"Inventories"},Home!$R$30)</f>
        <v>Estoques</v>
      </c>
      <c r="B25" s="80">
        <v>-96735</v>
      </c>
      <c r="C25" s="80">
        <v>9273</v>
      </c>
      <c r="D25" s="80">
        <v>69804</v>
      </c>
      <c r="E25" s="80">
        <v>-146672</v>
      </c>
      <c r="F25" s="80">
        <v>62731</v>
      </c>
      <c r="G25" s="80">
        <v>-107431</v>
      </c>
      <c r="H25" s="80">
        <v>60148</v>
      </c>
      <c r="I25" s="80">
        <v>-189940</v>
      </c>
      <c r="J25" s="80">
        <v>17940</v>
      </c>
      <c r="K25" s="80">
        <v>-59427</v>
      </c>
      <c r="L25" s="80">
        <v>-95361</v>
      </c>
      <c r="M25" s="80">
        <v>-83957</v>
      </c>
      <c r="N25" s="80">
        <v>-102917</v>
      </c>
      <c r="O25" s="80">
        <v>66227</v>
      </c>
      <c r="P25" s="80">
        <v>-83127</v>
      </c>
      <c r="Q25" s="80">
        <v>-166205</v>
      </c>
      <c r="R25" s="80">
        <v>-121728</v>
      </c>
      <c r="S25" s="80">
        <v>689</v>
      </c>
      <c r="T25" s="80">
        <v>-166088</v>
      </c>
      <c r="U25" s="80">
        <v>-197741</v>
      </c>
      <c r="V25" s="80">
        <v>-72734</v>
      </c>
      <c r="W25" s="80">
        <v>-34402</v>
      </c>
      <c r="X25" s="80">
        <v>-84042</v>
      </c>
      <c r="Y25" s="80">
        <v>-180604</v>
      </c>
      <c r="Z25" s="80">
        <v>-108973</v>
      </c>
      <c r="AA25" s="80">
        <v>-14301</v>
      </c>
      <c r="AB25" s="80">
        <v>-164998</v>
      </c>
      <c r="AC25" s="80">
        <v>-278729</v>
      </c>
      <c r="AD25" s="80">
        <v>80480</v>
      </c>
      <c r="AE25" s="80">
        <v>-9371</v>
      </c>
      <c r="AF25" s="80">
        <v>-357370</v>
      </c>
      <c r="AG25" s="80">
        <v>-388669</v>
      </c>
      <c r="AH25" s="80">
        <v>-104540</v>
      </c>
      <c r="AI25" s="80">
        <v>-179298</v>
      </c>
      <c r="AJ25" s="80">
        <v>185228</v>
      </c>
      <c r="AK25" s="80">
        <v>-290490</v>
      </c>
      <c r="AL25" s="99">
        <v>-291485</v>
      </c>
      <c r="AM25" s="99">
        <v>-91494</v>
      </c>
      <c r="AN25" s="99">
        <v>-114411</v>
      </c>
      <c r="AO25" s="99">
        <v>-399419</v>
      </c>
      <c r="AP25" s="99">
        <v>-212858</v>
      </c>
      <c r="AQ25" s="99">
        <v>-243461</v>
      </c>
      <c r="AR25" s="99">
        <v>-285530</v>
      </c>
      <c r="AS25" s="99">
        <v>-293492</v>
      </c>
      <c r="AT25" s="99">
        <v>-652168</v>
      </c>
      <c r="AU25" s="99">
        <v>150415</v>
      </c>
      <c r="AV25" s="99">
        <v>-299031</v>
      </c>
      <c r="AW25" s="99">
        <v>-269151</v>
      </c>
      <c r="AX25" s="99">
        <v>-481508</v>
      </c>
      <c r="AY25" s="99">
        <v>-20144</v>
      </c>
      <c r="AZ25" s="99">
        <v>-452369</v>
      </c>
      <c r="BA25" s="99">
        <v>-281019</v>
      </c>
      <c r="BB25" s="99">
        <v>-247986</v>
      </c>
      <c r="BC25" s="99">
        <v>284839</v>
      </c>
      <c r="BD25" s="99">
        <v>-185945</v>
      </c>
      <c r="BE25" s="99">
        <v>-996316</v>
      </c>
      <c r="BF25" s="99">
        <v>696611.56423000002</v>
      </c>
      <c r="BG25" s="99">
        <v>112545</v>
      </c>
    </row>
    <row r="26" spans="1:59">
      <c r="A26" s="17" t="str">
        <f>INDEX({"Outros ativos circulantes";"Other Short Term Assets"},Home!$R$30)</f>
        <v>Outros ativos circulantes</v>
      </c>
      <c r="B26" s="80">
        <v>4397</v>
      </c>
      <c r="C26" s="80">
        <v>-5145</v>
      </c>
      <c r="D26" s="80">
        <v>32757</v>
      </c>
      <c r="E26" s="80">
        <v>-26997</v>
      </c>
      <c r="F26" s="80">
        <v>6374</v>
      </c>
      <c r="G26" s="80">
        <v>15847</v>
      </c>
      <c r="H26" s="80">
        <v>13559</v>
      </c>
      <c r="I26" s="80">
        <v>24868</v>
      </c>
      <c r="J26" s="80">
        <v>-1120</v>
      </c>
      <c r="K26" s="80">
        <v>7532</v>
      </c>
      <c r="L26" s="80">
        <v>-5688</v>
      </c>
      <c r="M26" s="80">
        <v>20</v>
      </c>
      <c r="N26" s="80">
        <v>-27025</v>
      </c>
      <c r="O26" s="80">
        <v>8164</v>
      </c>
      <c r="P26" s="80">
        <v>-11882</v>
      </c>
      <c r="Q26" s="80">
        <v>5610</v>
      </c>
      <c r="R26" s="80">
        <v>-29477</v>
      </c>
      <c r="S26" s="80">
        <v>-6800</v>
      </c>
      <c r="T26" s="80">
        <v>-26782</v>
      </c>
      <c r="U26" s="80">
        <v>7978</v>
      </c>
      <c r="V26" s="80">
        <v>257</v>
      </c>
      <c r="W26" s="80">
        <v>10589</v>
      </c>
      <c r="X26" s="80">
        <v>8157</v>
      </c>
      <c r="Y26" s="80">
        <v>8849</v>
      </c>
      <c r="Z26" s="80">
        <v>-4389</v>
      </c>
      <c r="AA26" s="80">
        <v>-1004</v>
      </c>
      <c r="AB26" s="80">
        <v>-2545</v>
      </c>
      <c r="AC26" s="80">
        <v>-2153</v>
      </c>
      <c r="AD26" s="80">
        <v>-48428.927000000003</v>
      </c>
      <c r="AE26" s="80">
        <v>9430.4</v>
      </c>
      <c r="AF26" s="80">
        <v>117510.65293000001</v>
      </c>
      <c r="AG26" s="80">
        <v>51795</v>
      </c>
      <c r="AH26" s="80">
        <v>-7476</v>
      </c>
      <c r="AI26" s="80">
        <v>-15532</v>
      </c>
      <c r="AJ26" s="80">
        <v>80699</v>
      </c>
      <c r="AK26" s="80">
        <v>-296</v>
      </c>
      <c r="AL26" s="99">
        <v>-26402</v>
      </c>
      <c r="AM26" s="99">
        <v>-39770</v>
      </c>
      <c r="AN26" s="99">
        <v>10026</v>
      </c>
      <c r="AO26" s="99">
        <v>17378</v>
      </c>
      <c r="AP26" s="99">
        <v>2384</v>
      </c>
      <c r="AQ26" s="99">
        <v>488</v>
      </c>
      <c r="AR26" s="99">
        <v>-15324</v>
      </c>
      <c r="AS26" s="99">
        <v>24572</v>
      </c>
      <c r="AT26" s="99">
        <v>-100826</v>
      </c>
      <c r="AU26" s="99">
        <v>13128</v>
      </c>
      <c r="AV26" s="99">
        <v>-38272</v>
      </c>
      <c r="AW26" s="99">
        <v>-62946</v>
      </c>
      <c r="AX26" s="99">
        <v>-113295</v>
      </c>
      <c r="AY26" s="99">
        <v>-14740</v>
      </c>
      <c r="AZ26" s="99">
        <v>45307</v>
      </c>
      <c r="BA26" s="99">
        <v>-3054</v>
      </c>
      <c r="BB26" s="99">
        <v>-125383</v>
      </c>
      <c r="BC26" s="99">
        <v>-100003</v>
      </c>
      <c r="BD26" s="99">
        <v>6748</v>
      </c>
      <c r="BE26" s="99">
        <v>-53493</v>
      </c>
      <c r="BF26" s="99">
        <v>-402816.34039000003</v>
      </c>
      <c r="BG26" s="99">
        <v>-144792.91416000045</v>
      </c>
    </row>
    <row r="27" spans="1:59">
      <c r="A27" s="17" t="str">
        <f>INDEX({"Ativos no realizável a longo prazo";"Long Term Assets"},Home!$R$30)</f>
        <v>Ativos no realizável a longo prazo</v>
      </c>
      <c r="B27" s="80">
        <v>-11041</v>
      </c>
      <c r="C27" s="80">
        <v>18631</v>
      </c>
      <c r="D27" s="80">
        <v>-42830</v>
      </c>
      <c r="E27" s="80">
        <v>67469</v>
      </c>
      <c r="F27" s="80">
        <v>5492</v>
      </c>
      <c r="G27" s="80">
        <v>318</v>
      </c>
      <c r="H27" s="80">
        <v>2282</v>
      </c>
      <c r="I27" s="80">
        <v>-10960</v>
      </c>
      <c r="J27" s="80">
        <v>-20290</v>
      </c>
      <c r="K27" s="80">
        <v>-4226</v>
      </c>
      <c r="L27" s="80">
        <v>-2231</v>
      </c>
      <c r="M27" s="80">
        <v>-3218</v>
      </c>
      <c r="N27" s="80">
        <v>-7106</v>
      </c>
      <c r="O27" s="80">
        <v>2445</v>
      </c>
      <c r="P27" s="80">
        <v>-2525</v>
      </c>
      <c r="Q27" s="80">
        <v>-3942</v>
      </c>
      <c r="R27" s="80">
        <v>-4882</v>
      </c>
      <c r="S27" s="80">
        <v>-2801</v>
      </c>
      <c r="T27" s="80">
        <v>7008</v>
      </c>
      <c r="U27" s="80">
        <v>-5685</v>
      </c>
      <c r="V27" s="80">
        <v>-4289</v>
      </c>
      <c r="W27" s="80">
        <v>-6840</v>
      </c>
      <c r="X27" s="80">
        <v>-4094</v>
      </c>
      <c r="Y27" s="80">
        <v>-2672</v>
      </c>
      <c r="Z27" s="80">
        <v>1008</v>
      </c>
      <c r="AA27" s="80">
        <v>-4379</v>
      </c>
      <c r="AB27" s="80">
        <v>-43393</v>
      </c>
      <c r="AC27" s="80">
        <v>1326</v>
      </c>
      <c r="AD27" s="80">
        <v>-7424.0889999999999</v>
      </c>
      <c r="AE27" s="80">
        <v>-3018</v>
      </c>
      <c r="AF27" s="80">
        <v>-328618.78217000002</v>
      </c>
      <c r="AG27" s="80">
        <v>-30456</v>
      </c>
      <c r="AH27" s="80">
        <v>-4087</v>
      </c>
      <c r="AI27" s="80">
        <v>-6976</v>
      </c>
      <c r="AJ27" s="80">
        <v>-45889</v>
      </c>
      <c r="AK27" s="80">
        <v>-25315</v>
      </c>
      <c r="AL27" s="99">
        <v>7650</v>
      </c>
      <c r="AM27" s="99">
        <v>-718</v>
      </c>
      <c r="AN27" s="99">
        <v>-8074</v>
      </c>
      <c r="AO27" s="99">
        <v>-27507</v>
      </c>
      <c r="AP27" s="99">
        <v>-7526</v>
      </c>
      <c r="AQ27" s="99">
        <v>-39429</v>
      </c>
      <c r="AR27" s="99">
        <v>9363</v>
      </c>
      <c r="AS27" s="99">
        <v>-30702</v>
      </c>
      <c r="AT27" s="99">
        <v>111816</v>
      </c>
      <c r="AU27" s="99">
        <v>-18765</v>
      </c>
      <c r="AV27" s="99">
        <v>-16145</v>
      </c>
      <c r="AW27" s="99">
        <v>-60008</v>
      </c>
      <c r="AX27" s="99">
        <v>-1180</v>
      </c>
      <c r="AY27" s="99">
        <v>-17448</v>
      </c>
      <c r="AZ27" s="99">
        <v>-1814</v>
      </c>
      <c r="BA27" s="99">
        <v>-3214</v>
      </c>
      <c r="BB27" s="99">
        <v>0</v>
      </c>
      <c r="BC27" s="99">
        <v>0</v>
      </c>
      <c r="BD27" s="99">
        <v>0</v>
      </c>
      <c r="BE27" s="99">
        <v>0</v>
      </c>
      <c r="BF27" s="99">
        <v>0</v>
      </c>
      <c r="BG27" s="99">
        <v>0</v>
      </c>
    </row>
    <row r="28" spans="1:59">
      <c r="A28" s="17" t="str">
        <f>INDEX({"Fornecedores";"Suppliers"},Home!$R$30)</f>
        <v>Fornecedores</v>
      </c>
      <c r="B28" s="80">
        <v>-40645</v>
      </c>
      <c r="C28" s="80">
        <v>-85891</v>
      </c>
      <c r="D28" s="80">
        <v>56805</v>
      </c>
      <c r="E28" s="80">
        <v>108951</v>
      </c>
      <c r="F28" s="80">
        <v>-119123</v>
      </c>
      <c r="G28" s="80">
        <v>32926</v>
      </c>
      <c r="H28" s="80">
        <v>-43491</v>
      </c>
      <c r="I28" s="80">
        <v>225556</v>
      </c>
      <c r="J28" s="80">
        <v>-122748</v>
      </c>
      <c r="K28" s="80">
        <v>75180</v>
      </c>
      <c r="L28" s="80">
        <v>75792</v>
      </c>
      <c r="M28" s="80">
        <v>169205</v>
      </c>
      <c r="N28" s="80">
        <v>55994</v>
      </c>
      <c r="O28" s="80">
        <v>-111138</v>
      </c>
      <c r="P28" s="80">
        <v>124157</v>
      </c>
      <c r="Q28" s="80">
        <v>241191</v>
      </c>
      <c r="R28" s="80">
        <v>-43959</v>
      </c>
      <c r="S28" s="80">
        <v>-84532</v>
      </c>
      <c r="T28" s="80">
        <v>250814</v>
      </c>
      <c r="U28" s="80">
        <v>281310</v>
      </c>
      <c r="V28" s="80">
        <v>-123259</v>
      </c>
      <c r="W28" s="80">
        <v>-85001</v>
      </c>
      <c r="X28" s="80">
        <v>163485</v>
      </c>
      <c r="Y28" s="80">
        <v>253257</v>
      </c>
      <c r="Z28" s="80">
        <v>14334</v>
      </c>
      <c r="AA28" s="80">
        <v>-163926</v>
      </c>
      <c r="AB28" s="80">
        <v>192339</v>
      </c>
      <c r="AC28" s="80">
        <v>275702</v>
      </c>
      <c r="AD28" s="80">
        <v>-117235</v>
      </c>
      <c r="AE28" s="80">
        <v>-61636</v>
      </c>
      <c r="AF28" s="80">
        <v>272866</v>
      </c>
      <c r="AG28" s="80">
        <v>371197</v>
      </c>
      <c r="AH28" s="80">
        <v>133960</v>
      </c>
      <c r="AI28" s="80">
        <v>-553015</v>
      </c>
      <c r="AJ28" s="80">
        <v>111442</v>
      </c>
      <c r="AK28" s="80">
        <v>763645</v>
      </c>
      <c r="AL28" s="99">
        <v>83581</v>
      </c>
      <c r="AM28" s="99">
        <v>-511744</v>
      </c>
      <c r="AN28" s="99">
        <v>170163</v>
      </c>
      <c r="AO28" s="99">
        <v>747893</v>
      </c>
      <c r="AP28" s="99">
        <v>-44842</v>
      </c>
      <c r="AQ28" s="99">
        <v>-62476</v>
      </c>
      <c r="AR28" s="99">
        <v>215683</v>
      </c>
      <c r="AS28" s="99">
        <v>503173</v>
      </c>
      <c r="AT28" s="99">
        <v>848858</v>
      </c>
      <c r="AU28" s="99">
        <v>-999708</v>
      </c>
      <c r="AV28" s="99">
        <v>529283</v>
      </c>
      <c r="AW28" s="99">
        <v>313985</v>
      </c>
      <c r="AX28" s="99">
        <v>495308</v>
      </c>
      <c r="AY28" s="99">
        <v>-699889</v>
      </c>
      <c r="AZ28" s="99">
        <v>815106</v>
      </c>
      <c r="BA28" s="99">
        <v>246807</v>
      </c>
      <c r="BB28" s="99">
        <v>290895</v>
      </c>
      <c r="BC28" s="99">
        <v>-385039</v>
      </c>
      <c r="BD28" s="99">
        <v>547326</v>
      </c>
      <c r="BE28" s="99">
        <v>683976</v>
      </c>
      <c r="BF28" s="99">
        <v>255224.30129999999</v>
      </c>
      <c r="BG28" s="99">
        <v>-90789.036429999527</v>
      </c>
    </row>
    <row r="29" spans="1:59">
      <c r="A29" s="17" t="str">
        <f>INDEX({"Salários e encargos sociais";"Salaries and Social Charges"},Home!$R$30)</f>
        <v>Salários e encargos sociais</v>
      </c>
      <c r="B29" s="80">
        <v>-7115</v>
      </c>
      <c r="C29" s="80">
        <v>20128</v>
      </c>
      <c r="D29" s="80">
        <v>15115</v>
      </c>
      <c r="E29" s="80">
        <v>-27689</v>
      </c>
      <c r="F29" s="80">
        <v>370</v>
      </c>
      <c r="G29" s="80">
        <v>17927</v>
      </c>
      <c r="H29" s="80">
        <v>28065</v>
      </c>
      <c r="I29" s="80">
        <v>-22907</v>
      </c>
      <c r="J29" s="80">
        <v>11396</v>
      </c>
      <c r="K29" s="80">
        <v>25041</v>
      </c>
      <c r="L29" s="80">
        <v>20710</v>
      </c>
      <c r="M29" s="80">
        <v>-32249</v>
      </c>
      <c r="N29" s="80">
        <v>324</v>
      </c>
      <c r="O29" s="80">
        <v>35135</v>
      </c>
      <c r="P29" s="80">
        <v>18785</v>
      </c>
      <c r="Q29" s="80">
        <v>-31472</v>
      </c>
      <c r="R29" s="80">
        <v>-811</v>
      </c>
      <c r="S29" s="80">
        <v>45020</v>
      </c>
      <c r="T29" s="80">
        <v>29841</v>
      </c>
      <c r="U29" s="80">
        <v>-40079</v>
      </c>
      <c r="V29" s="80">
        <v>-6054</v>
      </c>
      <c r="W29" s="80">
        <v>31564</v>
      </c>
      <c r="X29" s="80">
        <v>26735</v>
      </c>
      <c r="Y29" s="80">
        <v>-48824</v>
      </c>
      <c r="Z29" s="80">
        <v>2458</v>
      </c>
      <c r="AA29" s="80">
        <v>48966</v>
      </c>
      <c r="AB29" s="80">
        <v>34413</v>
      </c>
      <c r="AC29" s="80">
        <v>-51094</v>
      </c>
      <c r="AD29" s="80">
        <v>2300</v>
      </c>
      <c r="AE29" s="80">
        <v>59139</v>
      </c>
      <c r="AF29" s="80">
        <v>33535</v>
      </c>
      <c r="AG29" s="80">
        <v>-49532</v>
      </c>
      <c r="AH29" s="80">
        <v>-3155</v>
      </c>
      <c r="AI29" s="80">
        <v>121906</v>
      </c>
      <c r="AJ29" s="80">
        <v>-6153</v>
      </c>
      <c r="AK29" s="80">
        <v>-100110</v>
      </c>
      <c r="AL29" s="99">
        <v>10255</v>
      </c>
      <c r="AM29" s="99">
        <v>93444</v>
      </c>
      <c r="AN29" s="99">
        <v>71262</v>
      </c>
      <c r="AO29" s="99">
        <v>-65688</v>
      </c>
      <c r="AP29" s="99">
        <v>10754</v>
      </c>
      <c r="AQ29" s="99">
        <v>98428</v>
      </c>
      <c r="AR29" s="99">
        <v>87706</v>
      </c>
      <c r="AS29" s="99">
        <v>-55622</v>
      </c>
      <c r="AT29" s="99">
        <v>-35315</v>
      </c>
      <c r="AU29" s="99">
        <v>100078</v>
      </c>
      <c r="AV29" s="99">
        <v>108625</v>
      </c>
      <c r="AW29" s="99">
        <v>-98617</v>
      </c>
      <c r="AX29" s="99">
        <v>-31436</v>
      </c>
      <c r="AY29" s="99">
        <v>111590</v>
      </c>
      <c r="AZ29" s="99">
        <v>100000</v>
      </c>
      <c r="BA29" s="99">
        <v>-130021</v>
      </c>
      <c r="BB29" s="99">
        <v>-23971</v>
      </c>
      <c r="BC29" s="99">
        <v>130905</v>
      </c>
      <c r="BD29" s="99">
        <v>117399</v>
      </c>
      <c r="BE29" s="99">
        <v>-137938</v>
      </c>
      <c r="BF29" s="99">
        <v>-12023.34456</v>
      </c>
      <c r="BG29" s="99">
        <v>177081.65544</v>
      </c>
    </row>
    <row r="30" spans="1:59">
      <c r="A30" s="17" t="str">
        <f>INDEX({"Impostos, taxas e contribuições";"Taxes Payable"},Home!$R$30)</f>
        <v>Impostos, taxas e contribuições</v>
      </c>
      <c r="B30" s="80">
        <v>287</v>
      </c>
      <c r="C30" s="80">
        <v>-1344</v>
      </c>
      <c r="D30" s="80">
        <v>-8148</v>
      </c>
      <c r="E30" s="80">
        <v>-8135</v>
      </c>
      <c r="F30" s="80">
        <v>-2582</v>
      </c>
      <c r="G30" s="80">
        <v>4622</v>
      </c>
      <c r="H30" s="80">
        <v>-7448</v>
      </c>
      <c r="I30" s="80">
        <v>31306</v>
      </c>
      <c r="J30" s="80">
        <v>4189</v>
      </c>
      <c r="K30" s="80">
        <v>-15443</v>
      </c>
      <c r="L30" s="80">
        <v>2655</v>
      </c>
      <c r="M30" s="80">
        <v>-12247</v>
      </c>
      <c r="N30" s="80">
        <v>10357</v>
      </c>
      <c r="O30" s="80">
        <v>-22098</v>
      </c>
      <c r="P30" s="80">
        <v>9124</v>
      </c>
      <c r="Q30" s="80">
        <v>-5778</v>
      </c>
      <c r="R30" s="80">
        <v>17515</v>
      </c>
      <c r="S30" s="80">
        <v>-27747</v>
      </c>
      <c r="T30" s="80">
        <v>20854</v>
      </c>
      <c r="U30" s="80">
        <v>-9869</v>
      </c>
      <c r="V30" s="80">
        <v>14956</v>
      </c>
      <c r="W30" s="80">
        <v>-27835</v>
      </c>
      <c r="X30" s="80">
        <v>4927</v>
      </c>
      <c r="Y30" s="80">
        <v>-11984</v>
      </c>
      <c r="Z30" s="80">
        <v>-31794</v>
      </c>
      <c r="AA30" s="80">
        <v>-26049</v>
      </c>
      <c r="AB30" s="80">
        <v>4011</v>
      </c>
      <c r="AC30" s="80">
        <v>-15209</v>
      </c>
      <c r="AD30" s="80">
        <v>27395</v>
      </c>
      <c r="AE30" s="80">
        <v>-13179</v>
      </c>
      <c r="AF30" s="80">
        <v>-13146.86839568</v>
      </c>
      <c r="AG30" s="80">
        <v>-35761</v>
      </c>
      <c r="AH30" s="80">
        <v>39461</v>
      </c>
      <c r="AI30" s="80">
        <v>-36496</v>
      </c>
      <c r="AJ30" s="80">
        <v>7933</v>
      </c>
      <c r="AK30" s="80">
        <v>18761</v>
      </c>
      <c r="AL30" s="99">
        <v>11396</v>
      </c>
      <c r="AM30" s="99">
        <v>47221</v>
      </c>
      <c r="AN30" s="99">
        <v>-19282</v>
      </c>
      <c r="AO30" s="99">
        <v>-13247</v>
      </c>
      <c r="AP30" s="99">
        <v>-54563</v>
      </c>
      <c r="AQ30" s="99">
        <v>53300</v>
      </c>
      <c r="AR30" s="99">
        <v>-79369</v>
      </c>
      <c r="AS30" s="99">
        <v>-22963</v>
      </c>
      <c r="AT30" s="99">
        <v>-109029</v>
      </c>
      <c r="AU30" s="99">
        <v>21877</v>
      </c>
      <c r="AV30" s="99">
        <v>-61799</v>
      </c>
      <c r="AW30" s="99">
        <v>-102129</v>
      </c>
      <c r="AX30" s="99">
        <v>60415</v>
      </c>
      <c r="AY30" s="99">
        <v>41139</v>
      </c>
      <c r="AZ30" s="99">
        <v>-114778</v>
      </c>
      <c r="BA30" s="99">
        <v>-245665</v>
      </c>
      <c r="BB30" s="99">
        <v>101478</v>
      </c>
      <c r="BC30" s="99">
        <v>-22238</v>
      </c>
      <c r="BD30" s="99">
        <v>11190</v>
      </c>
      <c r="BE30" s="99">
        <v>-94483</v>
      </c>
      <c r="BF30" s="99">
        <v>-519111.73690999998</v>
      </c>
      <c r="BG30" s="99">
        <v>52356.26309</v>
      </c>
    </row>
    <row r="31" spans="1:59">
      <c r="A31" s="49" t="str">
        <f>INDEX({"Outras Obrigações";"Other Liabilities"},Home!$R$30)</f>
        <v>Outras Obrigações</v>
      </c>
      <c r="B31" s="80">
        <v>-18059</v>
      </c>
      <c r="C31" s="80">
        <v>-5493</v>
      </c>
      <c r="D31" s="80">
        <v>-2666</v>
      </c>
      <c r="E31" s="80">
        <v>29917</v>
      </c>
      <c r="F31" s="80">
        <v>-7050</v>
      </c>
      <c r="G31" s="80">
        <v>-15079</v>
      </c>
      <c r="H31" s="80">
        <v>-13321</v>
      </c>
      <c r="I31" s="80">
        <v>6758</v>
      </c>
      <c r="J31" s="80">
        <v>-6693</v>
      </c>
      <c r="K31" s="80">
        <v>171</v>
      </c>
      <c r="L31" s="80">
        <v>4091</v>
      </c>
      <c r="M31" s="80">
        <v>10269</v>
      </c>
      <c r="N31" s="80">
        <v>40</v>
      </c>
      <c r="O31" s="80">
        <v>2513</v>
      </c>
      <c r="P31" s="80">
        <v>-4078</v>
      </c>
      <c r="Q31" s="80">
        <v>-7307</v>
      </c>
      <c r="R31" s="80">
        <v>2544</v>
      </c>
      <c r="S31" s="80">
        <v>8138</v>
      </c>
      <c r="T31" s="80">
        <v>-2288</v>
      </c>
      <c r="U31" s="80">
        <v>6777</v>
      </c>
      <c r="V31" s="80">
        <v>530</v>
      </c>
      <c r="W31" s="80">
        <v>5693</v>
      </c>
      <c r="X31" s="80">
        <v>-6628</v>
      </c>
      <c r="Y31" s="80">
        <v>-9963</v>
      </c>
      <c r="Z31" s="80">
        <v>-7808</v>
      </c>
      <c r="AA31" s="80">
        <v>-539</v>
      </c>
      <c r="AB31" s="80">
        <v>6027</v>
      </c>
      <c r="AC31" s="80">
        <v>3242</v>
      </c>
      <c r="AD31" s="80">
        <v>-6117</v>
      </c>
      <c r="AE31" s="80">
        <v>-10039.297560000001</v>
      </c>
      <c r="AF31" s="80">
        <v>21637</v>
      </c>
      <c r="AG31" s="80">
        <v>3713</v>
      </c>
      <c r="AH31" s="99">
        <v>18072.309519999999</v>
      </c>
      <c r="AI31" s="99">
        <v>27849.365330000001</v>
      </c>
      <c r="AJ31" s="99">
        <v>16843.868109999999</v>
      </c>
      <c r="AK31" s="99">
        <v>-46554.541969999998</v>
      </c>
      <c r="AL31" s="99">
        <v>-15759</v>
      </c>
      <c r="AM31" s="99">
        <v>-28794</v>
      </c>
      <c r="AN31" s="99">
        <v>82010</v>
      </c>
      <c r="AO31" s="99">
        <v>116690</v>
      </c>
      <c r="AP31" s="99">
        <v>39458</v>
      </c>
      <c r="AQ31" s="99">
        <v>-68804</v>
      </c>
      <c r="AR31" s="99">
        <v>40585</v>
      </c>
      <c r="AS31" s="99">
        <v>45629</v>
      </c>
      <c r="AT31" s="99">
        <v>36734</v>
      </c>
      <c r="AU31" s="99">
        <v>-851</v>
      </c>
      <c r="AV31" s="99">
        <v>44132</v>
      </c>
      <c r="AW31" s="99">
        <v>-37941</v>
      </c>
      <c r="AX31" s="99">
        <v>90352</v>
      </c>
      <c r="AY31" s="99">
        <v>-50337</v>
      </c>
      <c r="AZ31" s="99">
        <v>124428</v>
      </c>
      <c r="BA31" s="99">
        <v>-52444</v>
      </c>
      <c r="BB31" s="99">
        <v>15322</v>
      </c>
      <c r="BC31" s="99">
        <v>-99837</v>
      </c>
      <c r="BD31" s="99">
        <v>-105281</v>
      </c>
      <c r="BE31" s="99">
        <v>206241</v>
      </c>
      <c r="BF31" s="99">
        <v>8714.52448</v>
      </c>
      <c r="BG31" s="99">
        <v>-84754.475520000007</v>
      </c>
    </row>
    <row r="32" spans="1:59" ht="15" thickBot="1">
      <c r="A32" s="17" t="str">
        <f>INDEX({"Aluguéis a pagar";"Rent Payable"},Home!$R$30)</f>
        <v>Aluguéis a pagar</v>
      </c>
      <c r="B32" s="80">
        <v>438</v>
      </c>
      <c r="C32" s="80">
        <v>1350</v>
      </c>
      <c r="D32" s="80">
        <v>63</v>
      </c>
      <c r="E32" s="80">
        <v>1083</v>
      </c>
      <c r="F32" s="80">
        <v>1145</v>
      </c>
      <c r="G32" s="80">
        <v>1790</v>
      </c>
      <c r="H32" s="80">
        <v>477</v>
      </c>
      <c r="I32" s="80">
        <v>2861</v>
      </c>
      <c r="J32" s="80">
        <v>-674</v>
      </c>
      <c r="K32" s="80">
        <v>2337</v>
      </c>
      <c r="L32" s="80">
        <v>8141</v>
      </c>
      <c r="M32" s="80">
        <v>1949</v>
      </c>
      <c r="N32" s="80">
        <v>1119</v>
      </c>
      <c r="O32" s="80">
        <v>1863</v>
      </c>
      <c r="P32" s="80">
        <v>3136</v>
      </c>
      <c r="Q32" s="80">
        <v>4479</v>
      </c>
      <c r="R32" s="80">
        <v>1094</v>
      </c>
      <c r="S32" s="80">
        <v>3386</v>
      </c>
      <c r="T32" s="80">
        <v>3081</v>
      </c>
      <c r="U32" s="80">
        <v>4366</v>
      </c>
      <c r="V32" s="80">
        <v>1646</v>
      </c>
      <c r="W32" s="80">
        <v>579</v>
      </c>
      <c r="X32" s="80">
        <v>3027</v>
      </c>
      <c r="Y32" s="80">
        <v>4220</v>
      </c>
      <c r="Z32" s="80">
        <v>2182</v>
      </c>
      <c r="AA32" s="80">
        <v>-754</v>
      </c>
      <c r="AB32" s="80">
        <v>5497</v>
      </c>
      <c r="AC32" s="80">
        <v>5960</v>
      </c>
      <c r="AD32" s="80">
        <v>255.90099999999998</v>
      </c>
      <c r="AE32" s="80">
        <v>608.80146999999749</v>
      </c>
      <c r="AF32" s="80">
        <v>716.08636999999999</v>
      </c>
      <c r="AG32" s="80">
        <v>2336</v>
      </c>
      <c r="AH32" s="80">
        <v>-3030</v>
      </c>
      <c r="AI32" s="80">
        <v>-118</v>
      </c>
      <c r="AJ32" s="80">
        <v>2687</v>
      </c>
      <c r="AK32" s="80">
        <v>3404</v>
      </c>
      <c r="AL32" s="99">
        <v>14735</v>
      </c>
      <c r="AM32" s="99">
        <v>45322</v>
      </c>
      <c r="AN32" s="99">
        <v>-49537</v>
      </c>
      <c r="AO32" s="99">
        <v>-455</v>
      </c>
      <c r="AP32" s="99">
        <v>-3271</v>
      </c>
      <c r="AQ32" s="99">
        <v>1830</v>
      </c>
      <c r="AR32" s="99">
        <v>4355</v>
      </c>
      <c r="AS32" s="99">
        <v>3517</v>
      </c>
      <c r="AT32" s="99">
        <v>-1690</v>
      </c>
      <c r="AU32" s="99">
        <v>220</v>
      </c>
      <c r="AV32" s="99">
        <v>2517</v>
      </c>
      <c r="AW32" s="99">
        <v>5550</v>
      </c>
      <c r="AX32" s="99">
        <v>-1046</v>
      </c>
      <c r="AY32" s="99">
        <v>4404</v>
      </c>
      <c r="AZ32" s="99">
        <v>2175</v>
      </c>
      <c r="BA32" s="99">
        <v>3307</v>
      </c>
      <c r="BB32" s="99">
        <v>1484</v>
      </c>
      <c r="BC32" s="99">
        <v>6032</v>
      </c>
      <c r="BD32" s="99">
        <v>5004</v>
      </c>
      <c r="BE32" s="99">
        <v>4365</v>
      </c>
      <c r="BF32" s="99">
        <v>240</v>
      </c>
      <c r="BG32" s="99">
        <v>27094</v>
      </c>
    </row>
    <row r="33" spans="1:59">
      <c r="A33" s="67" t="str">
        <f>INDEX({"Caixa proveniente das operações";"Cash from Operations"},Home!$R$30)</f>
        <v>Caixa proveniente das operações</v>
      </c>
      <c r="B33" s="92">
        <f t="shared" ref="B33:AV33" si="3">SUM(B24:B32)+B21</f>
        <v>-119407</v>
      </c>
      <c r="C33" s="92">
        <f t="shared" si="3"/>
        <v>17843</v>
      </c>
      <c r="D33" s="92">
        <f t="shared" si="3"/>
        <v>181053</v>
      </c>
      <c r="E33" s="92">
        <f t="shared" si="3"/>
        <v>56118</v>
      </c>
      <c r="F33" s="92">
        <f t="shared" si="3"/>
        <v>14432</v>
      </c>
      <c r="G33" s="92">
        <f t="shared" si="3"/>
        <v>33844</v>
      </c>
      <c r="H33" s="92">
        <f t="shared" si="3"/>
        <v>128314</v>
      </c>
      <c r="I33" s="92">
        <f t="shared" si="3"/>
        <v>143326</v>
      </c>
      <c r="J33" s="92">
        <f t="shared" si="3"/>
        <v>-51779</v>
      </c>
      <c r="K33" s="92">
        <f t="shared" si="3"/>
        <v>144816</v>
      </c>
      <c r="L33" s="92">
        <f t="shared" si="3"/>
        <v>119831</v>
      </c>
      <c r="M33" s="92">
        <f t="shared" si="3"/>
        <v>191428</v>
      </c>
      <c r="N33" s="92">
        <f t="shared" si="3"/>
        <v>60175</v>
      </c>
      <c r="O33" s="92">
        <f t="shared" si="3"/>
        <v>145943</v>
      </c>
      <c r="P33" s="92">
        <f t="shared" si="3"/>
        <v>199659</v>
      </c>
      <c r="Q33" s="92">
        <f t="shared" si="3"/>
        <v>178063</v>
      </c>
      <c r="R33" s="92">
        <f t="shared" si="3"/>
        <v>-33602</v>
      </c>
      <c r="S33" s="92">
        <f t="shared" si="3"/>
        <v>155832</v>
      </c>
      <c r="T33" s="92">
        <f t="shared" si="3"/>
        <v>352542</v>
      </c>
      <c r="U33" s="92">
        <f t="shared" si="3"/>
        <v>206314</v>
      </c>
      <c r="V33" s="92">
        <f t="shared" si="3"/>
        <v>10244.929259999975</v>
      </c>
      <c r="W33" s="92">
        <f t="shared" si="3"/>
        <v>155980.91093000013</v>
      </c>
      <c r="X33" s="92">
        <f t="shared" si="3"/>
        <v>354651.68190000026</v>
      </c>
      <c r="Y33" s="92">
        <f t="shared" si="3"/>
        <v>258000.93897000025</v>
      </c>
      <c r="Z33" s="92">
        <f t="shared" si="3"/>
        <v>84247.343130001042</v>
      </c>
      <c r="AA33" s="92">
        <f t="shared" si="3"/>
        <v>141153.3959800002</v>
      </c>
      <c r="AB33" s="92">
        <f t="shared" si="3"/>
        <v>250460.36678999988</v>
      </c>
      <c r="AC33" s="92">
        <f t="shared" si="3"/>
        <v>364851.0913099997</v>
      </c>
      <c r="AD33" s="92">
        <f t="shared" si="3"/>
        <v>6330.9293800000451</v>
      </c>
      <c r="AE33" s="92">
        <f t="shared" si="3"/>
        <v>294432.75633999985</v>
      </c>
      <c r="AF33" s="92">
        <f t="shared" si="3"/>
        <v>-73788.718272352795</v>
      </c>
      <c r="AG33" s="92">
        <f t="shared" si="3"/>
        <v>266694.77625750034</v>
      </c>
      <c r="AH33" s="92">
        <f t="shared" si="3"/>
        <v>159539.16684305179</v>
      </c>
      <c r="AI33" s="92">
        <f t="shared" si="3"/>
        <v>-246063.52085999929</v>
      </c>
      <c r="AJ33" s="92">
        <f t="shared" si="3"/>
        <v>607566.75429999933</v>
      </c>
      <c r="AK33" s="92">
        <f t="shared" si="3"/>
        <v>730674.45802999998</v>
      </c>
      <c r="AL33" s="92">
        <f t="shared" si="3"/>
        <v>107732.52471000032</v>
      </c>
      <c r="AM33" s="92">
        <f t="shared" si="3"/>
        <v>56614.616309999954</v>
      </c>
      <c r="AN33" s="92">
        <f t="shared" si="3"/>
        <v>411026.19657000003</v>
      </c>
      <c r="AO33" s="92">
        <f t="shared" si="3"/>
        <v>942891</v>
      </c>
      <c r="AP33" s="92">
        <f t="shared" si="3"/>
        <v>-258502</v>
      </c>
      <c r="AQ33" s="92">
        <f t="shared" si="3"/>
        <v>655015</v>
      </c>
      <c r="AR33" s="92">
        <f t="shared" si="3"/>
        <v>233410</v>
      </c>
      <c r="AS33" s="92">
        <f t="shared" si="3"/>
        <v>755445</v>
      </c>
      <c r="AT33" s="92">
        <f t="shared" si="3"/>
        <v>317119</v>
      </c>
      <c r="AU33" s="92">
        <f t="shared" si="3"/>
        <v>490793</v>
      </c>
      <c r="AV33" s="92">
        <f t="shared" si="3"/>
        <v>71073</v>
      </c>
      <c r="AW33" s="92">
        <f>SUM(AW24:AW32)+AW21</f>
        <v>543526</v>
      </c>
      <c r="AX33" s="92">
        <f t="shared" ref="AX33:AZ33" si="4">SUM(AX24:AX32)+AX21</f>
        <v>707391</v>
      </c>
      <c r="AY33" s="92">
        <f t="shared" si="4"/>
        <v>168631</v>
      </c>
      <c r="AZ33" s="92">
        <f t="shared" si="4"/>
        <v>790746</v>
      </c>
      <c r="BA33" s="92">
        <f t="shared" ref="BA33:BC33" si="5">SUM(BA24:BA32)+BA21</f>
        <v>1069318</v>
      </c>
      <c r="BB33" s="92">
        <f t="shared" si="5"/>
        <v>458295</v>
      </c>
      <c r="BC33" s="92">
        <f t="shared" si="5"/>
        <v>295030</v>
      </c>
      <c r="BD33" s="92">
        <f t="shared" ref="BD33:BF33" si="6">SUM(BD24:BD32)+BD21</f>
        <v>939430</v>
      </c>
      <c r="BE33" s="92">
        <f t="shared" si="6"/>
        <v>369731</v>
      </c>
      <c r="BF33" s="92">
        <f t="shared" si="6"/>
        <v>813600.37771999987</v>
      </c>
      <c r="BG33" s="92">
        <f t="shared" ref="BG33" si="7">SUM(BG24:BG32)+BG21</f>
        <v>818678.84588000015</v>
      </c>
    </row>
    <row r="34" spans="1:59">
      <c r="A34" s="25"/>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row>
    <row r="35" spans="1:59">
      <c r="A35" s="17" t="str">
        <f>INDEX({"Juros pagos";"Interest Paid"},Home!$R$30)</f>
        <v>Juros pagos</v>
      </c>
      <c r="B35" s="80">
        <v>-4771</v>
      </c>
      <c r="C35" s="80">
        <v>-2458</v>
      </c>
      <c r="D35" s="80">
        <v>-2568</v>
      </c>
      <c r="E35" s="80">
        <v>-3423</v>
      </c>
      <c r="F35" s="80">
        <v>-3996</v>
      </c>
      <c r="G35" s="80">
        <v>-2533</v>
      </c>
      <c r="H35" s="80">
        <v>-96</v>
      </c>
      <c r="I35" s="80">
        <v>-4026</v>
      </c>
      <c r="J35" s="80">
        <v>-5785</v>
      </c>
      <c r="K35" s="80">
        <v>-4802</v>
      </c>
      <c r="L35" s="80">
        <v>-4525</v>
      </c>
      <c r="M35" s="80">
        <v>-4594</v>
      </c>
      <c r="N35" s="80">
        <v>-5601</v>
      </c>
      <c r="O35" s="80">
        <v>-5036</v>
      </c>
      <c r="P35" s="80">
        <v>-5986</v>
      </c>
      <c r="Q35" s="80">
        <v>-4890</v>
      </c>
      <c r="R35" s="80">
        <v>-5373</v>
      </c>
      <c r="S35" s="80">
        <v>-4929</v>
      </c>
      <c r="T35" s="80">
        <v>-6102</v>
      </c>
      <c r="U35" s="80">
        <v>-5492</v>
      </c>
      <c r="V35" s="80">
        <v>-5984</v>
      </c>
      <c r="W35" s="80">
        <v>-6173</v>
      </c>
      <c r="X35" s="80">
        <v>-5537</v>
      </c>
      <c r="Y35" s="80">
        <v>-19169</v>
      </c>
      <c r="Z35" s="80">
        <v>-3292</v>
      </c>
      <c r="AA35" s="80">
        <v>-13542</v>
      </c>
      <c r="AB35" s="80">
        <v>-2874</v>
      </c>
      <c r="AC35" s="80">
        <v>-23770</v>
      </c>
      <c r="AD35" s="80">
        <v>-2270</v>
      </c>
      <c r="AE35" s="80">
        <v>-2733</v>
      </c>
      <c r="AF35" s="80">
        <v>-9776</v>
      </c>
      <c r="AG35" s="80">
        <v>-26985</v>
      </c>
      <c r="AH35" s="80">
        <v>-1074</v>
      </c>
      <c r="AI35" s="80">
        <v>-17809</v>
      </c>
      <c r="AJ35" s="80">
        <v>-11157</v>
      </c>
      <c r="AK35" s="80">
        <v>-10044</v>
      </c>
      <c r="AL35" s="99">
        <v>-20298</v>
      </c>
      <c r="AM35" s="99">
        <v>-9318</v>
      </c>
      <c r="AN35" s="99">
        <v>-18070</v>
      </c>
      <c r="AO35" s="99">
        <v>-17175</v>
      </c>
      <c r="AP35" s="99">
        <v>-29891</v>
      </c>
      <c r="AQ35" s="99">
        <v>-77220</v>
      </c>
      <c r="AR35" s="99">
        <v>-91138</v>
      </c>
      <c r="AS35" s="99">
        <v>-60425</v>
      </c>
      <c r="AT35" s="99">
        <v>-100213</v>
      </c>
      <c r="AU35" s="99">
        <v>-61502</v>
      </c>
      <c r="AV35" s="99">
        <v>-103049</v>
      </c>
      <c r="AW35" s="99">
        <v>-64130</v>
      </c>
      <c r="AX35" s="99">
        <v>-132835</v>
      </c>
      <c r="AY35" s="99">
        <v>-56007</v>
      </c>
      <c r="AZ35" s="99">
        <v>-100486</v>
      </c>
      <c r="BA35" s="99">
        <v>-83916</v>
      </c>
      <c r="BB35" s="99">
        <v>-100413</v>
      </c>
      <c r="BC35" s="99">
        <v>-94936</v>
      </c>
      <c r="BD35" s="99">
        <v>-116058</v>
      </c>
      <c r="BE35" s="99">
        <v>-149444</v>
      </c>
      <c r="BF35" s="99">
        <v>-94704</v>
      </c>
      <c r="BG35" s="99">
        <v>-186025</v>
      </c>
    </row>
    <row r="36" spans="1:59">
      <c r="A36" s="17" t="str">
        <f>INDEX({"Imposto de renda e contribuição social pagos";"Income Tax and Social Charges Paid"},Home!$R$30)</f>
        <v>Imposto de renda e contribuição social pagos</v>
      </c>
      <c r="B36" s="80">
        <v>-2646</v>
      </c>
      <c r="C36" s="80">
        <v>-3533</v>
      </c>
      <c r="D36" s="80">
        <v>-12065</v>
      </c>
      <c r="E36" s="80">
        <v>-12034</v>
      </c>
      <c r="F36" s="80">
        <v>-7733</v>
      </c>
      <c r="G36" s="80">
        <v>-978</v>
      </c>
      <c r="H36" s="80">
        <v>-2918</v>
      </c>
      <c r="I36" s="80">
        <v>-2544</v>
      </c>
      <c r="J36" s="80">
        <v>-6903</v>
      </c>
      <c r="K36" s="80">
        <v>-11432</v>
      </c>
      <c r="L36" s="80">
        <v>-20531</v>
      </c>
      <c r="M36" s="80">
        <v>-5787</v>
      </c>
      <c r="N36" s="80">
        <v>-12639</v>
      </c>
      <c r="O36" s="80">
        <v>-22094</v>
      </c>
      <c r="P36" s="80">
        <v>-26939</v>
      </c>
      <c r="Q36" s="80">
        <v>0</v>
      </c>
      <c r="R36" s="80">
        <v>-14768</v>
      </c>
      <c r="S36" s="80">
        <v>-43048</v>
      </c>
      <c r="T36" s="80">
        <v>-35108</v>
      </c>
      <c r="U36" s="80">
        <v>-10737</v>
      </c>
      <c r="V36" s="80">
        <v>-16516</v>
      </c>
      <c r="W36" s="80">
        <v>-36059</v>
      </c>
      <c r="X36" s="80">
        <v>-39248</v>
      </c>
      <c r="Y36" s="80">
        <v>-21352</v>
      </c>
      <c r="Z36" s="80">
        <v>-30575</v>
      </c>
      <c r="AA36" s="80">
        <v>-31561</v>
      </c>
      <c r="AB36" s="80">
        <v>-41308</v>
      </c>
      <c r="AC36" s="80">
        <v>-14937</v>
      </c>
      <c r="AD36" s="80">
        <v>-20382</v>
      </c>
      <c r="AE36" s="80">
        <v>-25997</v>
      </c>
      <c r="AF36" s="80">
        <v>-64708</v>
      </c>
      <c r="AG36" s="80">
        <v>-56</v>
      </c>
      <c r="AH36" s="80">
        <v>-44006</v>
      </c>
      <c r="AI36" s="80">
        <v>-43064</v>
      </c>
      <c r="AJ36" s="80">
        <v>-37940</v>
      </c>
      <c r="AK36" s="80">
        <v>-76431</v>
      </c>
      <c r="AL36" s="99">
        <v>-61743</v>
      </c>
      <c r="AM36" s="99">
        <v>-96079</v>
      </c>
      <c r="AN36" s="99">
        <v>-94371</v>
      </c>
      <c r="AO36" s="99">
        <v>-121783</v>
      </c>
      <c r="AP36" s="99">
        <v>-40282</v>
      </c>
      <c r="AQ36" s="99">
        <v>-68027</v>
      </c>
      <c r="AR36" s="99">
        <v>-112834</v>
      </c>
      <c r="AS36" s="99">
        <v>-12032</v>
      </c>
      <c r="AT36" s="99">
        <v>0</v>
      </c>
      <c r="AU36" s="99">
        <v>0</v>
      </c>
      <c r="AV36" s="99">
        <v>-68125</v>
      </c>
      <c r="AW36" s="99">
        <v>-534</v>
      </c>
      <c r="AX36" s="99">
        <v>-101031</v>
      </c>
      <c r="AY36" s="99">
        <v>-55078</v>
      </c>
      <c r="AZ36" s="99">
        <v>-115274</v>
      </c>
      <c r="BA36" s="99">
        <v>-95973</v>
      </c>
      <c r="BB36" s="99">
        <v>0</v>
      </c>
      <c r="BC36" s="99">
        <v>-26165</v>
      </c>
      <c r="BD36" s="99">
        <v>-81744</v>
      </c>
      <c r="BE36" s="99">
        <v>-82337</v>
      </c>
      <c r="BF36" s="99">
        <v>-30354</v>
      </c>
      <c r="BG36" s="99">
        <v>0</v>
      </c>
    </row>
    <row r="37" spans="1:59" ht="15" thickBot="1">
      <c r="A37" s="49" t="str">
        <f>INDEX({"Demandas judiciais pagas";"Paid lawsuits"},Home!$R$30)</f>
        <v>Demandas judiciais pagas</v>
      </c>
      <c r="B37" s="80">
        <v>0</v>
      </c>
      <c r="C37" s="80">
        <v>0</v>
      </c>
      <c r="D37" s="80">
        <v>0</v>
      </c>
      <c r="E37" s="80">
        <v>0</v>
      </c>
      <c r="F37" s="80">
        <v>0</v>
      </c>
      <c r="G37" s="80">
        <v>0</v>
      </c>
      <c r="H37" s="80">
        <v>0</v>
      </c>
      <c r="I37" s="80">
        <v>0</v>
      </c>
      <c r="J37" s="80">
        <v>0</v>
      </c>
      <c r="K37" s="80">
        <v>0</v>
      </c>
      <c r="L37" s="80">
        <v>0</v>
      </c>
      <c r="M37" s="80">
        <v>0</v>
      </c>
      <c r="N37" s="80">
        <v>0</v>
      </c>
      <c r="O37" s="80">
        <v>0</v>
      </c>
      <c r="P37" s="80">
        <v>0</v>
      </c>
      <c r="Q37" s="80">
        <v>0</v>
      </c>
      <c r="R37" s="80">
        <v>0</v>
      </c>
      <c r="S37" s="80">
        <v>0</v>
      </c>
      <c r="T37" s="80">
        <v>0</v>
      </c>
      <c r="U37" s="80">
        <v>0</v>
      </c>
      <c r="V37" s="80">
        <v>0</v>
      </c>
      <c r="W37" s="80">
        <v>0</v>
      </c>
      <c r="X37" s="80">
        <v>0</v>
      </c>
      <c r="Y37" s="80">
        <v>0</v>
      </c>
      <c r="Z37" s="80">
        <v>0</v>
      </c>
      <c r="AA37" s="80">
        <v>0</v>
      </c>
      <c r="AB37" s="80">
        <v>0</v>
      </c>
      <c r="AC37" s="80">
        <v>0</v>
      </c>
      <c r="AD37" s="80">
        <v>0</v>
      </c>
      <c r="AE37" s="80">
        <v>0</v>
      </c>
      <c r="AF37" s="80">
        <v>0</v>
      </c>
      <c r="AG37" s="80">
        <v>0</v>
      </c>
      <c r="AH37" s="99">
        <v>-14485.309519999999</v>
      </c>
      <c r="AI37" s="99">
        <v>-16319.365330000001</v>
      </c>
      <c r="AJ37" s="99">
        <v>-18710.868109999999</v>
      </c>
      <c r="AK37" s="99">
        <v>-18901.458030000002</v>
      </c>
      <c r="AL37" s="99">
        <v>-8473.1871199999987</v>
      </c>
      <c r="AM37" s="99">
        <v>-18288.616309999998</v>
      </c>
      <c r="AN37" s="99">
        <v>-10788.196570000004</v>
      </c>
      <c r="AO37" s="99">
        <v>-13522</v>
      </c>
      <c r="AP37" s="99">
        <v>-11002</v>
      </c>
      <c r="AQ37" s="99">
        <v>-12400</v>
      </c>
      <c r="AR37" s="99">
        <v>-17573</v>
      </c>
      <c r="AS37" s="99">
        <v>-13210</v>
      </c>
      <c r="AT37" s="99">
        <v>-14463</v>
      </c>
      <c r="AU37" s="99">
        <v>-18635</v>
      </c>
      <c r="AV37" s="99">
        <v>-15164</v>
      </c>
      <c r="AW37" s="99">
        <v>-14157</v>
      </c>
      <c r="AX37" s="99">
        <v>-15450</v>
      </c>
      <c r="AY37" s="99">
        <v>-20648</v>
      </c>
      <c r="AZ37" s="99">
        <v>-24261</v>
      </c>
      <c r="BA37" s="99">
        <v>-22547</v>
      </c>
      <c r="BB37" s="99">
        <v>-9597</v>
      </c>
      <c r="BC37" s="99">
        <v>-8020</v>
      </c>
      <c r="BD37" s="99">
        <v>-29694</v>
      </c>
      <c r="BE37" s="99">
        <v>-22414</v>
      </c>
      <c r="BF37" s="99">
        <v>-19769.822</v>
      </c>
      <c r="BG37" s="99">
        <v>-33917.822</v>
      </c>
    </row>
    <row r="38" spans="1:59" ht="15" customHeight="1">
      <c r="A38" s="67" t="str">
        <f>INDEX({"Caixa líquido proveniente das (aplicado nas) atividades operacionais";"Net Cash from (invested) Operational Activities"},Home!$R$30)</f>
        <v>Caixa líquido proveniente das (aplicado nas) atividades operacionais</v>
      </c>
      <c r="B38" s="92">
        <f t="shared" ref="B38:AV38" si="8">SUM(B35:B37)+B33</f>
        <v>-126824</v>
      </c>
      <c r="C38" s="92">
        <f t="shared" si="8"/>
        <v>11852</v>
      </c>
      <c r="D38" s="92">
        <f t="shared" si="8"/>
        <v>166420</v>
      </c>
      <c r="E38" s="92">
        <f t="shared" si="8"/>
        <v>40661</v>
      </c>
      <c r="F38" s="92">
        <f t="shared" si="8"/>
        <v>2703</v>
      </c>
      <c r="G38" s="92">
        <f t="shared" si="8"/>
        <v>30333</v>
      </c>
      <c r="H38" s="92">
        <f t="shared" si="8"/>
        <v>125300</v>
      </c>
      <c r="I38" s="92">
        <f t="shared" si="8"/>
        <v>136756</v>
      </c>
      <c r="J38" s="92">
        <f t="shared" si="8"/>
        <v>-64467</v>
      </c>
      <c r="K38" s="92">
        <f t="shared" si="8"/>
        <v>128582</v>
      </c>
      <c r="L38" s="92">
        <f t="shared" si="8"/>
        <v>94775</v>
      </c>
      <c r="M38" s="92">
        <f t="shared" si="8"/>
        <v>181047</v>
      </c>
      <c r="N38" s="92">
        <f t="shared" si="8"/>
        <v>41935</v>
      </c>
      <c r="O38" s="92">
        <f t="shared" si="8"/>
        <v>118813</v>
      </c>
      <c r="P38" s="92">
        <f t="shared" si="8"/>
        <v>166734</v>
      </c>
      <c r="Q38" s="92">
        <f t="shared" si="8"/>
        <v>173173</v>
      </c>
      <c r="R38" s="92">
        <f t="shared" si="8"/>
        <v>-53743</v>
      </c>
      <c r="S38" s="92">
        <f t="shared" si="8"/>
        <v>107855</v>
      </c>
      <c r="T38" s="92">
        <f t="shared" si="8"/>
        <v>311332</v>
      </c>
      <c r="U38" s="92">
        <f t="shared" si="8"/>
        <v>190085</v>
      </c>
      <c r="V38" s="92">
        <f t="shared" si="8"/>
        <v>-12255.070740000025</v>
      </c>
      <c r="W38" s="92">
        <f t="shared" si="8"/>
        <v>113748.91093000013</v>
      </c>
      <c r="X38" s="92">
        <f t="shared" si="8"/>
        <v>309866.68190000026</v>
      </c>
      <c r="Y38" s="92">
        <f t="shared" si="8"/>
        <v>217479.93897000025</v>
      </c>
      <c r="Z38" s="92">
        <f t="shared" si="8"/>
        <v>50380.343130001042</v>
      </c>
      <c r="AA38" s="92">
        <f t="shared" si="8"/>
        <v>96050.395980000205</v>
      </c>
      <c r="AB38" s="92">
        <f t="shared" si="8"/>
        <v>206278.36678999988</v>
      </c>
      <c r="AC38" s="92">
        <f t="shared" si="8"/>
        <v>326144.0913099997</v>
      </c>
      <c r="AD38" s="92">
        <f t="shared" si="8"/>
        <v>-16321.070619999955</v>
      </c>
      <c r="AE38" s="92">
        <f t="shared" si="8"/>
        <v>265702.75633999985</v>
      </c>
      <c r="AF38" s="92">
        <f t="shared" si="8"/>
        <v>-148272.71827235279</v>
      </c>
      <c r="AG38" s="92">
        <f t="shared" si="8"/>
        <v>239653.77625750034</v>
      </c>
      <c r="AH38" s="92">
        <f t="shared" si="8"/>
        <v>99973.857323051794</v>
      </c>
      <c r="AI38" s="92">
        <f t="shared" si="8"/>
        <v>-323255.88618999929</v>
      </c>
      <c r="AJ38" s="92">
        <f t="shared" si="8"/>
        <v>539758.88618999929</v>
      </c>
      <c r="AK38" s="92">
        <f t="shared" si="8"/>
        <v>625298</v>
      </c>
      <c r="AL38" s="92">
        <f t="shared" si="8"/>
        <v>17218.337590000316</v>
      </c>
      <c r="AM38" s="92">
        <f t="shared" si="8"/>
        <v>-67071.000000000044</v>
      </c>
      <c r="AN38" s="92">
        <f t="shared" si="8"/>
        <v>287797</v>
      </c>
      <c r="AO38" s="92">
        <f t="shared" si="8"/>
        <v>790411</v>
      </c>
      <c r="AP38" s="92">
        <f t="shared" si="8"/>
        <v>-339677</v>
      </c>
      <c r="AQ38" s="92">
        <f t="shared" si="8"/>
        <v>497368</v>
      </c>
      <c r="AR38" s="92">
        <f t="shared" si="8"/>
        <v>11865</v>
      </c>
      <c r="AS38" s="92">
        <f t="shared" si="8"/>
        <v>669778</v>
      </c>
      <c r="AT38" s="92">
        <f t="shared" si="8"/>
        <v>202443</v>
      </c>
      <c r="AU38" s="92">
        <f t="shared" si="8"/>
        <v>410656</v>
      </c>
      <c r="AV38" s="92">
        <f t="shared" si="8"/>
        <v>-115265</v>
      </c>
      <c r="AW38" s="92">
        <f>SUM(AW35:AW37)+AW33</f>
        <v>464705</v>
      </c>
      <c r="AX38" s="92">
        <f t="shared" ref="AX38:AZ38" si="9">SUM(AX35:AX37)+AX33</f>
        <v>458075</v>
      </c>
      <c r="AY38" s="92">
        <f t="shared" si="9"/>
        <v>36898</v>
      </c>
      <c r="AZ38" s="92">
        <f t="shared" si="9"/>
        <v>550725</v>
      </c>
      <c r="BA38" s="92">
        <f t="shared" ref="BA38:BC38" si="10">SUM(BA35:BA37)+BA33</f>
        <v>866882</v>
      </c>
      <c r="BB38" s="92">
        <f t="shared" si="10"/>
        <v>348285</v>
      </c>
      <c r="BC38" s="92">
        <f t="shared" si="10"/>
        <v>165909</v>
      </c>
      <c r="BD38" s="92">
        <f t="shared" ref="BD38:BF38" si="11">SUM(BD35:BD37)+BD33</f>
        <v>711934</v>
      </c>
      <c r="BE38" s="92">
        <f t="shared" si="11"/>
        <v>115536</v>
      </c>
      <c r="BF38" s="92">
        <f t="shared" si="11"/>
        <v>668772.55571999983</v>
      </c>
      <c r="BG38" s="92">
        <f t="shared" ref="BG38" si="12">SUM(BG35:BG37)+BG33</f>
        <v>598736.02388000023</v>
      </c>
    </row>
    <row r="39" spans="1:59">
      <c r="A39" s="15"/>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c r="AV39" s="96"/>
      <c r="AW39" s="96"/>
      <c r="AX39" s="96"/>
      <c r="AY39" s="96"/>
      <c r="AZ39" s="96"/>
      <c r="BA39" s="96"/>
      <c r="BB39" s="96"/>
      <c r="BC39" s="96"/>
      <c r="BD39" s="96"/>
      <c r="BE39" s="96"/>
      <c r="BF39" s="96"/>
      <c r="BG39" s="96"/>
    </row>
    <row r="40" spans="1:59">
      <c r="A40" s="16" t="str">
        <f>INDEX({"Fluxos de caixa das atividades de investimentos";"Investment Activities Cash Flow"},Home!$R$30)</f>
        <v>Fluxos de caixa das atividades de investimentos</v>
      </c>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8"/>
      <c r="AR40" s="98"/>
      <c r="AS40" s="98"/>
      <c r="AT40" s="98"/>
      <c r="AU40" s="98"/>
      <c r="AV40" s="98"/>
      <c r="AW40" s="98"/>
      <c r="AX40" s="98"/>
      <c r="AY40" s="98"/>
      <c r="AZ40" s="98"/>
      <c r="BA40" s="98"/>
      <c r="BB40" s="98"/>
      <c r="BC40" s="98"/>
      <c r="BD40" s="98"/>
      <c r="BE40" s="98"/>
      <c r="BF40" s="98"/>
      <c r="BG40" s="98"/>
    </row>
    <row r="41" spans="1:59">
      <c r="A41" s="25" t="str">
        <f>INDEX({"Caixa adquirido em combinação de negócio";"Cash acquired from business combination"},Home!$R$30)</f>
        <v>Caixa adquirido em combinação de negócio</v>
      </c>
      <c r="B41" s="80">
        <v>0</v>
      </c>
      <c r="C41" s="80">
        <v>0</v>
      </c>
      <c r="D41" s="80">
        <v>0</v>
      </c>
      <c r="E41" s="80">
        <v>0</v>
      </c>
      <c r="F41" s="80">
        <v>0</v>
      </c>
      <c r="G41" s="80">
        <v>0</v>
      </c>
      <c r="H41" s="80">
        <v>0</v>
      </c>
      <c r="I41" s="80">
        <v>0</v>
      </c>
      <c r="J41" s="80">
        <v>0</v>
      </c>
      <c r="K41" s="80">
        <v>0</v>
      </c>
      <c r="L41" s="80">
        <v>0</v>
      </c>
      <c r="M41" s="80">
        <v>0</v>
      </c>
      <c r="N41" s="80">
        <v>0</v>
      </c>
      <c r="O41" s="80">
        <v>0</v>
      </c>
      <c r="P41" s="80">
        <v>0</v>
      </c>
      <c r="Q41" s="80">
        <v>0</v>
      </c>
      <c r="R41" s="80">
        <v>0</v>
      </c>
      <c r="S41" s="80">
        <v>0</v>
      </c>
      <c r="T41" s="80">
        <v>0</v>
      </c>
      <c r="U41" s="80">
        <v>0</v>
      </c>
      <c r="V41" s="80">
        <v>0</v>
      </c>
      <c r="W41" s="80">
        <v>0</v>
      </c>
      <c r="X41" s="80">
        <v>0</v>
      </c>
      <c r="Y41" s="80">
        <v>0</v>
      </c>
      <c r="Z41" s="80">
        <v>0</v>
      </c>
      <c r="AA41" s="80">
        <v>0</v>
      </c>
      <c r="AB41" s="80">
        <v>0</v>
      </c>
      <c r="AC41" s="80">
        <v>0</v>
      </c>
      <c r="AD41" s="80">
        <v>0</v>
      </c>
      <c r="AE41" s="80">
        <v>0</v>
      </c>
      <c r="AF41" s="80">
        <v>283685</v>
      </c>
      <c r="AG41" s="80">
        <v>0</v>
      </c>
      <c r="AH41" s="80">
        <v>0</v>
      </c>
      <c r="AI41" s="80">
        <v>0</v>
      </c>
      <c r="AJ41" s="80">
        <v>0</v>
      </c>
      <c r="AK41" s="80">
        <v>0</v>
      </c>
      <c r="AL41" s="99">
        <v>0</v>
      </c>
      <c r="AM41" s="99">
        <v>13275</v>
      </c>
      <c r="AN41" s="99">
        <v>0</v>
      </c>
      <c r="AO41" s="99">
        <v>1380</v>
      </c>
      <c r="AP41" s="99">
        <v>0</v>
      </c>
      <c r="AQ41" s="99">
        <v>0</v>
      </c>
      <c r="AR41" s="99">
        <v>0</v>
      </c>
      <c r="AS41" s="99">
        <v>0</v>
      </c>
      <c r="AT41" s="99">
        <v>0</v>
      </c>
      <c r="AU41" s="99">
        <v>0</v>
      </c>
      <c r="AV41" s="99">
        <v>0</v>
      </c>
      <c r="AW41" s="99">
        <v>256</v>
      </c>
      <c r="AX41" s="99">
        <v>0</v>
      </c>
      <c r="AY41" s="99">
        <v>0</v>
      </c>
      <c r="AZ41" s="99">
        <v>0</v>
      </c>
      <c r="BA41" s="99">
        <v>0</v>
      </c>
      <c r="BB41" s="99">
        <v>0</v>
      </c>
      <c r="BC41" s="99">
        <v>0</v>
      </c>
      <c r="BD41" s="99">
        <v>0</v>
      </c>
      <c r="BE41" s="99">
        <v>0</v>
      </c>
      <c r="BF41" s="99">
        <v>0</v>
      </c>
      <c r="BG41" s="99">
        <v>144517</v>
      </c>
    </row>
    <row r="42" spans="1:59">
      <c r="A42" s="17" t="str">
        <f>INDEX({"Aquisição de controlada";"Acquisition of subsidiary"},Home!$R$30)</f>
        <v>Aquisição de controlada</v>
      </c>
      <c r="B42" s="80">
        <v>0</v>
      </c>
      <c r="C42" s="80">
        <v>0</v>
      </c>
      <c r="D42" s="80">
        <v>0</v>
      </c>
      <c r="E42" s="80">
        <v>0</v>
      </c>
      <c r="F42" s="80">
        <v>0</v>
      </c>
      <c r="G42" s="80">
        <v>0</v>
      </c>
      <c r="H42" s="80">
        <v>0</v>
      </c>
      <c r="I42" s="80">
        <v>0</v>
      </c>
      <c r="J42" s="80">
        <v>0</v>
      </c>
      <c r="K42" s="80">
        <v>0</v>
      </c>
      <c r="L42" s="80">
        <v>0</v>
      </c>
      <c r="M42" s="80">
        <v>0</v>
      </c>
      <c r="N42" s="80">
        <v>0</v>
      </c>
      <c r="O42" s="80">
        <v>0</v>
      </c>
      <c r="P42" s="80">
        <v>0</v>
      </c>
      <c r="Q42" s="80">
        <v>-5505</v>
      </c>
      <c r="R42" s="80">
        <v>0</v>
      </c>
      <c r="S42" s="80">
        <v>0</v>
      </c>
      <c r="T42" s="80">
        <v>0</v>
      </c>
      <c r="U42" s="80">
        <v>0</v>
      </c>
      <c r="V42" s="80">
        <v>0</v>
      </c>
      <c r="W42" s="80">
        <v>0</v>
      </c>
      <c r="X42" s="80">
        <v>0</v>
      </c>
      <c r="Y42" s="80">
        <v>0</v>
      </c>
      <c r="Z42" s="80">
        <v>0</v>
      </c>
      <c r="AA42" s="80">
        <v>0</v>
      </c>
      <c r="AB42" s="80">
        <v>0</v>
      </c>
      <c r="AC42" s="80">
        <v>0</v>
      </c>
      <c r="AD42" s="80">
        <v>0</v>
      </c>
      <c r="AE42" s="80">
        <v>0</v>
      </c>
      <c r="AF42" s="80">
        <v>0</v>
      </c>
      <c r="AG42" s="80">
        <v>0</v>
      </c>
      <c r="AH42" s="80">
        <v>0</v>
      </c>
      <c r="AI42" s="80">
        <v>0</v>
      </c>
      <c r="AJ42" s="80">
        <v>0</v>
      </c>
      <c r="AK42" s="80">
        <v>0</v>
      </c>
      <c r="AL42" s="99">
        <v>0</v>
      </c>
      <c r="AM42" s="99">
        <v>0</v>
      </c>
      <c r="AN42" s="99">
        <v>0</v>
      </c>
      <c r="AO42" s="99">
        <v>0</v>
      </c>
      <c r="AP42" s="99">
        <v>0</v>
      </c>
      <c r="AQ42" s="99">
        <v>0</v>
      </c>
      <c r="AR42" s="99">
        <v>0</v>
      </c>
      <c r="AS42" s="99">
        <v>0</v>
      </c>
      <c r="AT42" s="99">
        <v>0</v>
      </c>
      <c r="AU42" s="99">
        <v>0</v>
      </c>
      <c r="AV42" s="99">
        <v>0</v>
      </c>
      <c r="AW42" s="99">
        <v>0</v>
      </c>
      <c r="AX42" s="99">
        <v>0</v>
      </c>
      <c r="AY42" s="99">
        <v>0</v>
      </c>
      <c r="AZ42" s="99">
        <v>0</v>
      </c>
      <c r="BA42" s="99">
        <v>0</v>
      </c>
      <c r="BB42" s="99">
        <v>0</v>
      </c>
      <c r="BC42" s="99">
        <v>0</v>
      </c>
      <c r="BD42" s="99">
        <v>0</v>
      </c>
      <c r="BE42" s="99">
        <v>0</v>
      </c>
      <c r="BF42" s="99">
        <v>0</v>
      </c>
      <c r="BG42" s="99">
        <v>0</v>
      </c>
    </row>
    <row r="43" spans="1:59">
      <c r="A43" s="17" t="str">
        <f>INDEX({"Aquisição participação em controlada, sem mudar controle";"Acquisition of share in investee, without change in control"},Home!$R$30)</f>
        <v>Aquisição participação em controlada, sem mudar controle</v>
      </c>
      <c r="B43" s="80">
        <v>0</v>
      </c>
      <c r="C43" s="80">
        <v>0</v>
      </c>
      <c r="D43" s="80">
        <v>0</v>
      </c>
      <c r="E43" s="80">
        <v>0</v>
      </c>
      <c r="F43" s="80">
        <v>0</v>
      </c>
      <c r="G43" s="80">
        <v>0</v>
      </c>
      <c r="H43" s="80">
        <v>0</v>
      </c>
      <c r="I43" s="80">
        <v>0</v>
      </c>
      <c r="J43" s="80">
        <v>0</v>
      </c>
      <c r="K43" s="80">
        <v>0</v>
      </c>
      <c r="L43" s="80">
        <v>0</v>
      </c>
      <c r="M43" s="80">
        <v>0</v>
      </c>
      <c r="N43" s="80">
        <v>0</v>
      </c>
      <c r="O43" s="80">
        <v>0</v>
      </c>
      <c r="P43" s="80">
        <v>0</v>
      </c>
      <c r="Q43" s="80">
        <v>0</v>
      </c>
      <c r="R43" s="80">
        <v>0</v>
      </c>
      <c r="S43" s="80">
        <v>0</v>
      </c>
      <c r="T43" s="80">
        <v>0</v>
      </c>
      <c r="U43" s="80">
        <v>0</v>
      </c>
      <c r="V43" s="80">
        <v>0</v>
      </c>
      <c r="W43" s="80">
        <v>0</v>
      </c>
      <c r="X43" s="80">
        <v>0</v>
      </c>
      <c r="Y43" s="80">
        <v>0</v>
      </c>
      <c r="Z43" s="80">
        <v>0</v>
      </c>
      <c r="AA43" s="80">
        <v>0</v>
      </c>
      <c r="AB43" s="80">
        <v>0</v>
      </c>
      <c r="AC43" s="80">
        <v>0</v>
      </c>
      <c r="AD43" s="80">
        <v>0</v>
      </c>
      <c r="AE43" s="80">
        <v>0</v>
      </c>
      <c r="AF43" s="80">
        <v>0</v>
      </c>
      <c r="AG43" s="80">
        <v>0</v>
      </c>
      <c r="AH43" s="80">
        <v>0</v>
      </c>
      <c r="AI43" s="80">
        <v>0</v>
      </c>
      <c r="AJ43" s="80">
        <v>0</v>
      </c>
      <c r="AK43" s="80">
        <v>0</v>
      </c>
      <c r="AL43" s="99">
        <v>0</v>
      </c>
      <c r="AM43" s="99">
        <v>0</v>
      </c>
      <c r="AN43" s="99">
        <v>0</v>
      </c>
      <c r="AO43" s="99">
        <v>0</v>
      </c>
      <c r="AP43" s="99">
        <v>0</v>
      </c>
      <c r="AQ43" s="99">
        <v>0</v>
      </c>
      <c r="AR43" s="99">
        <v>0</v>
      </c>
      <c r="AS43" s="99">
        <v>0</v>
      </c>
      <c r="AT43" s="99">
        <v>0</v>
      </c>
      <c r="AU43" s="99">
        <v>0</v>
      </c>
      <c r="AV43" s="99">
        <v>0</v>
      </c>
      <c r="AW43" s="99">
        <v>0</v>
      </c>
      <c r="AX43" s="99">
        <v>0</v>
      </c>
      <c r="AY43" s="99">
        <v>-117817</v>
      </c>
      <c r="AZ43" s="99">
        <v>0</v>
      </c>
      <c r="BA43" s="99">
        <v>0</v>
      </c>
      <c r="BB43" s="99">
        <v>0</v>
      </c>
      <c r="BC43" s="99">
        <v>0</v>
      </c>
      <c r="BD43" s="99">
        <v>0</v>
      </c>
      <c r="BE43" s="99">
        <v>0</v>
      </c>
      <c r="BF43" s="99">
        <v>0</v>
      </c>
      <c r="BG43" s="99">
        <v>0</v>
      </c>
    </row>
    <row r="44" spans="1:59">
      <c r="A44" s="17" t="str">
        <f>INDEX({"Aquisições de imobilizado e intangível";"P,P&amp;E and Intangible Acquisitions"},Home!$R$30)</f>
        <v>Aquisições de imobilizado e intangível</v>
      </c>
      <c r="B44" s="80">
        <v>-38542</v>
      </c>
      <c r="C44" s="80">
        <v>-50954</v>
      </c>
      <c r="D44" s="80">
        <v>-56780</v>
      </c>
      <c r="E44" s="80">
        <v>-113360</v>
      </c>
      <c r="F44" s="80">
        <v>-51992</v>
      </c>
      <c r="G44" s="80">
        <v>-60092</v>
      </c>
      <c r="H44" s="80">
        <v>-64564</v>
      </c>
      <c r="I44" s="80">
        <v>-61559</v>
      </c>
      <c r="J44" s="80">
        <v>-52460</v>
      </c>
      <c r="K44" s="80">
        <v>-71110</v>
      </c>
      <c r="L44" s="80">
        <v>-64594</v>
      </c>
      <c r="M44" s="80">
        <v>-86556</v>
      </c>
      <c r="N44" s="80">
        <v>-64751</v>
      </c>
      <c r="O44" s="80">
        <v>-81938</v>
      </c>
      <c r="P44" s="80">
        <v>-98603</v>
      </c>
      <c r="Q44" s="80">
        <v>-139730</v>
      </c>
      <c r="R44" s="80">
        <v>-98929</v>
      </c>
      <c r="S44" s="80">
        <v>-112232</v>
      </c>
      <c r="T44" s="80">
        <v>-143653</v>
      </c>
      <c r="U44" s="80">
        <v>-135355</v>
      </c>
      <c r="V44" s="80">
        <v>-135578</v>
      </c>
      <c r="W44" s="80">
        <v>-153282</v>
      </c>
      <c r="X44" s="80">
        <v>-191469</v>
      </c>
      <c r="Y44" s="80">
        <v>-160001</v>
      </c>
      <c r="Z44" s="80">
        <v>-124239</v>
      </c>
      <c r="AA44" s="80">
        <v>-166097</v>
      </c>
      <c r="AB44" s="80">
        <v>-191737</v>
      </c>
      <c r="AC44" s="80">
        <v>-220912</v>
      </c>
      <c r="AD44" s="80">
        <v>-202424.93273</v>
      </c>
      <c r="AE44" s="80">
        <v>-158737.60000000001</v>
      </c>
      <c r="AF44" s="80">
        <v>-141952.84044000006</v>
      </c>
      <c r="AG44" s="80">
        <v>-153582</v>
      </c>
      <c r="AH44" s="80">
        <v>-136210</v>
      </c>
      <c r="AI44" s="80">
        <v>-151252</v>
      </c>
      <c r="AJ44" s="80">
        <v>-187226</v>
      </c>
      <c r="AK44" s="80">
        <v>-201732</v>
      </c>
      <c r="AL44" s="99">
        <v>-133863</v>
      </c>
      <c r="AM44" s="99">
        <v>-230645</v>
      </c>
      <c r="AN44" s="99">
        <v>-239261</v>
      </c>
      <c r="AO44" s="99">
        <v>-350967</v>
      </c>
      <c r="AP44" s="99">
        <v>-188236</v>
      </c>
      <c r="AQ44" s="99">
        <v>-254757</v>
      </c>
      <c r="AR44" s="99">
        <v>-332055</v>
      </c>
      <c r="AS44" s="99">
        <v>-413734</v>
      </c>
      <c r="AT44" s="99">
        <v>-240719</v>
      </c>
      <c r="AU44" s="99">
        <v>-316220</v>
      </c>
      <c r="AV44" s="99">
        <v>-349065</v>
      </c>
      <c r="AW44" s="99">
        <v>-398577</v>
      </c>
      <c r="AX44" s="99">
        <v>-211376</v>
      </c>
      <c r="AY44" s="99">
        <v>-271720</v>
      </c>
      <c r="AZ44" s="99">
        <v>-369187</v>
      </c>
      <c r="BA44" s="99">
        <v>-431370</v>
      </c>
      <c r="BB44" s="99">
        <v>-270064</v>
      </c>
      <c r="BC44" s="99">
        <v>-321098</v>
      </c>
      <c r="BD44" s="99">
        <v>-375380</v>
      </c>
      <c r="BE44" s="99">
        <v>-429717</v>
      </c>
      <c r="BF44" s="99">
        <v>-258301.649</v>
      </c>
      <c r="BG44" s="99">
        <v>-324281</v>
      </c>
    </row>
    <row r="45" spans="1:59">
      <c r="A45" s="17" t="str">
        <f>INDEX({"Recebimentos por vendas de imobilizados";"Receipts from sales of property, plant and equipment"},Home!$R$30)</f>
        <v>Recebimentos por vendas de imobilizados</v>
      </c>
      <c r="B45" s="80">
        <v>2</v>
      </c>
      <c r="C45" s="80">
        <v>1151</v>
      </c>
      <c r="D45" s="80">
        <v>215</v>
      </c>
      <c r="E45" s="80">
        <v>313</v>
      </c>
      <c r="F45" s="80">
        <v>43</v>
      </c>
      <c r="G45" s="80">
        <v>154</v>
      </c>
      <c r="H45" s="80">
        <v>1186</v>
      </c>
      <c r="I45" s="80">
        <v>14</v>
      </c>
      <c r="J45" s="80">
        <v>1</v>
      </c>
      <c r="K45" s="80">
        <v>792</v>
      </c>
      <c r="L45" s="80">
        <v>0</v>
      </c>
      <c r="M45" s="80">
        <v>2887</v>
      </c>
      <c r="N45" s="80">
        <v>333</v>
      </c>
      <c r="O45" s="80">
        <v>578</v>
      </c>
      <c r="P45" s="80">
        <v>0</v>
      </c>
      <c r="Q45" s="80">
        <v>895</v>
      </c>
      <c r="R45" s="80">
        <v>0</v>
      </c>
      <c r="S45" s="80">
        <v>436</v>
      </c>
      <c r="T45" s="80">
        <v>0</v>
      </c>
      <c r="U45" s="80">
        <v>676</v>
      </c>
      <c r="V45" s="80">
        <v>494</v>
      </c>
      <c r="W45" s="80">
        <v>72</v>
      </c>
      <c r="X45" s="80">
        <v>37</v>
      </c>
      <c r="Y45" s="80">
        <v>547</v>
      </c>
      <c r="Z45" s="80">
        <v>0</v>
      </c>
      <c r="AA45" s="80">
        <v>7</v>
      </c>
      <c r="AB45" s="80">
        <v>3</v>
      </c>
      <c r="AC45" s="80">
        <v>7</v>
      </c>
      <c r="AD45" s="80">
        <v>-17</v>
      </c>
      <c r="AE45" s="80">
        <v>50</v>
      </c>
      <c r="AF45" s="80">
        <v>423</v>
      </c>
      <c r="AG45" s="80">
        <v>-219</v>
      </c>
      <c r="AH45" s="80">
        <v>8</v>
      </c>
      <c r="AI45" s="80">
        <v>0</v>
      </c>
      <c r="AJ45" s="80">
        <v>1292</v>
      </c>
      <c r="AK45" s="80">
        <v>5348</v>
      </c>
      <c r="AL45" s="99">
        <v>466</v>
      </c>
      <c r="AM45" s="99">
        <v>209</v>
      </c>
      <c r="AN45" s="99">
        <v>0</v>
      </c>
      <c r="AO45" s="99">
        <v>134</v>
      </c>
      <c r="AP45" s="99">
        <v>0</v>
      </c>
      <c r="AQ45" s="99">
        <v>0</v>
      </c>
      <c r="AR45" s="99">
        <v>0</v>
      </c>
      <c r="AS45" s="99">
        <v>0</v>
      </c>
      <c r="AT45" s="99">
        <v>0</v>
      </c>
      <c r="AU45" s="99">
        <v>0</v>
      </c>
      <c r="AV45" s="99">
        <v>0</v>
      </c>
      <c r="AW45" s="99">
        <v>154</v>
      </c>
      <c r="AX45" s="99">
        <v>4194</v>
      </c>
      <c r="AY45" s="99">
        <v>71</v>
      </c>
      <c r="AZ45" s="99">
        <v>0</v>
      </c>
      <c r="BA45" s="99">
        <v>0</v>
      </c>
      <c r="BB45" s="99">
        <v>0</v>
      </c>
      <c r="BC45" s="99">
        <v>0</v>
      </c>
      <c r="BD45" s="99">
        <v>573</v>
      </c>
      <c r="BE45" s="99">
        <v>79</v>
      </c>
      <c r="BF45" s="99">
        <v>0</v>
      </c>
      <c r="BG45" s="99">
        <v>533</v>
      </c>
    </row>
    <row r="46" spans="1:59">
      <c r="A46" s="17" t="str">
        <f>INDEX({"Aplicações financeiras restritas";"Restricted financial investments"},Home!$R$30)</f>
        <v>Aplicações financeiras restritas</v>
      </c>
      <c r="B46" s="80">
        <v>0</v>
      </c>
      <c r="C46" s="80">
        <v>0</v>
      </c>
      <c r="D46" s="80">
        <v>0</v>
      </c>
      <c r="E46" s="80">
        <v>0</v>
      </c>
      <c r="F46" s="80">
        <v>0</v>
      </c>
      <c r="G46" s="80">
        <v>0</v>
      </c>
      <c r="H46" s="80">
        <v>0</v>
      </c>
      <c r="I46" s="80">
        <v>0</v>
      </c>
      <c r="J46" s="80">
        <v>0</v>
      </c>
      <c r="K46" s="80">
        <v>0</v>
      </c>
      <c r="L46" s="80">
        <v>0</v>
      </c>
      <c r="M46" s="80">
        <v>0</v>
      </c>
      <c r="N46" s="80">
        <v>0</v>
      </c>
      <c r="O46" s="80">
        <v>0</v>
      </c>
      <c r="P46" s="80">
        <v>0</v>
      </c>
      <c r="Q46" s="80">
        <v>0</v>
      </c>
      <c r="R46" s="80">
        <v>0</v>
      </c>
      <c r="S46" s="80">
        <v>0</v>
      </c>
      <c r="T46" s="80">
        <v>0</v>
      </c>
      <c r="U46" s="80">
        <v>0</v>
      </c>
      <c r="V46" s="80">
        <v>0</v>
      </c>
      <c r="W46" s="80">
        <v>0</v>
      </c>
      <c r="X46" s="80">
        <v>0</v>
      </c>
      <c r="Y46" s="80">
        <v>0</v>
      </c>
      <c r="Z46" s="80">
        <v>0</v>
      </c>
      <c r="AA46" s="80">
        <v>0</v>
      </c>
      <c r="AB46" s="80">
        <v>0</v>
      </c>
      <c r="AC46" s="80">
        <v>0</v>
      </c>
      <c r="AD46" s="80">
        <v>0</v>
      </c>
      <c r="AE46" s="80">
        <v>0</v>
      </c>
      <c r="AF46" s="80">
        <v>0</v>
      </c>
      <c r="AG46" s="80">
        <v>0</v>
      </c>
      <c r="AH46" s="80">
        <v>0</v>
      </c>
      <c r="AI46" s="80">
        <v>0</v>
      </c>
      <c r="AJ46" s="80">
        <v>0</v>
      </c>
      <c r="AK46" s="80">
        <v>0</v>
      </c>
      <c r="AL46" s="80">
        <v>0</v>
      </c>
      <c r="AM46" s="80">
        <v>0</v>
      </c>
      <c r="AN46" s="80">
        <v>0</v>
      </c>
      <c r="AO46" s="80">
        <v>0</v>
      </c>
      <c r="AP46" s="80">
        <v>0</v>
      </c>
      <c r="AQ46" s="80">
        <v>0</v>
      </c>
      <c r="AR46" s="80">
        <v>0</v>
      </c>
      <c r="AS46" s="80">
        <v>0</v>
      </c>
      <c r="AT46" s="80">
        <v>0</v>
      </c>
      <c r="AU46" s="80">
        <v>0</v>
      </c>
      <c r="AV46" s="80">
        <v>0</v>
      </c>
      <c r="AW46" s="80">
        <v>0</v>
      </c>
      <c r="AX46" s="80">
        <v>0</v>
      </c>
      <c r="AY46" s="80">
        <v>0</v>
      </c>
      <c r="AZ46" s="80">
        <v>0</v>
      </c>
      <c r="BA46" s="80">
        <v>-15706</v>
      </c>
      <c r="BB46" s="80">
        <v>-50089</v>
      </c>
      <c r="BC46" s="80">
        <v>-12484</v>
      </c>
      <c r="BD46" s="80">
        <v>-23771</v>
      </c>
      <c r="BE46" s="80">
        <v>82930</v>
      </c>
      <c r="BF46" s="80">
        <v>-76814</v>
      </c>
      <c r="BG46" s="80">
        <v>-20515</v>
      </c>
    </row>
    <row r="47" spans="1:59">
      <c r="A47" s="17" t="str">
        <f>INDEX({"Aquisição e aporte de capital em investidas, líquido";"Acquisition and capital injection in investees, net"},Home!$R$30)</f>
        <v>Aquisição e aporte de capital em investidas, líquido</v>
      </c>
      <c r="B47" s="80">
        <v>0</v>
      </c>
      <c r="C47" s="80">
        <v>0</v>
      </c>
      <c r="D47" s="80">
        <v>0</v>
      </c>
      <c r="E47" s="80">
        <v>0</v>
      </c>
      <c r="F47" s="80">
        <v>0</v>
      </c>
      <c r="G47" s="80">
        <v>0</v>
      </c>
      <c r="H47" s="80">
        <v>0</v>
      </c>
      <c r="I47" s="80">
        <v>0</v>
      </c>
      <c r="J47" s="80">
        <v>0</v>
      </c>
      <c r="K47" s="80">
        <v>0</v>
      </c>
      <c r="L47" s="80">
        <v>0</v>
      </c>
      <c r="M47" s="80">
        <v>0</v>
      </c>
      <c r="N47" s="80">
        <v>0</v>
      </c>
      <c r="O47" s="80">
        <v>0</v>
      </c>
      <c r="P47" s="80">
        <v>0</v>
      </c>
      <c r="Q47" s="80">
        <v>0</v>
      </c>
      <c r="R47" s="80">
        <v>0</v>
      </c>
      <c r="S47" s="80">
        <v>0</v>
      </c>
      <c r="T47" s="80">
        <v>0</v>
      </c>
      <c r="U47" s="80">
        <v>0</v>
      </c>
      <c r="V47" s="80">
        <v>0</v>
      </c>
      <c r="W47" s="80">
        <v>0</v>
      </c>
      <c r="X47" s="80">
        <v>0</v>
      </c>
      <c r="Y47" s="80">
        <v>0</v>
      </c>
      <c r="Z47" s="80">
        <v>0</v>
      </c>
      <c r="AA47" s="80">
        <v>0</v>
      </c>
      <c r="AB47" s="80">
        <v>0</v>
      </c>
      <c r="AC47" s="80">
        <v>0</v>
      </c>
      <c r="AD47" s="80">
        <v>0</v>
      </c>
      <c r="AE47" s="80">
        <v>0</v>
      </c>
      <c r="AF47" s="80">
        <v>0</v>
      </c>
      <c r="AG47" s="80">
        <v>0</v>
      </c>
      <c r="AH47" s="80">
        <v>-3289</v>
      </c>
      <c r="AI47" s="80">
        <v>0</v>
      </c>
      <c r="AJ47" s="80">
        <v>3289</v>
      </c>
      <c r="AK47" s="80">
        <v>-3289</v>
      </c>
      <c r="AL47" s="99">
        <v>-14274</v>
      </c>
      <c r="AM47" s="99">
        <v>-332</v>
      </c>
      <c r="AN47" s="99">
        <v>6480</v>
      </c>
      <c r="AO47" s="99">
        <v>-4510</v>
      </c>
      <c r="AP47" s="99">
        <v>0</v>
      </c>
      <c r="AQ47" s="99">
        <v>0</v>
      </c>
      <c r="AR47" s="99">
        <v>-42000</v>
      </c>
      <c r="AS47" s="99">
        <v>2000</v>
      </c>
      <c r="AT47" s="99">
        <v>0</v>
      </c>
      <c r="AU47" s="99">
        <v>0</v>
      </c>
      <c r="AV47" s="99">
        <v>0</v>
      </c>
      <c r="AW47" s="99">
        <v>0</v>
      </c>
      <c r="AX47" s="99">
        <v>0</v>
      </c>
      <c r="AY47" s="99">
        <v>0</v>
      </c>
      <c r="AZ47" s="99">
        <v>0</v>
      </c>
      <c r="BA47" s="99">
        <v>0</v>
      </c>
      <c r="BB47" s="99">
        <v>0</v>
      </c>
      <c r="BC47" s="99">
        <v>0</v>
      </c>
      <c r="BD47" s="99">
        <v>0</v>
      </c>
      <c r="BE47" s="99">
        <v>0</v>
      </c>
      <c r="BF47" s="99">
        <v>0</v>
      </c>
      <c r="BG47" s="99">
        <v>-2300</v>
      </c>
    </row>
    <row r="48" spans="1:59">
      <c r="A48" s="17" t="str">
        <f>INDEX({"Empréstimos concedidos a controladas";"Loans granted to subsidiaries"},Home!$R$30)</f>
        <v>Empréstimos concedidos a controladas</v>
      </c>
      <c r="B48" s="80">
        <v>0</v>
      </c>
      <c r="C48" s="80">
        <v>0</v>
      </c>
      <c r="D48" s="80">
        <v>0</v>
      </c>
      <c r="E48" s="80">
        <v>0</v>
      </c>
      <c r="F48" s="80">
        <v>0</v>
      </c>
      <c r="G48" s="80">
        <v>0</v>
      </c>
      <c r="H48" s="80">
        <v>0</v>
      </c>
      <c r="I48" s="80">
        <v>0</v>
      </c>
      <c r="J48" s="80">
        <v>0</v>
      </c>
      <c r="K48" s="80">
        <v>0</v>
      </c>
      <c r="L48" s="80">
        <v>0</v>
      </c>
      <c r="M48" s="80">
        <v>0</v>
      </c>
      <c r="N48" s="80">
        <v>0</v>
      </c>
      <c r="O48" s="80">
        <v>0</v>
      </c>
      <c r="P48" s="80">
        <v>0</v>
      </c>
      <c r="Q48" s="80">
        <v>0</v>
      </c>
      <c r="R48" s="80">
        <v>0</v>
      </c>
      <c r="S48" s="80">
        <v>0</v>
      </c>
      <c r="T48" s="80">
        <v>0</v>
      </c>
      <c r="U48" s="80">
        <v>0</v>
      </c>
      <c r="V48" s="80">
        <v>0</v>
      </c>
      <c r="W48" s="80">
        <v>0</v>
      </c>
      <c r="X48" s="80">
        <v>0</v>
      </c>
      <c r="Y48" s="80">
        <v>0</v>
      </c>
      <c r="Z48" s="80">
        <v>0</v>
      </c>
      <c r="AA48" s="80">
        <v>0</v>
      </c>
      <c r="AB48" s="80">
        <v>0</v>
      </c>
      <c r="AC48" s="80">
        <v>0</v>
      </c>
      <c r="AD48" s="80">
        <v>0</v>
      </c>
      <c r="AE48" s="80">
        <v>0</v>
      </c>
      <c r="AF48" s="80">
        <v>0</v>
      </c>
      <c r="AG48" s="80">
        <v>0</v>
      </c>
      <c r="AH48" s="80">
        <v>0</v>
      </c>
      <c r="AI48" s="80">
        <v>0</v>
      </c>
      <c r="AJ48" s="80">
        <v>-1804</v>
      </c>
      <c r="AK48" s="80">
        <v>1768</v>
      </c>
      <c r="AL48" s="99">
        <v>0</v>
      </c>
      <c r="AM48" s="99">
        <v>0</v>
      </c>
      <c r="AN48" s="99">
        <v>-1100</v>
      </c>
      <c r="AO48" s="99">
        <v>-17350</v>
      </c>
      <c r="AP48" s="99">
        <v>-4000</v>
      </c>
      <c r="AQ48" s="99">
        <v>-10345</v>
      </c>
      <c r="AR48" s="99">
        <v>13545</v>
      </c>
      <c r="AS48" s="99">
        <v>0</v>
      </c>
      <c r="AT48" s="99">
        <v>0</v>
      </c>
      <c r="AU48" s="99">
        <v>0</v>
      </c>
      <c r="AV48" s="99">
        <v>0</v>
      </c>
      <c r="AW48" s="99">
        <v>0</v>
      </c>
      <c r="AX48" s="99">
        <v>0</v>
      </c>
      <c r="AY48" s="99">
        <v>0</v>
      </c>
      <c r="AZ48" s="99">
        <v>0</v>
      </c>
      <c r="BA48" s="99">
        <v>0</v>
      </c>
      <c r="BB48" s="99">
        <v>0</v>
      </c>
      <c r="BC48" s="99">
        <v>0</v>
      </c>
      <c r="BD48" s="99">
        <v>0</v>
      </c>
      <c r="BE48" s="99">
        <v>0</v>
      </c>
      <c r="BF48" s="99">
        <v>0</v>
      </c>
      <c r="BG48" s="99">
        <v>0</v>
      </c>
    </row>
    <row r="49" spans="1:59">
      <c r="A49" s="17" t="str">
        <f>INDEX({"Caixa da empresa incorporada";"Cash from incorporated company"},Home!$R$30)</f>
        <v>Caixa da empresa incorporada</v>
      </c>
      <c r="B49" s="99">
        <v>0</v>
      </c>
      <c r="C49" s="99">
        <v>0</v>
      </c>
      <c r="D49" s="99">
        <v>0</v>
      </c>
      <c r="E49" s="99">
        <v>0</v>
      </c>
      <c r="F49" s="99">
        <v>0</v>
      </c>
      <c r="G49" s="99">
        <v>0</v>
      </c>
      <c r="H49" s="99">
        <v>0</v>
      </c>
      <c r="I49" s="99">
        <v>0</v>
      </c>
      <c r="J49" s="99">
        <v>0</v>
      </c>
      <c r="K49" s="99">
        <v>0</v>
      </c>
      <c r="L49" s="99">
        <v>0</v>
      </c>
      <c r="M49" s="99">
        <v>0</v>
      </c>
      <c r="N49" s="99">
        <v>0</v>
      </c>
      <c r="O49" s="99">
        <v>0</v>
      </c>
      <c r="P49" s="99">
        <v>0</v>
      </c>
      <c r="Q49" s="99">
        <v>0</v>
      </c>
      <c r="R49" s="99">
        <v>0</v>
      </c>
      <c r="S49" s="99">
        <v>0</v>
      </c>
      <c r="T49" s="99">
        <v>0</v>
      </c>
      <c r="U49" s="99">
        <v>0</v>
      </c>
      <c r="V49" s="99">
        <v>0</v>
      </c>
      <c r="W49" s="99">
        <v>0</v>
      </c>
      <c r="X49" s="99">
        <v>0</v>
      </c>
      <c r="Y49" s="99">
        <v>0</v>
      </c>
      <c r="Z49" s="99">
        <v>0</v>
      </c>
      <c r="AA49" s="99">
        <v>0</v>
      </c>
      <c r="AB49" s="99">
        <v>0</v>
      </c>
      <c r="AC49" s="99">
        <v>0</v>
      </c>
      <c r="AD49" s="99">
        <v>0</v>
      </c>
      <c r="AE49" s="99">
        <v>0</v>
      </c>
      <c r="AF49" s="99">
        <v>0</v>
      </c>
      <c r="AG49" s="99">
        <v>0</v>
      </c>
      <c r="AH49" s="99">
        <v>0</v>
      </c>
      <c r="AI49" s="99">
        <v>0</v>
      </c>
      <c r="AJ49" s="99">
        <v>0</v>
      </c>
      <c r="AK49" s="99">
        <v>0</v>
      </c>
      <c r="AL49" s="99">
        <v>0</v>
      </c>
      <c r="AM49" s="99">
        <v>-14292</v>
      </c>
      <c r="AN49" s="99">
        <v>0</v>
      </c>
      <c r="AO49" s="99">
        <v>-479</v>
      </c>
      <c r="AP49" s="99">
        <v>0</v>
      </c>
      <c r="AQ49" s="99">
        <v>0</v>
      </c>
      <c r="AR49" s="99">
        <v>0</v>
      </c>
      <c r="AS49" s="99">
        <v>0</v>
      </c>
      <c r="AT49" s="99">
        <v>0</v>
      </c>
      <c r="AU49" s="99">
        <v>-1445</v>
      </c>
      <c r="AV49" s="99">
        <v>-1179</v>
      </c>
      <c r="AW49" s="99">
        <v>-235</v>
      </c>
      <c r="AX49" s="99">
        <v>0</v>
      </c>
      <c r="AY49" s="99">
        <v>0</v>
      </c>
      <c r="AZ49" s="99">
        <v>0</v>
      </c>
      <c r="BA49" s="99">
        <v>0</v>
      </c>
      <c r="BB49" s="99">
        <v>0</v>
      </c>
      <c r="BC49" s="99">
        <v>0</v>
      </c>
      <c r="BD49" s="99">
        <v>0</v>
      </c>
      <c r="BE49" s="99">
        <v>0</v>
      </c>
      <c r="BF49" s="99">
        <v>0</v>
      </c>
      <c r="BG49" s="99">
        <v>0</v>
      </c>
    </row>
    <row r="50" spans="1:59" ht="15" thickBot="1">
      <c r="A50" s="17" t="str">
        <f>INDEX({"Recebimentos por vendas de Investida";"Cash from divestments "},Home!$R$30)</f>
        <v>Recebimentos por vendas de Investida</v>
      </c>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v>100000</v>
      </c>
    </row>
    <row r="51" spans="1:59">
      <c r="A51" s="67" t="str">
        <f>INDEX({"Caixa líquido aplicado nas atividades de investimentos";"Net Cash from Investment Activities"},Home!$R$30)</f>
        <v>Caixa líquido aplicado nas atividades de investimentos</v>
      </c>
      <c r="B51" s="92">
        <f t="shared" ref="B51:BF51" si="13">SUM(B41:B50)</f>
        <v>-38540</v>
      </c>
      <c r="C51" s="92">
        <f t="shared" si="13"/>
        <v>-49803</v>
      </c>
      <c r="D51" s="92">
        <f t="shared" si="13"/>
        <v>-56565</v>
      </c>
      <c r="E51" s="92">
        <f t="shared" si="13"/>
        <v>-113047</v>
      </c>
      <c r="F51" s="92">
        <f t="shared" si="13"/>
        <v>-51949</v>
      </c>
      <c r="G51" s="92">
        <f t="shared" si="13"/>
        <v>-59938</v>
      </c>
      <c r="H51" s="92">
        <f t="shared" si="13"/>
        <v>-63378</v>
      </c>
      <c r="I51" s="92">
        <f t="shared" si="13"/>
        <v>-61545</v>
      </c>
      <c r="J51" s="92">
        <f t="shared" si="13"/>
        <v>-52459</v>
      </c>
      <c r="K51" s="92">
        <f t="shared" si="13"/>
        <v>-70318</v>
      </c>
      <c r="L51" s="92">
        <f t="shared" si="13"/>
        <v>-64594</v>
      </c>
      <c r="M51" s="92">
        <f t="shared" si="13"/>
        <v>-83669</v>
      </c>
      <c r="N51" s="92">
        <f t="shared" si="13"/>
        <v>-64418</v>
      </c>
      <c r="O51" s="92">
        <f t="shared" si="13"/>
        <v>-81360</v>
      </c>
      <c r="P51" s="92">
        <f t="shared" si="13"/>
        <v>-98603</v>
      </c>
      <c r="Q51" s="92">
        <f t="shared" si="13"/>
        <v>-144340</v>
      </c>
      <c r="R51" s="92">
        <f t="shared" si="13"/>
        <v>-98929</v>
      </c>
      <c r="S51" s="92">
        <f t="shared" si="13"/>
        <v>-111796</v>
      </c>
      <c r="T51" s="92">
        <f t="shared" si="13"/>
        <v>-143653</v>
      </c>
      <c r="U51" s="92">
        <f t="shared" si="13"/>
        <v>-134679</v>
      </c>
      <c r="V51" s="92">
        <f t="shared" si="13"/>
        <v>-135084</v>
      </c>
      <c r="W51" s="92">
        <f t="shared" si="13"/>
        <v>-153210</v>
      </c>
      <c r="X51" s="92">
        <f t="shared" si="13"/>
        <v>-191432</v>
      </c>
      <c r="Y51" s="92">
        <f t="shared" si="13"/>
        <v>-159454</v>
      </c>
      <c r="Z51" s="92">
        <f t="shared" si="13"/>
        <v>-124239</v>
      </c>
      <c r="AA51" s="92">
        <f t="shared" si="13"/>
        <v>-166090</v>
      </c>
      <c r="AB51" s="92">
        <f t="shared" si="13"/>
        <v>-191734</v>
      </c>
      <c r="AC51" s="92">
        <f t="shared" si="13"/>
        <v>-220905</v>
      </c>
      <c r="AD51" s="92">
        <f t="shared" si="13"/>
        <v>-202441.93273</v>
      </c>
      <c r="AE51" s="92">
        <f t="shared" si="13"/>
        <v>-158687.6</v>
      </c>
      <c r="AF51" s="92">
        <f t="shared" si="13"/>
        <v>142155.15955999994</v>
      </c>
      <c r="AG51" s="92">
        <f t="shared" si="13"/>
        <v>-153801</v>
      </c>
      <c r="AH51" s="92">
        <f t="shared" si="13"/>
        <v>-139491</v>
      </c>
      <c r="AI51" s="92">
        <f t="shared" si="13"/>
        <v>-151252</v>
      </c>
      <c r="AJ51" s="92">
        <f t="shared" si="13"/>
        <v>-184449</v>
      </c>
      <c r="AK51" s="92">
        <f t="shared" si="13"/>
        <v>-197905</v>
      </c>
      <c r="AL51" s="92">
        <f t="shared" si="13"/>
        <v>-147671</v>
      </c>
      <c r="AM51" s="92">
        <f t="shared" si="13"/>
        <v>-231785</v>
      </c>
      <c r="AN51" s="92">
        <f t="shared" si="13"/>
        <v>-233881</v>
      </c>
      <c r="AO51" s="92">
        <f t="shared" si="13"/>
        <v>-371792</v>
      </c>
      <c r="AP51" s="92">
        <f t="shared" si="13"/>
        <v>-192236</v>
      </c>
      <c r="AQ51" s="92">
        <f t="shared" si="13"/>
        <v>-265102</v>
      </c>
      <c r="AR51" s="92">
        <f t="shared" si="13"/>
        <v>-360510</v>
      </c>
      <c r="AS51" s="92">
        <f t="shared" si="13"/>
        <v>-411734</v>
      </c>
      <c r="AT51" s="92">
        <f t="shared" si="13"/>
        <v>-240719</v>
      </c>
      <c r="AU51" s="92">
        <f t="shared" si="13"/>
        <v>-317665</v>
      </c>
      <c r="AV51" s="92">
        <f t="shared" si="13"/>
        <v>-350244</v>
      </c>
      <c r="AW51" s="92">
        <f t="shared" si="13"/>
        <v>-398402</v>
      </c>
      <c r="AX51" s="92">
        <f t="shared" si="13"/>
        <v>-207182</v>
      </c>
      <c r="AY51" s="92">
        <f t="shared" si="13"/>
        <v>-389466</v>
      </c>
      <c r="AZ51" s="92">
        <f t="shared" si="13"/>
        <v>-369187</v>
      </c>
      <c r="BA51" s="92">
        <f t="shared" si="13"/>
        <v>-447076</v>
      </c>
      <c r="BB51" s="92">
        <f t="shared" si="13"/>
        <v>-320153</v>
      </c>
      <c r="BC51" s="92">
        <f t="shared" si="13"/>
        <v>-333582</v>
      </c>
      <c r="BD51" s="92">
        <f t="shared" si="13"/>
        <v>-398578</v>
      </c>
      <c r="BE51" s="92">
        <f t="shared" si="13"/>
        <v>-346708</v>
      </c>
      <c r="BF51" s="92">
        <f t="shared" si="13"/>
        <v>-335115.64899999998</v>
      </c>
      <c r="BG51" s="92">
        <f>SUM(BG41:BG50)</f>
        <v>-102046</v>
      </c>
    </row>
    <row r="52" spans="1:59">
      <c r="A52" s="15"/>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row>
    <row r="53" spans="1:59">
      <c r="A53" s="16" t="str">
        <f>INDEX({"Fluxos de caixa das atividades de financiamentos";"Financing Activities Cash Flow"},Home!$R$30)</f>
        <v>Fluxos de caixa das atividades de financiamentos</v>
      </c>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8"/>
      <c r="AR53" s="98"/>
      <c r="AS53" s="98"/>
      <c r="AT53" s="98"/>
      <c r="AU53" s="98"/>
      <c r="AV53" s="98"/>
      <c r="AW53" s="98"/>
      <c r="AX53" s="98"/>
      <c r="AY53" s="98"/>
      <c r="AZ53" s="98"/>
      <c r="BA53" s="98"/>
      <c r="BB53" s="98"/>
      <c r="BC53" s="98"/>
      <c r="BD53" s="98"/>
      <c r="BE53" s="98"/>
      <c r="BF53" s="98"/>
      <c r="BG53" s="98"/>
    </row>
    <row r="54" spans="1:59">
      <c r="A54" s="17" t="str">
        <f>INDEX({"Empréstimos e financiamentos tomados";"Funding"},Home!$R$30)</f>
        <v>Empréstimos e financiamentos tomados</v>
      </c>
      <c r="B54" s="80">
        <v>10326</v>
      </c>
      <c r="C54" s="80">
        <v>16236</v>
      </c>
      <c r="D54" s="80">
        <v>20000</v>
      </c>
      <c r="E54" s="80">
        <v>62184</v>
      </c>
      <c r="F54" s="80">
        <v>26121</v>
      </c>
      <c r="G54" s="80">
        <v>0</v>
      </c>
      <c r="H54" s="80">
        <v>0</v>
      </c>
      <c r="I54" s="80">
        <v>80278</v>
      </c>
      <c r="J54" s="80">
        <v>37703</v>
      </c>
      <c r="K54" s="80">
        <v>0</v>
      </c>
      <c r="L54" s="80">
        <v>0</v>
      </c>
      <c r="M54" s="80">
        <v>85472</v>
      </c>
      <c r="N54" s="80">
        <v>4305</v>
      </c>
      <c r="O54" s="80">
        <v>35560</v>
      </c>
      <c r="P54" s="80">
        <v>24998</v>
      </c>
      <c r="Q54" s="80">
        <v>55928</v>
      </c>
      <c r="R54" s="80">
        <v>28255</v>
      </c>
      <c r="S54" s="80">
        <v>52410</v>
      </c>
      <c r="T54" s="80">
        <v>61325</v>
      </c>
      <c r="U54" s="80">
        <v>80478</v>
      </c>
      <c r="V54" s="80">
        <v>85849</v>
      </c>
      <c r="W54" s="80">
        <v>314608</v>
      </c>
      <c r="X54" s="80">
        <v>0</v>
      </c>
      <c r="Y54" s="80">
        <v>-9</v>
      </c>
      <c r="Z54" s="80">
        <v>585</v>
      </c>
      <c r="AA54" s="80">
        <v>400002</v>
      </c>
      <c r="AB54" s="80">
        <v>6373</v>
      </c>
      <c r="AC54" s="80">
        <v>16994</v>
      </c>
      <c r="AD54" s="80">
        <v>265244</v>
      </c>
      <c r="AE54" s="80">
        <v>89169</v>
      </c>
      <c r="AF54" s="80">
        <v>362644</v>
      </c>
      <c r="AG54" s="80">
        <v>21866</v>
      </c>
      <c r="AH54" s="80">
        <v>299821</v>
      </c>
      <c r="AI54" s="80">
        <v>411599</v>
      </c>
      <c r="AJ54" s="80">
        <v>8380</v>
      </c>
      <c r="AK54" s="80">
        <v>8416</v>
      </c>
      <c r="AL54" s="99">
        <v>299056</v>
      </c>
      <c r="AM54" s="99">
        <v>39954</v>
      </c>
      <c r="AN54" s="99">
        <v>-73</v>
      </c>
      <c r="AO54" s="99">
        <v>-702</v>
      </c>
      <c r="AP54" s="99">
        <v>743251</v>
      </c>
      <c r="AQ54" s="99">
        <v>699336</v>
      </c>
      <c r="AR54" s="99">
        <v>-14541</v>
      </c>
      <c r="AS54" s="99">
        <v>32201</v>
      </c>
      <c r="AT54" s="99">
        <v>20577</v>
      </c>
      <c r="AU54" s="99">
        <v>173345</v>
      </c>
      <c r="AV54" s="99">
        <v>833796</v>
      </c>
      <c r="AW54" s="99">
        <v>31146</v>
      </c>
      <c r="AX54" s="99">
        <v>49577</v>
      </c>
      <c r="AY54" s="99">
        <v>600000</v>
      </c>
      <c r="AZ54" s="99">
        <v>423</v>
      </c>
      <c r="BA54" s="99">
        <v>38869</v>
      </c>
      <c r="BB54" s="99">
        <v>0</v>
      </c>
      <c r="BC54" s="99">
        <v>500000</v>
      </c>
      <c r="BD54" s="99">
        <v>0</v>
      </c>
      <c r="BE54" s="99">
        <v>600000</v>
      </c>
      <c r="BF54" s="99">
        <v>-250000</v>
      </c>
      <c r="BG54" s="99">
        <v>0</v>
      </c>
    </row>
    <row r="55" spans="1:59">
      <c r="A55" s="17" t="str">
        <f>INDEX({"Pagamentos de empréstimos e financiamentos";"Payments"},Home!$R$30)</f>
        <v>Pagamentos de empréstimos e financiamentos</v>
      </c>
      <c r="B55" s="80">
        <v>-15492</v>
      </c>
      <c r="C55" s="80">
        <v>-10158</v>
      </c>
      <c r="D55" s="80">
        <v>-36301</v>
      </c>
      <c r="E55" s="80">
        <v>-19877</v>
      </c>
      <c r="F55" s="80">
        <v>-16831</v>
      </c>
      <c r="G55" s="80">
        <v>-10857</v>
      </c>
      <c r="H55" s="80">
        <v>-13112</v>
      </c>
      <c r="I55" s="80">
        <v>-19620</v>
      </c>
      <c r="J55" s="80">
        <v>-23142</v>
      </c>
      <c r="K55" s="80">
        <v>-16392</v>
      </c>
      <c r="L55" s="80">
        <v>-23921</v>
      </c>
      <c r="M55" s="80">
        <v>-26840</v>
      </c>
      <c r="N55" s="80">
        <v>-32814</v>
      </c>
      <c r="O55" s="80">
        <v>-27936</v>
      </c>
      <c r="P55" s="80">
        <v>-34844</v>
      </c>
      <c r="Q55" s="80">
        <v>-31268</v>
      </c>
      <c r="R55" s="80">
        <v>-34858</v>
      </c>
      <c r="S55" s="80">
        <v>-27260</v>
      </c>
      <c r="T55" s="80">
        <v>-29670</v>
      </c>
      <c r="U55" s="80">
        <v>-33229</v>
      </c>
      <c r="V55" s="80">
        <v>-33474</v>
      </c>
      <c r="W55" s="80">
        <v>-47254</v>
      </c>
      <c r="X55" s="80">
        <v>-48218</v>
      </c>
      <c r="Y55" s="80">
        <v>-102075</v>
      </c>
      <c r="Z55" s="80">
        <v>-41938</v>
      </c>
      <c r="AA55" s="80">
        <v>-64269</v>
      </c>
      <c r="AB55" s="80">
        <v>-28613</v>
      </c>
      <c r="AC55" s="80">
        <v>-67777</v>
      </c>
      <c r="AD55" s="80">
        <v>-43234</v>
      </c>
      <c r="AE55" s="80">
        <v>-202015</v>
      </c>
      <c r="AF55" s="80">
        <v>-95182</v>
      </c>
      <c r="AG55" s="80">
        <v>-122220</v>
      </c>
      <c r="AH55" s="80">
        <v>-25238</v>
      </c>
      <c r="AI55" s="80">
        <v>-97362</v>
      </c>
      <c r="AJ55" s="80">
        <v>-10420</v>
      </c>
      <c r="AK55" s="80">
        <v>-92225</v>
      </c>
      <c r="AL55" s="99">
        <v>-314487</v>
      </c>
      <c r="AM55" s="99">
        <v>-125229</v>
      </c>
      <c r="AN55" s="99">
        <v>-78</v>
      </c>
      <c r="AO55" s="99">
        <v>-77852</v>
      </c>
      <c r="AP55" s="99">
        <v>-101202</v>
      </c>
      <c r="AQ55" s="99">
        <v>-482811</v>
      </c>
      <c r="AR55" s="99">
        <v>-84440</v>
      </c>
      <c r="AS55" s="99">
        <v>-40</v>
      </c>
      <c r="AT55" s="99">
        <v>-44552</v>
      </c>
      <c r="AU55" s="99">
        <v>-65785</v>
      </c>
      <c r="AV55" s="99">
        <v>-119706</v>
      </c>
      <c r="AW55" s="99">
        <v>-39648</v>
      </c>
      <c r="AX55" s="99">
        <v>-300000</v>
      </c>
      <c r="AY55" s="99">
        <v>-53000</v>
      </c>
      <c r="AZ55" s="99">
        <v>-140000</v>
      </c>
      <c r="BA55" s="99">
        <v>-32000</v>
      </c>
      <c r="BB55" s="99">
        <v>-125000</v>
      </c>
      <c r="BC55" s="99">
        <v>0</v>
      </c>
      <c r="BD55" s="99">
        <v>-350000</v>
      </c>
      <c r="BE55" s="99">
        <v>0</v>
      </c>
      <c r="BF55" s="99">
        <v>0</v>
      </c>
      <c r="BG55" s="99">
        <v>-150000</v>
      </c>
    </row>
    <row r="56" spans="1:59">
      <c r="A56" s="17" t="str">
        <f>INDEX({"Recompra de ações";"Share Buyback"},Home!$R$30)</f>
        <v>Recompra de ações</v>
      </c>
      <c r="B56" s="80">
        <v>0</v>
      </c>
      <c r="C56" s="80">
        <v>0</v>
      </c>
      <c r="D56" s="80">
        <v>0</v>
      </c>
      <c r="E56" s="80">
        <v>0</v>
      </c>
      <c r="F56" s="80">
        <v>0</v>
      </c>
      <c r="G56" s="80">
        <v>0</v>
      </c>
      <c r="H56" s="80">
        <v>0</v>
      </c>
      <c r="I56" s="80">
        <v>0</v>
      </c>
      <c r="J56" s="80">
        <v>0</v>
      </c>
      <c r="K56" s="80">
        <v>-20898</v>
      </c>
      <c r="L56" s="80">
        <v>0</v>
      </c>
      <c r="M56" s="80">
        <v>0</v>
      </c>
      <c r="N56" s="80">
        <v>0</v>
      </c>
      <c r="O56" s="80">
        <v>0</v>
      </c>
      <c r="P56" s="80">
        <v>0</v>
      </c>
      <c r="Q56" s="80">
        <v>0</v>
      </c>
      <c r="R56" s="80">
        <v>0</v>
      </c>
      <c r="S56" s="80">
        <v>0</v>
      </c>
      <c r="T56" s="80">
        <v>0</v>
      </c>
      <c r="U56" s="80">
        <v>0</v>
      </c>
      <c r="V56" s="80">
        <v>0</v>
      </c>
      <c r="W56" s="80">
        <v>0</v>
      </c>
      <c r="X56" s="80">
        <v>0</v>
      </c>
      <c r="Y56" s="80">
        <v>0</v>
      </c>
      <c r="Z56" s="80">
        <v>-46925</v>
      </c>
      <c r="AA56" s="80">
        <v>0</v>
      </c>
      <c r="AB56" s="80">
        <v>0</v>
      </c>
      <c r="AC56" s="80">
        <v>0</v>
      </c>
      <c r="AD56" s="80">
        <v>0</v>
      </c>
      <c r="AE56" s="80">
        <v>0</v>
      </c>
      <c r="AF56" s="80">
        <v>0</v>
      </c>
      <c r="AG56" s="80">
        <v>0</v>
      </c>
      <c r="AH56" s="80">
        <v>0</v>
      </c>
      <c r="AI56" s="80">
        <v>0</v>
      </c>
      <c r="AJ56" s="80">
        <v>0</v>
      </c>
      <c r="AK56" s="80">
        <v>0</v>
      </c>
      <c r="AL56" s="99">
        <v>0</v>
      </c>
      <c r="AM56" s="99">
        <v>0</v>
      </c>
      <c r="AN56" s="99">
        <v>-73228</v>
      </c>
      <c r="AO56" s="99">
        <v>0</v>
      </c>
      <c r="AP56" s="99">
        <v>0</v>
      </c>
      <c r="AQ56" s="99">
        <v>0</v>
      </c>
      <c r="AR56" s="99">
        <v>0</v>
      </c>
      <c r="AS56" s="99">
        <v>0</v>
      </c>
      <c r="AT56" s="99">
        <v>0</v>
      </c>
      <c r="AU56" s="99">
        <v>0</v>
      </c>
      <c r="AV56" s="99">
        <v>0</v>
      </c>
      <c r="AW56" s="99">
        <v>0</v>
      </c>
      <c r="AX56" s="99">
        <v>0</v>
      </c>
      <c r="AY56" s="99">
        <v>0</v>
      </c>
      <c r="AZ56" s="99">
        <v>0</v>
      </c>
      <c r="BA56" s="99">
        <v>-73285</v>
      </c>
      <c r="BB56" s="99">
        <v>0</v>
      </c>
      <c r="BC56" s="99">
        <v>0</v>
      </c>
      <c r="BD56" s="99">
        <v>0</v>
      </c>
      <c r="BE56" s="99">
        <v>0</v>
      </c>
      <c r="BF56" s="99">
        <v>0</v>
      </c>
      <c r="BG56" s="99">
        <v>0</v>
      </c>
    </row>
    <row r="57" spans="1:59">
      <c r="A57" s="17" t="str">
        <f>INDEX({"Juros sobre capital próprio e dividendo pagos";"Interest on Equity and Dividends Paid"},Home!$R$30)</f>
        <v>Juros sobre capital próprio e dividendo pagos</v>
      </c>
      <c r="B57" s="80">
        <v>0</v>
      </c>
      <c r="C57" s="80">
        <v>-12641</v>
      </c>
      <c r="D57" s="80">
        <v>-77</v>
      </c>
      <c r="E57" s="80">
        <v>-21362</v>
      </c>
      <c r="F57" s="80">
        <v>1</v>
      </c>
      <c r="G57" s="80">
        <v>-12989</v>
      </c>
      <c r="H57" s="80">
        <v>0</v>
      </c>
      <c r="I57" s="80">
        <v>-16351</v>
      </c>
      <c r="J57" s="80">
        <v>-377</v>
      </c>
      <c r="K57" s="80">
        <v>-16609</v>
      </c>
      <c r="L57" s="80">
        <v>0</v>
      </c>
      <c r="M57" s="80">
        <v>-24541</v>
      </c>
      <c r="N57" s="80">
        <v>-403</v>
      </c>
      <c r="O57" s="80">
        <v>-63572</v>
      </c>
      <c r="P57" s="80">
        <v>-3</v>
      </c>
      <c r="Q57" s="80">
        <v>-57302</v>
      </c>
      <c r="R57" s="80">
        <v>-6</v>
      </c>
      <c r="S57" s="80">
        <v>-71483</v>
      </c>
      <c r="T57" s="80">
        <v>-3</v>
      </c>
      <c r="U57" s="80">
        <v>-81850</v>
      </c>
      <c r="V57" s="80">
        <v>-67</v>
      </c>
      <c r="W57" s="80">
        <v>-85131</v>
      </c>
      <c r="X57" s="80">
        <v>-17</v>
      </c>
      <c r="Y57" s="80">
        <v>-85632</v>
      </c>
      <c r="Z57" s="80">
        <v>-61</v>
      </c>
      <c r="AA57" s="80">
        <v>-87114</v>
      </c>
      <c r="AB57" s="80">
        <v>-3</v>
      </c>
      <c r="AC57" s="80">
        <v>-86444</v>
      </c>
      <c r="AD57" s="80">
        <v>-1219</v>
      </c>
      <c r="AE57" s="80">
        <v>-92378</v>
      </c>
      <c r="AF57" s="80">
        <v>-49</v>
      </c>
      <c r="AG57" s="80">
        <v>-92955</v>
      </c>
      <c r="AH57" s="80">
        <v>-585</v>
      </c>
      <c r="AI57" s="80">
        <v>-107020</v>
      </c>
      <c r="AJ57" s="80">
        <v>-19480</v>
      </c>
      <c r="AK57" s="80">
        <v>-63433</v>
      </c>
      <c r="AL57" s="99">
        <v>-40</v>
      </c>
      <c r="AM57" s="99">
        <v>-83618</v>
      </c>
      <c r="AN57" s="99">
        <v>-64</v>
      </c>
      <c r="AO57" s="99">
        <v>-231106</v>
      </c>
      <c r="AP57" s="99">
        <v>-99</v>
      </c>
      <c r="AQ57" s="99">
        <v>-96140</v>
      </c>
      <c r="AR57" s="99">
        <v>-8</v>
      </c>
      <c r="AS57" s="99">
        <v>-227835</v>
      </c>
      <c r="AT57" s="99">
        <v>-23</v>
      </c>
      <c r="AU57" s="99">
        <v>-226509</v>
      </c>
      <c r="AV57" s="99">
        <v>-303</v>
      </c>
      <c r="AW57" s="99">
        <v>-239066</v>
      </c>
      <c r="AX57" s="99">
        <v>-194</v>
      </c>
      <c r="AY57" s="99">
        <v>-237370</v>
      </c>
      <c r="AZ57" s="99">
        <v>-1111</v>
      </c>
      <c r="BA57" s="99">
        <v>-235898</v>
      </c>
      <c r="BB57" s="99">
        <v>-102</v>
      </c>
      <c r="BC57" s="99">
        <v>-308261</v>
      </c>
      <c r="BD57" s="99">
        <v>-75</v>
      </c>
      <c r="BE57" s="99">
        <v>-344326</v>
      </c>
      <c r="BF57" s="99">
        <v>-491</v>
      </c>
      <c r="BG57" s="99">
        <v>-246301</v>
      </c>
    </row>
    <row r="58" spans="1:59">
      <c r="A58" s="17" t="str">
        <f>INDEX({"Resgate Cotistas Seniores";"Senior Quota Redemption"},Home!$R$30)</f>
        <v>Resgate Cotistas Seniores</v>
      </c>
      <c r="B58" s="99">
        <v>0</v>
      </c>
      <c r="C58" s="99">
        <v>0</v>
      </c>
      <c r="D58" s="99">
        <v>0</v>
      </c>
      <c r="E58" s="99">
        <v>0</v>
      </c>
      <c r="F58" s="99">
        <v>0</v>
      </c>
      <c r="G58" s="99">
        <v>0</v>
      </c>
      <c r="H58" s="99">
        <v>0</v>
      </c>
      <c r="I58" s="99">
        <v>0</v>
      </c>
      <c r="J58" s="99">
        <v>0</v>
      </c>
      <c r="K58" s="99">
        <v>0</v>
      </c>
      <c r="L58" s="99">
        <v>0</v>
      </c>
      <c r="M58" s="99">
        <v>0</v>
      </c>
      <c r="N58" s="99">
        <v>0</v>
      </c>
      <c r="O58" s="99">
        <v>0</v>
      </c>
      <c r="P58" s="99">
        <v>0</v>
      </c>
      <c r="Q58" s="99">
        <v>0</v>
      </c>
      <c r="R58" s="99">
        <v>0</v>
      </c>
      <c r="S58" s="99">
        <v>0</v>
      </c>
      <c r="T58" s="99">
        <v>0</v>
      </c>
      <c r="U58" s="99">
        <v>0</v>
      </c>
      <c r="V58" s="99">
        <v>0</v>
      </c>
      <c r="W58" s="99">
        <v>0</v>
      </c>
      <c r="X58" s="99">
        <v>0</v>
      </c>
      <c r="Y58" s="99">
        <v>0</v>
      </c>
      <c r="Z58" s="99">
        <v>0</v>
      </c>
      <c r="AA58" s="99">
        <v>0</v>
      </c>
      <c r="AB58" s="99">
        <v>0</v>
      </c>
      <c r="AC58" s="99">
        <v>0</v>
      </c>
      <c r="AD58" s="99">
        <v>0</v>
      </c>
      <c r="AE58" s="99">
        <v>0</v>
      </c>
      <c r="AF58" s="99">
        <v>0</v>
      </c>
      <c r="AG58" s="99">
        <v>0</v>
      </c>
      <c r="AH58" s="99">
        <v>0</v>
      </c>
      <c r="AI58" s="99">
        <v>0</v>
      </c>
      <c r="AJ58" s="99">
        <v>0</v>
      </c>
      <c r="AK58" s="99">
        <v>0</v>
      </c>
      <c r="AL58" s="99">
        <v>0</v>
      </c>
      <c r="AM58" s="99">
        <v>0</v>
      </c>
      <c r="AN58" s="99">
        <v>0</v>
      </c>
      <c r="AO58" s="99">
        <v>0</v>
      </c>
      <c r="AP58" s="99">
        <v>0</v>
      </c>
      <c r="AQ58" s="99">
        <v>0</v>
      </c>
      <c r="AR58" s="99">
        <v>0</v>
      </c>
      <c r="AS58" s="99">
        <v>0</v>
      </c>
      <c r="AT58" s="99">
        <v>0</v>
      </c>
      <c r="AU58" s="99">
        <v>0</v>
      </c>
      <c r="AV58" s="99">
        <v>0</v>
      </c>
      <c r="AW58" s="99">
        <v>0</v>
      </c>
      <c r="AX58" s="99">
        <v>0</v>
      </c>
      <c r="AY58" s="99">
        <v>0</v>
      </c>
      <c r="AZ58" s="99">
        <v>0</v>
      </c>
      <c r="BA58" s="99">
        <v>0</v>
      </c>
      <c r="BB58" s="99">
        <v>0</v>
      </c>
      <c r="BC58" s="99">
        <v>0</v>
      </c>
      <c r="BD58" s="99">
        <v>0</v>
      </c>
      <c r="BE58" s="99">
        <v>-5481</v>
      </c>
      <c r="BF58" s="99">
        <v>0</v>
      </c>
      <c r="BG58" s="99">
        <v>-5691</v>
      </c>
    </row>
    <row r="59" spans="1:59" ht="15" thickBot="1">
      <c r="A59" s="17" t="str">
        <f>INDEX({"Financiamento de operações discontinuadas";"Financing of discontinued operations"},Home!$R$30)</f>
        <v>Financiamento de operações discontinuadas</v>
      </c>
      <c r="B59" s="109">
        <v>0</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c r="Z59" s="109">
        <v>0</v>
      </c>
      <c r="AA59" s="109">
        <v>0</v>
      </c>
      <c r="AB59" s="109">
        <v>0</v>
      </c>
      <c r="AC59" s="109">
        <v>0</v>
      </c>
      <c r="AD59" s="109">
        <v>0</v>
      </c>
      <c r="AE59" s="109">
        <v>0</v>
      </c>
      <c r="AF59" s="109">
        <v>0</v>
      </c>
      <c r="AG59" s="109">
        <v>0</v>
      </c>
      <c r="AH59" s="109">
        <v>0</v>
      </c>
      <c r="AI59" s="109">
        <v>0</v>
      </c>
      <c r="AJ59" s="109">
        <v>0</v>
      </c>
      <c r="AK59" s="109">
        <v>0</v>
      </c>
      <c r="AL59" s="109">
        <v>0</v>
      </c>
      <c r="AM59" s="109">
        <v>0</v>
      </c>
      <c r="AN59" s="109">
        <v>0</v>
      </c>
      <c r="AO59" s="109">
        <v>0</v>
      </c>
      <c r="AP59" s="109">
        <v>0</v>
      </c>
      <c r="AQ59" s="109">
        <v>0</v>
      </c>
      <c r="AR59" s="109">
        <v>0</v>
      </c>
      <c r="AS59" s="109">
        <v>0</v>
      </c>
      <c r="AT59" s="109">
        <v>0</v>
      </c>
      <c r="AU59" s="109">
        <v>0</v>
      </c>
      <c r="AV59" s="109">
        <v>0</v>
      </c>
      <c r="AW59" s="109">
        <v>0</v>
      </c>
      <c r="AX59" s="109">
        <v>0</v>
      </c>
      <c r="AY59" s="109">
        <v>0</v>
      </c>
      <c r="AZ59" s="109">
        <v>0</v>
      </c>
      <c r="BA59" s="109"/>
      <c r="BB59" s="109">
        <v>-60000</v>
      </c>
      <c r="BC59" s="109">
        <v>0</v>
      </c>
      <c r="BD59" s="109">
        <v>0</v>
      </c>
      <c r="BE59" s="109">
        <v>0</v>
      </c>
      <c r="BF59" s="109">
        <v>0</v>
      </c>
      <c r="BG59" s="109">
        <v>0</v>
      </c>
    </row>
    <row r="60" spans="1:59">
      <c r="A60" s="67" t="str">
        <f>INDEX({"Caixa líquido proveniente das atividades de financiamentos";"Net Cash from Funding Activities"},Home!$R$30)</f>
        <v>Caixa líquido proveniente das atividades de financiamentos</v>
      </c>
      <c r="B60" s="92">
        <f>SUM(B54:B59)</f>
        <v>-5166</v>
      </c>
      <c r="C60" s="92">
        <f t="shared" ref="C60:BF60" si="14">SUM(C54:C59)</f>
        <v>-6563</v>
      </c>
      <c r="D60" s="92">
        <f t="shared" si="14"/>
        <v>-16378</v>
      </c>
      <c r="E60" s="92">
        <f t="shared" si="14"/>
        <v>20945</v>
      </c>
      <c r="F60" s="92">
        <f t="shared" si="14"/>
        <v>9291</v>
      </c>
      <c r="G60" s="92">
        <f t="shared" si="14"/>
        <v>-23846</v>
      </c>
      <c r="H60" s="92">
        <f t="shared" si="14"/>
        <v>-13112</v>
      </c>
      <c r="I60" s="92">
        <f t="shared" si="14"/>
        <v>44307</v>
      </c>
      <c r="J60" s="92">
        <f t="shared" si="14"/>
        <v>14184</v>
      </c>
      <c r="K60" s="92">
        <f t="shared" si="14"/>
        <v>-53899</v>
      </c>
      <c r="L60" s="92">
        <f t="shared" si="14"/>
        <v>-23921</v>
      </c>
      <c r="M60" s="92">
        <f t="shared" si="14"/>
        <v>34091</v>
      </c>
      <c r="N60" s="92">
        <f t="shared" si="14"/>
        <v>-28912</v>
      </c>
      <c r="O60" s="92">
        <f t="shared" si="14"/>
        <v>-55948</v>
      </c>
      <c r="P60" s="92">
        <f t="shared" si="14"/>
        <v>-9849</v>
      </c>
      <c r="Q60" s="92">
        <f t="shared" si="14"/>
        <v>-32642</v>
      </c>
      <c r="R60" s="92">
        <f t="shared" si="14"/>
        <v>-6609</v>
      </c>
      <c r="S60" s="92">
        <f t="shared" si="14"/>
        <v>-46333</v>
      </c>
      <c r="T60" s="92">
        <f t="shared" si="14"/>
        <v>31652</v>
      </c>
      <c r="U60" s="92">
        <f t="shared" si="14"/>
        <v>-34601</v>
      </c>
      <c r="V60" s="92">
        <f t="shared" si="14"/>
        <v>52308</v>
      </c>
      <c r="W60" s="92">
        <f t="shared" si="14"/>
        <v>182223</v>
      </c>
      <c r="X60" s="92">
        <f t="shared" si="14"/>
        <v>-48235</v>
      </c>
      <c r="Y60" s="92">
        <f t="shared" si="14"/>
        <v>-187716</v>
      </c>
      <c r="Z60" s="92">
        <f t="shared" si="14"/>
        <v>-88339</v>
      </c>
      <c r="AA60" s="92">
        <f t="shared" si="14"/>
        <v>248619</v>
      </c>
      <c r="AB60" s="92">
        <f t="shared" si="14"/>
        <v>-22243</v>
      </c>
      <c r="AC60" s="92">
        <f t="shared" si="14"/>
        <v>-137227</v>
      </c>
      <c r="AD60" s="92">
        <f t="shared" si="14"/>
        <v>220791</v>
      </c>
      <c r="AE60" s="92">
        <f t="shared" si="14"/>
        <v>-205224</v>
      </c>
      <c r="AF60" s="92">
        <f t="shared" si="14"/>
        <v>267413</v>
      </c>
      <c r="AG60" s="92">
        <f t="shared" si="14"/>
        <v>-193309</v>
      </c>
      <c r="AH60" s="92">
        <f t="shared" si="14"/>
        <v>273998</v>
      </c>
      <c r="AI60" s="92">
        <f t="shared" si="14"/>
        <v>207217</v>
      </c>
      <c r="AJ60" s="92">
        <f t="shared" si="14"/>
        <v>-21520</v>
      </c>
      <c r="AK60" s="92">
        <f t="shared" si="14"/>
        <v>-147242</v>
      </c>
      <c r="AL60" s="92">
        <f t="shared" si="14"/>
        <v>-15471</v>
      </c>
      <c r="AM60" s="92">
        <f t="shared" si="14"/>
        <v>-168893</v>
      </c>
      <c r="AN60" s="92">
        <f t="shared" si="14"/>
        <v>-73443</v>
      </c>
      <c r="AO60" s="92">
        <f t="shared" si="14"/>
        <v>-309660</v>
      </c>
      <c r="AP60" s="92">
        <f t="shared" si="14"/>
        <v>641950</v>
      </c>
      <c r="AQ60" s="92">
        <f t="shared" si="14"/>
        <v>120385</v>
      </c>
      <c r="AR60" s="92">
        <f t="shared" si="14"/>
        <v>-98989</v>
      </c>
      <c r="AS60" s="92">
        <f t="shared" si="14"/>
        <v>-195674</v>
      </c>
      <c r="AT60" s="92">
        <f t="shared" si="14"/>
        <v>-23998</v>
      </c>
      <c r="AU60" s="92">
        <f t="shared" si="14"/>
        <v>-118949</v>
      </c>
      <c r="AV60" s="92">
        <f t="shared" si="14"/>
        <v>713787</v>
      </c>
      <c r="AW60" s="92">
        <f t="shared" si="14"/>
        <v>-247568</v>
      </c>
      <c r="AX60" s="92">
        <f t="shared" si="14"/>
        <v>-250617</v>
      </c>
      <c r="AY60" s="92">
        <f t="shared" si="14"/>
        <v>309630</v>
      </c>
      <c r="AZ60" s="92">
        <f t="shared" si="14"/>
        <v>-140688</v>
      </c>
      <c r="BA60" s="92">
        <f t="shared" si="14"/>
        <v>-302314</v>
      </c>
      <c r="BB60" s="92">
        <f t="shared" si="14"/>
        <v>-185102</v>
      </c>
      <c r="BC60" s="92">
        <f t="shared" si="14"/>
        <v>191739</v>
      </c>
      <c r="BD60" s="92">
        <f t="shared" si="14"/>
        <v>-350075</v>
      </c>
      <c r="BE60" s="92">
        <f t="shared" si="14"/>
        <v>250193</v>
      </c>
      <c r="BF60" s="92">
        <f t="shared" si="14"/>
        <v>-250491</v>
      </c>
      <c r="BG60" s="92">
        <f t="shared" ref="BG60" si="15">SUM(BG54:BG59)</f>
        <v>-401992</v>
      </c>
    </row>
    <row r="61" spans="1:59">
      <c r="A61" s="15"/>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row>
    <row r="62" spans="1:59">
      <c r="A62" s="13" t="str">
        <f>INDEX({"Aumento (redução) líquido de caixa e equivalentes de caixa";"Cash and Cash Equivalents Net Increase"},Home!$R$30)</f>
        <v>Aumento (redução) líquido de caixa e equivalentes de caixa</v>
      </c>
      <c r="B62" s="86">
        <f t="shared" ref="B62:AG62" si="16">B60+B51+B38</f>
        <v>-170530</v>
      </c>
      <c r="C62" s="86">
        <f t="shared" si="16"/>
        <v>-44514</v>
      </c>
      <c r="D62" s="86">
        <f t="shared" si="16"/>
        <v>93477</v>
      </c>
      <c r="E62" s="86">
        <f t="shared" si="16"/>
        <v>-51441</v>
      </c>
      <c r="F62" s="86">
        <f t="shared" si="16"/>
        <v>-39955</v>
      </c>
      <c r="G62" s="86">
        <f t="shared" si="16"/>
        <v>-53451</v>
      </c>
      <c r="H62" s="86">
        <f t="shared" si="16"/>
        <v>48810</v>
      </c>
      <c r="I62" s="86">
        <f t="shared" si="16"/>
        <v>119518</v>
      </c>
      <c r="J62" s="86">
        <f t="shared" si="16"/>
        <v>-102742</v>
      </c>
      <c r="K62" s="86">
        <f t="shared" si="16"/>
        <v>4365</v>
      </c>
      <c r="L62" s="86">
        <f t="shared" si="16"/>
        <v>6260</v>
      </c>
      <c r="M62" s="86">
        <f t="shared" si="16"/>
        <v>131469</v>
      </c>
      <c r="N62" s="86">
        <f t="shared" si="16"/>
        <v>-51395</v>
      </c>
      <c r="O62" s="86">
        <f t="shared" si="16"/>
        <v>-18495</v>
      </c>
      <c r="P62" s="86">
        <f t="shared" si="16"/>
        <v>58282</v>
      </c>
      <c r="Q62" s="86">
        <f t="shared" si="16"/>
        <v>-3809</v>
      </c>
      <c r="R62" s="86">
        <f t="shared" si="16"/>
        <v>-159281</v>
      </c>
      <c r="S62" s="86">
        <f t="shared" si="16"/>
        <v>-50274</v>
      </c>
      <c r="T62" s="86">
        <f t="shared" si="16"/>
        <v>199331</v>
      </c>
      <c r="U62" s="86">
        <f t="shared" si="16"/>
        <v>20805</v>
      </c>
      <c r="V62" s="86">
        <f t="shared" si="16"/>
        <v>-95031.070740000025</v>
      </c>
      <c r="W62" s="86">
        <f t="shared" si="16"/>
        <v>142761.91093000013</v>
      </c>
      <c r="X62" s="86">
        <f t="shared" si="16"/>
        <v>70199.681900000258</v>
      </c>
      <c r="Y62" s="86">
        <f t="shared" si="16"/>
        <v>-129690.06102999975</v>
      </c>
      <c r="Z62" s="86">
        <f t="shared" si="16"/>
        <v>-162197.65686999896</v>
      </c>
      <c r="AA62" s="86">
        <f t="shared" si="16"/>
        <v>178579.3959800002</v>
      </c>
      <c r="AB62" s="86">
        <f t="shared" si="16"/>
        <v>-7698.6332100001164</v>
      </c>
      <c r="AC62" s="86">
        <f t="shared" si="16"/>
        <v>-31987.908690000302</v>
      </c>
      <c r="AD62" s="86">
        <f t="shared" si="16"/>
        <v>2027.9966500000446</v>
      </c>
      <c r="AE62" s="86">
        <f t="shared" si="16"/>
        <v>-98208.84366000013</v>
      </c>
      <c r="AF62" s="86">
        <f t="shared" si="16"/>
        <v>261295.44128764715</v>
      </c>
      <c r="AG62" s="86">
        <f t="shared" si="16"/>
        <v>-107456.22374249966</v>
      </c>
      <c r="AH62" s="86">
        <f t="shared" ref="AH62:BF62" si="17">AH60+AH51+AH38</f>
        <v>234480.85732305178</v>
      </c>
      <c r="AI62" s="86">
        <f t="shared" si="17"/>
        <v>-267290.88618999929</v>
      </c>
      <c r="AJ62" s="86">
        <f t="shared" si="17"/>
        <v>333789.88618999929</v>
      </c>
      <c r="AK62" s="86">
        <f t="shared" si="17"/>
        <v>280151</v>
      </c>
      <c r="AL62" s="86">
        <f t="shared" si="17"/>
        <v>-145923.6624099997</v>
      </c>
      <c r="AM62" s="86">
        <f t="shared" si="17"/>
        <v>-467749.00000000006</v>
      </c>
      <c r="AN62" s="86">
        <f t="shared" si="17"/>
        <v>-19527</v>
      </c>
      <c r="AO62" s="86">
        <f t="shared" si="17"/>
        <v>108959</v>
      </c>
      <c r="AP62" s="86">
        <f t="shared" si="17"/>
        <v>110037</v>
      </c>
      <c r="AQ62" s="86">
        <f t="shared" si="17"/>
        <v>352651</v>
      </c>
      <c r="AR62" s="86">
        <f t="shared" si="17"/>
        <v>-447634</v>
      </c>
      <c r="AS62" s="86">
        <f t="shared" si="17"/>
        <v>62370</v>
      </c>
      <c r="AT62" s="86">
        <f t="shared" si="17"/>
        <v>-62274</v>
      </c>
      <c r="AU62" s="86">
        <f t="shared" si="17"/>
        <v>-25958</v>
      </c>
      <c r="AV62" s="86">
        <f t="shared" si="17"/>
        <v>248278</v>
      </c>
      <c r="AW62" s="86">
        <f t="shared" si="17"/>
        <v>-181265</v>
      </c>
      <c r="AX62" s="86">
        <f t="shared" si="17"/>
        <v>276</v>
      </c>
      <c r="AY62" s="86">
        <f t="shared" si="17"/>
        <v>-42938</v>
      </c>
      <c r="AZ62" s="86">
        <f t="shared" si="17"/>
        <v>40850</v>
      </c>
      <c r="BA62" s="86">
        <f t="shared" si="17"/>
        <v>117492</v>
      </c>
      <c r="BB62" s="86">
        <f t="shared" si="17"/>
        <v>-156970</v>
      </c>
      <c r="BC62" s="86">
        <f t="shared" si="17"/>
        <v>24066</v>
      </c>
      <c r="BD62" s="86">
        <f t="shared" si="17"/>
        <v>-36719</v>
      </c>
      <c r="BE62" s="86">
        <f t="shared" si="17"/>
        <v>19021</v>
      </c>
      <c r="BF62" s="86">
        <f t="shared" si="17"/>
        <v>83165.906719999854</v>
      </c>
      <c r="BG62" s="86">
        <f t="shared" ref="BG62" si="18">BG60+BG51+BG38</f>
        <v>94698.023880000226</v>
      </c>
    </row>
    <row r="63" spans="1:59">
      <c r="A63" s="15"/>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row>
    <row r="64" spans="1:59">
      <c r="A64" s="17" t="str">
        <f>INDEX({"Caixa e equivalentes de caixa no início do exercício";"Cash and Cash Equivalents in the beggining of the period"},Home!$R$30)</f>
        <v>Caixa e equivalentes de caixa no início do exercício</v>
      </c>
      <c r="B64" s="80">
        <v>339971</v>
      </c>
      <c r="C64" s="99">
        <f t="shared" ref="C64:AW64" si="19">B65</f>
        <v>169441</v>
      </c>
      <c r="D64" s="99">
        <f t="shared" si="19"/>
        <v>124927</v>
      </c>
      <c r="E64" s="99">
        <f t="shared" si="19"/>
        <v>218404</v>
      </c>
      <c r="F64" s="99">
        <f t="shared" si="19"/>
        <v>166963</v>
      </c>
      <c r="G64" s="99">
        <f t="shared" si="19"/>
        <v>127008</v>
      </c>
      <c r="H64" s="99">
        <f t="shared" si="19"/>
        <v>73557</v>
      </c>
      <c r="I64" s="99">
        <f t="shared" si="19"/>
        <v>122367</v>
      </c>
      <c r="J64" s="99">
        <f t="shared" si="19"/>
        <v>241885</v>
      </c>
      <c r="K64" s="99">
        <f t="shared" si="19"/>
        <v>139143</v>
      </c>
      <c r="L64" s="99">
        <f t="shared" si="19"/>
        <v>143508</v>
      </c>
      <c r="M64" s="99">
        <v>149999</v>
      </c>
      <c r="N64" s="99">
        <f t="shared" si="19"/>
        <v>281468</v>
      </c>
      <c r="O64" s="99">
        <f t="shared" si="19"/>
        <v>230073</v>
      </c>
      <c r="P64" s="99">
        <f t="shared" si="19"/>
        <v>211578</v>
      </c>
      <c r="Q64" s="99">
        <f t="shared" si="19"/>
        <v>269860</v>
      </c>
      <c r="R64" s="99">
        <f t="shared" si="19"/>
        <v>266051</v>
      </c>
      <c r="S64" s="99">
        <f t="shared" si="19"/>
        <v>106770</v>
      </c>
      <c r="T64" s="99">
        <f t="shared" si="19"/>
        <v>56496</v>
      </c>
      <c r="U64" s="99">
        <f t="shared" si="19"/>
        <v>255827</v>
      </c>
      <c r="V64" s="99">
        <f t="shared" si="19"/>
        <v>276632</v>
      </c>
      <c r="W64" s="99">
        <f t="shared" si="19"/>
        <v>181600.92925999998</v>
      </c>
      <c r="X64" s="99">
        <f t="shared" si="19"/>
        <v>324362.84019000013</v>
      </c>
      <c r="Y64" s="99">
        <f t="shared" si="19"/>
        <v>394562.52209000039</v>
      </c>
      <c r="Z64" s="99">
        <f t="shared" si="19"/>
        <v>264872.46106000064</v>
      </c>
      <c r="AA64" s="99">
        <f t="shared" si="19"/>
        <v>102674.80419000168</v>
      </c>
      <c r="AB64" s="99">
        <f t="shared" si="19"/>
        <v>281254.20017000189</v>
      </c>
      <c r="AC64" s="99">
        <f t="shared" si="19"/>
        <v>273555.56696000177</v>
      </c>
      <c r="AD64" s="99">
        <f t="shared" si="19"/>
        <v>241567.65827000147</v>
      </c>
      <c r="AE64" s="99">
        <f t="shared" si="19"/>
        <v>243595.65492000151</v>
      </c>
      <c r="AF64" s="99">
        <f t="shared" si="19"/>
        <v>145386.81126000138</v>
      </c>
      <c r="AG64" s="99">
        <f t="shared" si="19"/>
        <v>406682.2525476485</v>
      </c>
      <c r="AH64" s="99">
        <f t="shared" si="19"/>
        <v>299226.02880514885</v>
      </c>
      <c r="AI64" s="99">
        <f t="shared" si="19"/>
        <v>533706.88612820068</v>
      </c>
      <c r="AJ64" s="99">
        <f t="shared" si="19"/>
        <v>266415.99993820139</v>
      </c>
      <c r="AK64" s="99">
        <f t="shared" si="19"/>
        <v>600205.88612820068</v>
      </c>
      <c r="AL64" s="99">
        <f t="shared" si="19"/>
        <v>880356.88612820068</v>
      </c>
      <c r="AM64" s="99">
        <f t="shared" si="19"/>
        <v>734433.22371820104</v>
      </c>
      <c r="AN64" s="99">
        <f t="shared" si="19"/>
        <v>266684.22371820098</v>
      </c>
      <c r="AO64" s="99">
        <f t="shared" si="19"/>
        <v>247157.22371820098</v>
      </c>
      <c r="AP64" s="99">
        <f t="shared" si="19"/>
        <v>356116.22371820098</v>
      </c>
      <c r="AQ64" s="99">
        <f t="shared" si="19"/>
        <v>466153.22371820098</v>
      </c>
      <c r="AR64" s="99">
        <f t="shared" si="19"/>
        <v>818804.22371820104</v>
      </c>
      <c r="AS64" s="99">
        <f t="shared" si="19"/>
        <v>371170.22371820104</v>
      </c>
      <c r="AT64" s="99">
        <v>433541</v>
      </c>
      <c r="AU64" s="99">
        <f t="shared" si="19"/>
        <v>371267</v>
      </c>
      <c r="AV64" s="99">
        <f t="shared" si="19"/>
        <v>345309</v>
      </c>
      <c r="AW64" s="99">
        <f t="shared" si="19"/>
        <v>593587</v>
      </c>
      <c r="AX64" s="99">
        <f t="shared" ref="AX64" si="20">AW65</f>
        <v>412322</v>
      </c>
      <c r="AY64" s="99">
        <f t="shared" ref="AY64" si="21">AX65</f>
        <v>412598</v>
      </c>
      <c r="AZ64" s="99">
        <v>369660</v>
      </c>
      <c r="BA64" s="99">
        <v>410510.16434999998</v>
      </c>
      <c r="BB64" s="99">
        <v>509238</v>
      </c>
      <c r="BC64" s="99">
        <v>352268</v>
      </c>
      <c r="BD64" s="99">
        <v>376334</v>
      </c>
      <c r="BE64" s="99">
        <v>339615</v>
      </c>
      <c r="BF64" s="99">
        <v>358636</v>
      </c>
      <c r="BG64" s="99">
        <v>441801.90671999985</v>
      </c>
    </row>
    <row r="65" spans="1:59">
      <c r="A65" s="17" t="str">
        <f>INDEX({"Caixa e equivalentes de caixa no fim do exercício";"Cash and Cash Equivalents in the end of the period"},Home!$R$30)</f>
        <v>Caixa e equivalentes de caixa no fim do exercício</v>
      </c>
      <c r="B65" s="80">
        <f t="shared" ref="B65:AW65" si="22">B64+B62</f>
        <v>169441</v>
      </c>
      <c r="C65" s="80">
        <f t="shared" si="22"/>
        <v>124927</v>
      </c>
      <c r="D65" s="80">
        <f t="shared" si="22"/>
        <v>218404</v>
      </c>
      <c r="E65" s="80">
        <f t="shared" si="22"/>
        <v>166963</v>
      </c>
      <c r="F65" s="80">
        <f t="shared" si="22"/>
        <v>127008</v>
      </c>
      <c r="G65" s="80">
        <f t="shared" si="22"/>
        <v>73557</v>
      </c>
      <c r="H65" s="80">
        <f t="shared" si="22"/>
        <v>122367</v>
      </c>
      <c r="I65" s="80">
        <f t="shared" si="22"/>
        <v>241885</v>
      </c>
      <c r="J65" s="80">
        <f t="shared" si="22"/>
        <v>139143</v>
      </c>
      <c r="K65" s="80">
        <f t="shared" si="22"/>
        <v>143508</v>
      </c>
      <c r="L65" s="80">
        <f t="shared" si="22"/>
        <v>149768</v>
      </c>
      <c r="M65" s="80">
        <f t="shared" si="22"/>
        <v>281468</v>
      </c>
      <c r="N65" s="80">
        <f t="shared" si="22"/>
        <v>230073</v>
      </c>
      <c r="O65" s="80">
        <f t="shared" si="22"/>
        <v>211578</v>
      </c>
      <c r="P65" s="80">
        <f t="shared" si="22"/>
        <v>269860</v>
      </c>
      <c r="Q65" s="80">
        <f t="shared" si="22"/>
        <v>266051</v>
      </c>
      <c r="R65" s="80">
        <f t="shared" si="22"/>
        <v>106770</v>
      </c>
      <c r="S65" s="80">
        <f t="shared" si="22"/>
        <v>56496</v>
      </c>
      <c r="T65" s="80">
        <f t="shared" si="22"/>
        <v>255827</v>
      </c>
      <c r="U65" s="80">
        <f t="shared" si="22"/>
        <v>276632</v>
      </c>
      <c r="V65" s="80">
        <f t="shared" si="22"/>
        <v>181600.92925999998</v>
      </c>
      <c r="W65" s="80">
        <f t="shared" si="22"/>
        <v>324362.84019000013</v>
      </c>
      <c r="X65" s="80">
        <f t="shared" si="22"/>
        <v>394562.52209000039</v>
      </c>
      <c r="Y65" s="80">
        <f t="shared" si="22"/>
        <v>264872.46106000064</v>
      </c>
      <c r="Z65" s="80">
        <f t="shared" si="22"/>
        <v>102674.80419000168</v>
      </c>
      <c r="AA65" s="80">
        <f t="shared" si="22"/>
        <v>281254.20017000189</v>
      </c>
      <c r="AB65" s="80">
        <f t="shared" si="22"/>
        <v>273555.56696000177</v>
      </c>
      <c r="AC65" s="80">
        <f t="shared" si="22"/>
        <v>241567.65827000147</v>
      </c>
      <c r="AD65" s="80">
        <f t="shared" si="22"/>
        <v>243595.65492000151</v>
      </c>
      <c r="AE65" s="80">
        <f t="shared" si="22"/>
        <v>145386.81126000138</v>
      </c>
      <c r="AF65" s="80">
        <f t="shared" si="22"/>
        <v>406682.2525476485</v>
      </c>
      <c r="AG65" s="80">
        <f t="shared" si="22"/>
        <v>299226.02880514885</v>
      </c>
      <c r="AH65" s="80">
        <f t="shared" si="22"/>
        <v>533706.88612820068</v>
      </c>
      <c r="AI65" s="80">
        <f t="shared" si="22"/>
        <v>266415.99993820139</v>
      </c>
      <c r="AJ65" s="80">
        <f t="shared" si="22"/>
        <v>600205.88612820068</v>
      </c>
      <c r="AK65" s="80">
        <f t="shared" si="22"/>
        <v>880356.88612820068</v>
      </c>
      <c r="AL65" s="80">
        <f t="shared" si="22"/>
        <v>734433.22371820104</v>
      </c>
      <c r="AM65" s="80">
        <f t="shared" si="22"/>
        <v>266684.22371820098</v>
      </c>
      <c r="AN65" s="80">
        <f t="shared" si="22"/>
        <v>247157.22371820098</v>
      </c>
      <c r="AO65" s="80">
        <f t="shared" si="22"/>
        <v>356116.22371820098</v>
      </c>
      <c r="AP65" s="80">
        <f t="shared" si="22"/>
        <v>466153.22371820098</v>
      </c>
      <c r="AQ65" s="80">
        <f t="shared" si="22"/>
        <v>818804.22371820104</v>
      </c>
      <c r="AR65" s="80">
        <f t="shared" si="22"/>
        <v>371170.22371820104</v>
      </c>
      <c r="AS65" s="80">
        <f t="shared" si="22"/>
        <v>433540.22371820104</v>
      </c>
      <c r="AT65" s="80">
        <f t="shared" si="22"/>
        <v>371267</v>
      </c>
      <c r="AU65" s="80">
        <f t="shared" si="22"/>
        <v>345309</v>
      </c>
      <c r="AV65" s="80">
        <f t="shared" si="22"/>
        <v>593587</v>
      </c>
      <c r="AW65" s="80">
        <f t="shared" si="22"/>
        <v>412322</v>
      </c>
      <c r="AX65" s="80">
        <f t="shared" ref="AX65:AY65" si="23">AX64+AX62</f>
        <v>412598</v>
      </c>
      <c r="AY65" s="80">
        <f t="shared" si="23"/>
        <v>369660</v>
      </c>
      <c r="AZ65" s="80">
        <v>410510</v>
      </c>
      <c r="BA65" s="80">
        <v>528002.16434999998</v>
      </c>
      <c r="BB65" s="80">
        <v>352268</v>
      </c>
      <c r="BC65" s="80">
        <v>376334</v>
      </c>
      <c r="BD65" s="80">
        <v>339615</v>
      </c>
      <c r="BE65" s="80">
        <v>358636</v>
      </c>
      <c r="BF65" s="80">
        <v>441801.90671999985</v>
      </c>
      <c r="BG65" s="80">
        <v>536499.93059999973</v>
      </c>
    </row>
    <row r="66" spans="1:59">
      <c r="A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row>
    <row r="67" spans="1:59">
      <c r="A67" s="50" t="s">
        <v>0</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row>
    <row r="68" spans="1:59">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row>
  </sheetData>
  <pageMargins left="0.78740157499999996" right="0.78740157499999996" top="0.984251969" bottom="0.984251969" header="0.4921259845" footer="0.492125984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9288"/>
  </sheetPr>
  <dimension ref="A1:BI81"/>
  <sheetViews>
    <sheetView showGridLines="0" zoomScale="85" zoomScaleNormal="85" workbookViewId="0">
      <pane xSplit="1" ySplit="1" topLeftCell="B2" activePane="bottomRight" state="frozen"/>
      <selection pane="topRight"/>
      <selection pane="bottomLeft"/>
      <selection pane="bottomRight" activeCell="B2" sqref="B2"/>
    </sheetView>
  </sheetViews>
  <sheetFormatPr defaultColWidth="10.6328125" defaultRowHeight="14.5"/>
  <cols>
    <col min="1" max="1" width="28.6328125" style="15" customWidth="1"/>
    <col min="2" max="2" width="10.6328125" style="15" customWidth="1"/>
    <col min="3" max="16384" width="10.6328125" style="15"/>
  </cols>
  <sheetData>
    <row r="1" spans="1:59" customFormat="1" ht="20" customHeight="1" thickBot="1">
      <c r="A1" s="61" t="str">
        <f>INDEX({"Indicadores";"Indicators"},Home!$R$30)</f>
        <v>Indicadores</v>
      </c>
      <c r="B1" s="70" t="str">
        <f>INDEX({"1T12";"1Q12"},Home!$R$30)</f>
        <v>1T12</v>
      </c>
      <c r="C1" s="70" t="str">
        <f>INDEX({"2T12";"2Q12"},Home!$R$30)</f>
        <v>2T12</v>
      </c>
      <c r="D1" s="70" t="str">
        <f>INDEX({"3T12";"3Q12"},Home!$R$30)</f>
        <v>3T12</v>
      </c>
      <c r="E1" s="70" t="str">
        <f>INDEX({"4T12";"4Q12"},Home!$R$30)</f>
        <v>4T12</v>
      </c>
      <c r="F1" s="70" t="str">
        <f>INDEX({"1T13";"1Q13"},Home!$R$30)</f>
        <v>1T13</v>
      </c>
      <c r="G1" s="70" t="str">
        <f>INDEX({"2T13";"2Q13"},Home!$R$30)</f>
        <v>2T13</v>
      </c>
      <c r="H1" s="70" t="str">
        <f>INDEX({"3T13";"3Q13"},Home!$R$30)</f>
        <v>3T13</v>
      </c>
      <c r="I1" s="70" t="str">
        <f>INDEX({"4T13";"4Q13"},Home!$R$30)</f>
        <v>4T13</v>
      </c>
      <c r="J1" s="70" t="str">
        <f>INDEX({"1T14";"1Q14"},Home!$R$30)</f>
        <v>1T14</v>
      </c>
      <c r="K1" s="70" t="str">
        <f>INDEX({"2T14";"2Q14"},Home!$R$30)</f>
        <v>2T14</v>
      </c>
      <c r="L1" s="70" t="str">
        <f>INDEX({"3T14";"3Q14"},Home!$R$30)</f>
        <v>3T14</v>
      </c>
      <c r="M1" s="70" t="str">
        <f>INDEX({"4T14";"4Q14"},Home!$R$30)</f>
        <v>4T14</v>
      </c>
      <c r="N1" s="70" t="str">
        <f>INDEX({"1T15";"1Q15"},Home!$R$30)</f>
        <v>1T15</v>
      </c>
      <c r="O1" s="70" t="str">
        <f>INDEX({"2T15";"2Q15"},Home!$R$30)</f>
        <v>2T15</v>
      </c>
      <c r="P1" s="70" t="str">
        <f>INDEX({"3T15";"3Q15"},Home!$R$30)</f>
        <v>3T15</v>
      </c>
      <c r="Q1" s="70" t="str">
        <f>INDEX({"4T15";"4Q15"},Home!$R$30)</f>
        <v>4T15</v>
      </c>
      <c r="R1" s="70" t="str">
        <f>INDEX({"1T16";"1Q16"},Home!$R$30)</f>
        <v>1T16</v>
      </c>
      <c r="S1" s="70" t="str">
        <f>INDEX({"2T16";"2Q16"},Home!$R$30)</f>
        <v>2T16</v>
      </c>
      <c r="T1" s="70" t="str">
        <f>INDEX({"3T16";"3Q16"},Home!$R$30)</f>
        <v>3T16</v>
      </c>
      <c r="U1" s="70" t="str">
        <f>INDEX({"4T16";"4Q16"},Home!$R$30)</f>
        <v>4T16</v>
      </c>
      <c r="V1" s="70" t="str">
        <f>INDEX({"1T17";"1Q17"},Home!$R$30)</f>
        <v>1T17</v>
      </c>
      <c r="W1" s="70" t="str">
        <f>INDEX({"2T17";"2Q17"},Home!$R$30)</f>
        <v>2T17</v>
      </c>
      <c r="X1" s="70" t="str">
        <f>INDEX({"3T17";"3Q17"},Home!$R$30)</f>
        <v>3T17</v>
      </c>
      <c r="Y1" s="70" t="str">
        <f>INDEX({"4T17";"4Q17"},Home!$R$30)</f>
        <v>4T17</v>
      </c>
      <c r="Z1" s="70" t="str">
        <f>INDEX({"1T18";"1Q18"},Home!$R$30)</f>
        <v>1T18</v>
      </c>
      <c r="AA1" s="70" t="str">
        <f>INDEX({"2T18";"2Q18"},Home!$R$30)</f>
        <v>2T18</v>
      </c>
      <c r="AB1" s="70" t="str">
        <f>INDEX({"3T18";"3Q18"},Home!$R$30)</f>
        <v>3T18</v>
      </c>
      <c r="AC1" s="70" t="str">
        <f>INDEX({"4T18";"4Q18"},Home!$R$30)</f>
        <v>4T18</v>
      </c>
      <c r="AD1" s="70" t="str">
        <f>INDEX({"1T19";"1Q19"},Home!$R$30)</f>
        <v>1T19</v>
      </c>
      <c r="AE1" s="70" t="str">
        <f>INDEX({"2T19";"2Q19"},Home!$R$30)</f>
        <v>2T19</v>
      </c>
      <c r="AF1" s="70" t="str">
        <f>INDEX({"3T19";"3Q19"},Home!$R$30)</f>
        <v>3T19</v>
      </c>
      <c r="AG1" s="70" t="str">
        <f>INDEX({"4T19";"4Q19"},Home!$R$30)</f>
        <v>4T19</v>
      </c>
      <c r="AH1" s="70" t="str">
        <f>INDEX({"1T20";"1Q20"},Home!$R$30)</f>
        <v>1T20</v>
      </c>
      <c r="AI1" s="70" t="str">
        <f>INDEX({"2T20";"2Q20"},Home!$R$30)</f>
        <v>2T20</v>
      </c>
      <c r="AJ1" s="70" t="str">
        <f>INDEX({"3T20";"3Q20"},Home!$R$30)</f>
        <v>3T20</v>
      </c>
      <c r="AK1" s="70" t="str">
        <f>INDEX({"4T20";"4Q20"},Home!$R$30)</f>
        <v>4T20</v>
      </c>
      <c r="AL1" s="70" t="str">
        <f>INDEX({"1T21";"1Q21"},Home!$R$30)</f>
        <v>1T21</v>
      </c>
      <c r="AM1" s="70" t="str">
        <f>INDEX({"2T21";"2Q21"},Home!$R$30)</f>
        <v>2T21</v>
      </c>
      <c r="AN1" s="70" t="str">
        <f>INDEX({"3T21";"3Q21"},Home!$R$30)</f>
        <v>3T21</v>
      </c>
      <c r="AO1" s="70" t="str">
        <f>INDEX({"4T21";"4Q21"},Home!$R$30)</f>
        <v>4T21</v>
      </c>
      <c r="AP1" s="70" t="str">
        <f>INDEX({"1T22";"1Q22"},Home!$R$30)</f>
        <v>1T22</v>
      </c>
      <c r="AQ1" s="70" t="str">
        <f>INDEX({"2T22";"2Q22"},Home!$R$30)</f>
        <v>2T22</v>
      </c>
      <c r="AR1" s="70" t="str">
        <f>INDEX({"3T22";"3Q22"},Home!$R$30)</f>
        <v>3T22</v>
      </c>
      <c r="AS1" s="70" t="str">
        <f>INDEX({"4T22";"4Q22"},Home!$R$30)</f>
        <v>4T22</v>
      </c>
      <c r="AT1" s="70" t="str">
        <f>INDEX({"1T23";"1Q23"},Home!$R$30)</f>
        <v>1T23</v>
      </c>
      <c r="AU1" s="70" t="str">
        <f>INDEX({"2T23";"2Q23"},Home!$R$30)</f>
        <v>2T23</v>
      </c>
      <c r="AV1" s="70" t="str">
        <f>INDEX({"3T23";"3Q23"},Home!$R$30)</f>
        <v>3T23</v>
      </c>
      <c r="AW1" s="70" t="str">
        <f>INDEX({"4T23";"4Q23"},Home!$R$30)</f>
        <v>4T23</v>
      </c>
      <c r="AX1" s="70" t="str">
        <f>INDEX({"1T24";"1Q24"},Home!$R$30)</f>
        <v>1T24</v>
      </c>
      <c r="AY1" s="70" t="str">
        <f>INDEX({"2T24";"2Q24"},Home!$R$30)</f>
        <v>2T24</v>
      </c>
      <c r="AZ1" s="70" t="str">
        <f>INDEX({"3T24";"3Q24"},Home!$R$30)</f>
        <v>3T24</v>
      </c>
      <c r="BA1" s="70" t="str">
        <f>INDEX({"4T24";"4Q24"},Home!$R$30)</f>
        <v>4T24</v>
      </c>
      <c r="BB1" s="70" t="str">
        <f>INDEX({"1T25";"1Q25"},Home!$R$30)</f>
        <v>1T25</v>
      </c>
      <c r="BC1" s="70" t="str">
        <f>INDEX({"2T25";"2Q25"},Home!$R$30)</f>
        <v>2T25</v>
      </c>
      <c r="BD1" s="70" t="str">
        <f>INDEX({"3T25";"3Q25"},Home!$R$30)</f>
        <v>3T25</v>
      </c>
      <c r="BE1" s="70" t="str">
        <f>INDEX({"4T25";"4Q25"},Home!$R$30)</f>
        <v>4T25</v>
      </c>
      <c r="BF1" s="70" t="str">
        <f>INDEX({"1T26";"1Q26"},Home!$R$30)</f>
        <v>1T26</v>
      </c>
      <c r="BG1" s="70" t="str">
        <f>INDEX({"2T26";"2Q26"},Home!$R$30)</f>
        <v>2T26</v>
      </c>
    </row>
    <row r="2" spans="1:59" customForma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79" t="s">
        <v>5</v>
      </c>
      <c r="BC2" s="79" t="s">
        <v>5</v>
      </c>
      <c r="BD2" s="79" t="s">
        <v>5</v>
      </c>
      <c r="BE2" s="79" t="s">
        <v>5</v>
      </c>
      <c r="BF2" s="15"/>
      <c r="BG2" s="110"/>
    </row>
    <row r="3" spans="1:59" customFormat="1">
      <c r="A3" s="13" t="str">
        <f>INDEX({"Farmácias";"Pharmacies"},Home!$R$30)</f>
        <v>Farmácias</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13"/>
      <c r="BG3" s="111"/>
    </row>
    <row r="4" spans="1:59" customFormat="1">
      <c r="A4" s="17" t="str">
        <f>INDEX({"Madura";"Mature"},Home!$R$30)</f>
        <v>Madura</v>
      </c>
      <c r="B4" s="18">
        <v>509</v>
      </c>
      <c r="C4" s="18">
        <v>526</v>
      </c>
      <c r="D4" s="18">
        <v>544</v>
      </c>
      <c r="E4" s="18">
        <v>562</v>
      </c>
      <c r="F4" s="18">
        <v>567</v>
      </c>
      <c r="G4" s="18">
        <v>581</v>
      </c>
      <c r="H4" s="18">
        <v>607</v>
      </c>
      <c r="I4" s="18">
        <v>649</v>
      </c>
      <c r="J4" s="18">
        <v>658</v>
      </c>
      <c r="K4" s="18">
        <v>677</v>
      </c>
      <c r="L4" s="18">
        <v>703</v>
      </c>
      <c r="M4" s="18">
        <v>736</v>
      </c>
      <c r="N4" s="18">
        <v>742</v>
      </c>
      <c r="O4" s="18">
        <v>764</v>
      </c>
      <c r="P4" s="18">
        <v>786</v>
      </c>
      <c r="Q4" s="18">
        <v>819</v>
      </c>
      <c r="R4" s="18">
        <v>854</v>
      </c>
      <c r="S4" s="18">
        <v>877</v>
      </c>
      <c r="T4" s="18">
        <v>894</v>
      </c>
      <c r="U4" s="18">
        <v>926</v>
      </c>
      <c r="V4" s="18">
        <v>939</v>
      </c>
      <c r="W4" s="18">
        <v>961</v>
      </c>
      <c r="X4" s="18">
        <v>987</v>
      </c>
      <c r="Y4" s="18">
        <v>1035</v>
      </c>
      <c r="Z4" s="18">
        <v>1053</v>
      </c>
      <c r="AA4" s="18">
        <v>1087</v>
      </c>
      <c r="AB4" s="18">
        <v>1122</v>
      </c>
      <c r="AC4" s="18">
        <v>1174</v>
      </c>
      <c r="AD4" s="18">
        <v>1204</v>
      </c>
      <c r="AE4" s="18">
        <v>1250</v>
      </c>
      <c r="AF4" s="18">
        <v>1297</v>
      </c>
      <c r="AG4" s="18">
        <v>1352</v>
      </c>
      <c r="AH4" s="18">
        <v>1387</v>
      </c>
      <c r="AI4" s="18">
        <v>1439</v>
      </c>
      <c r="AJ4" s="18">
        <v>1488</v>
      </c>
      <c r="AK4" s="18">
        <v>1542</v>
      </c>
      <c r="AL4" s="18">
        <v>1572</v>
      </c>
      <c r="AM4" s="18">
        <v>1630</v>
      </c>
      <c r="AN4" s="32">
        <v>1683</v>
      </c>
      <c r="AO4" s="18">
        <v>1744</v>
      </c>
      <c r="AP4" s="18">
        <v>1796</v>
      </c>
      <c r="AQ4" s="18">
        <v>1832</v>
      </c>
      <c r="AR4" s="18">
        <v>1895</v>
      </c>
      <c r="AS4" s="18">
        <v>1962</v>
      </c>
      <c r="AT4" s="18">
        <v>1996</v>
      </c>
      <c r="AU4" s="18">
        <v>2048</v>
      </c>
      <c r="AV4" s="18">
        <v>2108</v>
      </c>
      <c r="AW4" s="18">
        <v>2184</v>
      </c>
      <c r="AX4" s="18">
        <v>2221</v>
      </c>
      <c r="AY4" s="18">
        <v>2280</v>
      </c>
      <c r="AZ4" s="18">
        <v>2325</v>
      </c>
      <c r="BA4" s="18">
        <v>2406</v>
      </c>
      <c r="BB4" s="18">
        <v>2456</v>
      </c>
      <c r="BC4" s="18">
        <v>2518</v>
      </c>
      <c r="BD4" s="18">
        <v>2569</v>
      </c>
      <c r="BE4" s="18">
        <v>2651</v>
      </c>
      <c r="BF4" s="18">
        <v>2705</v>
      </c>
      <c r="BG4" s="112">
        <v>2765</v>
      </c>
    </row>
    <row r="5" spans="1:59" customFormat="1">
      <c r="A5" s="17" t="str">
        <f>INDEX({"Ano 3";"Year 3"},Home!$R$30)</f>
        <v>Ano 3</v>
      </c>
      <c r="B5" s="18">
        <v>73</v>
      </c>
      <c r="C5" s="18">
        <v>74</v>
      </c>
      <c r="D5" s="18">
        <v>80</v>
      </c>
      <c r="E5" s="18">
        <v>104</v>
      </c>
      <c r="F5" s="18">
        <v>102</v>
      </c>
      <c r="G5" s="18">
        <v>101</v>
      </c>
      <c r="H5" s="18">
        <v>103</v>
      </c>
      <c r="I5" s="18">
        <v>93</v>
      </c>
      <c r="J5" s="18">
        <v>93</v>
      </c>
      <c r="K5" s="18">
        <v>98</v>
      </c>
      <c r="L5" s="18">
        <v>92</v>
      </c>
      <c r="M5" s="18">
        <v>94</v>
      </c>
      <c r="N5" s="18">
        <v>122</v>
      </c>
      <c r="O5" s="18">
        <v>122</v>
      </c>
      <c r="P5" s="18">
        <v>126</v>
      </c>
      <c r="Q5" s="18">
        <v>128</v>
      </c>
      <c r="R5" s="18">
        <v>111</v>
      </c>
      <c r="S5" s="18">
        <v>115</v>
      </c>
      <c r="T5" s="18">
        <v>119</v>
      </c>
      <c r="U5" s="18">
        <v>126</v>
      </c>
      <c r="V5" s="18">
        <v>127</v>
      </c>
      <c r="W5" s="18">
        <v>136</v>
      </c>
      <c r="X5" s="18">
        <v>140</v>
      </c>
      <c r="Y5" s="18">
        <v>153</v>
      </c>
      <c r="Z5" s="18">
        <v>171</v>
      </c>
      <c r="AA5" s="18">
        <v>191</v>
      </c>
      <c r="AB5" s="18">
        <v>209</v>
      </c>
      <c r="AC5" s="18">
        <v>204</v>
      </c>
      <c r="AD5" s="18">
        <v>201</v>
      </c>
      <c r="AE5" s="18">
        <v>197</v>
      </c>
      <c r="AF5" s="18">
        <v>199</v>
      </c>
      <c r="AG5" s="18">
        <v>199</v>
      </c>
      <c r="AH5" s="18">
        <v>201</v>
      </c>
      <c r="AI5" s="18">
        <v>211</v>
      </c>
      <c r="AJ5" s="18">
        <v>223</v>
      </c>
      <c r="AK5" s="18">
        <v>237</v>
      </c>
      <c r="AL5" s="18">
        <v>254</v>
      </c>
      <c r="AM5" s="18">
        <v>238</v>
      </c>
      <c r="AN5" s="32">
        <v>259</v>
      </c>
      <c r="AO5" s="18">
        <v>266</v>
      </c>
      <c r="AP5" s="18">
        <v>243</v>
      </c>
      <c r="AQ5" s="18">
        <v>250</v>
      </c>
      <c r="AR5" s="18">
        <v>233</v>
      </c>
      <c r="AS5" s="18">
        <v>235</v>
      </c>
      <c r="AT5" s="18">
        <v>236</v>
      </c>
      <c r="AU5" s="18">
        <v>243</v>
      </c>
      <c r="AV5" s="18">
        <v>232</v>
      </c>
      <c r="AW5" s="18">
        <v>240</v>
      </c>
      <c r="AX5" s="18">
        <v>252</v>
      </c>
      <c r="AY5" s="18">
        <v>252</v>
      </c>
      <c r="AZ5" s="18">
        <v>257</v>
      </c>
      <c r="BA5" s="18">
        <v>255</v>
      </c>
      <c r="BB5" s="18">
        <v>258</v>
      </c>
      <c r="BC5" s="18">
        <v>259</v>
      </c>
      <c r="BD5" s="18">
        <v>265</v>
      </c>
      <c r="BE5" s="18">
        <v>268</v>
      </c>
      <c r="BF5" s="18">
        <v>274</v>
      </c>
      <c r="BG5" s="112">
        <v>281</v>
      </c>
    </row>
    <row r="6" spans="1:59" customFormat="1">
      <c r="A6" s="17" t="str">
        <f>INDEX({"Ano 2";"Year 2"},Home!$R$30)</f>
        <v>Ano 2</v>
      </c>
      <c r="B6" s="18">
        <v>105</v>
      </c>
      <c r="C6" s="18">
        <v>103</v>
      </c>
      <c r="D6" s="18">
        <v>105</v>
      </c>
      <c r="E6" s="18">
        <v>97</v>
      </c>
      <c r="F6" s="18">
        <v>98</v>
      </c>
      <c r="G6" s="18">
        <v>99</v>
      </c>
      <c r="H6" s="18">
        <v>91</v>
      </c>
      <c r="I6" s="18">
        <v>95</v>
      </c>
      <c r="J6" s="18">
        <v>122</v>
      </c>
      <c r="K6" s="18">
        <v>123</v>
      </c>
      <c r="L6" s="18">
        <v>129</v>
      </c>
      <c r="M6" s="18">
        <v>130</v>
      </c>
      <c r="N6" s="18">
        <v>113</v>
      </c>
      <c r="O6" s="18">
        <v>116</v>
      </c>
      <c r="P6" s="18">
        <v>121</v>
      </c>
      <c r="Q6" s="18">
        <v>129</v>
      </c>
      <c r="R6" s="18">
        <v>130</v>
      </c>
      <c r="S6" s="18">
        <v>139</v>
      </c>
      <c r="T6" s="18">
        <v>142</v>
      </c>
      <c r="U6" s="18">
        <v>152</v>
      </c>
      <c r="V6" s="18">
        <v>172</v>
      </c>
      <c r="W6" s="18">
        <v>196</v>
      </c>
      <c r="X6" s="18">
        <v>213</v>
      </c>
      <c r="Y6" s="18">
        <v>210</v>
      </c>
      <c r="Z6" s="18">
        <v>213</v>
      </c>
      <c r="AA6" s="18">
        <v>207</v>
      </c>
      <c r="AB6" s="18">
        <v>205</v>
      </c>
      <c r="AC6" s="18">
        <v>204</v>
      </c>
      <c r="AD6" s="18">
        <v>202</v>
      </c>
      <c r="AE6" s="18">
        <v>211</v>
      </c>
      <c r="AF6" s="18">
        <v>223</v>
      </c>
      <c r="AG6" s="18">
        <v>237</v>
      </c>
      <c r="AH6" s="18">
        <v>258</v>
      </c>
      <c r="AI6" s="18">
        <v>243</v>
      </c>
      <c r="AJ6" s="18">
        <v>272</v>
      </c>
      <c r="AK6" s="18">
        <v>280</v>
      </c>
      <c r="AL6" s="18">
        <v>252</v>
      </c>
      <c r="AM6" s="18">
        <v>258</v>
      </c>
      <c r="AN6" s="32">
        <v>236</v>
      </c>
      <c r="AO6" s="18">
        <v>240</v>
      </c>
      <c r="AP6" s="18">
        <v>239</v>
      </c>
      <c r="AQ6" s="18">
        <v>244.99999999999997</v>
      </c>
      <c r="AR6" s="18">
        <v>232</v>
      </c>
      <c r="AS6" s="18">
        <v>240</v>
      </c>
      <c r="AT6" s="18">
        <v>252</v>
      </c>
      <c r="AU6" s="18">
        <v>254</v>
      </c>
      <c r="AV6" s="18">
        <v>260</v>
      </c>
      <c r="AW6" s="18">
        <v>259</v>
      </c>
      <c r="AX6" s="18">
        <v>260</v>
      </c>
      <c r="AY6" s="18">
        <v>261</v>
      </c>
      <c r="AZ6" s="18">
        <v>266</v>
      </c>
      <c r="BA6" s="18">
        <v>269</v>
      </c>
      <c r="BB6" s="18">
        <v>274</v>
      </c>
      <c r="BC6" s="18">
        <v>281</v>
      </c>
      <c r="BD6" s="18">
        <v>290</v>
      </c>
      <c r="BE6" s="18">
        <v>298</v>
      </c>
      <c r="BF6" s="18">
        <v>312</v>
      </c>
      <c r="BG6" s="112">
        <v>312</v>
      </c>
    </row>
    <row r="7" spans="1:59" customFormat="1">
      <c r="A7" s="17" t="str">
        <f>INDEX({"Ano 1";"Year 1"},Home!$R$30)</f>
        <v>Ano 1</v>
      </c>
      <c r="B7" s="18">
        <v>98</v>
      </c>
      <c r="C7" s="18">
        <v>104</v>
      </c>
      <c r="D7" s="18">
        <v>99</v>
      </c>
      <c r="E7" s="18">
        <v>101</v>
      </c>
      <c r="F7" s="18">
        <v>128</v>
      </c>
      <c r="G7" s="18">
        <v>125</v>
      </c>
      <c r="H7" s="18">
        <v>130</v>
      </c>
      <c r="I7" s="18">
        <v>130</v>
      </c>
      <c r="J7" s="18">
        <v>113</v>
      </c>
      <c r="K7" s="18">
        <v>117</v>
      </c>
      <c r="L7" s="18">
        <v>121</v>
      </c>
      <c r="M7" s="18">
        <v>131</v>
      </c>
      <c r="N7" s="18">
        <v>132</v>
      </c>
      <c r="O7" s="18">
        <v>140</v>
      </c>
      <c r="P7" s="18">
        <v>144</v>
      </c>
      <c r="Q7" s="18">
        <v>156</v>
      </c>
      <c r="R7" s="18">
        <v>176</v>
      </c>
      <c r="S7" s="18">
        <v>196</v>
      </c>
      <c r="T7" s="18">
        <v>212</v>
      </c>
      <c r="U7" s="18">
        <v>213</v>
      </c>
      <c r="V7" s="18">
        <v>216</v>
      </c>
      <c r="W7" s="18">
        <v>210</v>
      </c>
      <c r="X7" s="18">
        <v>211</v>
      </c>
      <c r="Y7" s="18">
        <v>209</v>
      </c>
      <c r="Z7" s="18">
        <v>211</v>
      </c>
      <c r="AA7" s="18">
        <v>220</v>
      </c>
      <c r="AB7" s="18">
        <v>229</v>
      </c>
      <c r="AC7" s="18">
        <v>240</v>
      </c>
      <c r="AD7" s="18">
        <v>263</v>
      </c>
      <c r="AE7" s="18">
        <v>256</v>
      </c>
      <c r="AF7" s="18">
        <v>273</v>
      </c>
      <c r="AG7" s="18">
        <v>282</v>
      </c>
      <c r="AH7" s="18">
        <v>258</v>
      </c>
      <c r="AI7" s="18">
        <v>266</v>
      </c>
      <c r="AJ7" s="18">
        <v>237</v>
      </c>
      <c r="AK7" s="18">
        <v>239.99999999999997</v>
      </c>
      <c r="AL7" s="18">
        <v>241</v>
      </c>
      <c r="AM7" s="18">
        <v>248</v>
      </c>
      <c r="AN7" s="32">
        <v>236</v>
      </c>
      <c r="AO7" s="18">
        <v>240</v>
      </c>
      <c r="AP7" s="18">
        <v>252</v>
      </c>
      <c r="AQ7" s="18">
        <v>254</v>
      </c>
      <c r="AR7" s="18">
        <v>260</v>
      </c>
      <c r="AS7" s="18">
        <v>260</v>
      </c>
      <c r="AT7" s="18">
        <v>262</v>
      </c>
      <c r="AU7" s="18">
        <v>262</v>
      </c>
      <c r="AV7" s="18">
        <v>268</v>
      </c>
      <c r="AW7" s="18">
        <v>270</v>
      </c>
      <c r="AX7" s="18">
        <v>277</v>
      </c>
      <c r="AY7" s="18">
        <v>283</v>
      </c>
      <c r="AZ7" s="18">
        <v>291</v>
      </c>
      <c r="BA7" s="18">
        <v>300</v>
      </c>
      <c r="BB7" s="18">
        <v>313</v>
      </c>
      <c r="BC7" s="18">
        <v>313</v>
      </c>
      <c r="BD7" s="18">
        <v>329</v>
      </c>
      <c r="BE7" s="18">
        <v>330</v>
      </c>
      <c r="BF7" s="18">
        <v>323</v>
      </c>
      <c r="BG7" s="112">
        <v>329</v>
      </c>
    </row>
    <row r="8" spans="1:59" customFormat="1">
      <c r="A8" s="19" t="str">
        <f>INDEX({"Total";"Total"},Home!$R$30)</f>
        <v>Total</v>
      </c>
      <c r="B8" s="20">
        <f t="shared" ref="B8:AW8" si="0">SUM(B4:B7)</f>
        <v>785</v>
      </c>
      <c r="C8" s="20">
        <f t="shared" si="0"/>
        <v>807</v>
      </c>
      <c r="D8" s="20">
        <f t="shared" si="0"/>
        <v>828</v>
      </c>
      <c r="E8" s="20">
        <f t="shared" si="0"/>
        <v>864</v>
      </c>
      <c r="F8" s="20">
        <f t="shared" si="0"/>
        <v>895</v>
      </c>
      <c r="G8" s="20">
        <f t="shared" si="0"/>
        <v>906</v>
      </c>
      <c r="H8" s="20">
        <f t="shared" si="0"/>
        <v>931</v>
      </c>
      <c r="I8" s="20">
        <f t="shared" si="0"/>
        <v>967</v>
      </c>
      <c r="J8" s="20">
        <f t="shared" si="0"/>
        <v>986</v>
      </c>
      <c r="K8" s="20">
        <f t="shared" si="0"/>
        <v>1015</v>
      </c>
      <c r="L8" s="20">
        <f t="shared" si="0"/>
        <v>1045</v>
      </c>
      <c r="M8" s="20">
        <f t="shared" si="0"/>
        <v>1091</v>
      </c>
      <c r="N8" s="20">
        <f t="shared" si="0"/>
        <v>1109</v>
      </c>
      <c r="O8" s="20">
        <f t="shared" si="0"/>
        <v>1142</v>
      </c>
      <c r="P8" s="20">
        <f t="shared" si="0"/>
        <v>1177</v>
      </c>
      <c r="Q8" s="20">
        <f t="shared" si="0"/>
        <v>1232</v>
      </c>
      <c r="R8" s="20">
        <f t="shared" si="0"/>
        <v>1271</v>
      </c>
      <c r="S8" s="20">
        <f t="shared" si="0"/>
        <v>1327</v>
      </c>
      <c r="T8" s="20">
        <f t="shared" si="0"/>
        <v>1367</v>
      </c>
      <c r="U8" s="20">
        <f t="shared" si="0"/>
        <v>1417</v>
      </c>
      <c r="V8" s="20">
        <f t="shared" si="0"/>
        <v>1454</v>
      </c>
      <c r="W8" s="20">
        <f t="shared" si="0"/>
        <v>1503</v>
      </c>
      <c r="X8" s="20">
        <f t="shared" si="0"/>
        <v>1551</v>
      </c>
      <c r="Y8" s="20">
        <f t="shared" si="0"/>
        <v>1607</v>
      </c>
      <c r="Z8" s="20">
        <f t="shared" si="0"/>
        <v>1648</v>
      </c>
      <c r="AA8" s="20">
        <f t="shared" si="0"/>
        <v>1705</v>
      </c>
      <c r="AB8" s="20">
        <f t="shared" si="0"/>
        <v>1765</v>
      </c>
      <c r="AC8" s="20">
        <f t="shared" si="0"/>
        <v>1822</v>
      </c>
      <c r="AD8" s="20">
        <f t="shared" si="0"/>
        <v>1870</v>
      </c>
      <c r="AE8" s="20">
        <f t="shared" si="0"/>
        <v>1914</v>
      </c>
      <c r="AF8" s="20">
        <f t="shared" si="0"/>
        <v>1992</v>
      </c>
      <c r="AG8" s="20">
        <f t="shared" si="0"/>
        <v>2070</v>
      </c>
      <c r="AH8" s="20">
        <f t="shared" si="0"/>
        <v>2104</v>
      </c>
      <c r="AI8" s="20">
        <f t="shared" si="0"/>
        <v>2159</v>
      </c>
      <c r="AJ8" s="20">
        <f t="shared" si="0"/>
        <v>2220</v>
      </c>
      <c r="AK8" s="20">
        <f t="shared" si="0"/>
        <v>2299</v>
      </c>
      <c r="AL8" s="20">
        <f t="shared" si="0"/>
        <v>2319</v>
      </c>
      <c r="AM8" s="20">
        <f t="shared" si="0"/>
        <v>2374</v>
      </c>
      <c r="AN8" s="20">
        <f t="shared" si="0"/>
        <v>2414</v>
      </c>
      <c r="AO8" s="20">
        <f t="shared" si="0"/>
        <v>2490</v>
      </c>
      <c r="AP8" s="20">
        <f t="shared" si="0"/>
        <v>2530</v>
      </c>
      <c r="AQ8" s="20">
        <f t="shared" si="0"/>
        <v>2581</v>
      </c>
      <c r="AR8" s="20">
        <f t="shared" si="0"/>
        <v>2620</v>
      </c>
      <c r="AS8" s="20">
        <f t="shared" si="0"/>
        <v>2697</v>
      </c>
      <c r="AT8" s="20">
        <f t="shared" si="0"/>
        <v>2746</v>
      </c>
      <c r="AU8" s="20">
        <f t="shared" si="0"/>
        <v>2807</v>
      </c>
      <c r="AV8" s="20">
        <f t="shared" si="0"/>
        <v>2868</v>
      </c>
      <c r="AW8" s="20">
        <f t="shared" si="0"/>
        <v>2953</v>
      </c>
      <c r="AX8" s="20">
        <f>SUM(AX4:AX7)</f>
        <v>3010</v>
      </c>
      <c r="AY8" s="20">
        <f t="shared" ref="AY8:AZ8" si="1">SUM(AY4:AY7)</f>
        <v>3076</v>
      </c>
      <c r="AZ8" s="20">
        <f t="shared" si="1"/>
        <v>3139</v>
      </c>
      <c r="BA8" s="20">
        <f t="shared" ref="BA8:BC8" si="2">SUM(BA4:BA7)</f>
        <v>3230</v>
      </c>
      <c r="BB8" s="20">
        <f t="shared" si="2"/>
        <v>3301</v>
      </c>
      <c r="BC8" s="20">
        <f t="shared" si="2"/>
        <v>3371</v>
      </c>
      <c r="BD8" s="20">
        <f t="shared" ref="BD8:BG8" si="3">SUM(BD4:BD7)</f>
        <v>3453</v>
      </c>
      <c r="BE8" s="20">
        <f t="shared" si="3"/>
        <v>3547</v>
      </c>
      <c r="BF8" s="20">
        <f t="shared" si="3"/>
        <v>3614</v>
      </c>
      <c r="BG8" s="20">
        <f t="shared" si="3"/>
        <v>3687</v>
      </c>
    </row>
    <row r="9" spans="1:59" customFormat="1">
      <c r="A9" s="25"/>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33"/>
      <c r="AJ9" s="25"/>
      <c r="AK9" s="25"/>
      <c r="AL9" s="25"/>
      <c r="AM9" s="25"/>
      <c r="AN9" s="25"/>
      <c r="AO9" s="25"/>
      <c r="AP9" s="25"/>
      <c r="AQ9" s="25"/>
      <c r="AR9" s="25"/>
      <c r="AS9" s="25"/>
      <c r="AT9" s="25"/>
      <c r="AU9" s="25"/>
      <c r="AV9" s="25"/>
      <c r="AW9" s="25"/>
      <c r="AX9" s="25"/>
      <c r="AY9" s="25"/>
      <c r="AZ9" s="25"/>
      <c r="BA9" s="25"/>
      <c r="BB9" s="25"/>
      <c r="BC9" s="25"/>
      <c r="BD9" s="25"/>
      <c r="BE9" s="25"/>
      <c r="BF9" s="25"/>
      <c r="BG9" s="113"/>
    </row>
    <row r="10" spans="1:59" customFormat="1">
      <c r="A10" s="17" t="str">
        <f>INDEX({"Raia";"Raia"},Home!$R$30)</f>
        <v>Raia</v>
      </c>
      <c r="B10" s="18">
        <v>413</v>
      </c>
      <c r="C10" s="18">
        <v>424</v>
      </c>
      <c r="D10" s="18">
        <v>429</v>
      </c>
      <c r="E10" s="18">
        <v>439</v>
      </c>
      <c r="F10" s="18">
        <v>455</v>
      </c>
      <c r="G10" s="18">
        <v>456</v>
      </c>
      <c r="H10" s="18">
        <v>463</v>
      </c>
      <c r="I10" s="18">
        <v>472</v>
      </c>
      <c r="J10" s="18">
        <v>477</v>
      </c>
      <c r="K10" s="18">
        <v>486</v>
      </c>
      <c r="L10" s="18">
        <v>500</v>
      </c>
      <c r="M10" s="18">
        <v>520</v>
      </c>
      <c r="N10" s="18">
        <v>540</v>
      </c>
      <c r="O10" s="18">
        <v>554</v>
      </c>
      <c r="P10" s="18">
        <v>568</v>
      </c>
      <c r="Q10" s="18">
        <v>594</v>
      </c>
      <c r="R10" s="18">
        <v>612</v>
      </c>
      <c r="S10" s="18">
        <v>642</v>
      </c>
      <c r="T10" s="18">
        <v>660</v>
      </c>
      <c r="U10" s="18">
        <v>680</v>
      </c>
      <c r="V10" s="18">
        <v>694</v>
      </c>
      <c r="W10" s="18">
        <v>715</v>
      </c>
      <c r="X10" s="18">
        <v>730</v>
      </c>
      <c r="Y10" s="18">
        <v>748</v>
      </c>
      <c r="Z10" s="18">
        <v>759</v>
      </c>
      <c r="AA10" s="18">
        <v>779</v>
      </c>
      <c r="AB10" s="18">
        <v>802</v>
      </c>
      <c r="AC10" s="18">
        <v>815</v>
      </c>
      <c r="AD10" s="18">
        <v>828</v>
      </c>
      <c r="AE10" s="18">
        <v>846</v>
      </c>
      <c r="AF10" s="18">
        <v>885</v>
      </c>
      <c r="AG10" s="18">
        <v>913</v>
      </c>
      <c r="AH10" s="18">
        <v>926</v>
      </c>
      <c r="AI10" s="18">
        <v>942</v>
      </c>
      <c r="AJ10" s="18">
        <v>966</v>
      </c>
      <c r="AK10" s="18">
        <v>995</v>
      </c>
      <c r="AL10" s="18">
        <v>1002</v>
      </c>
      <c r="AM10" s="18">
        <v>1019</v>
      </c>
      <c r="AN10" s="32">
        <v>1039</v>
      </c>
      <c r="AO10" s="18">
        <v>1059</v>
      </c>
      <c r="AP10" s="18">
        <v>1078</v>
      </c>
      <c r="AQ10" s="18">
        <v>1094</v>
      </c>
      <c r="AR10" s="18">
        <v>1099</v>
      </c>
      <c r="AS10" s="18">
        <v>1127</v>
      </c>
      <c r="AT10" s="18">
        <v>1151</v>
      </c>
      <c r="AU10" s="18">
        <v>1172</v>
      </c>
      <c r="AV10" s="18">
        <v>1207</v>
      </c>
      <c r="AW10" s="18">
        <v>1246</v>
      </c>
      <c r="AX10" s="18">
        <v>1270</v>
      </c>
      <c r="AY10" s="18">
        <v>1305</v>
      </c>
      <c r="AZ10" s="18">
        <v>1324</v>
      </c>
      <c r="BA10" s="18">
        <v>1346</v>
      </c>
      <c r="BB10" s="18">
        <v>1367</v>
      </c>
      <c r="BC10" s="18">
        <v>1389</v>
      </c>
      <c r="BD10" s="18">
        <v>1416</v>
      </c>
      <c r="BE10" s="18">
        <v>1455</v>
      </c>
      <c r="BF10" s="18">
        <v>1483</v>
      </c>
      <c r="BG10" s="112">
        <v>1515</v>
      </c>
    </row>
    <row r="11" spans="1:59" customFormat="1">
      <c r="A11" s="17" t="str">
        <f>INDEX({"Drogasil";"Drogasil"},Home!$R$30)</f>
        <v>Drogasil</v>
      </c>
      <c r="B11" s="18">
        <v>372</v>
      </c>
      <c r="C11" s="18">
        <v>383</v>
      </c>
      <c r="D11" s="18">
        <v>399</v>
      </c>
      <c r="E11" s="18">
        <v>425</v>
      </c>
      <c r="F11" s="18">
        <v>440</v>
      </c>
      <c r="G11" s="18">
        <v>450</v>
      </c>
      <c r="H11" s="18">
        <v>468</v>
      </c>
      <c r="I11" s="18">
        <v>495</v>
      </c>
      <c r="J11" s="18">
        <v>509</v>
      </c>
      <c r="K11" s="18">
        <v>529</v>
      </c>
      <c r="L11" s="18">
        <v>545</v>
      </c>
      <c r="M11" s="18">
        <v>571</v>
      </c>
      <c r="N11" s="18">
        <v>569</v>
      </c>
      <c r="O11" s="18">
        <v>588</v>
      </c>
      <c r="P11" s="18">
        <v>609</v>
      </c>
      <c r="Q11" s="18">
        <v>638</v>
      </c>
      <c r="R11" s="18">
        <v>659</v>
      </c>
      <c r="S11" s="18">
        <v>685</v>
      </c>
      <c r="T11" s="18">
        <v>707</v>
      </c>
      <c r="U11" s="18">
        <v>737</v>
      </c>
      <c r="V11" s="18">
        <v>760</v>
      </c>
      <c r="W11" s="18">
        <v>788</v>
      </c>
      <c r="X11" s="18">
        <v>821</v>
      </c>
      <c r="Y11" s="18">
        <v>859</v>
      </c>
      <c r="Z11" s="18">
        <v>889</v>
      </c>
      <c r="AA11" s="18">
        <v>926</v>
      </c>
      <c r="AB11" s="18">
        <v>963</v>
      </c>
      <c r="AC11" s="18">
        <v>1007</v>
      </c>
      <c r="AD11" s="18">
        <v>1042</v>
      </c>
      <c r="AE11" s="18">
        <v>1068</v>
      </c>
      <c r="AF11" s="18">
        <v>1107</v>
      </c>
      <c r="AG11" s="18">
        <v>1157</v>
      </c>
      <c r="AH11" s="18">
        <v>1178</v>
      </c>
      <c r="AI11" s="18">
        <v>1217</v>
      </c>
      <c r="AJ11" s="18">
        <v>1254</v>
      </c>
      <c r="AK11" s="18">
        <v>1304</v>
      </c>
      <c r="AL11" s="18">
        <v>1317</v>
      </c>
      <c r="AM11" s="18">
        <v>1355</v>
      </c>
      <c r="AN11" s="32">
        <v>1375</v>
      </c>
      <c r="AO11" s="18">
        <v>1431</v>
      </c>
      <c r="AP11" s="18">
        <v>1452</v>
      </c>
      <c r="AQ11" s="18">
        <v>1487</v>
      </c>
      <c r="AR11" s="18">
        <v>1521</v>
      </c>
      <c r="AS11" s="18">
        <v>1570</v>
      </c>
      <c r="AT11" s="18">
        <v>1595</v>
      </c>
      <c r="AU11" s="18">
        <v>1635</v>
      </c>
      <c r="AV11" s="18">
        <v>1661</v>
      </c>
      <c r="AW11" s="18">
        <v>1707</v>
      </c>
      <c r="AX11" s="18">
        <v>1740</v>
      </c>
      <c r="AY11" s="18">
        <v>1771</v>
      </c>
      <c r="AZ11" s="18">
        <v>1815</v>
      </c>
      <c r="BA11" s="18">
        <v>1884</v>
      </c>
      <c r="BB11" s="18">
        <v>1934</v>
      </c>
      <c r="BC11" s="18">
        <v>1982</v>
      </c>
      <c r="BD11" s="18">
        <v>2037</v>
      </c>
      <c r="BE11" s="18">
        <v>2092</v>
      </c>
      <c r="BF11" s="18">
        <v>2131</v>
      </c>
      <c r="BG11" s="112">
        <v>2172</v>
      </c>
    </row>
    <row r="12" spans="1:59" customFormat="1">
      <c r="A12" s="19" t="str">
        <f>INDEX({"Total";"Total"},Home!$R$30)</f>
        <v>Total</v>
      </c>
      <c r="B12" s="20">
        <f t="shared" ref="B12:AW12" si="4">SUM(B10:B11)</f>
        <v>785</v>
      </c>
      <c r="C12" s="20">
        <f t="shared" si="4"/>
        <v>807</v>
      </c>
      <c r="D12" s="20">
        <f t="shared" si="4"/>
        <v>828</v>
      </c>
      <c r="E12" s="20">
        <f t="shared" si="4"/>
        <v>864</v>
      </c>
      <c r="F12" s="20">
        <f t="shared" si="4"/>
        <v>895</v>
      </c>
      <c r="G12" s="20">
        <f t="shared" si="4"/>
        <v>906</v>
      </c>
      <c r="H12" s="20">
        <f t="shared" si="4"/>
        <v>931</v>
      </c>
      <c r="I12" s="20">
        <f t="shared" si="4"/>
        <v>967</v>
      </c>
      <c r="J12" s="20">
        <f t="shared" si="4"/>
        <v>986</v>
      </c>
      <c r="K12" s="20">
        <f t="shared" si="4"/>
        <v>1015</v>
      </c>
      <c r="L12" s="20">
        <f t="shared" si="4"/>
        <v>1045</v>
      </c>
      <c r="M12" s="20">
        <f t="shared" si="4"/>
        <v>1091</v>
      </c>
      <c r="N12" s="20">
        <f t="shared" si="4"/>
        <v>1109</v>
      </c>
      <c r="O12" s="20">
        <f t="shared" si="4"/>
        <v>1142</v>
      </c>
      <c r="P12" s="20">
        <f t="shared" si="4"/>
        <v>1177</v>
      </c>
      <c r="Q12" s="20">
        <f t="shared" si="4"/>
        <v>1232</v>
      </c>
      <c r="R12" s="20">
        <f t="shared" si="4"/>
        <v>1271</v>
      </c>
      <c r="S12" s="20">
        <f t="shared" si="4"/>
        <v>1327</v>
      </c>
      <c r="T12" s="20">
        <f t="shared" si="4"/>
        <v>1367</v>
      </c>
      <c r="U12" s="20">
        <f t="shared" si="4"/>
        <v>1417</v>
      </c>
      <c r="V12" s="20">
        <f t="shared" si="4"/>
        <v>1454</v>
      </c>
      <c r="W12" s="20">
        <f t="shared" si="4"/>
        <v>1503</v>
      </c>
      <c r="X12" s="20">
        <f t="shared" si="4"/>
        <v>1551</v>
      </c>
      <c r="Y12" s="20">
        <f t="shared" si="4"/>
        <v>1607</v>
      </c>
      <c r="Z12" s="20">
        <f t="shared" si="4"/>
        <v>1648</v>
      </c>
      <c r="AA12" s="20">
        <f t="shared" si="4"/>
        <v>1705</v>
      </c>
      <c r="AB12" s="20">
        <f t="shared" si="4"/>
        <v>1765</v>
      </c>
      <c r="AC12" s="20">
        <f t="shared" si="4"/>
        <v>1822</v>
      </c>
      <c r="AD12" s="20">
        <f t="shared" si="4"/>
        <v>1870</v>
      </c>
      <c r="AE12" s="20">
        <f t="shared" si="4"/>
        <v>1914</v>
      </c>
      <c r="AF12" s="20">
        <f t="shared" si="4"/>
        <v>1992</v>
      </c>
      <c r="AG12" s="20">
        <f t="shared" si="4"/>
        <v>2070</v>
      </c>
      <c r="AH12" s="20">
        <f t="shared" si="4"/>
        <v>2104</v>
      </c>
      <c r="AI12" s="20">
        <f t="shared" si="4"/>
        <v>2159</v>
      </c>
      <c r="AJ12" s="20">
        <f t="shared" si="4"/>
        <v>2220</v>
      </c>
      <c r="AK12" s="20">
        <f t="shared" si="4"/>
        <v>2299</v>
      </c>
      <c r="AL12" s="20">
        <f t="shared" si="4"/>
        <v>2319</v>
      </c>
      <c r="AM12" s="20">
        <f t="shared" si="4"/>
        <v>2374</v>
      </c>
      <c r="AN12" s="20">
        <f t="shared" si="4"/>
        <v>2414</v>
      </c>
      <c r="AO12" s="20">
        <f t="shared" si="4"/>
        <v>2490</v>
      </c>
      <c r="AP12" s="20">
        <f t="shared" si="4"/>
        <v>2530</v>
      </c>
      <c r="AQ12" s="20">
        <f t="shared" si="4"/>
        <v>2581</v>
      </c>
      <c r="AR12" s="20">
        <f t="shared" si="4"/>
        <v>2620</v>
      </c>
      <c r="AS12" s="20">
        <f t="shared" si="4"/>
        <v>2697</v>
      </c>
      <c r="AT12" s="20">
        <f t="shared" si="4"/>
        <v>2746</v>
      </c>
      <c r="AU12" s="20">
        <f t="shared" si="4"/>
        <v>2807</v>
      </c>
      <c r="AV12" s="20">
        <f t="shared" si="4"/>
        <v>2868</v>
      </c>
      <c r="AW12" s="20">
        <f t="shared" si="4"/>
        <v>2953</v>
      </c>
      <c r="AX12" s="20">
        <f>SUM(AX10:AX11)</f>
        <v>3010</v>
      </c>
      <c r="AY12" s="20">
        <f t="shared" ref="AY12:AZ12" si="5">SUM(AY10:AY11)</f>
        <v>3076</v>
      </c>
      <c r="AZ12" s="20">
        <f t="shared" si="5"/>
        <v>3139</v>
      </c>
      <c r="BA12" s="20">
        <f t="shared" ref="BA12:BC12" si="6">SUM(BA10:BA11)</f>
        <v>3230</v>
      </c>
      <c r="BB12" s="20">
        <f t="shared" si="6"/>
        <v>3301</v>
      </c>
      <c r="BC12" s="20">
        <f t="shared" si="6"/>
        <v>3371</v>
      </c>
      <c r="BD12" s="20">
        <f t="shared" ref="BD12:BG12" si="7">SUM(BD10:BD11)</f>
        <v>3453</v>
      </c>
      <c r="BE12" s="20">
        <f t="shared" si="7"/>
        <v>3547</v>
      </c>
      <c r="BF12" s="20">
        <f t="shared" si="7"/>
        <v>3614</v>
      </c>
      <c r="BG12" s="20">
        <f t="shared" si="7"/>
        <v>3687</v>
      </c>
    </row>
    <row r="13" spans="1:59" customForma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10"/>
    </row>
    <row r="14" spans="1:59" customFormat="1">
      <c r="A14" s="13" t="str">
        <f>INDEX({"Crescimento Receita Bruta";"Growth - Gross revenue"},Home!$R$30)</f>
        <v>Crescimento Receita Bruta</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13"/>
      <c r="BG14" s="111"/>
    </row>
    <row r="15" spans="1:59" customFormat="1">
      <c r="A15" s="17" t="str">
        <f>INDEX({"Crescimento total consolidado";"Total consolidated growth"},Home!$R$30)</f>
        <v>Crescimento total consolidado</v>
      </c>
      <c r="B15" s="34"/>
      <c r="C15" s="34"/>
      <c r="D15" s="34"/>
      <c r="E15" s="34"/>
      <c r="F15" s="34"/>
      <c r="G15" s="34"/>
      <c r="H15" s="34"/>
      <c r="I15" s="34"/>
      <c r="J15" s="34">
        <v>0.19899999999999998</v>
      </c>
      <c r="K15" s="34">
        <v>0.159</v>
      </c>
      <c r="L15" s="34">
        <v>0.185</v>
      </c>
      <c r="M15" s="34">
        <v>0.20499999999999999</v>
      </c>
      <c r="N15" s="34">
        <v>0.19699999999999998</v>
      </c>
      <c r="O15" s="34">
        <v>0.23199999999999998</v>
      </c>
      <c r="P15" s="34">
        <v>0.20399999999999999</v>
      </c>
      <c r="Q15" s="34">
        <v>0.21</v>
      </c>
      <c r="R15" s="34">
        <v>0.26300000000000001</v>
      </c>
      <c r="S15" s="34">
        <v>0.26300000000000001</v>
      </c>
      <c r="T15" s="34">
        <v>0.252</v>
      </c>
      <c r="U15" s="34">
        <v>0.245</v>
      </c>
      <c r="V15" s="34">
        <v>0.21600000000000003</v>
      </c>
      <c r="W15" s="34">
        <v>0.16</v>
      </c>
      <c r="X15" s="34">
        <v>0.17399999999999999</v>
      </c>
      <c r="Y15" s="34">
        <v>0.14199999999999999</v>
      </c>
      <c r="Z15" s="34">
        <v>0.122</v>
      </c>
      <c r="AA15" s="34">
        <v>0.11599999999999999</v>
      </c>
      <c r="AB15" s="34">
        <v>0.10199999999999999</v>
      </c>
      <c r="AC15" s="34">
        <v>0.14099999999999999</v>
      </c>
      <c r="AD15" s="34">
        <v>0.153</v>
      </c>
      <c r="AE15" s="34">
        <v>0.17100000000000001</v>
      </c>
      <c r="AF15" s="34">
        <v>0.20899999999999999</v>
      </c>
      <c r="AG15" s="34">
        <v>0.20399999999999999</v>
      </c>
      <c r="AH15" s="34">
        <v>0.253</v>
      </c>
      <c r="AI15" s="34">
        <v>6.3E-2</v>
      </c>
      <c r="AJ15" s="34">
        <v>0.128</v>
      </c>
      <c r="AK15" s="34">
        <v>0.16700000000000001</v>
      </c>
      <c r="AL15" s="34">
        <v>0.14899999999999999</v>
      </c>
      <c r="AM15" s="34">
        <v>0.32300000000000001</v>
      </c>
      <c r="AN15" s="34">
        <v>0.21199999999999999</v>
      </c>
      <c r="AO15" s="34">
        <v>0.16800000000000001</v>
      </c>
      <c r="AP15" s="34">
        <v>0.16600000000000001</v>
      </c>
      <c r="AQ15" s="34">
        <v>0.224</v>
      </c>
      <c r="AR15" s="34">
        <v>0.223</v>
      </c>
      <c r="AS15" s="34">
        <v>0.219</v>
      </c>
      <c r="AT15" s="34">
        <v>0.215</v>
      </c>
      <c r="AU15" s="34">
        <v>0.18</v>
      </c>
      <c r="AV15" s="34">
        <v>0.16200000000000001</v>
      </c>
      <c r="AW15" s="34">
        <v>0.14299999999999999</v>
      </c>
      <c r="AX15" s="34">
        <v>0.153</v>
      </c>
      <c r="AY15" s="34">
        <v>0.154</v>
      </c>
      <c r="AZ15" s="34">
        <v>0.159</v>
      </c>
      <c r="BA15" s="34">
        <v>0.13900000000000001</v>
      </c>
      <c r="BB15" s="34">
        <v>0.10674707267080108</v>
      </c>
      <c r="BC15" s="34">
        <v>0.13104787384118444</v>
      </c>
      <c r="BD15" s="34">
        <v>0.15511679539932688</v>
      </c>
      <c r="BE15" s="34">
        <v>0.22339817351351177</v>
      </c>
      <c r="BF15" s="34">
        <v>0.20422779496220911</v>
      </c>
      <c r="BG15" s="114">
        <v>0.18268789870643731</v>
      </c>
    </row>
    <row r="16" spans="1:59" customFormat="1">
      <c r="A16" s="17" t="str">
        <f>INDEX({"Mesmas Lojas - Varejo";"SSS - Retail"},Home!$R$30)</f>
        <v>Mesmas Lojas - Varejo</v>
      </c>
      <c r="B16" s="34"/>
      <c r="C16" s="34"/>
      <c r="D16" s="34"/>
      <c r="E16" s="34"/>
      <c r="F16" s="34"/>
      <c r="G16" s="34"/>
      <c r="H16" s="34"/>
      <c r="I16" s="34"/>
      <c r="J16" s="34">
        <v>0.127</v>
      </c>
      <c r="K16" s="34">
        <v>8.900000000000001E-2</v>
      </c>
      <c r="L16" s="34">
        <v>0.109</v>
      </c>
      <c r="M16" s="34">
        <v>0.13</v>
      </c>
      <c r="N16" s="34">
        <v>0.113</v>
      </c>
      <c r="O16" s="34">
        <v>0.14699999999999999</v>
      </c>
      <c r="P16" s="34">
        <v>0.12</v>
      </c>
      <c r="Q16" s="34">
        <v>0.12</v>
      </c>
      <c r="R16" s="34">
        <v>0.16</v>
      </c>
      <c r="S16" s="34">
        <v>0.14499999999999999</v>
      </c>
      <c r="T16" s="34">
        <v>0.13500000000000001</v>
      </c>
      <c r="U16" s="34">
        <v>0.13200000000000001</v>
      </c>
      <c r="V16" s="34">
        <v>0.105</v>
      </c>
      <c r="W16" s="34">
        <v>6.0999999999999999E-2</v>
      </c>
      <c r="X16" s="34">
        <v>7.5999999999999998E-2</v>
      </c>
      <c r="Y16" s="34">
        <v>4.7E-2</v>
      </c>
      <c r="Z16" s="34">
        <v>2.7000000000000003E-2</v>
      </c>
      <c r="AA16" s="34">
        <v>2.5000000000000001E-2</v>
      </c>
      <c r="AB16" s="34">
        <v>8.0000000000000002E-3</v>
      </c>
      <c r="AC16" s="34">
        <v>4.7E-2</v>
      </c>
      <c r="AD16" s="34">
        <v>5.5999999999999994E-2</v>
      </c>
      <c r="AE16" s="34">
        <v>0.08</v>
      </c>
      <c r="AF16" s="34">
        <v>0.11900000000000001</v>
      </c>
      <c r="AG16" s="34">
        <v>0.113</v>
      </c>
      <c r="AH16" s="34">
        <v>0.155</v>
      </c>
      <c r="AI16" s="34">
        <v>-2.5999999999999999E-2</v>
      </c>
      <c r="AJ16" s="34">
        <v>6.7000000000000004E-2</v>
      </c>
      <c r="AK16" s="34">
        <v>0.10199999999999999</v>
      </c>
      <c r="AL16" s="34">
        <v>8.5999999999999993E-2</v>
      </c>
      <c r="AM16" s="34">
        <v>0.26200000000000001</v>
      </c>
      <c r="AN16" s="34">
        <v>0.14899999999999999</v>
      </c>
      <c r="AO16" s="34">
        <v>0.115</v>
      </c>
      <c r="AP16" s="34">
        <v>0.108</v>
      </c>
      <c r="AQ16" s="34">
        <v>0.18099999999999999</v>
      </c>
      <c r="AR16" s="34">
        <v>0.16700000000000001</v>
      </c>
      <c r="AS16" s="34">
        <v>0.16</v>
      </c>
      <c r="AT16" s="34">
        <v>0.14699999999999999</v>
      </c>
      <c r="AU16" s="34">
        <v>0.1</v>
      </c>
      <c r="AV16" s="34">
        <v>0.09</v>
      </c>
      <c r="AW16" s="34">
        <v>7.4999999999999997E-2</v>
      </c>
      <c r="AX16" s="34">
        <v>9.6000000000000002E-2</v>
      </c>
      <c r="AY16" s="34">
        <v>9.1999999999999998E-2</v>
      </c>
      <c r="AZ16" s="34">
        <v>9.0999999999999998E-2</v>
      </c>
      <c r="BA16" s="34">
        <v>7.9000000000000001E-2</v>
      </c>
      <c r="BB16" s="34">
        <v>5.3999999999999999E-2</v>
      </c>
      <c r="BC16" s="34">
        <v>7.2999999999999995E-2</v>
      </c>
      <c r="BD16" s="34">
        <v>9.74E-2</v>
      </c>
      <c r="BE16" s="34">
        <v>0.16289999999999999</v>
      </c>
      <c r="BF16" s="34">
        <v>0.14299999999999999</v>
      </c>
      <c r="BG16" s="114">
        <v>0.125</v>
      </c>
    </row>
    <row r="17" spans="1:59" customFormat="1">
      <c r="A17" s="17" t="str">
        <f>INDEX({"Lojas Maduras - Varejo";"Mature Stores - Retail"},Home!$R$30)</f>
        <v>Lojas Maduras - Varejo</v>
      </c>
      <c r="B17" s="34"/>
      <c r="C17" s="34"/>
      <c r="D17" s="34"/>
      <c r="E17" s="34"/>
      <c r="F17" s="34"/>
      <c r="G17" s="34"/>
      <c r="H17" s="34"/>
      <c r="I17" s="34"/>
      <c r="J17" s="34">
        <v>7.5999999999999998E-2</v>
      </c>
      <c r="K17" s="34">
        <v>4.2000000000000003E-2</v>
      </c>
      <c r="L17" s="34">
        <v>6.0999999999999999E-2</v>
      </c>
      <c r="M17" s="34">
        <v>8.199999999999999E-2</v>
      </c>
      <c r="N17" s="34">
        <v>6.9000000000000006E-2</v>
      </c>
      <c r="O17" s="34">
        <v>0.105</v>
      </c>
      <c r="P17" s="34">
        <v>8.1000000000000003E-2</v>
      </c>
      <c r="Q17" s="34">
        <v>8.3000000000000004E-2</v>
      </c>
      <c r="R17" s="34">
        <v>0.122</v>
      </c>
      <c r="S17" s="34">
        <v>0.10099999999999999</v>
      </c>
      <c r="T17" s="34">
        <v>8.900000000000001E-2</v>
      </c>
      <c r="U17" s="34">
        <v>8.1000000000000003E-2</v>
      </c>
      <c r="V17" s="34">
        <v>6.0999999999999999E-2</v>
      </c>
      <c r="W17" s="34">
        <v>0.02</v>
      </c>
      <c r="X17" s="34">
        <v>3.5000000000000003E-2</v>
      </c>
      <c r="Y17" s="34">
        <v>8.0000000000000002E-3</v>
      </c>
      <c r="Z17" s="34">
        <v>-0.01</v>
      </c>
      <c r="AA17" s="34">
        <v>-1.3999999999999999E-2</v>
      </c>
      <c r="AB17" s="34">
        <v>-3.2000000000000001E-2</v>
      </c>
      <c r="AC17" s="34">
        <v>6.0000000000000001E-3</v>
      </c>
      <c r="AD17" s="34">
        <v>1.9E-2</v>
      </c>
      <c r="AE17" s="34">
        <v>0.04</v>
      </c>
      <c r="AF17" s="34">
        <v>7.6999999999999999E-2</v>
      </c>
      <c r="AG17" s="34">
        <v>7.2999999999999995E-2</v>
      </c>
      <c r="AH17" s="34">
        <v>0.115</v>
      </c>
      <c r="AI17" s="34">
        <v>-6.9000000000000006E-2</v>
      </c>
      <c r="AJ17" s="34">
        <v>1.4E-2</v>
      </c>
      <c r="AK17" s="34">
        <v>0.06</v>
      </c>
      <c r="AL17" s="34">
        <v>4.5999999999999999E-2</v>
      </c>
      <c r="AM17" s="34">
        <v>0.23499999999999999</v>
      </c>
      <c r="AN17" s="34">
        <v>0.123</v>
      </c>
      <c r="AO17" s="34">
        <v>9.0999999999999998E-2</v>
      </c>
      <c r="AP17" s="34">
        <v>8.8999999999999996E-2</v>
      </c>
      <c r="AQ17" s="34">
        <v>0.161</v>
      </c>
      <c r="AR17" s="34">
        <v>0.14599999999999999</v>
      </c>
      <c r="AS17" s="34">
        <v>0.13500000000000001</v>
      </c>
      <c r="AT17" s="34">
        <v>0.125</v>
      </c>
      <c r="AU17" s="34">
        <v>7.4999999999999997E-2</v>
      </c>
      <c r="AV17" s="34">
        <v>6.7000000000000004E-2</v>
      </c>
      <c r="AW17" s="34">
        <v>4.9000000000000002E-2</v>
      </c>
      <c r="AX17" s="34">
        <v>6.9000000000000006E-2</v>
      </c>
      <c r="AY17" s="34">
        <v>6.7000000000000004E-2</v>
      </c>
      <c r="AZ17" s="34">
        <v>6.7000000000000004E-2</v>
      </c>
      <c r="BA17" s="34">
        <v>5.6000000000000001E-2</v>
      </c>
      <c r="BB17" s="34">
        <v>3.4000000000000002E-2</v>
      </c>
      <c r="BC17" s="34">
        <v>5.5E-2</v>
      </c>
      <c r="BD17" s="34">
        <v>7.8399999999999997E-2</v>
      </c>
      <c r="BE17" s="34">
        <v>0.1449</v>
      </c>
      <c r="BF17" s="34">
        <v>0.128</v>
      </c>
      <c r="BG17" s="114">
        <v>0.109</v>
      </c>
    </row>
    <row r="18" spans="1:59" customFormat="1">
      <c r="A18" s="23" t="str">
        <f>INDEX({"*3T19: ajustado (considera operação das lojas Onofre de agosto em diante). Pelo fato de entrarem na base como Ano 1, não afeta o crescimento das mesmas lojas.";"*3T19: adjusted to consider Onofre's store operations from August onwards. Since they entered our base as Year 1 stores, they do not affect same store sales growth."},Home!$R$30)</f>
        <v>*3T19: ajustado (considera operação das lojas Onofre de agosto em diante). Pelo fato de entrarem na base como Ano 1, não afeta o crescimento das mesmas lojas.</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35"/>
      <c r="AI18" s="35"/>
      <c r="AJ18" s="25"/>
      <c r="AK18" s="25"/>
      <c r="AL18" s="25"/>
      <c r="AM18" s="25"/>
      <c r="AN18" s="25"/>
      <c r="AO18" s="25"/>
      <c r="AP18" s="25"/>
      <c r="AQ18" s="23"/>
      <c r="AR18" s="23"/>
      <c r="AS18" s="23"/>
      <c r="AT18" s="23"/>
      <c r="AU18" s="23"/>
      <c r="AV18" s="23"/>
      <c r="AW18" s="23"/>
      <c r="AX18" s="23"/>
      <c r="AY18" s="23"/>
      <c r="AZ18" s="23"/>
      <c r="BA18" s="23"/>
      <c r="BB18" s="23"/>
      <c r="BC18" s="23"/>
      <c r="BD18" s="23"/>
      <c r="BE18" s="25"/>
      <c r="BF18" s="25"/>
      <c r="BG18" s="113"/>
    </row>
    <row r="19" spans="1:59" customFormat="1">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35"/>
      <c r="AI19" s="3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113"/>
    </row>
    <row r="20" spans="1:59" customFormat="1">
      <c r="A20" s="13" t="str">
        <f>INDEX({"Market Share (Preço Consumidor)";"Market Share (Customer Price)"},Home!$R$30)</f>
        <v>Market Share (Preço Consumidor)</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13"/>
      <c r="BG20" s="111"/>
    </row>
    <row r="21" spans="1:59" customFormat="1">
      <c r="A21" s="28" t="str">
        <f>INDEX({"Brasil";"Brazil"},Home!$R$30)</f>
        <v>Brasil</v>
      </c>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v>0.19500000000000001</v>
      </c>
      <c r="BF21" s="36">
        <v>0.19600000000000001</v>
      </c>
      <c r="BG21" s="115">
        <v>0.19700000000000001</v>
      </c>
    </row>
    <row r="22" spans="1:59" customFormat="1">
      <c r="A22" s="17" t="str">
        <f>INDEX({"Ano anterior*";"Previous year*"},Home!$R$30)</f>
        <v>Ano anterior*</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v>0.17799999999999999</v>
      </c>
      <c r="BF22" s="34">
        <v>0.18099999999999999</v>
      </c>
      <c r="BG22" s="114">
        <v>0.18</v>
      </c>
    </row>
    <row r="23" spans="1:59" customFormat="1">
      <c r="A23" s="17" t="str">
        <f>INDEX({"Variação";"Variation"},Home!$R$30)</f>
        <v>Variação</v>
      </c>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f>100*(BE21-BE22)</f>
        <v>1.7000000000000015</v>
      </c>
      <c r="BF23" s="37">
        <f>100*(BF21-BF22)</f>
        <v>1.5000000000000013</v>
      </c>
      <c r="BG23" s="37">
        <f>100*(BG21-BG22)</f>
        <v>1.7000000000000015</v>
      </c>
    </row>
    <row r="24" spans="1:59" customFormat="1">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117"/>
    </row>
    <row r="25" spans="1:59" customFormat="1">
      <c r="A25" s="28" t="str">
        <f>INDEX({"São Paulo";"São Paulo"},Home!$R$30)</f>
        <v>São Paulo</v>
      </c>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v>0.34200000000000003</v>
      </c>
      <c r="BF25" s="36">
        <v>0.33800000000000002</v>
      </c>
      <c r="BG25" s="115">
        <v>0.34300000000000003</v>
      </c>
    </row>
    <row r="26" spans="1:59" customFormat="1">
      <c r="A26" s="17" t="str">
        <f>INDEX({"Ano anterior*";"Previous year*"},Home!$R$30)</f>
        <v>Ano anterior*</v>
      </c>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v>0.312</v>
      </c>
      <c r="BF26" s="34">
        <v>0.316</v>
      </c>
      <c r="BG26" s="114">
        <v>0.32</v>
      </c>
    </row>
    <row r="27" spans="1:59" customFormat="1">
      <c r="A27" s="17" t="str">
        <f>INDEX({"Variação";"Variation"},Home!$R$30)</f>
        <v>Variação</v>
      </c>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f t="shared" ref="BE27:BG27" si="8">100*(BE25-BE26)</f>
        <v>3.0000000000000027</v>
      </c>
      <c r="BF27" s="37">
        <f t="shared" si="8"/>
        <v>2.200000000000002</v>
      </c>
      <c r="BG27" s="37">
        <f t="shared" si="8"/>
        <v>2.300000000000002</v>
      </c>
    </row>
    <row r="28" spans="1:59" customForma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117"/>
    </row>
    <row r="29" spans="1:59" customFormat="1">
      <c r="A29" s="28" t="str">
        <f>INDEX({"Sudeste (ex-SP)";"Southeast (ex-SP)"},Home!$R$30)</f>
        <v>Sudeste (ex-SP)</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v>0.14399999999999999</v>
      </c>
      <c r="BF29" s="36">
        <v>0.14799999999999999</v>
      </c>
      <c r="BG29" s="115">
        <v>0.14299999999999999</v>
      </c>
    </row>
    <row r="30" spans="1:59" customFormat="1">
      <c r="A30" s="17" t="str">
        <f>INDEX({"Ano anterior*";"Previous year*"},Home!$R$30)</f>
        <v>Ano anterior*</v>
      </c>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v>0.13100000000000001</v>
      </c>
      <c r="BF30" s="34">
        <v>0.13200000000000001</v>
      </c>
      <c r="BG30" s="114">
        <v>0.129</v>
      </c>
    </row>
    <row r="31" spans="1:59" customFormat="1">
      <c r="A31" s="17" t="str">
        <f>INDEX({"Variação";"Variation"},Home!$R$30)</f>
        <v>Variação</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f t="shared" ref="BE31:BG31" si="9">100*(BE29-BE30)</f>
        <v>1.2999999999999985</v>
      </c>
      <c r="BF31" s="37">
        <f t="shared" si="9"/>
        <v>1.5999999999999988</v>
      </c>
      <c r="BG31" s="37">
        <f t="shared" si="9"/>
        <v>1.3999999999999986</v>
      </c>
    </row>
    <row r="32" spans="1:59" customForma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117"/>
    </row>
    <row r="33" spans="1:61" s="25" customFormat="1">
      <c r="A33" s="28" t="str">
        <f>INDEX({"Centro Oeste";"Midwest"},Home!$R$30)</f>
        <v>Centro Oeste</v>
      </c>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v>0.248</v>
      </c>
      <c r="BF33" s="36">
        <v>0.245</v>
      </c>
      <c r="BG33" s="115">
        <v>0.251</v>
      </c>
      <c r="BH33"/>
      <c r="BI33"/>
    </row>
    <row r="34" spans="1:61" s="25" customFormat="1">
      <c r="A34" s="17" t="str">
        <f>INDEX({"Ano anterior*";"Previous year*"},Home!$R$30)</f>
        <v>Ano anterior*</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v>0.22500000000000001</v>
      </c>
      <c r="BF34" s="34">
        <v>0.22800000000000001</v>
      </c>
      <c r="BG34" s="114">
        <v>0.22700000000000001</v>
      </c>
      <c r="BH34"/>
      <c r="BI34"/>
    </row>
    <row r="35" spans="1:61" s="25" customFormat="1">
      <c r="A35" s="17" t="str">
        <f>INDEX({"Variação";"Variation"},Home!$R$30)</f>
        <v>Variação</v>
      </c>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f t="shared" ref="BE35:BG35" si="10">100*(BE33-BE34)</f>
        <v>2.2999999999999994</v>
      </c>
      <c r="BF35" s="37">
        <f t="shared" si="10"/>
        <v>1.6999999999999988</v>
      </c>
      <c r="BG35" s="37">
        <f t="shared" si="10"/>
        <v>2.3999999999999995</v>
      </c>
      <c r="BH35"/>
      <c r="BI35"/>
    </row>
    <row r="36" spans="1:61" s="25" customForma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117"/>
      <c r="BH36"/>
      <c r="BI36"/>
    </row>
    <row r="37" spans="1:61" s="25" customFormat="1">
      <c r="A37" s="28" t="str">
        <f>INDEX({"Sul";"South"},Home!$R$30)</f>
        <v>Sul</v>
      </c>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v>0.114</v>
      </c>
      <c r="BF37" s="36">
        <v>0.114</v>
      </c>
      <c r="BG37" s="115">
        <v>0.11799999999999999</v>
      </c>
      <c r="BH37"/>
      <c r="BI37"/>
    </row>
    <row r="38" spans="1:61" s="25" customFormat="1">
      <c r="A38" s="17" t="str">
        <f>INDEX({"Ano anterior*";"Previous year*"},Home!$R$30)</f>
        <v>Ano anterior*</v>
      </c>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v>0.109</v>
      </c>
      <c r="BF38" s="34">
        <v>0.11</v>
      </c>
      <c r="BG38" s="114">
        <v>0.111</v>
      </c>
      <c r="BH38"/>
      <c r="BI38"/>
    </row>
    <row r="39" spans="1:61" s="25" customFormat="1">
      <c r="A39" s="17" t="str">
        <f>INDEX({"Variação";"Variation"},Home!$R$30)</f>
        <v>Variação</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f t="shared" ref="BE39:BG39" si="11">100*(BE37-BE38)</f>
        <v>0.50000000000000044</v>
      </c>
      <c r="BF39" s="37">
        <f t="shared" si="11"/>
        <v>0.40000000000000036</v>
      </c>
      <c r="BG39" s="37">
        <f t="shared" si="11"/>
        <v>0.69999999999999929</v>
      </c>
      <c r="BH39"/>
      <c r="BI39"/>
    </row>
    <row r="40" spans="1:61" s="25" customForma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117"/>
      <c r="BH40"/>
      <c r="BI40"/>
    </row>
    <row r="41" spans="1:61" s="25" customFormat="1">
      <c r="A41" s="28" t="str">
        <f>INDEX({"Nordeste";"Northeast"},Home!$R$30)</f>
        <v>Nordeste</v>
      </c>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v>0.14199999999999999</v>
      </c>
      <c r="BF41" s="36">
        <v>0.14599999999999999</v>
      </c>
      <c r="BG41" s="115">
        <v>0.14399999999999999</v>
      </c>
      <c r="BH41"/>
      <c r="BI41"/>
    </row>
    <row r="42" spans="1:61" s="25" customFormat="1">
      <c r="A42" s="17" t="str">
        <f>INDEX({"Ano anterior*";"Previous year*"},Home!$R$30)</f>
        <v>Ano anterior*</v>
      </c>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v>0.13200000000000001</v>
      </c>
      <c r="BF42" s="34">
        <v>0.13300000000000001</v>
      </c>
      <c r="BG42" s="114">
        <v>0.13</v>
      </c>
      <c r="BH42"/>
      <c r="BI42"/>
    </row>
    <row r="43" spans="1:61" s="25" customFormat="1">
      <c r="A43" s="17" t="str">
        <f>INDEX({"Variação";"Variation"},Home!$R$30)</f>
        <v>Variação</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f t="shared" ref="BE43:BG43" si="12">100*(BE41-BE42)</f>
        <v>0.99999999999999811</v>
      </c>
      <c r="BF43" s="37">
        <f t="shared" si="12"/>
        <v>1.2999999999999985</v>
      </c>
      <c r="BG43" s="37">
        <f t="shared" si="12"/>
        <v>1.3999999999999986</v>
      </c>
      <c r="BH43"/>
      <c r="BI43"/>
    </row>
    <row r="44" spans="1:61" s="25" customForma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117"/>
      <c r="BH44"/>
      <c r="BI44"/>
    </row>
    <row r="45" spans="1:61" s="25" customFormat="1">
      <c r="A45" s="28" t="str">
        <f>INDEX({"Norte";"North"},Home!$R$30)</f>
        <v>Norte</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v>0.123</v>
      </c>
      <c r="BF45" s="36">
        <v>0.122</v>
      </c>
      <c r="BG45" s="115">
        <v>0.126</v>
      </c>
      <c r="BH45"/>
      <c r="BI45"/>
    </row>
    <row r="46" spans="1:61" s="25" customFormat="1">
      <c r="A46" s="17" t="str">
        <f>INDEX({"Ano anterior*";"Previous year*"},Home!$R$30)</f>
        <v>Ano anterior*</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v>0.109</v>
      </c>
      <c r="BF46" s="34">
        <v>0.109</v>
      </c>
      <c r="BG46" s="114">
        <v>0.11</v>
      </c>
      <c r="BH46"/>
      <c r="BI46"/>
    </row>
    <row r="47" spans="1:61" s="25" customFormat="1">
      <c r="A47" s="17" t="str">
        <f>INDEX({"Variação";"Variation"},Home!$R$30)</f>
        <v>Variação</v>
      </c>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f t="shared" ref="BE47:BG47" si="13">100*(BE45-BE46)</f>
        <v>1.4</v>
      </c>
      <c r="BF47" s="37">
        <f t="shared" si="13"/>
        <v>1.2999999999999998</v>
      </c>
      <c r="BG47" s="37">
        <f t="shared" si="13"/>
        <v>1.6</v>
      </c>
      <c r="BH47"/>
      <c r="BI47"/>
    </row>
    <row r="48" spans="1:61" s="25" customFormat="1">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116"/>
      <c r="BH48"/>
      <c r="BI48"/>
    </row>
    <row r="49" spans="1:59" s="25" customFormat="1">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9" t="str">
        <f>INDEX({"Fonte: IQVIA. No 4T25, passou-se a utilizar a base Preço Consumidor (CPP) para mensurar market share, em substituição ao Preço Fábrica (PF). Essa leitura oferece maior precisão das dinâmicas de compra e do preço final pago pelo cliente.";"Source: IQVIA. In the 4Q25, the Customer Price (CPP) base replaced Factory Price (PF) for measuring market share. This approach offers greater accuracy in capturing purchasing dynamics and the final price paid by the customer."},Home!$R$30)</f>
        <v>Fonte: IQVIA. No 4T25, passou-se a utilizar a base Preço Consumidor (CPP) para mensurar market share, em substituição ao Preço Fábrica (PF). Essa leitura oferece maior precisão das dinâmicas de compra e do preço final pago pelo cliente.</v>
      </c>
      <c r="BF49" s="39"/>
      <c r="BG49" s="39"/>
    </row>
    <row r="50" spans="1:59" s="25" customFormat="1">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9" t="str">
        <f>INDEX({"*Dados atuais. A base da IQVIA sofre alterações retroativas com a inclusão/remoção de parceiros informantes e SKUs acompanhados, dados para o ano anterior podem ser diferentes em comparação com consultas realizadas no passado.";"*Current data. As IQVIA's database changes retroactively with the inclusion and removal of informing partners and covered SKUs, data for the previous year may be different from the measurement made in the past."},Home!$R$30)</f>
        <v>*Dados atuais. A base da IQVIA sofre alterações retroativas com a inclusão/remoção de parceiros informantes e SKUs acompanhados, dados para o ano anterior podem ser diferentes em comparação com consultas realizadas no passado.</v>
      </c>
      <c r="BF50" s="39"/>
      <c r="BG50" s="39"/>
    </row>
    <row r="51" spans="1:59" s="25" customFormat="1">
      <c r="AH51" s="35"/>
      <c r="AI51" s="35"/>
    </row>
    <row r="52" spans="1:59">
      <c r="A52" s="40" t="str">
        <f>INDEX({"Market Share (Preço Fábrica, metodologia anterior)";"Market Share (Factory prices, previous methodology)"},Home!$R$30)</f>
        <v>Market Share (Preço Fábrica, metodologia anterior)</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2"/>
      <c r="AI52" s="42"/>
      <c r="AJ52" s="41"/>
      <c r="AK52" s="41"/>
      <c r="AL52" s="41"/>
      <c r="AM52" s="41"/>
      <c r="AN52" s="41"/>
      <c r="AO52" s="41"/>
      <c r="AP52" s="41"/>
      <c r="AQ52" s="40"/>
      <c r="AR52" s="40"/>
      <c r="AS52" s="40"/>
      <c r="AT52" s="40"/>
      <c r="AU52" s="40"/>
      <c r="AV52" s="40"/>
      <c r="AW52" s="40"/>
      <c r="AX52" s="40"/>
      <c r="AY52" s="40"/>
      <c r="AZ52" s="40"/>
      <c r="BA52" s="40"/>
      <c r="BB52" s="40"/>
      <c r="BC52" s="40"/>
      <c r="BD52" s="40"/>
      <c r="BE52" s="40"/>
      <c r="BF52" s="40"/>
      <c r="BG52" s="40"/>
    </row>
    <row r="53" spans="1:59" s="25" customFormat="1">
      <c r="A53" s="43" t="str">
        <f>INDEX({"Brasil";"Brazil"},Home!$R$30)</f>
        <v>Brasil</v>
      </c>
      <c r="B53" s="44"/>
      <c r="C53" s="44"/>
      <c r="D53" s="44"/>
      <c r="E53" s="44"/>
      <c r="F53" s="44"/>
      <c r="G53" s="44"/>
      <c r="H53" s="44"/>
      <c r="I53" s="44"/>
      <c r="J53" s="44"/>
      <c r="K53" s="44"/>
      <c r="L53" s="44"/>
      <c r="M53" s="44"/>
      <c r="N53" s="44"/>
      <c r="O53" s="44"/>
      <c r="P53" s="44"/>
      <c r="Q53" s="44"/>
      <c r="R53" s="44"/>
      <c r="S53" s="44"/>
      <c r="T53" s="44"/>
      <c r="U53" s="44"/>
      <c r="V53" s="44"/>
      <c r="W53" s="44">
        <v>0.114</v>
      </c>
      <c r="X53" s="44">
        <v>0.114</v>
      </c>
      <c r="Y53" s="44">
        <v>0.11700000000000001</v>
      </c>
      <c r="Z53" s="44">
        <v>0.11600000000000001</v>
      </c>
      <c r="AA53" s="44">
        <v>0.114</v>
      </c>
      <c r="AB53" s="44">
        <v>0.11600000000000001</v>
      </c>
      <c r="AC53" s="44">
        <v>0.124</v>
      </c>
      <c r="AD53" s="44">
        <v>0.127</v>
      </c>
      <c r="AE53" s="44">
        <v>0.13</v>
      </c>
      <c r="AF53" s="44">
        <v>0.13300000000000001</v>
      </c>
      <c r="AG53" s="44">
        <v>0.13700000000000001</v>
      </c>
      <c r="AH53" s="44">
        <v>0.13800000000000001</v>
      </c>
      <c r="AI53" s="44">
        <v>0.13</v>
      </c>
      <c r="AJ53" s="44">
        <v>0.13200000000000001</v>
      </c>
      <c r="AK53" s="44">
        <v>0.14699999999999999</v>
      </c>
      <c r="AL53" s="44">
        <v>0.14099999999999999</v>
      </c>
      <c r="AM53" s="44">
        <v>0.14099999999999999</v>
      </c>
      <c r="AN53" s="44">
        <v>0.14299999999999999</v>
      </c>
      <c r="AO53" s="44">
        <v>0.14199999999999999</v>
      </c>
      <c r="AP53" s="44">
        <v>0.14000000000000001</v>
      </c>
      <c r="AQ53" s="44">
        <v>0.14399999999999999</v>
      </c>
      <c r="AR53" s="44">
        <v>0.15</v>
      </c>
      <c r="AS53" s="44">
        <v>0.151</v>
      </c>
      <c r="AT53" s="44">
        <v>0.153</v>
      </c>
      <c r="AU53" s="44">
        <v>0.151</v>
      </c>
      <c r="AV53" s="44">
        <v>0.156</v>
      </c>
      <c r="AW53" s="44">
        <v>0.161</v>
      </c>
      <c r="AX53" s="44">
        <v>0.16200000000000001</v>
      </c>
      <c r="AY53" s="44">
        <v>0.157</v>
      </c>
      <c r="AZ53" s="44">
        <v>0.16</v>
      </c>
      <c r="BA53" s="44">
        <v>0.16500000000000001</v>
      </c>
      <c r="BB53" s="44">
        <v>0.16600000000000001</v>
      </c>
      <c r="BC53" s="44">
        <v>0.16400000000000001</v>
      </c>
      <c r="BD53" s="44">
        <v>0.16800000000000001</v>
      </c>
      <c r="BE53" s="44">
        <v>0.18</v>
      </c>
      <c r="BF53" s="44"/>
      <c r="BG53" s="44"/>
    </row>
    <row r="54" spans="1:59" s="25" customFormat="1">
      <c r="A54" s="45" t="str">
        <f>INDEX({"Ano anterior";"Previous year"},Home!$R$30)</f>
        <v>Ano anterior</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v>0.14099999999999999</v>
      </c>
      <c r="AM54" s="46">
        <v>0.13200000000000001</v>
      </c>
      <c r="AN54" s="46">
        <v>0.13400000000000001</v>
      </c>
      <c r="AO54" s="46">
        <v>0.13900000000000001</v>
      </c>
      <c r="AP54" s="46">
        <v>0.13900000000000001</v>
      </c>
      <c r="AQ54" s="46">
        <v>0.14000000000000001</v>
      </c>
      <c r="AR54" s="46">
        <v>0.14299999999999999</v>
      </c>
      <c r="AS54" s="46">
        <v>0.14099999999999999</v>
      </c>
      <c r="AT54" s="46">
        <v>0.14000000000000001</v>
      </c>
      <c r="AU54" s="46">
        <v>0.14399999999999999</v>
      </c>
      <c r="AV54" s="46">
        <v>0.14899999999999999</v>
      </c>
      <c r="AW54" s="46">
        <v>0.152</v>
      </c>
      <c r="AX54" s="46">
        <v>0.153</v>
      </c>
      <c r="AY54" s="46">
        <v>0.152</v>
      </c>
      <c r="AZ54" s="46">
        <v>0.157</v>
      </c>
      <c r="BA54" s="46">
        <v>0.16200000000000001</v>
      </c>
      <c r="BB54" s="46">
        <v>0.16200000000000001</v>
      </c>
      <c r="BC54" s="46">
        <v>0.157</v>
      </c>
      <c r="BD54" s="46">
        <v>0.16</v>
      </c>
      <c r="BE54" s="46">
        <v>0.16200000000000001</v>
      </c>
      <c r="BF54" s="46"/>
      <c r="BG54" s="46"/>
    </row>
    <row r="55" spans="1:59" s="25" customFormat="1">
      <c r="A55" s="45" t="str">
        <f>INDEX({"Variação";"Variation"},Home!$R$30)</f>
        <v>Variação</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f t="shared" ref="AL55:BA55" si="14">100*(AL53-AL54)</f>
        <v>0</v>
      </c>
      <c r="AM55" s="47">
        <f t="shared" si="14"/>
        <v>0.89999999999999802</v>
      </c>
      <c r="AN55" s="47">
        <f t="shared" si="14"/>
        <v>0.89999999999999802</v>
      </c>
      <c r="AO55" s="47">
        <f t="shared" si="14"/>
        <v>0.29999999999999749</v>
      </c>
      <c r="AP55" s="47">
        <f t="shared" si="14"/>
        <v>0.10000000000000009</v>
      </c>
      <c r="AQ55" s="47">
        <f t="shared" si="14"/>
        <v>0.39999999999999758</v>
      </c>
      <c r="AR55" s="47">
        <f t="shared" si="14"/>
        <v>0.70000000000000062</v>
      </c>
      <c r="AS55" s="47">
        <f t="shared" si="14"/>
        <v>1.0000000000000009</v>
      </c>
      <c r="AT55" s="47">
        <f t="shared" si="14"/>
        <v>1.2999999999999985</v>
      </c>
      <c r="AU55" s="47">
        <f t="shared" si="14"/>
        <v>0.70000000000000062</v>
      </c>
      <c r="AV55" s="47">
        <f t="shared" si="14"/>
        <v>0.70000000000000062</v>
      </c>
      <c r="AW55" s="47">
        <f t="shared" si="14"/>
        <v>0.9000000000000008</v>
      </c>
      <c r="AX55" s="47">
        <f t="shared" si="14"/>
        <v>0.9000000000000008</v>
      </c>
      <c r="AY55" s="47">
        <f t="shared" si="14"/>
        <v>0.50000000000000044</v>
      </c>
      <c r="AZ55" s="47">
        <f t="shared" si="14"/>
        <v>0.30000000000000027</v>
      </c>
      <c r="BA55" s="47">
        <f t="shared" si="14"/>
        <v>0.30000000000000027</v>
      </c>
      <c r="BB55" s="47">
        <f>100*(BB53-BB54)</f>
        <v>0.40000000000000036</v>
      </c>
      <c r="BC55" s="47">
        <f>100*(BC53-BC54)</f>
        <v>0.70000000000000062</v>
      </c>
      <c r="BD55" s="47">
        <f>100*(BD53-BD54)</f>
        <v>0.80000000000000071</v>
      </c>
      <c r="BE55" s="47">
        <f>100*(BE53-BE54)</f>
        <v>1.7999999999999989</v>
      </c>
      <c r="BF55" s="47"/>
      <c r="BG55" s="47"/>
    </row>
    <row r="56" spans="1:59" s="25" customForma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row>
    <row r="57" spans="1:59" s="25" customFormat="1">
      <c r="A57" s="43" t="str">
        <f>INDEX({"São Paulo";"São Paulo"},Home!$R$30)</f>
        <v>São Paulo</v>
      </c>
      <c r="B57" s="44"/>
      <c r="C57" s="44"/>
      <c r="D57" s="44"/>
      <c r="E57" s="44"/>
      <c r="F57" s="44"/>
      <c r="G57" s="44"/>
      <c r="H57" s="44"/>
      <c r="I57" s="44"/>
      <c r="J57" s="44"/>
      <c r="K57" s="44"/>
      <c r="L57" s="44"/>
      <c r="M57" s="44"/>
      <c r="N57" s="44"/>
      <c r="O57" s="44"/>
      <c r="P57" s="44"/>
      <c r="Q57" s="44"/>
      <c r="R57" s="44"/>
      <c r="S57" s="44"/>
      <c r="T57" s="44"/>
      <c r="U57" s="44"/>
      <c r="V57" s="44"/>
      <c r="W57" s="44">
        <v>0.23699999999999999</v>
      </c>
      <c r="X57" s="44">
        <v>0.23499999999999999</v>
      </c>
      <c r="Y57" s="44">
        <v>0.23699999999999999</v>
      </c>
      <c r="Z57" s="44">
        <v>0.23400000000000001</v>
      </c>
      <c r="AA57" s="44">
        <v>0.22700000000000001</v>
      </c>
      <c r="AB57" s="44">
        <v>0.23200000000000001</v>
      </c>
      <c r="AC57" s="44">
        <v>0.23899999999999999</v>
      </c>
      <c r="AD57" s="44">
        <v>0.24399999999999999</v>
      </c>
      <c r="AE57" s="44">
        <v>0.247</v>
      </c>
      <c r="AF57" s="44">
        <v>0.25700000000000001</v>
      </c>
      <c r="AG57" s="44">
        <v>0.26300000000000001</v>
      </c>
      <c r="AH57" s="44">
        <v>0.26</v>
      </c>
      <c r="AI57" s="44">
        <v>0.255</v>
      </c>
      <c r="AJ57" s="44">
        <v>0.251</v>
      </c>
      <c r="AK57" s="44">
        <v>0.27100000000000002</v>
      </c>
      <c r="AL57" s="44">
        <v>0.25700000000000001</v>
      </c>
      <c r="AM57" s="44">
        <v>0.25900000000000001</v>
      </c>
      <c r="AN57" s="44">
        <v>0.26</v>
      </c>
      <c r="AO57" s="44">
        <v>0.25700000000000001</v>
      </c>
      <c r="AP57" s="44">
        <v>0.253</v>
      </c>
      <c r="AQ57" s="44">
        <v>0.25900000000000001</v>
      </c>
      <c r="AR57" s="44">
        <v>0.27061031188742102</v>
      </c>
      <c r="AS57" s="44">
        <v>0.27</v>
      </c>
      <c r="AT57" s="44">
        <v>0.26900000000000002</v>
      </c>
      <c r="AU57" s="44">
        <v>0.26800000000000002</v>
      </c>
      <c r="AV57" s="44">
        <v>0.27400000000000002</v>
      </c>
      <c r="AW57" s="44">
        <v>0.28000000000000003</v>
      </c>
      <c r="AX57" s="44">
        <v>0.28199999999999997</v>
      </c>
      <c r="AY57" s="44">
        <v>0.27800000000000002</v>
      </c>
      <c r="AZ57" s="44">
        <v>0.28000000000000003</v>
      </c>
      <c r="BA57" s="44">
        <v>0.29199999999999998</v>
      </c>
      <c r="BB57" s="44">
        <v>0.29799999999999999</v>
      </c>
      <c r="BC57" s="44">
        <v>0.29799999999999999</v>
      </c>
      <c r="BD57" s="44">
        <v>0.30299999999999999</v>
      </c>
      <c r="BE57" s="44">
        <v>0.32100000000000001</v>
      </c>
      <c r="BF57" s="44"/>
      <c r="BG57" s="44"/>
    </row>
    <row r="58" spans="1:59" s="25" customFormat="1">
      <c r="A58" s="45" t="str">
        <f>INDEX({"Ano anterior";"Previous year"},Home!$R$30)</f>
        <v>Ano anterior</v>
      </c>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v>0.26700000000000002</v>
      </c>
      <c r="AM58" s="46">
        <v>0.255</v>
      </c>
      <c r="AN58" s="46">
        <v>0.251</v>
      </c>
      <c r="AO58" s="46">
        <v>0.25700000000000001</v>
      </c>
      <c r="AP58" s="46">
        <v>0.254</v>
      </c>
      <c r="AQ58" s="46">
        <v>0.25800000000000001</v>
      </c>
      <c r="AR58" s="46">
        <v>0.2593296355235627</v>
      </c>
      <c r="AS58" s="46">
        <v>0.25600000000000001</v>
      </c>
      <c r="AT58" s="46">
        <v>0.252</v>
      </c>
      <c r="AU58" s="46">
        <v>0.25900000000000001</v>
      </c>
      <c r="AV58" s="46">
        <v>0.26800000000000002</v>
      </c>
      <c r="AW58" s="46">
        <v>0.26900000000000002</v>
      </c>
      <c r="AX58" s="46">
        <v>0.26900000000000002</v>
      </c>
      <c r="AY58" s="46">
        <v>0.27</v>
      </c>
      <c r="AZ58" s="46">
        <v>0.27400000000000002</v>
      </c>
      <c r="BA58" s="46">
        <v>0.28550999999999999</v>
      </c>
      <c r="BB58" s="46">
        <v>0.28899999999999998</v>
      </c>
      <c r="BC58" s="46">
        <v>0.28199999999999997</v>
      </c>
      <c r="BD58" s="46">
        <v>0.28399999999999997</v>
      </c>
      <c r="BE58" s="46">
        <v>0.29099999999999998</v>
      </c>
      <c r="BF58" s="46"/>
      <c r="BG58" s="46"/>
    </row>
    <row r="59" spans="1:59" s="25" customFormat="1">
      <c r="A59" s="45" t="str">
        <f>INDEX({"Variação";"Variation"},Home!$R$30)</f>
        <v>Variação</v>
      </c>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f t="shared" ref="AL59:BD59" si="15">100*(AL57-AL58)</f>
        <v>-1.0000000000000009</v>
      </c>
      <c r="AM59" s="47">
        <f t="shared" si="15"/>
        <v>0.40000000000000036</v>
      </c>
      <c r="AN59" s="47">
        <f t="shared" si="15"/>
        <v>0.9000000000000008</v>
      </c>
      <c r="AO59" s="47">
        <f t="shared" si="15"/>
        <v>0</v>
      </c>
      <c r="AP59" s="47">
        <f t="shared" si="15"/>
        <v>-0.10000000000000009</v>
      </c>
      <c r="AQ59" s="47">
        <f t="shared" si="15"/>
        <v>0.10000000000000009</v>
      </c>
      <c r="AR59" s="47">
        <f t="shared" si="15"/>
        <v>1.1280676363858322</v>
      </c>
      <c r="AS59" s="47">
        <f t="shared" si="15"/>
        <v>1.4000000000000012</v>
      </c>
      <c r="AT59" s="47">
        <f t="shared" si="15"/>
        <v>1.7000000000000015</v>
      </c>
      <c r="AU59" s="47">
        <f t="shared" si="15"/>
        <v>0.9000000000000008</v>
      </c>
      <c r="AV59" s="47">
        <f t="shared" si="15"/>
        <v>0.60000000000000053</v>
      </c>
      <c r="AW59" s="47">
        <f t="shared" si="15"/>
        <v>1.100000000000001</v>
      </c>
      <c r="AX59" s="47">
        <f t="shared" si="15"/>
        <v>1.2999999999999956</v>
      </c>
      <c r="AY59" s="47">
        <f t="shared" si="15"/>
        <v>0.80000000000000071</v>
      </c>
      <c r="AZ59" s="47">
        <f t="shared" si="15"/>
        <v>0.60000000000000053</v>
      </c>
      <c r="BA59" s="47">
        <f t="shared" si="15"/>
        <v>0.64899999999999958</v>
      </c>
      <c r="BB59" s="47">
        <f t="shared" si="15"/>
        <v>0.9000000000000008</v>
      </c>
      <c r="BC59" s="47">
        <f t="shared" si="15"/>
        <v>1.6000000000000014</v>
      </c>
      <c r="BD59" s="47">
        <f t="shared" si="15"/>
        <v>1.9000000000000017</v>
      </c>
      <c r="BE59" s="47">
        <f t="shared" ref="BE59" si="16">100*(BE57-BE58)</f>
        <v>3.0000000000000027</v>
      </c>
      <c r="BF59" s="47"/>
      <c r="BG59" s="47"/>
    </row>
    <row r="60" spans="1:59" s="25" customForma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row>
    <row r="61" spans="1:59" s="25" customFormat="1">
      <c r="A61" s="43" t="str">
        <f>INDEX({"Sudeste (ex-SP)";"Southeast (ex-SP)"},Home!$R$30)</f>
        <v>Sudeste (ex-SP)</v>
      </c>
      <c r="B61" s="44"/>
      <c r="C61" s="44"/>
      <c r="D61" s="44"/>
      <c r="E61" s="44"/>
      <c r="F61" s="44"/>
      <c r="G61" s="44"/>
      <c r="H61" s="44"/>
      <c r="I61" s="44"/>
      <c r="J61" s="44"/>
      <c r="K61" s="44"/>
      <c r="L61" s="44"/>
      <c r="M61" s="44"/>
      <c r="N61" s="44"/>
      <c r="O61" s="44"/>
      <c r="P61" s="44"/>
      <c r="Q61" s="44"/>
      <c r="R61" s="44"/>
      <c r="S61" s="44"/>
      <c r="T61" s="44"/>
      <c r="U61" s="44"/>
      <c r="V61" s="44"/>
      <c r="W61" s="44">
        <v>7.8E-2</v>
      </c>
      <c r="X61" s="44">
        <v>7.8E-2</v>
      </c>
      <c r="Y61" s="44">
        <v>8.1000000000000003E-2</v>
      </c>
      <c r="Z61" s="44">
        <v>8.3000000000000004E-2</v>
      </c>
      <c r="AA61" s="44">
        <v>8.1000000000000003E-2</v>
      </c>
      <c r="AB61" s="44">
        <v>8.3000000000000004E-2</v>
      </c>
      <c r="AC61" s="44">
        <v>8.7999999999999995E-2</v>
      </c>
      <c r="AD61" s="44">
        <v>0.09</v>
      </c>
      <c r="AE61" s="44">
        <v>8.8999999999999996E-2</v>
      </c>
      <c r="AF61" s="44">
        <v>9.1999999999999998E-2</v>
      </c>
      <c r="AG61" s="44">
        <v>9.4E-2</v>
      </c>
      <c r="AH61" s="44">
        <v>9.5000000000000001E-2</v>
      </c>
      <c r="AI61" s="44">
        <v>9.0999999999999998E-2</v>
      </c>
      <c r="AJ61" s="44">
        <v>9.2999999999999999E-2</v>
      </c>
      <c r="AK61" s="44">
        <v>9.9000000000000005E-2</v>
      </c>
      <c r="AL61" s="44">
        <v>9.9000000000000005E-2</v>
      </c>
      <c r="AM61" s="44">
        <v>9.7000000000000003E-2</v>
      </c>
      <c r="AN61" s="44">
        <v>0.1</v>
      </c>
      <c r="AO61" s="44">
        <v>0.1</v>
      </c>
      <c r="AP61" s="44">
        <v>0.10100000000000001</v>
      </c>
      <c r="AQ61" s="44">
        <v>0.10100000000000001</v>
      </c>
      <c r="AR61" s="44">
        <v>0.10770187994648092</v>
      </c>
      <c r="AS61" s="44">
        <v>0.10829999999999999</v>
      </c>
      <c r="AT61" s="44">
        <v>0.108</v>
      </c>
      <c r="AU61" s="44">
        <v>0.105</v>
      </c>
      <c r="AV61" s="44">
        <v>0.11</v>
      </c>
      <c r="AW61" s="44">
        <v>0.115</v>
      </c>
      <c r="AX61" s="44">
        <v>0.11700000000000001</v>
      </c>
      <c r="AY61" s="44">
        <v>0.112</v>
      </c>
      <c r="AZ61" s="44">
        <v>0.11700000000000001</v>
      </c>
      <c r="BA61" s="44">
        <v>0.121</v>
      </c>
      <c r="BB61" s="44">
        <v>0.121</v>
      </c>
      <c r="BC61" s="44">
        <v>0.11700000000000001</v>
      </c>
      <c r="BD61" s="44">
        <v>0.122</v>
      </c>
      <c r="BE61" s="44">
        <v>0.13900000000000001</v>
      </c>
      <c r="BF61" s="44"/>
      <c r="BG61" s="44"/>
    </row>
    <row r="62" spans="1:59" s="25" customFormat="1">
      <c r="A62" s="45" t="str">
        <f>INDEX({"Ano anterior";"Previous year"},Home!$R$30)</f>
        <v>Ano anterior</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v>9.5000000000000001E-2</v>
      </c>
      <c r="AM62" s="46">
        <v>9.0999999999999998E-2</v>
      </c>
      <c r="AN62" s="46">
        <v>9.2999999999999999E-2</v>
      </c>
      <c r="AO62" s="46">
        <v>9.6000000000000002E-2</v>
      </c>
      <c r="AP62" s="46">
        <v>9.8000000000000004E-2</v>
      </c>
      <c r="AQ62" s="46">
        <v>9.6000000000000002E-2</v>
      </c>
      <c r="AR62" s="46">
        <v>9.9368015668189633E-2</v>
      </c>
      <c r="AS62" s="46">
        <v>9.8799999999999999E-2</v>
      </c>
      <c r="AT62" s="46">
        <v>0.10100000000000001</v>
      </c>
      <c r="AU62" s="46">
        <v>0.10100000000000001</v>
      </c>
      <c r="AV62" s="46">
        <v>0.108</v>
      </c>
      <c r="AW62" s="46">
        <v>0.108</v>
      </c>
      <c r="AX62" s="46">
        <v>0.108</v>
      </c>
      <c r="AY62" s="46">
        <v>0.105</v>
      </c>
      <c r="AZ62" s="46">
        <v>0.11</v>
      </c>
      <c r="BA62" s="46">
        <v>0.114</v>
      </c>
      <c r="BB62" s="46">
        <v>0.11600000000000001</v>
      </c>
      <c r="BC62" s="46">
        <v>0.111</v>
      </c>
      <c r="BD62" s="46">
        <v>0.115</v>
      </c>
      <c r="BE62" s="46">
        <v>0.11799999999999999</v>
      </c>
      <c r="BF62" s="46"/>
      <c r="BG62" s="46"/>
    </row>
    <row r="63" spans="1:59" s="25" customFormat="1">
      <c r="A63" s="45" t="str">
        <f>INDEX({"Variação";"Variation"},Home!$R$30)</f>
        <v>Variação</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f t="shared" ref="AL63:BD63" si="17">100*(AL61-AL62)</f>
        <v>0.40000000000000036</v>
      </c>
      <c r="AM63" s="47">
        <f t="shared" si="17"/>
        <v>0.60000000000000053</v>
      </c>
      <c r="AN63" s="47">
        <f t="shared" si="17"/>
        <v>0.70000000000000062</v>
      </c>
      <c r="AO63" s="47">
        <f t="shared" si="17"/>
        <v>0.40000000000000036</v>
      </c>
      <c r="AP63" s="47">
        <f t="shared" si="17"/>
        <v>0.30000000000000027</v>
      </c>
      <c r="AQ63" s="47">
        <f t="shared" si="17"/>
        <v>0.50000000000000044</v>
      </c>
      <c r="AR63" s="47">
        <f t="shared" si="17"/>
        <v>0.83338642782912897</v>
      </c>
      <c r="AS63" s="47">
        <f t="shared" si="17"/>
        <v>0.94999999999999951</v>
      </c>
      <c r="AT63" s="47">
        <f t="shared" si="17"/>
        <v>0.69999999999999929</v>
      </c>
      <c r="AU63" s="47">
        <f t="shared" si="17"/>
        <v>0.39999999999999897</v>
      </c>
      <c r="AV63" s="47">
        <f t="shared" si="17"/>
        <v>0.20000000000000018</v>
      </c>
      <c r="AW63" s="47">
        <f t="shared" si="17"/>
        <v>0.70000000000000062</v>
      </c>
      <c r="AX63" s="47">
        <f t="shared" si="17"/>
        <v>0.9000000000000008</v>
      </c>
      <c r="AY63" s="47">
        <f t="shared" si="17"/>
        <v>0.70000000000000062</v>
      </c>
      <c r="AZ63" s="47">
        <f t="shared" si="17"/>
        <v>0.70000000000000062</v>
      </c>
      <c r="BA63" s="47">
        <f t="shared" si="17"/>
        <v>0.69999999999999929</v>
      </c>
      <c r="BB63" s="47">
        <f t="shared" si="17"/>
        <v>0.49999999999999906</v>
      </c>
      <c r="BC63" s="47">
        <f t="shared" si="17"/>
        <v>0.60000000000000053</v>
      </c>
      <c r="BD63" s="47">
        <f t="shared" si="17"/>
        <v>0.69999999999999929</v>
      </c>
      <c r="BE63" s="47">
        <f t="shared" ref="BE63" si="18">100*(BE61-BE62)</f>
        <v>2.1000000000000019</v>
      </c>
      <c r="BF63" s="47"/>
      <c r="BG63" s="47"/>
    </row>
    <row r="64" spans="1:59" s="25" customForma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row>
    <row r="65" spans="1:59" s="25" customFormat="1">
      <c r="A65" s="43" t="str">
        <f>INDEX({"Centro Oeste";"Midwest"},Home!$R$30)</f>
        <v>Centro Oeste</v>
      </c>
      <c r="B65" s="44"/>
      <c r="C65" s="44"/>
      <c r="D65" s="44"/>
      <c r="E65" s="44"/>
      <c r="F65" s="44"/>
      <c r="G65" s="44"/>
      <c r="H65" s="44"/>
      <c r="I65" s="44"/>
      <c r="J65" s="44"/>
      <c r="K65" s="44"/>
      <c r="L65" s="44"/>
      <c r="M65" s="44"/>
      <c r="N65" s="44"/>
      <c r="O65" s="44"/>
      <c r="P65" s="44"/>
      <c r="Q65" s="44"/>
      <c r="R65" s="44"/>
      <c r="S65" s="44"/>
      <c r="T65" s="44"/>
      <c r="U65" s="44"/>
      <c r="V65" s="44"/>
      <c r="W65" s="44">
        <v>0.13700000000000001</v>
      </c>
      <c r="X65" s="44">
        <v>0.14000000000000001</v>
      </c>
      <c r="Y65" s="44">
        <v>0.14000000000000001</v>
      </c>
      <c r="Z65" s="44">
        <v>0.13800000000000001</v>
      </c>
      <c r="AA65" s="44">
        <v>0.13500000000000001</v>
      </c>
      <c r="AB65" s="44">
        <v>0.13500000000000001</v>
      </c>
      <c r="AC65" s="44">
        <v>0.152</v>
      </c>
      <c r="AD65" s="44">
        <v>0.155</v>
      </c>
      <c r="AE65" s="44">
        <v>0.14799999999999999</v>
      </c>
      <c r="AF65" s="44">
        <v>0.154</v>
      </c>
      <c r="AG65" s="44">
        <v>0.159</v>
      </c>
      <c r="AH65" s="44">
        <v>0.155</v>
      </c>
      <c r="AI65" s="44">
        <v>0.14299999999999999</v>
      </c>
      <c r="AJ65" s="44">
        <v>0.13200000000000001</v>
      </c>
      <c r="AK65" s="44">
        <v>0.17599999999999999</v>
      </c>
      <c r="AL65" s="44">
        <v>0.16500000000000001</v>
      </c>
      <c r="AM65" s="44">
        <v>0.16900000000000001</v>
      </c>
      <c r="AN65" s="44">
        <v>0.17299999999999999</v>
      </c>
      <c r="AO65" s="44">
        <v>0.17100000000000001</v>
      </c>
      <c r="AP65" s="44">
        <v>0.16600000000000001</v>
      </c>
      <c r="AQ65" s="44">
        <v>0.17699999999999999</v>
      </c>
      <c r="AR65" s="44">
        <v>0.183</v>
      </c>
      <c r="AS65" s="44">
        <v>0.18740000000000001</v>
      </c>
      <c r="AT65" s="44">
        <v>0.186</v>
      </c>
      <c r="AU65" s="44">
        <v>0.184</v>
      </c>
      <c r="AV65" s="44">
        <v>0.193</v>
      </c>
      <c r="AW65" s="44">
        <v>0.2</v>
      </c>
      <c r="AX65" s="44">
        <v>0.19900000000000001</v>
      </c>
      <c r="AY65" s="44">
        <v>0.189</v>
      </c>
      <c r="AZ65" s="44">
        <v>0.19</v>
      </c>
      <c r="BA65" s="44">
        <v>0.19839999999999999</v>
      </c>
      <c r="BB65" s="44">
        <v>0.20100000000000001</v>
      </c>
      <c r="BC65" s="44">
        <v>0.20100000000000001</v>
      </c>
      <c r="BD65" s="44">
        <v>0.20300000000000001</v>
      </c>
      <c r="BE65" s="44">
        <v>0.221</v>
      </c>
      <c r="BF65" s="44"/>
      <c r="BG65" s="44"/>
    </row>
    <row r="66" spans="1:59" s="25" customFormat="1">
      <c r="A66" s="45" t="str">
        <f>INDEX({"Ano anterior";"Previous year"},Home!$R$30)</f>
        <v>Ano anterior</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v>0.17100000000000001</v>
      </c>
      <c r="AM66" s="46">
        <v>0.159</v>
      </c>
      <c r="AN66" s="46">
        <v>0.156</v>
      </c>
      <c r="AO66" s="46">
        <v>0.17</v>
      </c>
      <c r="AP66" s="46">
        <v>0.16300000000000001</v>
      </c>
      <c r="AQ66" s="46">
        <v>0.16800000000000001</v>
      </c>
      <c r="AR66" s="46">
        <v>0.17299999999999999</v>
      </c>
      <c r="AS66" s="46">
        <v>0.1699</v>
      </c>
      <c r="AT66" s="46">
        <v>0.16600000000000001</v>
      </c>
      <c r="AU66" s="46">
        <v>0.17599999999999999</v>
      </c>
      <c r="AV66" s="46">
        <v>0.182</v>
      </c>
      <c r="AW66" s="46">
        <v>0.188</v>
      </c>
      <c r="AX66" s="46">
        <v>0.186</v>
      </c>
      <c r="AY66" s="46">
        <v>0.185</v>
      </c>
      <c r="AZ66" s="46">
        <v>0.193</v>
      </c>
      <c r="BA66" s="46">
        <v>0.20399999999999999</v>
      </c>
      <c r="BB66" s="46">
        <v>0.19900000000000001</v>
      </c>
      <c r="BC66" s="46">
        <v>0.193</v>
      </c>
      <c r="BD66" s="46">
        <v>0.193</v>
      </c>
      <c r="BE66" s="46">
        <v>0.19400000000000001</v>
      </c>
      <c r="BF66" s="46"/>
      <c r="BG66" s="46"/>
    </row>
    <row r="67" spans="1:59" s="25" customFormat="1">
      <c r="A67" s="45" t="str">
        <f>INDEX({"Variação";"Variation"},Home!$R$30)</f>
        <v>Variação</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f t="shared" ref="AL67:BD67" si="19">100*(AL65-AL66)</f>
        <v>-0.60000000000000053</v>
      </c>
      <c r="AM67" s="47">
        <f t="shared" si="19"/>
        <v>1.0000000000000009</v>
      </c>
      <c r="AN67" s="47">
        <f t="shared" si="19"/>
        <v>1.6999999999999988</v>
      </c>
      <c r="AO67" s="47">
        <f t="shared" si="19"/>
        <v>0.10000000000000009</v>
      </c>
      <c r="AP67" s="47">
        <f t="shared" si="19"/>
        <v>0.30000000000000027</v>
      </c>
      <c r="AQ67" s="47">
        <f t="shared" si="19"/>
        <v>0.89999999999999802</v>
      </c>
      <c r="AR67" s="47">
        <f t="shared" si="19"/>
        <v>1.0000000000000009</v>
      </c>
      <c r="AS67" s="47">
        <f t="shared" si="19"/>
        <v>1.7500000000000016</v>
      </c>
      <c r="AT67" s="47">
        <f t="shared" si="19"/>
        <v>1.9999999999999991</v>
      </c>
      <c r="AU67" s="47">
        <f t="shared" si="19"/>
        <v>0.80000000000000071</v>
      </c>
      <c r="AV67" s="47">
        <f t="shared" si="19"/>
        <v>1.100000000000001</v>
      </c>
      <c r="AW67" s="47">
        <f t="shared" si="19"/>
        <v>1.2000000000000011</v>
      </c>
      <c r="AX67" s="47">
        <f t="shared" si="19"/>
        <v>1.3000000000000012</v>
      </c>
      <c r="AY67" s="47">
        <f t="shared" si="19"/>
        <v>0.40000000000000036</v>
      </c>
      <c r="AZ67" s="47">
        <f t="shared" si="19"/>
        <v>-0.30000000000000027</v>
      </c>
      <c r="BA67" s="47">
        <f t="shared" si="19"/>
        <v>-0.55999999999999939</v>
      </c>
      <c r="BB67" s="47">
        <f t="shared" si="19"/>
        <v>0.20000000000000018</v>
      </c>
      <c r="BC67" s="47">
        <f t="shared" si="19"/>
        <v>0.80000000000000071</v>
      </c>
      <c r="BD67" s="47">
        <f t="shared" si="19"/>
        <v>1.0000000000000009</v>
      </c>
      <c r="BE67" s="47">
        <f t="shared" ref="BE67" si="20">100*(BE65-BE66)</f>
        <v>2.6999999999999997</v>
      </c>
      <c r="BF67" s="47"/>
      <c r="BG67" s="47"/>
    </row>
    <row r="68" spans="1:59" s="25" customForma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row>
    <row r="69" spans="1:59" s="25" customFormat="1">
      <c r="A69" s="43" t="str">
        <f>INDEX({"Sul";"South"},Home!$R$30)</f>
        <v>Sul</v>
      </c>
      <c r="B69" s="44"/>
      <c r="C69" s="44"/>
      <c r="D69" s="44"/>
      <c r="E69" s="44"/>
      <c r="F69" s="44"/>
      <c r="G69" s="44"/>
      <c r="H69" s="44"/>
      <c r="I69" s="44"/>
      <c r="J69" s="44"/>
      <c r="K69" s="44"/>
      <c r="L69" s="44"/>
      <c r="M69" s="44"/>
      <c r="N69" s="44"/>
      <c r="O69" s="44"/>
      <c r="P69" s="44"/>
      <c r="Q69" s="44"/>
      <c r="R69" s="44"/>
      <c r="S69" s="44"/>
      <c r="T69" s="44"/>
      <c r="U69" s="44"/>
      <c r="V69" s="44"/>
      <c r="W69" s="44">
        <v>6.3E-2</v>
      </c>
      <c r="X69" s="44">
        <v>6.4000000000000001E-2</v>
      </c>
      <c r="Y69" s="44">
        <v>6.7000000000000004E-2</v>
      </c>
      <c r="Z69" s="44">
        <v>6.6000000000000003E-2</v>
      </c>
      <c r="AA69" s="44">
        <v>6.6000000000000003E-2</v>
      </c>
      <c r="AB69" s="44">
        <v>6.8000000000000005E-2</v>
      </c>
      <c r="AC69" s="44">
        <v>7.2999999999999995E-2</v>
      </c>
      <c r="AD69" s="44">
        <v>7.3999999999999996E-2</v>
      </c>
      <c r="AE69" s="44">
        <v>7.9000000000000001E-2</v>
      </c>
      <c r="AF69" s="44">
        <v>7.9000000000000001E-2</v>
      </c>
      <c r="AG69" s="44">
        <v>8.3000000000000004E-2</v>
      </c>
      <c r="AH69" s="44">
        <v>8.3000000000000004E-2</v>
      </c>
      <c r="AI69" s="44">
        <v>8.3000000000000004E-2</v>
      </c>
      <c r="AJ69" s="44">
        <v>8.7999999999999995E-2</v>
      </c>
      <c r="AK69" s="44">
        <v>9.6000000000000002E-2</v>
      </c>
      <c r="AL69" s="44">
        <v>8.7999999999999995E-2</v>
      </c>
      <c r="AM69" s="44">
        <v>9.2999999999999999E-2</v>
      </c>
      <c r="AN69" s="44">
        <v>9.4E-2</v>
      </c>
      <c r="AO69" s="44">
        <v>9.4E-2</v>
      </c>
      <c r="AP69" s="44">
        <v>9.0999999999999998E-2</v>
      </c>
      <c r="AQ69" s="44">
        <v>9.2999999999999999E-2</v>
      </c>
      <c r="AR69" s="44">
        <v>9.7000000000000003E-2</v>
      </c>
      <c r="AS69" s="44">
        <v>9.9000000000000005E-2</v>
      </c>
      <c r="AT69" s="44">
        <v>9.9000000000000005E-2</v>
      </c>
      <c r="AU69" s="44">
        <v>0.1</v>
      </c>
      <c r="AV69" s="44">
        <v>0.106</v>
      </c>
      <c r="AW69" s="44">
        <v>0.1076</v>
      </c>
      <c r="AX69" s="44">
        <v>0.109</v>
      </c>
      <c r="AY69" s="44">
        <v>0.107</v>
      </c>
      <c r="AZ69" s="44">
        <v>0.108</v>
      </c>
      <c r="BA69" s="44">
        <v>0.107</v>
      </c>
      <c r="BB69" s="44">
        <v>0.106</v>
      </c>
      <c r="BC69" s="44">
        <v>0.107</v>
      </c>
      <c r="BD69" s="44">
        <v>0.108</v>
      </c>
      <c r="BE69" s="44">
        <v>0.11</v>
      </c>
      <c r="BF69" s="44"/>
      <c r="BG69" s="44"/>
    </row>
    <row r="70" spans="1:59" s="25" customFormat="1">
      <c r="A70" s="45" t="str">
        <f>INDEX({"Ano anterior";"Previous year"},Home!$R$30)</f>
        <v>Ano anterior</v>
      </c>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v>0.08</v>
      </c>
      <c r="AM70" s="46">
        <v>8.3000000000000004E-2</v>
      </c>
      <c r="AN70" s="46">
        <v>8.7999999999999995E-2</v>
      </c>
      <c r="AO70" s="46">
        <v>9.0999999999999998E-2</v>
      </c>
      <c r="AP70" s="46">
        <v>8.7999999999999995E-2</v>
      </c>
      <c r="AQ70" s="46">
        <v>9.2999999999999999E-2</v>
      </c>
      <c r="AR70" s="46">
        <v>9.2999999999999999E-2</v>
      </c>
      <c r="AS70" s="46">
        <v>9.4E-2</v>
      </c>
      <c r="AT70" s="46">
        <v>9.0999999999999998E-2</v>
      </c>
      <c r="AU70" s="46">
        <v>9.2999999999999999E-2</v>
      </c>
      <c r="AV70" s="46">
        <v>9.7000000000000003E-2</v>
      </c>
      <c r="AW70" s="46">
        <v>9.9299999999999999E-2</v>
      </c>
      <c r="AX70" s="46">
        <v>0.1</v>
      </c>
      <c r="AY70" s="46">
        <v>0.1</v>
      </c>
      <c r="AZ70" s="46">
        <v>0.106</v>
      </c>
      <c r="BA70" s="46">
        <v>0.10299999999999999</v>
      </c>
      <c r="BB70" s="46">
        <v>0.105</v>
      </c>
      <c r="BC70" s="46">
        <v>0.10299999999999999</v>
      </c>
      <c r="BD70" s="46">
        <v>0.104</v>
      </c>
      <c r="BE70" s="46">
        <v>0.104</v>
      </c>
      <c r="BF70" s="46"/>
      <c r="BG70" s="46"/>
    </row>
    <row r="71" spans="1:59" s="25" customFormat="1">
      <c r="A71" s="45" t="str">
        <f>INDEX({"Variação";"Variation"},Home!$R$30)</f>
        <v>Variação</v>
      </c>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f t="shared" ref="AL71:BD71" si="21">100*(AL69-AL70)</f>
        <v>0.79999999999999938</v>
      </c>
      <c r="AM71" s="47">
        <f t="shared" si="21"/>
        <v>0.99999999999999956</v>
      </c>
      <c r="AN71" s="47">
        <f t="shared" si="21"/>
        <v>0.60000000000000053</v>
      </c>
      <c r="AO71" s="47">
        <f t="shared" si="21"/>
        <v>0.30000000000000027</v>
      </c>
      <c r="AP71" s="47">
        <f t="shared" si="21"/>
        <v>0.30000000000000027</v>
      </c>
      <c r="AQ71" s="47">
        <f t="shared" si="21"/>
        <v>0</v>
      </c>
      <c r="AR71" s="47">
        <f t="shared" si="21"/>
        <v>0.40000000000000036</v>
      </c>
      <c r="AS71" s="47">
        <f t="shared" si="21"/>
        <v>0.50000000000000044</v>
      </c>
      <c r="AT71" s="47">
        <f t="shared" si="21"/>
        <v>0.80000000000000071</v>
      </c>
      <c r="AU71" s="47">
        <f t="shared" si="21"/>
        <v>0.70000000000000062</v>
      </c>
      <c r="AV71" s="47">
        <f t="shared" si="21"/>
        <v>0.89999999999999947</v>
      </c>
      <c r="AW71" s="47">
        <f t="shared" si="21"/>
        <v>0.83000000000000018</v>
      </c>
      <c r="AX71" s="47">
        <f t="shared" si="21"/>
        <v>0.89999999999999947</v>
      </c>
      <c r="AY71" s="47">
        <f t="shared" si="21"/>
        <v>0.69999999999999929</v>
      </c>
      <c r="AZ71" s="47">
        <f t="shared" si="21"/>
        <v>0.20000000000000018</v>
      </c>
      <c r="BA71" s="47">
        <f t="shared" si="21"/>
        <v>0.40000000000000036</v>
      </c>
      <c r="BB71" s="47">
        <f t="shared" si="21"/>
        <v>0.10000000000000009</v>
      </c>
      <c r="BC71" s="47">
        <f t="shared" si="21"/>
        <v>0.40000000000000036</v>
      </c>
      <c r="BD71" s="47">
        <f t="shared" si="21"/>
        <v>0.40000000000000036</v>
      </c>
      <c r="BE71" s="47">
        <f t="shared" ref="BE71" si="22">100*(BE69-BE70)</f>
        <v>0.60000000000000053</v>
      </c>
      <c r="BF71" s="47"/>
      <c r="BG71" s="47"/>
    </row>
    <row r="72" spans="1:59" s="25" customForma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row>
    <row r="73" spans="1:59" s="25" customFormat="1">
      <c r="A73" s="43" t="str">
        <f>INDEX({"Nordeste";"Northeast"},Home!$R$30)</f>
        <v>Nordeste</v>
      </c>
      <c r="B73" s="44"/>
      <c r="C73" s="44"/>
      <c r="D73" s="44"/>
      <c r="E73" s="44"/>
      <c r="F73" s="44"/>
      <c r="G73" s="44"/>
      <c r="H73" s="44"/>
      <c r="I73" s="44"/>
      <c r="J73" s="44"/>
      <c r="K73" s="44"/>
      <c r="L73" s="44"/>
      <c r="M73" s="44"/>
      <c r="N73" s="44"/>
      <c r="O73" s="44"/>
      <c r="P73" s="44"/>
      <c r="Q73" s="44"/>
      <c r="R73" s="44"/>
      <c r="S73" s="44"/>
      <c r="T73" s="44"/>
      <c r="U73" s="44"/>
      <c r="V73" s="44"/>
      <c r="W73" s="44">
        <v>4.9000000000000002E-2</v>
      </c>
      <c r="X73" s="44">
        <v>5.2999999999999999E-2</v>
      </c>
      <c r="Y73" s="44">
        <v>5.8000000000000003E-2</v>
      </c>
      <c r="Z73" s="44">
        <v>5.8999999999999997E-2</v>
      </c>
      <c r="AA73" s="44">
        <v>5.8000000000000003E-2</v>
      </c>
      <c r="AB73" s="44">
        <v>6.2E-2</v>
      </c>
      <c r="AC73" s="44">
        <v>7.0000000000000007E-2</v>
      </c>
      <c r="AD73" s="44">
        <v>7.4999999999999997E-2</v>
      </c>
      <c r="AE73" s="44">
        <v>7.9000000000000001E-2</v>
      </c>
      <c r="AF73" s="44">
        <v>8.3000000000000004E-2</v>
      </c>
      <c r="AG73" s="44">
        <v>8.7999999999999995E-2</v>
      </c>
      <c r="AH73" s="44">
        <v>0.09</v>
      </c>
      <c r="AI73" s="44">
        <v>8.2000000000000003E-2</v>
      </c>
      <c r="AJ73" s="44">
        <v>8.6999999999999994E-2</v>
      </c>
      <c r="AK73" s="44">
        <v>9.9000000000000005E-2</v>
      </c>
      <c r="AL73" s="44">
        <v>9.9000000000000005E-2</v>
      </c>
      <c r="AM73" s="44">
        <v>9.4E-2</v>
      </c>
      <c r="AN73" s="44">
        <v>9.9000000000000005E-2</v>
      </c>
      <c r="AO73" s="44">
        <v>9.8000000000000004E-2</v>
      </c>
      <c r="AP73" s="44">
        <v>9.7000000000000003E-2</v>
      </c>
      <c r="AQ73" s="44">
        <v>9.9000000000000005E-2</v>
      </c>
      <c r="AR73" s="44">
        <v>0.104</v>
      </c>
      <c r="AS73" s="44">
        <v>0.1045</v>
      </c>
      <c r="AT73" s="44">
        <v>0.108</v>
      </c>
      <c r="AU73" s="44">
        <v>0.104</v>
      </c>
      <c r="AV73" s="44">
        <v>0.108</v>
      </c>
      <c r="AW73" s="44">
        <v>0.112</v>
      </c>
      <c r="AX73" s="44">
        <v>0.114</v>
      </c>
      <c r="AY73" s="44">
        <v>0.105</v>
      </c>
      <c r="AZ73" s="44">
        <v>0.11</v>
      </c>
      <c r="BA73" s="44">
        <v>0.11700000000000001</v>
      </c>
      <c r="BB73" s="44">
        <v>0.11700000000000001</v>
      </c>
      <c r="BC73" s="44">
        <v>0.112</v>
      </c>
      <c r="BD73" s="44">
        <v>0.11600000000000001</v>
      </c>
      <c r="BE73" s="44">
        <v>0.124</v>
      </c>
      <c r="BF73" s="44"/>
      <c r="BG73" s="44"/>
    </row>
    <row r="74" spans="1:59" s="25" customFormat="1">
      <c r="A74" s="45" t="str">
        <f>INDEX({"Ano anterior";"Previous year"},Home!$R$30)</f>
        <v>Ano anterior</v>
      </c>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v>9.1999999999999998E-2</v>
      </c>
      <c r="AM74" s="46">
        <v>8.2000000000000003E-2</v>
      </c>
      <c r="AN74" s="46">
        <v>8.6999999999999994E-2</v>
      </c>
      <c r="AO74" s="46">
        <v>9.4E-2</v>
      </c>
      <c r="AP74" s="46">
        <v>9.9000000000000005E-2</v>
      </c>
      <c r="AQ74" s="46">
        <v>9.5000000000000001E-2</v>
      </c>
      <c r="AR74" s="46">
        <v>0.1</v>
      </c>
      <c r="AS74" s="46">
        <v>9.8000000000000004E-2</v>
      </c>
      <c r="AT74" s="46">
        <v>9.7000000000000003E-2</v>
      </c>
      <c r="AU74" s="46">
        <v>9.9000000000000005E-2</v>
      </c>
      <c r="AV74" s="46">
        <v>0.10299999999999999</v>
      </c>
      <c r="AW74" s="46">
        <v>0.105</v>
      </c>
      <c r="AX74" s="46">
        <v>0.108</v>
      </c>
      <c r="AY74" s="46">
        <v>0.104</v>
      </c>
      <c r="AZ74" s="46">
        <v>0.109</v>
      </c>
      <c r="BA74" s="46">
        <v>0.11600000000000001</v>
      </c>
      <c r="BB74" s="46">
        <v>0.115</v>
      </c>
      <c r="BC74" s="46">
        <v>0.108</v>
      </c>
      <c r="BD74" s="46">
        <v>0.114</v>
      </c>
      <c r="BE74" s="46">
        <v>0.115</v>
      </c>
      <c r="BF74" s="46"/>
      <c r="BG74" s="46"/>
    </row>
    <row r="75" spans="1:59" s="25" customFormat="1">
      <c r="A75" s="45" t="str">
        <f>INDEX({"Variação";"Variation"},Home!$R$30)</f>
        <v>Variação</v>
      </c>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f t="shared" ref="AL75:BD75" si="23">100*(AL73-AL74)</f>
        <v>0.70000000000000062</v>
      </c>
      <c r="AM75" s="47">
        <f t="shared" si="23"/>
        <v>1.1999999999999997</v>
      </c>
      <c r="AN75" s="47">
        <f t="shared" si="23"/>
        <v>1.2000000000000011</v>
      </c>
      <c r="AO75" s="47">
        <f t="shared" si="23"/>
        <v>0.40000000000000036</v>
      </c>
      <c r="AP75" s="47">
        <f t="shared" si="23"/>
        <v>-0.20000000000000018</v>
      </c>
      <c r="AQ75" s="47">
        <f t="shared" si="23"/>
        <v>0.40000000000000036</v>
      </c>
      <c r="AR75" s="47">
        <f t="shared" si="23"/>
        <v>0.39999999999999897</v>
      </c>
      <c r="AS75" s="47">
        <f t="shared" si="23"/>
        <v>0.64999999999999925</v>
      </c>
      <c r="AT75" s="47">
        <f t="shared" si="23"/>
        <v>1.0999999999999996</v>
      </c>
      <c r="AU75" s="47">
        <f t="shared" si="23"/>
        <v>0.49999999999999906</v>
      </c>
      <c r="AV75" s="47">
        <f t="shared" si="23"/>
        <v>0.50000000000000044</v>
      </c>
      <c r="AW75" s="47">
        <f t="shared" si="23"/>
        <v>0.70000000000000062</v>
      </c>
      <c r="AX75" s="47">
        <f t="shared" si="23"/>
        <v>0.60000000000000053</v>
      </c>
      <c r="AY75" s="47">
        <f t="shared" si="23"/>
        <v>0.10000000000000009</v>
      </c>
      <c r="AZ75" s="47">
        <f t="shared" si="23"/>
        <v>0.10000000000000009</v>
      </c>
      <c r="BA75" s="47">
        <f t="shared" si="23"/>
        <v>0.10000000000000009</v>
      </c>
      <c r="BB75" s="47">
        <f t="shared" si="23"/>
        <v>0.20000000000000018</v>
      </c>
      <c r="BC75" s="47">
        <f t="shared" si="23"/>
        <v>0.40000000000000036</v>
      </c>
      <c r="BD75" s="47">
        <f t="shared" si="23"/>
        <v>0.20000000000000018</v>
      </c>
      <c r="BE75" s="47">
        <f t="shared" ref="BE75" si="24">100*(BE73-BE74)</f>
        <v>0.89999999999999947</v>
      </c>
      <c r="BF75" s="47"/>
      <c r="BG75" s="47"/>
    </row>
    <row r="76" spans="1:59" s="25" customForma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row>
    <row r="77" spans="1:59" s="25" customFormat="1">
      <c r="A77" s="43" t="str">
        <f>INDEX({"Norte";"North"},Home!$R$30)</f>
        <v>Norte</v>
      </c>
      <c r="B77" s="44"/>
      <c r="C77" s="44"/>
      <c r="D77" s="44"/>
      <c r="E77" s="44"/>
      <c r="F77" s="44"/>
      <c r="G77" s="44"/>
      <c r="H77" s="44"/>
      <c r="I77" s="44"/>
      <c r="J77" s="44"/>
      <c r="K77" s="44"/>
      <c r="L77" s="44"/>
      <c r="M77" s="44"/>
      <c r="N77" s="44"/>
      <c r="O77" s="44"/>
      <c r="P77" s="44"/>
      <c r="Q77" s="44"/>
      <c r="R77" s="44"/>
      <c r="S77" s="44"/>
      <c r="T77" s="44"/>
      <c r="U77" s="44"/>
      <c r="V77" s="44"/>
      <c r="W77" s="44">
        <v>2E-3</v>
      </c>
      <c r="X77" s="44">
        <v>3.0000000000000001E-3</v>
      </c>
      <c r="Y77" s="44">
        <v>3.0000000000000001E-3</v>
      </c>
      <c r="Z77" s="44">
        <v>3.0000000000000001E-3</v>
      </c>
      <c r="AA77" s="44">
        <v>4.0000000000000001E-3</v>
      </c>
      <c r="AB77" s="44">
        <v>8.9999999999999993E-3</v>
      </c>
      <c r="AC77" s="44">
        <v>1.7000000000000001E-2</v>
      </c>
      <c r="AD77" s="44">
        <v>2.5000000000000001E-2</v>
      </c>
      <c r="AE77" s="44">
        <v>0.03</v>
      </c>
      <c r="AF77" s="44">
        <v>3.2000000000000001E-2</v>
      </c>
      <c r="AG77" s="44">
        <v>3.5999999999999997E-2</v>
      </c>
      <c r="AH77" s="44">
        <v>0.04</v>
      </c>
      <c r="AI77" s="44">
        <v>4.3999999999999997E-2</v>
      </c>
      <c r="AJ77" s="44">
        <v>4.8000000000000001E-2</v>
      </c>
      <c r="AK77" s="44">
        <v>0.06</v>
      </c>
      <c r="AL77" s="44">
        <v>5.6000000000000001E-2</v>
      </c>
      <c r="AM77" s="44">
        <v>5.5E-2</v>
      </c>
      <c r="AN77" s="44">
        <v>5.8000000000000003E-2</v>
      </c>
      <c r="AO77" s="44">
        <v>5.7000000000000002E-2</v>
      </c>
      <c r="AP77" s="44">
        <v>6.0999999999999999E-2</v>
      </c>
      <c r="AQ77" s="44">
        <v>6.6000000000000003E-2</v>
      </c>
      <c r="AR77" s="44">
        <v>7.0000000000000007E-2</v>
      </c>
      <c r="AS77" s="44">
        <v>7.4499999999999997E-2</v>
      </c>
      <c r="AT77" s="44">
        <v>8.1000000000000003E-2</v>
      </c>
      <c r="AU77" s="44">
        <v>8.3000000000000004E-2</v>
      </c>
      <c r="AV77" s="44">
        <v>8.8999999999999996E-2</v>
      </c>
      <c r="AW77" s="44">
        <v>9.0399999999999994E-2</v>
      </c>
      <c r="AX77" s="44">
        <v>9.0999999999999998E-2</v>
      </c>
      <c r="AY77" s="44">
        <v>0.09</v>
      </c>
      <c r="AZ77" s="44">
        <v>9.1999999999999998E-2</v>
      </c>
      <c r="BA77" s="44">
        <v>9.8000000000000004E-2</v>
      </c>
      <c r="BB77" s="44">
        <v>9.6000000000000002E-2</v>
      </c>
      <c r="BC77" s="44">
        <v>9.7000000000000003E-2</v>
      </c>
      <c r="BD77" s="44">
        <v>0.10100000000000001</v>
      </c>
      <c r="BE77" s="44">
        <v>0.109</v>
      </c>
      <c r="BF77" s="44"/>
      <c r="BG77" s="44"/>
    </row>
    <row r="78" spans="1:59" s="25" customFormat="1">
      <c r="A78" s="45" t="str">
        <f>INDEX({"Ano anterior";"Previous year"},Home!$R$30)</f>
        <v>Ano anterior</v>
      </c>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v>4.2000000000000003E-2</v>
      </c>
      <c r="AM78" s="46">
        <v>4.3999999999999997E-2</v>
      </c>
      <c r="AN78" s="46">
        <v>4.5999999999999999E-2</v>
      </c>
      <c r="AO78" s="46">
        <v>5.0999999999999997E-2</v>
      </c>
      <c r="AP78" s="46">
        <v>5.3999999999999999E-2</v>
      </c>
      <c r="AQ78" s="46">
        <v>5.5E-2</v>
      </c>
      <c r="AR78" s="46">
        <v>5.7000000000000002E-2</v>
      </c>
      <c r="AS78" s="46">
        <v>5.6000000000000001E-2</v>
      </c>
      <c r="AT78" s="46">
        <v>6.0999999999999999E-2</v>
      </c>
      <c r="AU78" s="46">
        <v>6.6000000000000003E-2</v>
      </c>
      <c r="AV78" s="46">
        <v>7.0999999999999994E-2</v>
      </c>
      <c r="AW78" s="46">
        <v>7.46E-2</v>
      </c>
      <c r="AX78" s="46">
        <v>0.08</v>
      </c>
      <c r="AY78" s="46">
        <v>8.3000000000000004E-2</v>
      </c>
      <c r="AZ78" s="46">
        <v>8.8999999999999996E-2</v>
      </c>
      <c r="BA78" s="46">
        <v>9.4E-2</v>
      </c>
      <c r="BB78" s="46">
        <v>9.2999999999999999E-2</v>
      </c>
      <c r="BC78" s="46">
        <v>9.2999999999999999E-2</v>
      </c>
      <c r="BD78" s="46">
        <v>9.5000000000000001E-2</v>
      </c>
      <c r="BE78" s="46">
        <v>9.6000000000000002E-2</v>
      </c>
      <c r="BF78" s="46"/>
      <c r="BG78" s="46"/>
    </row>
    <row r="79" spans="1:59" s="25" customFormat="1">
      <c r="A79" s="45" t="str">
        <f>INDEX({"Variação";"Variation"},Home!$R$30)</f>
        <v>Variação</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f t="shared" ref="AL79:BD79" si="25">100*(AL77-AL78)</f>
        <v>1.4</v>
      </c>
      <c r="AM79" s="47">
        <f t="shared" si="25"/>
        <v>1.1000000000000003</v>
      </c>
      <c r="AN79" s="47">
        <f t="shared" si="25"/>
        <v>1.2000000000000004</v>
      </c>
      <c r="AO79" s="47">
        <f t="shared" si="25"/>
        <v>0.60000000000000053</v>
      </c>
      <c r="AP79" s="47">
        <f t="shared" si="25"/>
        <v>0.7</v>
      </c>
      <c r="AQ79" s="47">
        <f t="shared" si="25"/>
        <v>1.1000000000000003</v>
      </c>
      <c r="AR79" s="47">
        <f t="shared" si="25"/>
        <v>1.3000000000000005</v>
      </c>
      <c r="AS79" s="47">
        <f t="shared" si="25"/>
        <v>1.8499999999999996</v>
      </c>
      <c r="AT79" s="47">
        <f t="shared" si="25"/>
        <v>2.0000000000000004</v>
      </c>
      <c r="AU79" s="47">
        <f t="shared" si="25"/>
        <v>1.7000000000000002</v>
      </c>
      <c r="AV79" s="47">
        <f t="shared" si="25"/>
        <v>1.8000000000000003</v>
      </c>
      <c r="AW79" s="47">
        <f t="shared" si="25"/>
        <v>1.5799999999999994</v>
      </c>
      <c r="AX79" s="47">
        <f t="shared" si="25"/>
        <v>1.0999999999999996</v>
      </c>
      <c r="AY79" s="47">
        <f t="shared" si="25"/>
        <v>0.69999999999999929</v>
      </c>
      <c r="AZ79" s="47">
        <f t="shared" si="25"/>
        <v>0.30000000000000027</v>
      </c>
      <c r="BA79" s="47">
        <f t="shared" si="25"/>
        <v>0.40000000000000036</v>
      </c>
      <c r="BB79" s="47">
        <f t="shared" si="25"/>
        <v>0.30000000000000027</v>
      </c>
      <c r="BC79" s="47">
        <f t="shared" si="25"/>
        <v>0.40000000000000036</v>
      </c>
      <c r="BD79" s="47">
        <f t="shared" si="25"/>
        <v>0.60000000000000053</v>
      </c>
      <c r="BE79" s="47">
        <f t="shared" ref="BE79" si="26">100*(BE77-BE78)</f>
        <v>1.2999999999999998</v>
      </c>
      <c r="BF79" s="47"/>
      <c r="BG79" s="47"/>
    </row>
    <row r="80" spans="1:59" s="25" customForma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row>
    <row r="81" spans="1:59" s="25" customFormat="1">
      <c r="A81" s="23"/>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23"/>
      <c r="AR81" s="23"/>
      <c r="AS81" s="23"/>
      <c r="AT81" s="23"/>
      <c r="AU81" s="23"/>
      <c r="AV81" s="23"/>
      <c r="AW81" s="23"/>
      <c r="AX81" s="23"/>
      <c r="AY81" s="23"/>
      <c r="AZ81" s="23"/>
      <c r="BA81" s="23"/>
      <c r="BB81" s="23"/>
      <c r="BC81" s="23"/>
      <c r="BD81" s="23"/>
      <c r="BE81" s="39" t="str">
        <f>INDEX({"Fonte: IQVIA. Desde o 4T25, a base Preço Fábrica (PF) deixou de ser utilizada na mensuração de market share, sendo substituída pelo Preço Consumidor (CPP).";"Source: IQVIA. Since the 4Q25, the Factory Price (PF) base has no longer been used to measure market share, replaced by the Customer Price (CPP) base."},Home!$R$30)</f>
        <v>Fonte: IQVIA. Desde o 4T25, a base Preço Fábrica (PF) deixou de ser utilizada na mensuração de market share, sendo substituída pelo Preço Consumidor (CPP).</v>
      </c>
      <c r="BF81" s="39"/>
      <c r="BG81" s="39"/>
    </row>
  </sheetData>
  <pageMargins left="0.78740157499999996" right="0.78740157499999996" top="0.984251969" bottom="0.984251969" header="0.4921259845" footer="0.492125984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9288"/>
  </sheetPr>
  <dimension ref="A1:C15"/>
  <sheetViews>
    <sheetView showGridLines="0" zoomScale="85" zoomScaleNormal="85" workbookViewId="0">
      <pane xSplit="1" ySplit="1" topLeftCell="B2" activePane="bottomRight" state="frozen"/>
      <selection pane="topRight"/>
      <selection pane="bottomLeft"/>
      <selection pane="bottomRight" activeCell="B2" sqref="B2"/>
    </sheetView>
  </sheetViews>
  <sheetFormatPr defaultColWidth="8.81640625" defaultRowHeight="14.5"/>
  <cols>
    <col min="1" max="1" width="28.6328125" style="15" customWidth="1"/>
    <col min="2" max="3" width="25.08984375" style="15" customWidth="1"/>
    <col min="4" max="16384" width="8.81640625" style="15"/>
  </cols>
  <sheetData>
    <row r="1" spans="1:3" s="14" customFormat="1" ht="20" customHeight="1" thickBot="1">
      <c r="A1" s="61" t="str">
        <f>INDEX({" Curva de Maturação";"Maturation Curves"},Home!$R$30)</f>
        <v xml:space="preserve"> Curva de Maturação</v>
      </c>
      <c r="B1" s="70" t="str">
        <f>INDEX({"Receita Bruta";"Gross Revenue"},Home!$R$30)</f>
        <v>Receita Bruta</v>
      </c>
      <c r="C1" s="70" t="str">
        <f>INDEX({"Margem de Contribuição";"Contribution Margin"},Home!$R$30)</f>
        <v>Margem de Contribuição</v>
      </c>
    </row>
    <row r="2" spans="1:3" s="51" customFormat="1">
      <c r="B2" s="76" t="str">
        <f>INDEX({"(% da maturidade)";"(% of mature store)"},Home!$R$30)</f>
        <v>(% da maturidade)</v>
      </c>
      <c r="C2" s="76" t="str">
        <f>INDEX({"(% da maturidade)";"(% of mature store)"},Home!$R$30)</f>
        <v>(% da maturidade)</v>
      </c>
    </row>
    <row r="3" spans="1:3" s="25" customFormat="1">
      <c r="A3" s="25" t="str">
        <f>INDEX({"Ano 1";"Year 1"},Home!$R$30)</f>
        <v>Ano 1</v>
      </c>
      <c r="B3" s="52">
        <v>0.5</v>
      </c>
      <c r="C3" s="52">
        <v>0</v>
      </c>
    </row>
    <row r="4" spans="1:3" s="25" customFormat="1">
      <c r="A4" s="25" t="str">
        <f>INDEX({"Ano 2";"Year 2"},Home!$R$30)</f>
        <v>Ano 2</v>
      </c>
      <c r="B4" s="52">
        <v>0.69</v>
      </c>
      <c r="C4" s="52">
        <v>0.54477611940298498</v>
      </c>
    </row>
    <row r="5" spans="1:3" s="25" customFormat="1">
      <c r="A5" s="25" t="str">
        <f>INDEX({"Ano 3";"Year 3"},Home!$R$30)</f>
        <v>Ano 3</v>
      </c>
      <c r="B5" s="52">
        <v>0.83</v>
      </c>
      <c r="C5" s="52">
        <v>0.79850746268656714</v>
      </c>
    </row>
    <row r="6" spans="1:3" s="25" customFormat="1">
      <c r="A6" s="25" t="str">
        <f>INDEX({"Ano 4";"Year 4"},Home!$R$30)</f>
        <v>Ano 4</v>
      </c>
      <c r="B6" s="52">
        <v>0.96</v>
      </c>
      <c r="C6" s="52">
        <v>0.96268656716417911</v>
      </c>
    </row>
    <row r="7" spans="1:3" s="25" customFormat="1">
      <c r="A7" s="25" t="str">
        <f>INDEX({"Ano 5";"Year 5"},Home!$R$30)</f>
        <v>Ano 5</v>
      </c>
      <c r="B7" s="52">
        <v>1</v>
      </c>
      <c r="C7" s="52">
        <v>1</v>
      </c>
    </row>
    <row r="9" spans="1:3">
      <c r="A9" s="53"/>
      <c r="C9" s="54"/>
    </row>
    <row r="10" spans="1:3">
      <c r="C10" s="54"/>
    </row>
    <row r="11" spans="1:3">
      <c r="B11" s="55"/>
      <c r="C11" s="54"/>
    </row>
    <row r="12" spans="1:3">
      <c r="B12" s="55"/>
      <c r="C12" s="54"/>
    </row>
    <row r="13" spans="1:3">
      <c r="B13" s="55"/>
      <c r="C13" s="54"/>
    </row>
    <row r="14" spans="1:3">
      <c r="B14" s="55"/>
    </row>
    <row r="15" spans="1:3">
      <c r="B15" s="55"/>
    </row>
  </sheetData>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9288"/>
  </sheetPr>
  <dimension ref="A1:P13"/>
  <sheetViews>
    <sheetView showGridLines="0" zoomScale="85" zoomScaleNormal="85" workbookViewId="0">
      <pane xSplit="1" ySplit="1" topLeftCell="B2" activePane="bottomRight" state="frozen"/>
      <selection pane="topRight"/>
      <selection pane="bottomLeft"/>
      <selection pane="bottomRight" activeCell="B2" sqref="B2"/>
    </sheetView>
  </sheetViews>
  <sheetFormatPr defaultColWidth="8.08984375" defaultRowHeight="14.5"/>
  <cols>
    <col min="1" max="1" width="39.54296875" style="15" bestFit="1" customWidth="1"/>
    <col min="2" max="2" width="8.08984375" style="15" customWidth="1"/>
    <col min="3" max="9" width="8.08984375" style="15"/>
    <col min="10" max="10" width="8.08984375" style="15" customWidth="1"/>
    <col min="11" max="16384" width="8.08984375" style="15"/>
  </cols>
  <sheetData>
    <row r="1" spans="1:16" s="14" customFormat="1" ht="20" customHeight="1" thickBot="1">
      <c r="A1" s="61" t="str">
        <f>INDEX({"Proventos Provisionados";"Provisioned Proceeds"},Home!$R$30)</f>
        <v>Proventos Provisionados</v>
      </c>
      <c r="B1" s="77">
        <v>2011</v>
      </c>
      <c r="C1" s="77">
        <v>2012</v>
      </c>
      <c r="D1" s="77">
        <v>2013</v>
      </c>
      <c r="E1" s="77">
        <v>2014</v>
      </c>
      <c r="F1" s="77">
        <v>2015</v>
      </c>
      <c r="G1" s="77">
        <v>2016</v>
      </c>
      <c r="H1" s="77">
        <v>2017</v>
      </c>
      <c r="I1" s="77">
        <v>2018</v>
      </c>
      <c r="J1" s="77">
        <v>2019</v>
      </c>
      <c r="K1" s="77">
        <v>2020</v>
      </c>
      <c r="L1" s="77">
        <v>2021</v>
      </c>
      <c r="M1" s="77">
        <v>2022</v>
      </c>
      <c r="N1" s="77">
        <v>2023</v>
      </c>
      <c r="O1" s="77">
        <v>2024</v>
      </c>
      <c r="P1" s="77">
        <v>2025</v>
      </c>
    </row>
    <row r="2" spans="1:16" s="56" customFormat="1"/>
    <row r="3" spans="1:16" s="25" customFormat="1">
      <c r="A3" s="49" t="str">
        <f>INDEX({"Juros sobre Capital Próprio (R$ milhões)";"Interest on Equity (R$ millions)"},Home!$R$30)</f>
        <v>Juros sobre Capital Próprio (R$ milhões)</v>
      </c>
      <c r="B3" s="57">
        <v>44.2</v>
      </c>
      <c r="C3" s="57">
        <v>40</v>
      </c>
      <c r="D3" s="57">
        <v>38.9</v>
      </c>
      <c r="E3" s="57">
        <v>74.599999999999994</v>
      </c>
      <c r="F3" s="57">
        <v>150.30000000000001</v>
      </c>
      <c r="G3" s="57">
        <v>194.7</v>
      </c>
      <c r="H3" s="57">
        <v>202.5</v>
      </c>
      <c r="I3" s="57">
        <v>209.5</v>
      </c>
      <c r="J3" s="57">
        <v>211.5</v>
      </c>
      <c r="K3" s="57">
        <v>193</v>
      </c>
      <c r="L3" s="57">
        <v>205</v>
      </c>
      <c r="M3" s="57">
        <v>312</v>
      </c>
      <c r="N3" s="57">
        <v>360.2</v>
      </c>
      <c r="O3" s="57">
        <v>389.5</v>
      </c>
      <c r="P3" s="57">
        <v>536</v>
      </c>
    </row>
    <row r="4" spans="1:16" s="25" customFormat="1"/>
    <row r="5" spans="1:16" s="25" customFormat="1">
      <c r="A5" s="17" t="str">
        <f>INDEX({"Dividendos (R$ milhões)";"Dividends (R$ millions)"},Home!$R$30)</f>
        <v>Dividendos (R$ milhões)</v>
      </c>
      <c r="B5" s="57">
        <v>3.4</v>
      </c>
      <c r="C5" s="57">
        <v>0</v>
      </c>
      <c r="D5" s="57">
        <v>0</v>
      </c>
      <c r="E5" s="57">
        <v>0</v>
      </c>
      <c r="F5" s="57">
        <v>29</v>
      </c>
      <c r="G5" s="57">
        <v>0</v>
      </c>
      <c r="H5" s="57">
        <v>0</v>
      </c>
      <c r="I5" s="57">
        <v>0</v>
      </c>
      <c r="J5" s="57">
        <v>20.2</v>
      </c>
      <c r="K5" s="57">
        <v>0</v>
      </c>
      <c r="L5" s="57">
        <v>161</v>
      </c>
      <c r="M5" s="57">
        <v>186.5</v>
      </c>
      <c r="N5" s="57">
        <v>167.3</v>
      </c>
      <c r="O5" s="57">
        <v>210</v>
      </c>
      <c r="P5" s="57">
        <v>234</v>
      </c>
    </row>
    <row r="6" spans="1:16" s="25" customFormat="1"/>
    <row r="7" spans="1:16" s="25" customFormat="1">
      <c r="A7" s="17" t="str">
        <f>INDEX({"Proventos totais (R$ milhões)";"Total proceeds (R$ millions)"},Home!$R$30)</f>
        <v>Proventos totais (R$ milhões)</v>
      </c>
      <c r="B7" s="57">
        <f t="shared" ref="B7" si="0">B3+B5</f>
        <v>47.6</v>
      </c>
      <c r="C7" s="57">
        <f t="shared" ref="C7:N7" si="1">C3+C5</f>
        <v>40</v>
      </c>
      <c r="D7" s="57">
        <f t="shared" si="1"/>
        <v>38.9</v>
      </c>
      <c r="E7" s="57">
        <f t="shared" si="1"/>
        <v>74.599999999999994</v>
      </c>
      <c r="F7" s="57">
        <f t="shared" si="1"/>
        <v>179.3</v>
      </c>
      <c r="G7" s="57">
        <f t="shared" si="1"/>
        <v>194.7</v>
      </c>
      <c r="H7" s="57">
        <f t="shared" si="1"/>
        <v>202.5</v>
      </c>
      <c r="I7" s="57">
        <f t="shared" si="1"/>
        <v>209.5</v>
      </c>
      <c r="J7" s="57">
        <f t="shared" si="1"/>
        <v>231.7</v>
      </c>
      <c r="K7" s="57">
        <f t="shared" si="1"/>
        <v>193</v>
      </c>
      <c r="L7" s="57">
        <f t="shared" si="1"/>
        <v>366</v>
      </c>
      <c r="M7" s="57">
        <f t="shared" si="1"/>
        <v>498.5</v>
      </c>
      <c r="N7" s="57">
        <f t="shared" si="1"/>
        <v>527.5</v>
      </c>
      <c r="O7" s="57">
        <f t="shared" ref="O7:P7" si="2">O3+O5</f>
        <v>599.5</v>
      </c>
      <c r="P7" s="57">
        <f t="shared" si="2"/>
        <v>770</v>
      </c>
    </row>
    <row r="8" spans="1:16" s="25" customFormat="1"/>
    <row r="9" spans="1:16" s="25" customFormat="1">
      <c r="A9" s="17" t="str">
        <f>INDEX({"Lucro Líquido Consolidado IAS (R$ milhões)";"Net Income IAS (R$ millions)"},Home!$R$30)</f>
        <v>Lucro Líquido Consolidado IAS (R$ milhões)</v>
      </c>
      <c r="B9" s="57">
        <v>105.7</v>
      </c>
      <c r="C9" s="57">
        <v>104.9</v>
      </c>
      <c r="D9" s="57">
        <v>101</v>
      </c>
      <c r="E9" s="57">
        <v>223.3</v>
      </c>
      <c r="F9" s="57">
        <v>341.7</v>
      </c>
      <c r="G9" s="57">
        <v>451.3</v>
      </c>
      <c r="H9" s="57">
        <v>512.70000000000005</v>
      </c>
      <c r="I9" s="57">
        <v>509.3</v>
      </c>
      <c r="J9" s="57">
        <v>542.91375124763294</v>
      </c>
      <c r="K9" s="57">
        <v>579.25898989270399</v>
      </c>
      <c r="L9" s="57">
        <v>815.15208364499676</v>
      </c>
      <c r="M9" s="57">
        <v>1029.1982457786992</v>
      </c>
      <c r="N9" s="57">
        <v>1150.8007033310153</v>
      </c>
      <c r="O9" s="57">
        <v>1275.03114188839</v>
      </c>
      <c r="P9" s="57">
        <v>1362.4943263513901</v>
      </c>
    </row>
    <row r="10" spans="1:16" s="25" customFormat="1">
      <c r="A10" s="17" t="str">
        <f>INDEX({"Payout";"Payout"},Home!$R$30)</f>
        <v>Payout</v>
      </c>
      <c r="B10" s="58">
        <f t="shared" ref="B10" si="3">B7/B9</f>
        <v>0.45033112582781459</v>
      </c>
      <c r="C10" s="58">
        <f t="shared" ref="C10:N10" si="4">C7/C9</f>
        <v>0.38131553860819828</v>
      </c>
      <c r="D10" s="58">
        <f t="shared" si="4"/>
        <v>0.38514851485148516</v>
      </c>
      <c r="E10" s="58">
        <f t="shared" si="4"/>
        <v>0.33407971339005815</v>
      </c>
      <c r="F10" s="58">
        <f t="shared" si="4"/>
        <v>0.52472929470295582</v>
      </c>
      <c r="G10" s="58">
        <f t="shared" si="4"/>
        <v>0.43142034123642808</v>
      </c>
      <c r="H10" s="58">
        <f t="shared" si="4"/>
        <v>0.39496781743709769</v>
      </c>
      <c r="I10" s="58">
        <f t="shared" si="4"/>
        <v>0.41134891026899667</v>
      </c>
      <c r="J10" s="58">
        <f t="shared" si="4"/>
        <v>0.42677128635542216</v>
      </c>
      <c r="K10" s="58">
        <f t="shared" si="4"/>
        <v>0.33318429815953199</v>
      </c>
      <c r="L10" s="58">
        <f t="shared" si="4"/>
        <v>0.44899596939433822</v>
      </c>
      <c r="M10" s="58">
        <f t="shared" si="4"/>
        <v>0.48435760753054058</v>
      </c>
      <c r="N10" s="58">
        <f t="shared" si="4"/>
        <v>0.45837650122487839</v>
      </c>
      <c r="O10" s="58">
        <f t="shared" ref="O10:P10" si="5">O7/O9</f>
        <v>0.47018459416772213</v>
      </c>
      <c r="P10" s="58">
        <f t="shared" si="5"/>
        <v>0.5651399680041056</v>
      </c>
    </row>
    <row r="11" spans="1:16">
      <c r="A11" s="24"/>
      <c r="B11" s="59"/>
      <c r="C11" s="59"/>
      <c r="D11" s="59"/>
      <c r="E11" s="59"/>
      <c r="F11" s="59"/>
      <c r="G11" s="59"/>
      <c r="H11" s="59"/>
      <c r="I11" s="59"/>
      <c r="J11" s="59"/>
      <c r="K11" s="59"/>
      <c r="L11" s="59"/>
      <c r="M11" s="59"/>
      <c r="N11" s="59"/>
      <c r="O11" s="59"/>
      <c r="P11" s="59"/>
    </row>
    <row r="12" spans="1:16">
      <c r="A12" s="24"/>
    </row>
    <row r="13" spans="1:16">
      <c r="A13" s="21"/>
    </row>
  </sheetData>
  <pageMargins left="0.78740157499999996" right="0.78740157499999996" top="0.984251969" bottom="0.984251969" header="0.4921259845" footer="0.4921259845"/>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5D1C3"/>
  </sheetPr>
  <dimension ref="A1:BE40"/>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15" customWidth="1"/>
    <col min="2" max="2" width="10.6328125" style="15" customWidth="1"/>
    <col min="3" max="28" width="10.6328125" style="15"/>
    <col min="29" max="29" width="10.6328125" style="15" customWidth="1"/>
    <col min="30" max="35" width="10.6328125" style="15"/>
    <col min="36" max="36" width="14.1796875" customWidth="1"/>
    <col min="37" max="16384" width="10.6328125" style="15"/>
  </cols>
  <sheetData>
    <row r="1" spans="1:56" s="14" customFormat="1" ht="20" customHeight="1" thickBot="1">
      <c r="A1" s="61" t="str">
        <f>INDEX({"DRE Consolidado Ajustado IFRS 16 (R$ mil)";"Adjusted Cons. Income Statement IFRS 16 (R$ thousands)"},Home!$R$30)</f>
        <v>DRE Consolidado Ajustado IFRS 16 (R$ mil)</v>
      </c>
      <c r="B1" s="70" t="str">
        <f>INDEX({"1T18";"1Q18"},Home!$R$30)</f>
        <v>1T18</v>
      </c>
      <c r="C1" s="70" t="str">
        <f>INDEX({"2T18";"2Q18"},Home!$R$30)</f>
        <v>2T18</v>
      </c>
      <c r="D1" s="70" t="str">
        <f>INDEX({"3T18";"3Q18"},Home!$R$30)</f>
        <v>3T18</v>
      </c>
      <c r="E1" s="70" t="str">
        <f>INDEX({"4T18";"4Q18"},Home!$R$30)</f>
        <v>4T18</v>
      </c>
      <c r="F1" s="70" t="str">
        <f>INDEX({"1T19";"1Q19"},Home!$R$30)</f>
        <v>1T19</v>
      </c>
      <c r="G1" s="70" t="str">
        <f>INDEX({"2T19";"2Q19"},Home!$R$30)</f>
        <v>2T19</v>
      </c>
      <c r="H1" s="70" t="str">
        <f>INDEX({"3T19*";"3Q19*"},Home!$R$30)</f>
        <v>3T19*</v>
      </c>
      <c r="I1" s="70" t="str">
        <f>INDEX({"4T19";"4Q19"},Home!$R$30)</f>
        <v>4T19</v>
      </c>
      <c r="J1" s="70" t="str">
        <f>INDEX({"1T20";"1Q20"},Home!$R$30)</f>
        <v>1T20</v>
      </c>
      <c r="K1" s="70" t="str">
        <f>INDEX({"2T20";"2Q20"},Home!$R$30)</f>
        <v>2T20</v>
      </c>
      <c r="L1" s="70" t="str">
        <f>INDEX({"3T20";"3Q20"},Home!$R$30)</f>
        <v>3T20</v>
      </c>
      <c r="M1" s="70" t="str">
        <f>INDEX({"4T20";"4Q20"},Home!$R$30)</f>
        <v>4T20</v>
      </c>
      <c r="N1" s="70" t="str">
        <f>INDEX({"1T21";"1Q21"},Home!$R$30)</f>
        <v>1T21</v>
      </c>
      <c r="O1" s="70" t="str">
        <f>INDEX({"2T21";"2Q21"},Home!$R$30)</f>
        <v>2T21</v>
      </c>
      <c r="P1" s="70" t="str">
        <f>INDEX({"3T21";"3Q21"},Home!$R$30)</f>
        <v>3T21</v>
      </c>
      <c r="Q1" s="70" t="str">
        <f>INDEX({"4T21";"4Q21"},Home!$R$30)</f>
        <v>4T21</v>
      </c>
      <c r="R1" s="70" t="str">
        <f>INDEX({"1T22";"1Q22"},Home!$R$30)</f>
        <v>1T22</v>
      </c>
      <c r="S1" s="70" t="str">
        <f>INDEX({"2T22";"2Q22"},Home!$R$30)</f>
        <v>2T22</v>
      </c>
      <c r="T1" s="70" t="str">
        <f>INDEX({"3T22";"3Q22"},Home!$R$30)</f>
        <v>3T22</v>
      </c>
      <c r="U1" s="70" t="str">
        <f>INDEX({"4T22";"4Q22"},Home!$R$30)</f>
        <v>4T22</v>
      </c>
      <c r="V1" s="70" t="str">
        <f>INDEX({"1T23";"1Q23"},Home!$R$30)</f>
        <v>1T23</v>
      </c>
      <c r="W1" s="70" t="str">
        <f>INDEX({"2T23";"2Q23"},Home!$R$30)</f>
        <v>2T23</v>
      </c>
      <c r="X1" s="70" t="str">
        <f>INDEX({"3T23";"3Q23"},Home!$R$30)</f>
        <v>3T23</v>
      </c>
      <c r="Y1" s="70" t="str">
        <f>INDEX({"4T23";"4Q23"},Home!$R$30)</f>
        <v>4T23</v>
      </c>
      <c r="Z1" s="70" t="str">
        <f>INDEX({"1T24";"1Q24"},Home!$R$30)</f>
        <v>1T24</v>
      </c>
      <c r="AA1" s="70" t="str">
        <f>INDEX({"2T24";"2Q24"},Home!$R$30)</f>
        <v>2T24</v>
      </c>
      <c r="AB1" s="70" t="str">
        <f>INDEX({"3T24";"3Q24"},Home!$R$30)</f>
        <v>3T24</v>
      </c>
      <c r="AC1" s="70" t="str">
        <f>INDEX({"4T24";"4Q24"},Home!$R$30)</f>
        <v>4T24</v>
      </c>
      <c r="AD1" s="70" t="str">
        <f>INDEX({"1T25";"1Q25"},Home!$R$30)</f>
        <v>1T25</v>
      </c>
      <c r="AE1" s="70" t="str">
        <f>INDEX({"2T25";"2Q25"},Home!$R$30)</f>
        <v>2T25</v>
      </c>
      <c r="AF1" s="70" t="str">
        <f>INDEX({"3T25";"3Q25"},Home!$R$30)</f>
        <v>3T25</v>
      </c>
      <c r="AG1" s="70" t="str">
        <f>INDEX({"4T25";"4Q25"},Home!$R$30)</f>
        <v>4T25</v>
      </c>
      <c r="AH1" s="70" t="str">
        <f>INDEX({"1T26";"1Q26"},Home!$R$30)</f>
        <v>1T26</v>
      </c>
      <c r="AI1" s="70" t="str">
        <f>INDEX({"2T26";"2Q26"},Home!$R$30)</f>
        <v>2T26</v>
      </c>
      <c r="AJ1"/>
      <c r="AK1" s="77">
        <v>2018</v>
      </c>
      <c r="AL1" s="77">
        <v>2019</v>
      </c>
      <c r="AM1" s="77">
        <v>2020</v>
      </c>
      <c r="AN1" s="77">
        <v>2021</v>
      </c>
      <c r="AO1" s="77">
        <v>2022</v>
      </c>
      <c r="AP1" s="77">
        <v>2023</v>
      </c>
      <c r="AQ1" s="77">
        <v>2024</v>
      </c>
      <c r="AR1" s="77">
        <v>2025</v>
      </c>
      <c r="AS1" s="70"/>
      <c r="AT1" s="70"/>
      <c r="AU1" s="70"/>
      <c r="AV1" s="70"/>
      <c r="AW1" s="70"/>
      <c r="AX1" s="70"/>
      <c r="AY1" s="70"/>
      <c r="AZ1" s="70"/>
      <c r="BA1" s="70"/>
      <c r="BB1" s="70"/>
      <c r="BC1" s="70"/>
      <c r="BD1" s="70"/>
    </row>
    <row r="2" spans="1:56" s="25" customFormat="1">
      <c r="B2" s="78"/>
      <c r="C2" s="78"/>
      <c r="D2" s="78"/>
      <c r="E2" s="78"/>
      <c r="F2" s="78"/>
      <c r="G2" s="78"/>
      <c r="H2" s="78"/>
      <c r="I2" s="78"/>
      <c r="J2" s="78"/>
      <c r="K2" s="78"/>
      <c r="L2" s="78"/>
      <c r="M2" s="78"/>
      <c r="N2" s="78"/>
      <c r="O2" s="78"/>
      <c r="P2" s="78"/>
      <c r="Q2" s="78"/>
      <c r="R2" s="78"/>
      <c r="S2" s="78"/>
      <c r="T2" s="78"/>
      <c r="U2" s="78"/>
      <c r="V2" s="79" t="str">
        <f>INDEX({"Reclassif.";"Reclassif."},Home!$R$30)</f>
        <v>Reclassif.</v>
      </c>
      <c r="W2" s="79" t="str">
        <f>INDEX({"Reclassif.";"Reclassif."},Home!$R$30)</f>
        <v>Reclassif.</v>
      </c>
      <c r="X2" s="79" t="str">
        <f>INDEX({"Reclassif.";"Reclassif."},Home!$R$30)</f>
        <v>Reclassif.</v>
      </c>
      <c r="Y2" s="79" t="str">
        <f>INDEX({"Reclassif.";"Reclassif."},Home!$R$30)</f>
        <v>Reclassif.</v>
      </c>
      <c r="Z2" s="78"/>
      <c r="AA2" s="78"/>
      <c r="AB2" s="78"/>
      <c r="AC2" s="78"/>
      <c r="AD2" s="79" t="str">
        <f>INDEX({"Reapresentado";"Resubmitted"},Home!$R$30)</f>
        <v>Reapresentado</v>
      </c>
      <c r="AE2" s="79" t="str">
        <f>INDEX({"Reapresentado";"Resubmitted"},Home!$R$30)</f>
        <v>Reapresentado</v>
      </c>
      <c r="AF2" s="79" t="str">
        <f>INDEX({"Reapresentado";"Resubmitted"},Home!$R$30)</f>
        <v>Reapresentado</v>
      </c>
      <c r="AG2" s="79" t="str">
        <f>INDEX({"Reapresentado";"Resubmitted"},Home!$R$30)</f>
        <v>Reapresentado</v>
      </c>
      <c r="AH2" s="78"/>
      <c r="AI2" s="78"/>
      <c r="AJ2"/>
      <c r="AK2" s="78"/>
      <c r="AL2" s="78"/>
      <c r="AM2" s="78"/>
      <c r="AN2" s="78"/>
      <c r="AO2" s="78"/>
      <c r="AP2" s="79" t="str">
        <f>INDEX({"Reclassif.";"Reclassif."},Home!$R$30)</f>
        <v>Reclassif.</v>
      </c>
      <c r="AQ2" s="78"/>
      <c r="AR2" s="79" t="str">
        <f>INDEX({"Reapresentado";"Resubmitted"},Home!$R$30)</f>
        <v>Reapresentado</v>
      </c>
    </row>
    <row r="3" spans="1:56" customFormat="1">
      <c r="A3" s="94" t="str">
        <f>INDEX({"Receita bruta de vendas e serviços";"Gross revenue"},Home!$R$30)</f>
        <v>Receita bruta de vendas e serviços</v>
      </c>
      <c r="B3" s="95">
        <v>3603969.0532000004</v>
      </c>
      <c r="C3" s="95">
        <v>3791577.6702899998</v>
      </c>
      <c r="D3" s="95">
        <v>3944676.7624499998</v>
      </c>
      <c r="E3" s="95">
        <v>4178909.3735000012</v>
      </c>
      <c r="F3" s="95">
        <v>4153922.8716500006</v>
      </c>
      <c r="G3" s="95">
        <v>4440683.2908499995</v>
      </c>
      <c r="H3" s="95">
        <v>4771279.8809899958</v>
      </c>
      <c r="I3" s="95">
        <v>5030160.0746200001</v>
      </c>
      <c r="J3" s="95">
        <v>5206320.2216200009</v>
      </c>
      <c r="K3" s="95">
        <v>4721872.3380100001</v>
      </c>
      <c r="L3" s="95">
        <v>5384230.3225699998</v>
      </c>
      <c r="M3" s="95">
        <v>5868052.4856400015</v>
      </c>
      <c r="N3" s="95">
        <v>5979507</v>
      </c>
      <c r="O3" s="95">
        <v>6245162</v>
      </c>
      <c r="P3" s="95">
        <v>6527874.65833</v>
      </c>
      <c r="Q3" s="95">
        <v>6853140.17294</v>
      </c>
      <c r="R3" s="95">
        <v>6972490</v>
      </c>
      <c r="S3" s="95">
        <v>7641161.3537899991</v>
      </c>
      <c r="T3" s="95">
        <v>7985785.9976899987</v>
      </c>
      <c r="U3" s="95">
        <v>8351126.2797199991</v>
      </c>
      <c r="V3" s="95">
        <v>8471318.9039799999</v>
      </c>
      <c r="W3" s="95">
        <v>9013829.9642600007</v>
      </c>
      <c r="X3" s="95">
        <v>9274782.4353400003</v>
      </c>
      <c r="Y3" s="95">
        <v>9538835.722529998</v>
      </c>
      <c r="Z3" s="95">
        <v>9767155.5103699993</v>
      </c>
      <c r="AA3" s="95">
        <v>10402635.421470001</v>
      </c>
      <c r="AB3" s="95">
        <v>10749829.755501499</v>
      </c>
      <c r="AC3" s="95">
        <v>10862352.540547201</v>
      </c>
      <c r="AD3" s="95">
        <v>9947866.9729399979</v>
      </c>
      <c r="AE3" s="95">
        <v>10803925.919229999</v>
      </c>
      <c r="AF3" s="95">
        <v>11347886.988501301</v>
      </c>
      <c r="AG3" s="95">
        <v>12186597.587122001</v>
      </c>
      <c r="AH3" s="95">
        <v>11979520.74842</v>
      </c>
      <c r="AI3" s="95">
        <v>12777743.22043</v>
      </c>
      <c r="AK3" s="95">
        <f>SUM(B3:E3)</f>
        <v>15519132.859440001</v>
      </c>
      <c r="AL3" s="95">
        <f>SUM(F3:I3)</f>
        <v>18396046.118109997</v>
      </c>
      <c r="AM3" s="95">
        <f>SUM(J3:M3)</f>
        <v>21180475.367840003</v>
      </c>
      <c r="AN3" s="95">
        <f>SUM(N3:Q3)</f>
        <v>25605683.831270002</v>
      </c>
      <c r="AO3" s="95">
        <f>SUM(R3:U3)</f>
        <v>30950563.631200001</v>
      </c>
      <c r="AP3" s="95">
        <f>SUM(V3:Y3)</f>
        <v>36298767.026110001</v>
      </c>
      <c r="AQ3" s="95">
        <f>SUM(Z3:AC3)</f>
        <v>41781973.227888703</v>
      </c>
      <c r="AR3" s="95">
        <f>SUM(AD3:AG3)</f>
        <v>44286277.467793301</v>
      </c>
    </row>
    <row r="4" spans="1:56" s="25" customFormat="1">
      <c r="A4" s="17" t="str">
        <f>INDEX({"Deduções";"Taxes, Discounts and Returns"},Home!$R$30)</f>
        <v>Deduções</v>
      </c>
      <c r="B4" s="80">
        <v>-170391.34349</v>
      </c>
      <c r="C4" s="80">
        <v>-177588.81256999995</v>
      </c>
      <c r="D4" s="80">
        <v>-187862.86900000004</v>
      </c>
      <c r="E4" s="80">
        <v>-181845.10029999999</v>
      </c>
      <c r="F4" s="80">
        <v>-200571.39491000003</v>
      </c>
      <c r="G4" s="80">
        <v>-215189.33674999996</v>
      </c>
      <c r="H4" s="80">
        <v>-232343.88381</v>
      </c>
      <c r="I4" s="80">
        <v>-245045.46244</v>
      </c>
      <c r="J4" s="80">
        <v>-256448.92066</v>
      </c>
      <c r="K4" s="80">
        <v>-252097.95259</v>
      </c>
      <c r="L4" s="80">
        <v>-290778.76572999998</v>
      </c>
      <c r="M4" s="80">
        <v>-314311.32542999997</v>
      </c>
      <c r="N4" s="80">
        <v>-359456.13932000002</v>
      </c>
      <c r="O4" s="80">
        <v>-376898.37956000003</v>
      </c>
      <c r="P4" s="80">
        <v>-363013</v>
      </c>
      <c r="Q4" s="80">
        <v>-379314.77528</v>
      </c>
      <c r="R4" s="80">
        <v>-409985.51458999992</v>
      </c>
      <c r="S4" s="80">
        <v>-462399.95567000011</v>
      </c>
      <c r="T4" s="80">
        <v>-495920.29657000001</v>
      </c>
      <c r="U4" s="80">
        <v>-514877.67183999997</v>
      </c>
      <c r="V4" s="80">
        <v>-546933.00274935085</v>
      </c>
      <c r="W4" s="80">
        <v>-581161.80842442531</v>
      </c>
      <c r="X4" s="80">
        <v>-610296.09252269962</v>
      </c>
      <c r="Y4" s="80">
        <v>-629677.57463639928</v>
      </c>
      <c r="Z4" s="80">
        <v>-666661.59641999996</v>
      </c>
      <c r="AA4" s="80">
        <v>-715414.97257999971</v>
      </c>
      <c r="AB4" s="80">
        <v>-760708.15104000003</v>
      </c>
      <c r="AC4" s="80">
        <v>-767666.77316999994</v>
      </c>
      <c r="AD4" s="80">
        <v>-674903.7567899999</v>
      </c>
      <c r="AE4" s="80">
        <v>-729302.57030000002</v>
      </c>
      <c r="AF4" s="80">
        <v>-767440.05429</v>
      </c>
      <c r="AG4" s="80">
        <v>-817574.6311</v>
      </c>
      <c r="AH4" s="78">
        <v>-1410931.5080900001</v>
      </c>
      <c r="AI4" s="78">
        <v>-1715344.4203699999</v>
      </c>
      <c r="AJ4"/>
      <c r="AK4" s="78">
        <f>SUM(B4:E4)</f>
        <v>-717688.12535999995</v>
      </c>
      <c r="AL4" s="78">
        <f>SUM(F4:I4)</f>
        <v>-893150.07790999999</v>
      </c>
      <c r="AM4" s="78">
        <f>SUM(J4:M4)</f>
        <v>-1113636.96441</v>
      </c>
      <c r="AN4" s="78">
        <f>SUM(N4:Q4)</f>
        <v>-1478682.29416</v>
      </c>
      <c r="AO4" s="78">
        <f>SUM(R4:U4)</f>
        <v>-1883183.4386700001</v>
      </c>
      <c r="AP4" s="78">
        <f>SUM(V4:Y4)</f>
        <v>-2368068.4783328753</v>
      </c>
      <c r="AQ4" s="78">
        <f>SUM(Z4:AC4)</f>
        <v>-2910451.4932099995</v>
      </c>
      <c r="AR4" s="78">
        <f>SUM(AD4:AG4)</f>
        <v>-2989221.0124799996</v>
      </c>
    </row>
    <row r="5" spans="1:56" s="25" customFormat="1">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c r="AK5" s="78"/>
      <c r="AL5" s="78"/>
      <c r="AM5" s="78"/>
      <c r="AN5" s="78"/>
      <c r="AO5" s="78"/>
      <c r="AP5" s="78"/>
      <c r="AQ5" s="78"/>
      <c r="AR5" s="78"/>
    </row>
    <row r="6" spans="1:56" s="25" customFormat="1">
      <c r="A6" s="19" t="str">
        <f>INDEX({"Receita líquida de vendas e serviços";"Net revenue"},Home!$R$30)</f>
        <v>Receita líquida de vendas e serviços</v>
      </c>
      <c r="B6" s="81">
        <f t="shared" ref="B6:Y6" si="0">B3+B4</f>
        <v>3433577.7097100005</v>
      </c>
      <c r="C6" s="81">
        <f t="shared" si="0"/>
        <v>3613988.8577199997</v>
      </c>
      <c r="D6" s="81">
        <f t="shared" si="0"/>
        <v>3756813.8934499999</v>
      </c>
      <c r="E6" s="81">
        <f t="shared" si="0"/>
        <v>3997064.2732000011</v>
      </c>
      <c r="F6" s="81">
        <f t="shared" si="0"/>
        <v>3953351.4767400008</v>
      </c>
      <c r="G6" s="81">
        <f t="shared" si="0"/>
        <v>4225493.9540999997</v>
      </c>
      <c r="H6" s="81">
        <f t="shared" si="0"/>
        <v>4538935.9971799962</v>
      </c>
      <c r="I6" s="81">
        <f t="shared" si="0"/>
        <v>4785114.6121800002</v>
      </c>
      <c r="J6" s="81">
        <f t="shared" si="0"/>
        <v>4949871.3009600006</v>
      </c>
      <c r="K6" s="81">
        <f t="shared" si="0"/>
        <v>4469774.3854200002</v>
      </c>
      <c r="L6" s="81">
        <f t="shared" si="0"/>
        <v>5093451.5568399997</v>
      </c>
      <c r="M6" s="81">
        <f t="shared" si="0"/>
        <v>5553741.1602100013</v>
      </c>
      <c r="N6" s="81">
        <f t="shared" si="0"/>
        <v>5620050.8606799999</v>
      </c>
      <c r="O6" s="81">
        <f t="shared" si="0"/>
        <v>5868263.6204399997</v>
      </c>
      <c r="P6" s="81">
        <f t="shared" si="0"/>
        <v>6164861.65833</v>
      </c>
      <c r="Q6" s="81">
        <f t="shared" si="0"/>
        <v>6473825.3976600002</v>
      </c>
      <c r="R6" s="81">
        <f t="shared" si="0"/>
        <v>6562504.4854100002</v>
      </c>
      <c r="S6" s="81">
        <f t="shared" si="0"/>
        <v>7178761.3981199991</v>
      </c>
      <c r="T6" s="81">
        <f t="shared" si="0"/>
        <v>7489865.7011199985</v>
      </c>
      <c r="U6" s="81">
        <f t="shared" si="0"/>
        <v>7836248.6078799991</v>
      </c>
      <c r="V6" s="81">
        <f t="shared" si="0"/>
        <v>7924385.9012306491</v>
      </c>
      <c r="W6" s="81">
        <f t="shared" si="0"/>
        <v>8432668.1558355764</v>
      </c>
      <c r="X6" s="81">
        <f t="shared" si="0"/>
        <v>8664486.3428173009</v>
      </c>
      <c r="Y6" s="81">
        <f t="shared" si="0"/>
        <v>8909158.1478935983</v>
      </c>
      <c r="Z6" s="81">
        <f>Z3+Z4</f>
        <v>9100493.91395</v>
      </c>
      <c r="AA6" s="81">
        <f>AA3+AA4</f>
        <v>9687220.4488900024</v>
      </c>
      <c r="AB6" s="81">
        <f>AB3+AB4</f>
        <v>9989121.6044614986</v>
      </c>
      <c r="AC6" s="81">
        <f>AC3+AC4</f>
        <v>10094685.767377201</v>
      </c>
      <c r="AD6" s="81">
        <f t="shared" ref="AD6:AH6" si="1">AD3+AD4</f>
        <v>9272963.2161499988</v>
      </c>
      <c r="AE6" s="81">
        <f t="shared" si="1"/>
        <v>10074623.348929999</v>
      </c>
      <c r="AF6" s="81">
        <f t="shared" si="1"/>
        <v>10580446.934211301</v>
      </c>
      <c r="AG6" s="81">
        <f t="shared" si="1"/>
        <v>11369022.956022</v>
      </c>
      <c r="AH6" s="81">
        <f t="shared" si="1"/>
        <v>10568589.240329999</v>
      </c>
      <c r="AI6" s="81">
        <f t="shared" ref="AI6" si="2">AI3+AI4</f>
        <v>11062398.80006</v>
      </c>
      <c r="AJ6"/>
      <c r="AK6" s="81">
        <f t="shared" ref="AK6:AR6" si="3">AK3+AK4</f>
        <v>14801444.734080002</v>
      </c>
      <c r="AL6" s="81">
        <f t="shared" si="3"/>
        <v>17502896.040199999</v>
      </c>
      <c r="AM6" s="81">
        <f t="shared" si="3"/>
        <v>20066838.403430004</v>
      </c>
      <c r="AN6" s="81">
        <f t="shared" si="3"/>
        <v>24127001.537110001</v>
      </c>
      <c r="AO6" s="81">
        <f t="shared" si="3"/>
        <v>29067380.192529999</v>
      </c>
      <c r="AP6" s="81">
        <f t="shared" si="3"/>
        <v>33930698.547777124</v>
      </c>
      <c r="AQ6" s="81">
        <f t="shared" si="3"/>
        <v>38871521.734678701</v>
      </c>
      <c r="AR6" s="81">
        <f t="shared" si="3"/>
        <v>41297056.455313303</v>
      </c>
    </row>
    <row r="7" spans="1:56" s="25" customFormat="1">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c r="AK7" s="78"/>
      <c r="AL7" s="78"/>
      <c r="AM7" s="78"/>
      <c r="AN7" s="78"/>
      <c r="AO7" s="78"/>
      <c r="AP7" s="78"/>
      <c r="AQ7" s="78"/>
      <c r="AR7" s="78"/>
    </row>
    <row r="8" spans="1:56" s="25" customFormat="1">
      <c r="A8" s="17" t="str">
        <f>INDEX({"Custo das mercadorias vendidas";"Cost of Goods Sold"},Home!$R$30)</f>
        <v>Custo das mercadorias vendidas</v>
      </c>
      <c r="B8" s="80">
        <v>-2406819.2281200001</v>
      </c>
      <c r="C8" s="80">
        <v>-2509789.6029300005</v>
      </c>
      <c r="D8" s="80">
        <v>-2640038.1913299994</v>
      </c>
      <c r="E8" s="80">
        <v>-2799276.5152999996</v>
      </c>
      <c r="F8" s="80">
        <v>-2791688.2197499997</v>
      </c>
      <c r="G8" s="80">
        <v>-2936208.6845</v>
      </c>
      <c r="H8" s="80">
        <v>-3217586.0353600001</v>
      </c>
      <c r="I8" s="80">
        <v>-3374111.5151299997</v>
      </c>
      <c r="J8" s="80">
        <v>-3508020.6674600001</v>
      </c>
      <c r="K8" s="80">
        <v>-3149651.9118499998</v>
      </c>
      <c r="L8" s="80">
        <v>-3598455.2717400002</v>
      </c>
      <c r="M8" s="80">
        <v>-3919528.3318099999</v>
      </c>
      <c r="N8" s="80">
        <v>-3978198.9420500002</v>
      </c>
      <c r="O8" s="80">
        <v>-4071212.5995999998</v>
      </c>
      <c r="P8" s="80">
        <v>-4349401.3488499997</v>
      </c>
      <c r="Q8" s="80">
        <v>-4522020.645299999</v>
      </c>
      <c r="R8" s="80">
        <v>-4634073.6619099993</v>
      </c>
      <c r="S8" s="80">
        <v>-4860664.3932599993</v>
      </c>
      <c r="T8" s="80">
        <v>-5265091.5665100012</v>
      </c>
      <c r="U8" s="80">
        <v>-5498082.1965599991</v>
      </c>
      <c r="V8" s="80">
        <v>-5609601.8961100001</v>
      </c>
      <c r="W8" s="80">
        <v>-5832247.5748000015</v>
      </c>
      <c r="X8" s="80">
        <v>-6085664.3401999995</v>
      </c>
      <c r="Y8" s="80">
        <v>-6238912.8503199983</v>
      </c>
      <c r="Z8" s="80">
        <v>-6441229.8126600021</v>
      </c>
      <c r="AA8" s="80">
        <v>-6755221.1505899997</v>
      </c>
      <c r="AB8" s="80">
        <v>-7018209.8599400008</v>
      </c>
      <c r="AC8" s="80">
        <v>-7100079.4220700003</v>
      </c>
      <c r="AD8" s="80">
        <v>-6450916.0170300007</v>
      </c>
      <c r="AE8" s="80">
        <v>-6938600.3367499998</v>
      </c>
      <c r="AF8" s="80">
        <v>-7321760.6050299983</v>
      </c>
      <c r="AG8" s="80">
        <v>-7858929.3124099998</v>
      </c>
      <c r="AH8" s="78">
        <v>-7174289.4871499995</v>
      </c>
      <c r="AI8" s="78">
        <v>-7364668.2111499989</v>
      </c>
      <c r="AJ8"/>
      <c r="AK8" s="78">
        <f>SUM(B8:E8)</f>
        <v>-10355923.53768</v>
      </c>
      <c r="AL8" s="78">
        <f>SUM(F8:I8)</f>
        <v>-12319594.454740001</v>
      </c>
      <c r="AM8" s="78">
        <f>SUM(J8:M8)</f>
        <v>-14175656.18286</v>
      </c>
      <c r="AN8" s="78">
        <f>SUM(N8:Q8)</f>
        <v>-16920833.535799999</v>
      </c>
      <c r="AO8" s="78">
        <f>SUM(R8:U8)</f>
        <v>-20257911.818240002</v>
      </c>
      <c r="AP8" s="78">
        <f>SUM(V8:Y8)</f>
        <v>-23766426.661430001</v>
      </c>
      <c r="AQ8" s="78">
        <f>SUM(Z8:AC8)</f>
        <v>-27314740.245260004</v>
      </c>
      <c r="AR8" s="78">
        <f>SUM(AD8:AG8)</f>
        <v>-28570206.271220002</v>
      </c>
    </row>
    <row r="9" spans="1:56" s="25" customFormat="1">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c r="AK9" s="78"/>
      <c r="AL9" s="78"/>
      <c r="AM9" s="78"/>
      <c r="AN9" s="78"/>
      <c r="AO9" s="78"/>
      <c r="AP9" s="78"/>
      <c r="AQ9" s="78"/>
      <c r="AR9" s="78"/>
    </row>
    <row r="10" spans="1:56" s="25" customFormat="1">
      <c r="A10" s="19" t="str">
        <f>INDEX({"Lucro bruto";"Gross profit"},Home!$R$30)</f>
        <v>Lucro bruto</v>
      </c>
      <c r="B10" s="81">
        <f t="shared" ref="B10:Y10" si="4">B6+B8</f>
        <v>1026758.4815900004</v>
      </c>
      <c r="C10" s="81">
        <f t="shared" si="4"/>
        <v>1104199.2547899992</v>
      </c>
      <c r="D10" s="81">
        <f t="shared" si="4"/>
        <v>1116775.7021200005</v>
      </c>
      <c r="E10" s="81">
        <f t="shared" si="4"/>
        <v>1197787.7579000015</v>
      </c>
      <c r="F10" s="81">
        <f t="shared" si="4"/>
        <v>1161663.2569900011</v>
      </c>
      <c r="G10" s="81">
        <f t="shared" si="4"/>
        <v>1289285.2695999998</v>
      </c>
      <c r="H10" s="81">
        <f t="shared" si="4"/>
        <v>1321349.9618199961</v>
      </c>
      <c r="I10" s="81">
        <f t="shared" si="4"/>
        <v>1411003.0970500004</v>
      </c>
      <c r="J10" s="81">
        <f t="shared" si="4"/>
        <v>1441850.6335000005</v>
      </c>
      <c r="K10" s="81">
        <f t="shared" si="4"/>
        <v>1320122.4735700004</v>
      </c>
      <c r="L10" s="81">
        <f t="shared" si="4"/>
        <v>1494996.2850999995</v>
      </c>
      <c r="M10" s="81">
        <f t="shared" si="4"/>
        <v>1634212.8284000014</v>
      </c>
      <c r="N10" s="81">
        <f t="shared" si="4"/>
        <v>1641851.9186299997</v>
      </c>
      <c r="O10" s="81">
        <f t="shared" si="4"/>
        <v>1797051.0208399999</v>
      </c>
      <c r="P10" s="81">
        <f t="shared" si="4"/>
        <v>1815460.3094800003</v>
      </c>
      <c r="Q10" s="81">
        <f t="shared" si="4"/>
        <v>1951804.7523600012</v>
      </c>
      <c r="R10" s="81">
        <f t="shared" si="4"/>
        <v>1928430.8235000009</v>
      </c>
      <c r="S10" s="81">
        <f t="shared" si="4"/>
        <v>2318097.0048599998</v>
      </c>
      <c r="T10" s="81">
        <f t="shared" si="4"/>
        <v>2224774.1346099973</v>
      </c>
      <c r="U10" s="81">
        <f t="shared" si="4"/>
        <v>2338166.41132</v>
      </c>
      <c r="V10" s="81">
        <f t="shared" si="4"/>
        <v>2314784.005120649</v>
      </c>
      <c r="W10" s="81">
        <f t="shared" si="4"/>
        <v>2600420.5810355749</v>
      </c>
      <c r="X10" s="81">
        <f t="shared" si="4"/>
        <v>2578822.0026173014</v>
      </c>
      <c r="Y10" s="81">
        <f t="shared" si="4"/>
        <v>2670245.2975736</v>
      </c>
      <c r="Z10" s="81">
        <f>Z6+Z8</f>
        <v>2659264.1012899978</v>
      </c>
      <c r="AA10" s="81">
        <f>AA6+AA8</f>
        <v>2931999.2983000027</v>
      </c>
      <c r="AB10" s="81">
        <f>AB6+AB8</f>
        <v>2970911.7445214977</v>
      </c>
      <c r="AC10" s="81">
        <f>AC6+AC8</f>
        <v>2994606.3453072011</v>
      </c>
      <c r="AD10" s="81">
        <f t="shared" ref="AD10:AE10" si="5">AD6+AD8</f>
        <v>2822047.1991199981</v>
      </c>
      <c r="AE10" s="81">
        <f t="shared" si="5"/>
        <v>3136023.0121799996</v>
      </c>
      <c r="AF10" s="81">
        <f t="shared" ref="AF10:AH10" si="6">AF6+AF8</f>
        <v>3258686.3291813023</v>
      </c>
      <c r="AG10" s="81">
        <f t="shared" si="6"/>
        <v>3510093.6436120002</v>
      </c>
      <c r="AH10" s="81">
        <f t="shared" si="6"/>
        <v>3394299.75318</v>
      </c>
      <c r="AI10" s="81">
        <f t="shared" ref="AI10" si="7">AI6+AI8</f>
        <v>3697730.5889100013</v>
      </c>
      <c r="AJ10"/>
      <c r="AK10" s="81">
        <f t="shared" ref="AK10:AR10" si="8">AK6+AK8</f>
        <v>4445521.1964000016</v>
      </c>
      <c r="AL10" s="81">
        <f t="shared" si="8"/>
        <v>5183301.5854599979</v>
      </c>
      <c r="AM10" s="81">
        <f t="shared" si="8"/>
        <v>5891182.2205700036</v>
      </c>
      <c r="AN10" s="81">
        <f t="shared" si="8"/>
        <v>7206168.0013100021</v>
      </c>
      <c r="AO10" s="81">
        <f t="shared" si="8"/>
        <v>8809468.3742899969</v>
      </c>
      <c r="AP10" s="81">
        <f t="shared" si="8"/>
        <v>10164271.886347122</v>
      </c>
      <c r="AQ10" s="81">
        <f t="shared" si="8"/>
        <v>11556781.489418697</v>
      </c>
      <c r="AR10" s="81">
        <f t="shared" si="8"/>
        <v>12726850.1840933</v>
      </c>
    </row>
    <row r="11" spans="1:56" s="25" customFormat="1">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c r="AK11" s="78"/>
      <c r="AL11" s="78"/>
      <c r="AM11" s="78"/>
      <c r="AN11" s="78"/>
      <c r="AO11" s="78"/>
      <c r="AP11" s="78"/>
      <c r="AQ11" s="78"/>
      <c r="AR11" s="78"/>
    </row>
    <row r="12" spans="1:56" s="25" customFormat="1">
      <c r="A12" s="28" t="str">
        <f>INDEX({"Despesas";"Expenses"},Home!$R$30)</f>
        <v>Despesas</v>
      </c>
      <c r="B12" s="78"/>
      <c r="C12" s="78"/>
      <c r="D12" s="78"/>
      <c r="E12" s="78"/>
      <c r="F12" s="78"/>
      <c r="G12" s="78"/>
      <c r="H12" s="78"/>
      <c r="I12" s="78"/>
      <c r="J12" s="78"/>
      <c r="K12" s="78"/>
      <c r="L12" s="78"/>
      <c r="M12" s="78"/>
      <c r="N12" s="78"/>
      <c r="O12" s="78"/>
      <c r="P12" s="78"/>
      <c r="Q12" s="78"/>
      <c r="R12" s="78"/>
      <c r="S12" s="82"/>
      <c r="T12" s="82"/>
      <c r="U12" s="82"/>
      <c r="V12" s="82"/>
      <c r="W12" s="82"/>
      <c r="X12" s="82"/>
      <c r="Y12" s="82"/>
      <c r="Z12" s="82"/>
      <c r="AA12" s="82"/>
      <c r="AB12" s="82"/>
      <c r="AC12" s="82"/>
      <c r="AD12" s="82"/>
      <c r="AE12" s="82"/>
      <c r="AF12" s="82"/>
      <c r="AG12" s="82"/>
      <c r="AH12" s="78"/>
      <c r="AI12" s="78"/>
      <c r="AJ12"/>
      <c r="AK12" s="78"/>
      <c r="AL12" s="78"/>
      <c r="AM12" s="78"/>
      <c r="AN12" s="78"/>
      <c r="AO12" s="78"/>
      <c r="AP12" s="78"/>
      <c r="AQ12" s="78"/>
      <c r="AR12" s="78"/>
    </row>
    <row r="13" spans="1:56" s="25" customFormat="1">
      <c r="A13" s="17" t="str">
        <f>INDEX({"Vendas";"Selling Expenses"},Home!$R$30)</f>
        <v>Vendas</v>
      </c>
      <c r="B13" s="80">
        <v>-555625.07380422147</v>
      </c>
      <c r="C13" s="80">
        <v>-580317.63272520259</v>
      </c>
      <c r="D13" s="80">
        <v>-602405.82180893968</v>
      </c>
      <c r="E13" s="80">
        <v>-649289.34326403879</v>
      </c>
      <c r="F13" s="80">
        <v>-650111.56105999998</v>
      </c>
      <c r="G13" s="80">
        <v>-672510.20388000004</v>
      </c>
      <c r="H13" s="80">
        <v>-692057.95359000005</v>
      </c>
      <c r="I13" s="80">
        <v>-788521.65834999993</v>
      </c>
      <c r="J13" s="80">
        <v>-778264.39419999986</v>
      </c>
      <c r="K13" s="80">
        <v>-779286.31073999987</v>
      </c>
      <c r="L13" s="80">
        <v>-794600.14050999982</v>
      </c>
      <c r="M13" s="80">
        <v>-851953.02296000044</v>
      </c>
      <c r="N13" s="80">
        <v>-871551.73866000026</v>
      </c>
      <c r="O13" s="80">
        <v>-923822.92938999995</v>
      </c>
      <c r="P13" s="99">
        <v>-957333.95628000004</v>
      </c>
      <c r="Q13" s="99">
        <v>-1043370.7227500002</v>
      </c>
      <c r="R13" s="99">
        <v>-1070106.7701800002</v>
      </c>
      <c r="S13" s="99">
        <v>-1094707.4009100003</v>
      </c>
      <c r="T13" s="99">
        <v>-1148379.5561799998</v>
      </c>
      <c r="U13" s="99">
        <v>-1175277.1091799999</v>
      </c>
      <c r="V13" s="99">
        <v>-1224200.5526827781</v>
      </c>
      <c r="W13" s="99">
        <v>-1280425.711766792</v>
      </c>
      <c r="X13" s="99">
        <v>-1345469.6456434252</v>
      </c>
      <c r="Y13" s="99">
        <v>-1450829.5422538053</v>
      </c>
      <c r="Z13" s="99">
        <v>-1393372.7618</v>
      </c>
      <c r="AA13" s="99">
        <v>-1503674.6513099999</v>
      </c>
      <c r="AB13" s="99">
        <v>-1546157.8704815002</v>
      </c>
      <c r="AC13" s="99">
        <v>-1648991.3221415</v>
      </c>
      <c r="AD13" s="80">
        <v>-1590770.2200799999</v>
      </c>
      <c r="AE13" s="80">
        <v>-1660184.4255899999</v>
      </c>
      <c r="AF13" s="80">
        <v>-1734454.8070800002</v>
      </c>
      <c r="AG13" s="80">
        <v>-1920613.2032099999</v>
      </c>
      <c r="AH13" s="78">
        <v>-1924613.0654700005</v>
      </c>
      <c r="AI13" s="78">
        <v>-2013025.4973500003</v>
      </c>
      <c r="AJ13"/>
      <c r="AK13" s="78">
        <f>SUM(B13:E13)</f>
        <v>-2387637.8716024025</v>
      </c>
      <c r="AL13" s="78">
        <f>SUM(F13:I13)</f>
        <v>-2803201.3768800003</v>
      </c>
      <c r="AM13" s="78">
        <f>SUM(J13:M13)</f>
        <v>-3204103.8684099996</v>
      </c>
      <c r="AN13" s="78">
        <f>SUM(N13:Q13)</f>
        <v>-3796079.3470800002</v>
      </c>
      <c r="AO13" s="78">
        <f>SUM(R13:U13)</f>
        <v>-4488470.8364500003</v>
      </c>
      <c r="AP13" s="78">
        <f>SUM(V13:Y13)</f>
        <v>-5300925.4523468008</v>
      </c>
      <c r="AQ13" s="78">
        <f>SUM(Z13:AC13)</f>
        <v>-6092196.6057330007</v>
      </c>
      <c r="AR13" s="78">
        <f>SUM(AD13:AG13)</f>
        <v>-6906022.6559599992</v>
      </c>
    </row>
    <row r="14" spans="1:56" s="25" customFormat="1">
      <c r="A14" s="17" t="str">
        <f>INDEX({"Gerais e administrativas";"General and Administrative"},Home!$R$30)</f>
        <v>Gerais e administrativas</v>
      </c>
      <c r="B14" s="80">
        <v>-79188.53005244513</v>
      </c>
      <c r="C14" s="80">
        <v>-82774.671954797406</v>
      </c>
      <c r="D14" s="80">
        <v>-84942.284481060386</v>
      </c>
      <c r="E14" s="80">
        <v>-99856.453115961209</v>
      </c>
      <c r="F14" s="80">
        <v>-95997.138760000002</v>
      </c>
      <c r="G14" s="80">
        <v>-101899.34458000002</v>
      </c>
      <c r="H14" s="80">
        <v>-109753.83825</v>
      </c>
      <c r="I14" s="80">
        <v>-141351.05644999997</v>
      </c>
      <c r="J14" s="80">
        <v>-131384.06682000004</v>
      </c>
      <c r="K14" s="80">
        <v>-142514.17155999999</v>
      </c>
      <c r="L14" s="80">
        <v>-133808.67279000004</v>
      </c>
      <c r="M14" s="80">
        <v>-175155.08967999998</v>
      </c>
      <c r="N14" s="80">
        <v>-165514.41407999999</v>
      </c>
      <c r="O14" s="80">
        <v>-179751.57773999992</v>
      </c>
      <c r="P14" s="99">
        <v>-204108.19722</v>
      </c>
      <c r="Q14" s="99">
        <v>-241475.15272999997</v>
      </c>
      <c r="R14" s="99">
        <v>-242612.08389000001</v>
      </c>
      <c r="S14" s="99">
        <v>-259613.88052999997</v>
      </c>
      <c r="T14" s="99">
        <v>-283467.89176999999</v>
      </c>
      <c r="U14" s="99">
        <v>-308323.93757999991</v>
      </c>
      <c r="V14" s="99">
        <v>-266101.88976787264</v>
      </c>
      <c r="W14" s="99">
        <v>-287815.27833878319</v>
      </c>
      <c r="X14" s="99">
        <v>-305585.70078387443</v>
      </c>
      <c r="Y14" s="99">
        <v>-327934.91799979453</v>
      </c>
      <c r="Z14" s="99">
        <v>-302321.60175000003</v>
      </c>
      <c r="AA14" s="99">
        <v>-316115.21709999989</v>
      </c>
      <c r="AB14" s="99">
        <v>-320997.14072000002</v>
      </c>
      <c r="AC14" s="99">
        <v>-365191.42734570004</v>
      </c>
      <c r="AD14" s="80">
        <v>-294212.69650000008</v>
      </c>
      <c r="AE14" s="80">
        <v>-288746.52907000005</v>
      </c>
      <c r="AF14" s="80">
        <v>-299678.26403240004</v>
      </c>
      <c r="AG14" s="80">
        <v>-324732.98464199994</v>
      </c>
      <c r="AH14" s="78">
        <v>-295787.47257999994</v>
      </c>
      <c r="AI14" s="78">
        <v>-307588.05012999993</v>
      </c>
      <c r="AJ14"/>
      <c r="AK14" s="78">
        <f>SUM(B14:E14)</f>
        <v>-346761.93960426416</v>
      </c>
      <c r="AL14" s="78">
        <f>SUM(F14:I14)</f>
        <v>-449001.37804000004</v>
      </c>
      <c r="AM14" s="78">
        <f>SUM(J14:M14)</f>
        <v>-582862.00084999995</v>
      </c>
      <c r="AN14" s="78">
        <f>SUM(N14:Q14)</f>
        <v>-790849.34176999982</v>
      </c>
      <c r="AO14" s="78">
        <f>SUM(R14:U14)</f>
        <v>-1094017.7937699999</v>
      </c>
      <c r="AP14" s="78">
        <f>SUM(V14:Y14)</f>
        <v>-1187437.7868903247</v>
      </c>
      <c r="AQ14" s="78">
        <f>SUM(Z14:AC14)</f>
        <v>-1304625.3869157</v>
      </c>
      <c r="AR14" s="78">
        <f>SUM(AD14:AG14)</f>
        <v>-1207370.4742444002</v>
      </c>
    </row>
    <row r="15" spans="1:56" s="25" customFormat="1">
      <c r="A15" s="17" t="str">
        <f>INDEX({"Outras despesas operacionais, líquidas";"Other Operating Expenses, Net"},Home!$R$30)</f>
        <v>Outras despesas operacionais, líquidas</v>
      </c>
      <c r="B15" s="80"/>
      <c r="C15" s="80"/>
      <c r="D15" s="80"/>
      <c r="E15" s="80"/>
      <c r="F15" s="80"/>
      <c r="G15" s="80"/>
      <c r="H15" s="80"/>
      <c r="I15" s="80"/>
      <c r="J15" s="80"/>
      <c r="K15" s="80"/>
      <c r="L15" s="80"/>
      <c r="M15" s="80"/>
      <c r="N15" s="80"/>
      <c r="O15" s="80"/>
      <c r="P15" s="80"/>
      <c r="Q15" s="80"/>
      <c r="R15" s="99"/>
      <c r="S15" s="83"/>
      <c r="T15" s="83"/>
      <c r="U15" s="83"/>
      <c r="V15" s="83"/>
      <c r="W15" s="83"/>
      <c r="X15" s="83"/>
      <c r="Y15" s="83"/>
      <c r="Z15" s="83"/>
      <c r="AA15" s="99"/>
      <c r="AB15" s="99"/>
      <c r="AC15" s="99"/>
      <c r="AD15" s="83"/>
      <c r="AE15" s="83"/>
      <c r="AF15" s="83"/>
      <c r="AG15" s="83"/>
      <c r="AH15" s="78"/>
      <c r="AI15" s="78"/>
      <c r="AJ15"/>
      <c r="AK15" s="78"/>
      <c r="AL15" s="78"/>
      <c r="AM15" s="78"/>
      <c r="AN15" s="78"/>
      <c r="AO15" s="78"/>
      <c r="AP15" s="78"/>
      <c r="AQ15" s="78"/>
      <c r="AR15" s="78"/>
    </row>
    <row r="16" spans="1:56" s="25" customFormat="1">
      <c r="A16" s="19" t="str">
        <f>INDEX({"Despesas operacionais";"Total expenses"},Home!$R$30)</f>
        <v>Despesas operacionais</v>
      </c>
      <c r="B16" s="81">
        <f t="shared" ref="B16:Y16" si="9">SUM(B13:B15)</f>
        <v>-634813.6038566666</v>
      </c>
      <c r="C16" s="81">
        <f t="shared" si="9"/>
        <v>-663092.30468000006</v>
      </c>
      <c r="D16" s="81">
        <f t="shared" si="9"/>
        <v>-687348.10629000003</v>
      </c>
      <c r="E16" s="81">
        <f t="shared" si="9"/>
        <v>-749145.79637999996</v>
      </c>
      <c r="F16" s="81">
        <f t="shared" si="9"/>
        <v>-746108.69981999998</v>
      </c>
      <c r="G16" s="81">
        <f t="shared" si="9"/>
        <v>-774409.54846000008</v>
      </c>
      <c r="H16" s="81">
        <f t="shared" si="9"/>
        <v>-801811.79184000008</v>
      </c>
      <c r="I16" s="81">
        <f t="shared" si="9"/>
        <v>-929872.71479999996</v>
      </c>
      <c r="J16" s="81">
        <f t="shared" si="9"/>
        <v>-909648.46101999993</v>
      </c>
      <c r="K16" s="81">
        <f t="shared" si="9"/>
        <v>-921800.4822999998</v>
      </c>
      <c r="L16" s="81">
        <f t="shared" si="9"/>
        <v>-928408.81329999981</v>
      </c>
      <c r="M16" s="81">
        <f t="shared" si="9"/>
        <v>-1027108.1126400004</v>
      </c>
      <c r="N16" s="81">
        <f t="shared" si="9"/>
        <v>-1037066.1527400003</v>
      </c>
      <c r="O16" s="81">
        <f t="shared" si="9"/>
        <v>-1103574.5071299998</v>
      </c>
      <c r="P16" s="81">
        <f t="shared" si="9"/>
        <v>-1161442.1535</v>
      </c>
      <c r="Q16" s="81">
        <f t="shared" si="9"/>
        <v>-1284845.8754800002</v>
      </c>
      <c r="R16" s="81">
        <f t="shared" si="9"/>
        <v>-1312718.8540700004</v>
      </c>
      <c r="S16" s="81">
        <f t="shared" si="9"/>
        <v>-1354321.2814400003</v>
      </c>
      <c r="T16" s="81">
        <f t="shared" si="9"/>
        <v>-1431847.4479499999</v>
      </c>
      <c r="U16" s="81">
        <f t="shared" si="9"/>
        <v>-1483601.0467599998</v>
      </c>
      <c r="V16" s="81">
        <f t="shared" si="9"/>
        <v>-1490302.4424506507</v>
      </c>
      <c r="W16" s="81">
        <f t="shared" si="9"/>
        <v>-1568240.9901055752</v>
      </c>
      <c r="X16" s="81">
        <f t="shared" si="9"/>
        <v>-1651055.3464272995</v>
      </c>
      <c r="Y16" s="81">
        <f t="shared" si="9"/>
        <v>-1778764.4602535998</v>
      </c>
      <c r="Z16" s="81">
        <f>SUM(Z13:Z15)</f>
        <v>-1695694.3635499999</v>
      </c>
      <c r="AA16" s="81">
        <f>SUM(AA13:AA15)</f>
        <v>-1819789.8684099996</v>
      </c>
      <c r="AB16" s="81">
        <f>SUM(AB13:AB15)</f>
        <v>-1867155.0112015002</v>
      </c>
      <c r="AC16" s="81">
        <f>SUM(AC13:AC15)</f>
        <v>-2014182.7494872001</v>
      </c>
      <c r="AD16" s="81">
        <f t="shared" ref="AD16:AE16" si="10">SUM(AD13:AD15)</f>
        <v>-1884982.91658</v>
      </c>
      <c r="AE16" s="81">
        <f t="shared" si="10"/>
        <v>-1948930.9546599998</v>
      </c>
      <c r="AF16" s="81">
        <f t="shared" ref="AF16:AH16" si="11">SUM(AF13:AF15)</f>
        <v>-2034133.0711124002</v>
      </c>
      <c r="AG16" s="81">
        <f t="shared" si="11"/>
        <v>-2245346.1878519999</v>
      </c>
      <c r="AH16" s="81">
        <f t="shared" si="11"/>
        <v>-2220400.5380500006</v>
      </c>
      <c r="AI16" s="81">
        <f t="shared" ref="AI16" si="12">SUM(AI13:AI15)</f>
        <v>-2320613.5474800002</v>
      </c>
      <c r="AJ16"/>
      <c r="AK16" s="81">
        <f t="shared" ref="AK16:AO16" si="13">SUM(AK13:AK15)</f>
        <v>-2734399.8112066668</v>
      </c>
      <c r="AL16" s="81">
        <f t="shared" si="13"/>
        <v>-3252202.7549200002</v>
      </c>
      <c r="AM16" s="81">
        <f t="shared" si="13"/>
        <v>-3786965.8692599996</v>
      </c>
      <c r="AN16" s="81">
        <f t="shared" si="13"/>
        <v>-4586928.6888500005</v>
      </c>
      <c r="AO16" s="81">
        <f t="shared" si="13"/>
        <v>-5582488.6302199997</v>
      </c>
      <c r="AP16" s="81">
        <f t="shared" ref="AP16:AR16" si="14">SUM(AP13:AP15)</f>
        <v>-6488363.239237126</v>
      </c>
      <c r="AQ16" s="81">
        <f t="shared" si="14"/>
        <v>-7396821.9926487003</v>
      </c>
      <c r="AR16" s="81">
        <f t="shared" si="14"/>
        <v>-8113393.1302043991</v>
      </c>
    </row>
    <row r="17" spans="1:44" s="25" customFormat="1">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c r="AK17" s="78"/>
      <c r="AL17" s="78"/>
      <c r="AM17" s="78"/>
      <c r="AN17" s="78"/>
      <c r="AO17" s="78"/>
      <c r="AP17" s="78"/>
      <c r="AQ17" s="78"/>
      <c r="AR17" s="78"/>
    </row>
    <row r="18" spans="1:44" customFormat="1">
      <c r="A18" s="94" t="str">
        <f>INDEX({"EBITDA";"EBITDA"},Home!$R$30)</f>
        <v>EBITDA</v>
      </c>
      <c r="B18" s="95">
        <f t="shared" ref="B18:Y18" si="15">+B16+B10</f>
        <v>391944.87773333385</v>
      </c>
      <c r="C18" s="95">
        <f t="shared" si="15"/>
        <v>441106.95010999916</v>
      </c>
      <c r="D18" s="95">
        <f t="shared" si="15"/>
        <v>429427.59583000047</v>
      </c>
      <c r="E18" s="95">
        <f t="shared" si="15"/>
        <v>448641.96152000153</v>
      </c>
      <c r="F18" s="95">
        <f t="shared" si="15"/>
        <v>415554.55717000109</v>
      </c>
      <c r="G18" s="95">
        <f t="shared" si="15"/>
        <v>514875.72113999969</v>
      </c>
      <c r="H18" s="95">
        <f t="shared" si="15"/>
        <v>519538.16997999605</v>
      </c>
      <c r="I18" s="95">
        <f t="shared" si="15"/>
        <v>481130.38225000049</v>
      </c>
      <c r="J18" s="95">
        <f t="shared" si="15"/>
        <v>532202.17248000053</v>
      </c>
      <c r="K18" s="95">
        <f t="shared" si="15"/>
        <v>398321.99127000058</v>
      </c>
      <c r="L18" s="95">
        <f t="shared" si="15"/>
        <v>566587.47179999971</v>
      </c>
      <c r="M18" s="95">
        <f t="shared" si="15"/>
        <v>607104.71576000098</v>
      </c>
      <c r="N18" s="95">
        <f t="shared" si="15"/>
        <v>604785.76588999946</v>
      </c>
      <c r="O18" s="95">
        <f t="shared" si="15"/>
        <v>693476.51371000009</v>
      </c>
      <c r="P18" s="95">
        <f t="shared" si="15"/>
        <v>654018.15598000027</v>
      </c>
      <c r="Q18" s="95">
        <f t="shared" si="15"/>
        <v>666958.87688000104</v>
      </c>
      <c r="R18" s="95">
        <f t="shared" si="15"/>
        <v>615711.96943000052</v>
      </c>
      <c r="S18" s="95">
        <f t="shared" si="15"/>
        <v>963775.72341999947</v>
      </c>
      <c r="T18" s="95">
        <f t="shared" si="15"/>
        <v>792926.68665999733</v>
      </c>
      <c r="U18" s="95">
        <f t="shared" si="15"/>
        <v>854565.36456000013</v>
      </c>
      <c r="V18" s="95">
        <f t="shared" si="15"/>
        <v>824481.56266999827</v>
      </c>
      <c r="W18" s="95">
        <f t="shared" si="15"/>
        <v>1032179.5909299997</v>
      </c>
      <c r="X18" s="95">
        <f t="shared" si="15"/>
        <v>927766.65619000187</v>
      </c>
      <c r="Y18" s="95">
        <f t="shared" si="15"/>
        <v>891480.83732000017</v>
      </c>
      <c r="Z18" s="95">
        <f>+Z16+Z10</f>
        <v>963569.73773999792</v>
      </c>
      <c r="AA18" s="95">
        <f>+AA16+AA10</f>
        <v>1112209.4298900031</v>
      </c>
      <c r="AB18" s="95">
        <f>+AB16+AB10</f>
        <v>1103756.7333199976</v>
      </c>
      <c r="AC18" s="95">
        <f>+AC16+AC10</f>
        <v>980423.59582000109</v>
      </c>
      <c r="AD18" s="95">
        <f t="shared" ref="AD18:AE18" si="16">AD16+AD10</f>
        <v>937064.28253999818</v>
      </c>
      <c r="AE18" s="95">
        <f t="shared" si="16"/>
        <v>1187092.0575199998</v>
      </c>
      <c r="AF18" s="95">
        <f t="shared" ref="AF18:AH18" si="17">AF16+AF10</f>
        <v>1224553.2580689022</v>
      </c>
      <c r="AG18" s="95">
        <f t="shared" si="17"/>
        <v>1264747.4557600003</v>
      </c>
      <c r="AH18" s="95">
        <f t="shared" si="17"/>
        <v>1173899.2151299994</v>
      </c>
      <c r="AI18" s="95">
        <f t="shared" ref="AI18" si="18">AI16+AI10</f>
        <v>1377117.0414300011</v>
      </c>
      <c r="AK18" s="95">
        <f t="shared" ref="AK18:AO18" si="19">AK16+AK10</f>
        <v>1711121.3851933349</v>
      </c>
      <c r="AL18" s="95">
        <f t="shared" si="19"/>
        <v>1931098.8305399977</v>
      </c>
      <c r="AM18" s="95">
        <f t="shared" si="19"/>
        <v>2104216.351310004</v>
      </c>
      <c r="AN18" s="95">
        <f t="shared" si="19"/>
        <v>2619239.3124600016</v>
      </c>
      <c r="AO18" s="95">
        <f t="shared" si="19"/>
        <v>3226979.7440699972</v>
      </c>
      <c r="AP18" s="95">
        <f t="shared" ref="AP18:AR18" si="20">AP16+AP10</f>
        <v>3675908.6471099965</v>
      </c>
      <c r="AQ18" s="95">
        <f t="shared" si="20"/>
        <v>4159959.4967699964</v>
      </c>
      <c r="AR18" s="95">
        <f t="shared" si="20"/>
        <v>4613457.0538889011</v>
      </c>
    </row>
    <row r="19" spans="1:44" s="25" customFormat="1">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c r="AK19" s="78"/>
      <c r="AL19" s="78"/>
      <c r="AM19" s="78"/>
      <c r="AN19" s="78"/>
      <c r="AO19" s="78"/>
      <c r="AP19" s="78"/>
      <c r="AQ19" s="78"/>
      <c r="AR19" s="78"/>
    </row>
    <row r="20" spans="1:44" s="25" customFormat="1">
      <c r="A20" s="17" t="str">
        <f>INDEX({"Depreciação e Amortização";"Depreciation and Amortization"},Home!$R$30)</f>
        <v>Depreciação e Amortização</v>
      </c>
      <c r="B20" s="80">
        <v>-208993.80184956832</v>
      </c>
      <c r="C20" s="80">
        <v>-219584.31249380895</v>
      </c>
      <c r="D20" s="80">
        <v>-230056.02254325573</v>
      </c>
      <c r="E20" s="80">
        <v>-240661.94359916251</v>
      </c>
      <c r="F20" s="80">
        <v>-253979.33122030302</v>
      </c>
      <c r="G20" s="80">
        <v>-265709.30356999999</v>
      </c>
      <c r="H20" s="80">
        <v>-284935.31669548003</v>
      </c>
      <c r="I20" s="80">
        <v>-209189.86319</v>
      </c>
      <c r="J20" s="80">
        <v>-277918.64015694807</v>
      </c>
      <c r="K20" s="80">
        <v>-275144.78343999997</v>
      </c>
      <c r="L20" s="80">
        <v>-286353.39463</v>
      </c>
      <c r="M20" s="80">
        <v>-309409.9843999999</v>
      </c>
      <c r="N20" s="80">
        <v>-301726.63415</v>
      </c>
      <c r="O20" s="80">
        <v>-311470.83226</v>
      </c>
      <c r="P20" s="99">
        <v>-329284.80405999999</v>
      </c>
      <c r="Q20" s="99">
        <v>-349828.16558333329</v>
      </c>
      <c r="R20" s="99">
        <v>-352562.23838</v>
      </c>
      <c r="S20" s="99">
        <v>-362244.88805999997</v>
      </c>
      <c r="T20" s="99">
        <v>-369872.78185000003</v>
      </c>
      <c r="U20" s="99">
        <v>-388670.54442235694</v>
      </c>
      <c r="V20" s="99">
        <v>-395241.73832999996</v>
      </c>
      <c r="W20" s="99">
        <v>-411756.5270951881</v>
      </c>
      <c r="X20" s="99">
        <v>-438793.45217556442</v>
      </c>
      <c r="Y20" s="99">
        <v>-415553.98816556449</v>
      </c>
      <c r="Z20" s="99">
        <v>-436608.44854556443</v>
      </c>
      <c r="AA20" s="99">
        <v>-448215.48355556454</v>
      </c>
      <c r="AB20" s="99">
        <v>-464745.59169556445</v>
      </c>
      <c r="AC20" s="99">
        <v>-452055.97961556446</v>
      </c>
      <c r="AD20" s="80">
        <v>-482486.89507694158</v>
      </c>
      <c r="AE20" s="80">
        <v>-488808.33471462771</v>
      </c>
      <c r="AF20" s="80">
        <v>-506704.26272</v>
      </c>
      <c r="AG20" s="80">
        <v>-528237.21313000005</v>
      </c>
      <c r="AH20" s="78">
        <v>-524768.74345446436</v>
      </c>
      <c r="AI20" s="78">
        <v>-532515.49805000005</v>
      </c>
      <c r="AJ20"/>
      <c r="AK20" s="78">
        <f>SUM(B20:E20)</f>
        <v>-899296.08048579551</v>
      </c>
      <c r="AL20" s="78">
        <f>SUM(F20:I20)</f>
        <v>-1013813.814675783</v>
      </c>
      <c r="AM20" s="78">
        <f>SUM(J20:M20)</f>
        <v>-1148826.8026269479</v>
      </c>
      <c r="AN20" s="78">
        <f>SUM(N20:Q20)</f>
        <v>-1292310.4360533333</v>
      </c>
      <c r="AO20" s="78">
        <f>SUM(R20:U20)</f>
        <v>-1473350.452712357</v>
      </c>
      <c r="AP20" s="78">
        <f>SUM(V20:Y20)</f>
        <v>-1661345.705766317</v>
      </c>
      <c r="AQ20" s="78">
        <f>SUM(Z20:AC20)</f>
        <v>-1801625.5034122579</v>
      </c>
      <c r="AR20" s="78">
        <f>SUM(AD20:AG20)</f>
        <v>-2006236.7056415693</v>
      </c>
    </row>
    <row r="21" spans="1:44" s="25" customFormat="1">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c r="AK21" s="78"/>
      <c r="AL21" s="78"/>
      <c r="AM21" s="78"/>
      <c r="AN21" s="78"/>
      <c r="AO21" s="78"/>
      <c r="AP21" s="78"/>
      <c r="AQ21" s="78"/>
      <c r="AR21" s="78"/>
    </row>
    <row r="22" spans="1:44" s="25" customFormat="1">
      <c r="A22" s="19" t="str">
        <f>INDEX({"Lucro operacional antes do resultado financeiro";"Operational Earnings before Financial Results"},Home!$R$30)</f>
        <v>Lucro operacional antes do resultado financeiro</v>
      </c>
      <c r="B22" s="81">
        <f t="shared" ref="B22:AC22" si="21">+B20+B18</f>
        <v>182951.07588376553</v>
      </c>
      <c r="C22" s="81">
        <f t="shared" si="21"/>
        <v>221522.63761619022</v>
      </c>
      <c r="D22" s="81">
        <f t="shared" si="21"/>
        <v>199371.57328674474</v>
      </c>
      <c r="E22" s="81">
        <f t="shared" si="21"/>
        <v>207980.01792083902</v>
      </c>
      <c r="F22" s="81">
        <f t="shared" si="21"/>
        <v>161575.22594969807</v>
      </c>
      <c r="G22" s="81">
        <f t="shared" si="21"/>
        <v>249166.4175699997</v>
      </c>
      <c r="H22" s="81">
        <f t="shared" si="21"/>
        <v>234602.85328451602</v>
      </c>
      <c r="I22" s="81">
        <f t="shared" si="21"/>
        <v>271940.51906000049</v>
      </c>
      <c r="J22" s="81">
        <f t="shared" si="21"/>
        <v>254283.53232305247</v>
      </c>
      <c r="K22" s="81">
        <f t="shared" si="21"/>
        <v>123177.20783000061</v>
      </c>
      <c r="L22" s="81">
        <f t="shared" si="21"/>
        <v>280234.07716999971</v>
      </c>
      <c r="M22" s="81">
        <f t="shared" si="21"/>
        <v>297694.73136000108</v>
      </c>
      <c r="N22" s="81">
        <f t="shared" si="21"/>
        <v>303059.13173999946</v>
      </c>
      <c r="O22" s="81">
        <f t="shared" si="21"/>
        <v>382005.68145000009</v>
      </c>
      <c r="P22" s="81">
        <f t="shared" si="21"/>
        <v>324733.35192000028</v>
      </c>
      <c r="Q22" s="81">
        <f t="shared" si="21"/>
        <v>317130.71129666775</v>
      </c>
      <c r="R22" s="81">
        <f t="shared" si="21"/>
        <v>263149.73105000053</v>
      </c>
      <c r="S22" s="81">
        <f t="shared" si="21"/>
        <v>601530.83535999944</v>
      </c>
      <c r="T22" s="81">
        <f t="shared" si="21"/>
        <v>423053.9048099973</v>
      </c>
      <c r="U22" s="81">
        <f t="shared" si="21"/>
        <v>465894.8201376432</v>
      </c>
      <c r="V22" s="81">
        <f t="shared" si="21"/>
        <v>429239.8243399983</v>
      </c>
      <c r="W22" s="81">
        <f t="shared" si="21"/>
        <v>620423.06383481156</v>
      </c>
      <c r="X22" s="81">
        <f t="shared" si="21"/>
        <v>488973.20401443745</v>
      </c>
      <c r="Y22" s="81">
        <f t="shared" si="21"/>
        <v>475926.84915443568</v>
      </c>
      <c r="Z22" s="81">
        <f t="shared" si="21"/>
        <v>526961.28919443348</v>
      </c>
      <c r="AA22" s="81">
        <f t="shared" si="21"/>
        <v>663993.94633443851</v>
      </c>
      <c r="AB22" s="81">
        <f t="shared" si="21"/>
        <v>639011.1416244331</v>
      </c>
      <c r="AC22" s="81">
        <f t="shared" si="21"/>
        <v>528367.61620443664</v>
      </c>
      <c r="AD22" s="81">
        <f t="shared" ref="AD22:AI22" si="22">AD20+AD18</f>
        <v>454577.3874630566</v>
      </c>
      <c r="AE22" s="81">
        <f t="shared" si="22"/>
        <v>698283.72280537209</v>
      </c>
      <c r="AF22" s="81">
        <f t="shared" si="22"/>
        <v>717848.99534890219</v>
      </c>
      <c r="AG22" s="81">
        <f t="shared" si="22"/>
        <v>736510.24263000023</v>
      </c>
      <c r="AH22" s="81">
        <f t="shared" si="22"/>
        <v>649130.47167553508</v>
      </c>
      <c r="AI22" s="81">
        <f t="shared" si="22"/>
        <v>844601.54338000109</v>
      </c>
      <c r="AJ22"/>
      <c r="AK22" s="81">
        <f>AK20+AK18</f>
        <v>811825.30470753938</v>
      </c>
      <c r="AL22" s="81">
        <f>AL20+AL18</f>
        <v>917285.01586421463</v>
      </c>
      <c r="AM22" s="81">
        <f>AM20+AM18</f>
        <v>955389.54868305614</v>
      </c>
      <c r="AN22" s="81">
        <f>AN20+AN18</f>
        <v>1326928.8764066682</v>
      </c>
      <c r="AO22" s="81">
        <f>AO20+AO18</f>
        <v>1753629.2913576402</v>
      </c>
      <c r="AP22" s="81">
        <f t="shared" ref="AP22:AR22" si="23">AP20+AP18</f>
        <v>2014562.9413436796</v>
      </c>
      <c r="AQ22" s="81">
        <f t="shared" si="23"/>
        <v>2358333.9933577385</v>
      </c>
      <c r="AR22" s="81">
        <f t="shared" si="23"/>
        <v>2607220.3482473316</v>
      </c>
    </row>
    <row r="23" spans="1:44" s="25" customFormat="1">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c r="AK23" s="78"/>
      <c r="AL23" s="78"/>
      <c r="AM23" s="78"/>
      <c r="AN23" s="78"/>
      <c r="AO23" s="78"/>
      <c r="AP23" s="78"/>
      <c r="AQ23" s="78"/>
      <c r="AR23" s="78"/>
    </row>
    <row r="24" spans="1:44" s="25" customFormat="1">
      <c r="A24" s="17" t="str">
        <f>INDEX({"Despesas financeiras";"Financial Expenses"},Home!$R$30)</f>
        <v>Despesas financeiras</v>
      </c>
      <c r="B24" s="80">
        <v>-57244.094214056691</v>
      </c>
      <c r="C24" s="80">
        <v>-69235.268813182745</v>
      </c>
      <c r="D24" s="80">
        <v>-72006.965238557168</v>
      </c>
      <c r="E24" s="80">
        <v>-57459.580390832023</v>
      </c>
      <c r="F24" s="80">
        <v>-72895.329769999997</v>
      </c>
      <c r="G24" s="80">
        <v>-75568.985030000011</v>
      </c>
      <c r="H24" s="80">
        <v>-90347.576300000001</v>
      </c>
      <c r="I24" s="80">
        <v>-172436.30112000002</v>
      </c>
      <c r="J24" s="80">
        <v>-90085.575680000009</v>
      </c>
      <c r="K24" s="80">
        <v>-87820.119100000011</v>
      </c>
      <c r="L24" s="80">
        <v>-86491.649939999974</v>
      </c>
      <c r="M24" s="80">
        <v>-89400.281929999997</v>
      </c>
      <c r="N24" s="80">
        <v>-83247.035859999989</v>
      </c>
      <c r="O24" s="80">
        <v>-95649.267429999978</v>
      </c>
      <c r="P24" s="99">
        <v>-119773.6107</v>
      </c>
      <c r="Q24" s="99">
        <v>-160539.98942</v>
      </c>
      <c r="R24" s="99">
        <v>-182123.17182000002</v>
      </c>
      <c r="S24" s="99">
        <v>-224463.27902999998</v>
      </c>
      <c r="T24" s="99">
        <v>-275106.89205000008</v>
      </c>
      <c r="U24" s="99">
        <v>-258013.78064999991</v>
      </c>
      <c r="V24" s="99">
        <v>-320565.14302999998</v>
      </c>
      <c r="W24" s="99">
        <v>-326870.28021</v>
      </c>
      <c r="X24" s="99">
        <v>-323488.33292999998</v>
      </c>
      <c r="Y24" s="99">
        <v>-321606.76749999996</v>
      </c>
      <c r="Z24" s="99">
        <v>-350074.72590000002</v>
      </c>
      <c r="AA24" s="99">
        <v>-343967.51478999993</v>
      </c>
      <c r="AB24" s="99">
        <v>-335460.29838999995</v>
      </c>
      <c r="AC24" s="99">
        <v>-348198.50563000003</v>
      </c>
      <c r="AD24" s="80">
        <v>-368770.64048</v>
      </c>
      <c r="AE24" s="80">
        <v>-425654.66350000002</v>
      </c>
      <c r="AF24" s="80">
        <v>-457092.57508999994</v>
      </c>
      <c r="AG24" s="80">
        <v>-509445.65422000003</v>
      </c>
      <c r="AH24" s="78">
        <v>-473229.74152000016</v>
      </c>
      <c r="AI24" s="78">
        <v>-465405.38766999997</v>
      </c>
      <c r="AJ24"/>
      <c r="AK24" s="78">
        <f>SUM(B24:E24)</f>
        <v>-255945.90865662863</v>
      </c>
      <c r="AL24" s="78">
        <f>SUM(F24:I24)</f>
        <v>-411248.19222000003</v>
      </c>
      <c r="AM24" s="78">
        <f>SUM(J24:M24)</f>
        <v>-353797.62664999999</v>
      </c>
      <c r="AN24" s="78">
        <f>SUM(N24:Q24)</f>
        <v>-459209.90340999997</v>
      </c>
      <c r="AO24" s="78">
        <f>SUM(R24:U24)</f>
        <v>-939707.1235499999</v>
      </c>
      <c r="AP24" s="78">
        <f>SUM(V24:Y24)</f>
        <v>-1292530.52367</v>
      </c>
      <c r="AQ24" s="78">
        <f>SUM(Z24:AC24)</f>
        <v>-1377701.0447099998</v>
      </c>
      <c r="AR24" s="78">
        <f>SUM(AD24:AG24)</f>
        <v>-1760963.5332900002</v>
      </c>
    </row>
    <row r="25" spans="1:44" s="25" customFormat="1">
      <c r="A25" s="17" t="str">
        <f>INDEX({"Receitas financeiras";"Financial Revenues"},Home!$R$30)</f>
        <v>Receitas financeiras</v>
      </c>
      <c r="B25" s="80">
        <v>16467.187790000004</v>
      </c>
      <c r="C25" s="80">
        <v>18335.935020000004</v>
      </c>
      <c r="D25" s="80">
        <v>19468.37644</v>
      </c>
      <c r="E25" s="80">
        <v>17511.50879</v>
      </c>
      <c r="F25" s="80">
        <v>17654.268919999999</v>
      </c>
      <c r="G25" s="80">
        <v>15902.564960000002</v>
      </c>
      <c r="H25" s="80">
        <v>21521.02619</v>
      </c>
      <c r="I25" s="80">
        <v>21291.488419999998</v>
      </c>
      <c r="J25" s="80">
        <v>15859.034890000001</v>
      </c>
      <c r="K25" s="80">
        <v>14936.42477</v>
      </c>
      <c r="L25" s="80">
        <v>9786.6875700000001</v>
      </c>
      <c r="M25" s="80">
        <v>13600.097370000001</v>
      </c>
      <c r="N25" s="80">
        <v>10712.1505</v>
      </c>
      <c r="O25" s="80">
        <v>13491.534099999997</v>
      </c>
      <c r="P25" s="99">
        <v>23014.120790000001</v>
      </c>
      <c r="Q25" s="99">
        <v>32799.435519999999</v>
      </c>
      <c r="R25" s="99">
        <v>46762.404149999988</v>
      </c>
      <c r="S25" s="99">
        <v>66566.171310000005</v>
      </c>
      <c r="T25" s="99">
        <v>88286.656320000009</v>
      </c>
      <c r="U25" s="99">
        <v>91971.026050000015</v>
      </c>
      <c r="V25" s="99">
        <v>91224.001859999989</v>
      </c>
      <c r="W25" s="99">
        <v>100245.03516000001</v>
      </c>
      <c r="X25" s="99">
        <v>95159.606639999984</v>
      </c>
      <c r="Y25" s="99">
        <v>142106.07485000003</v>
      </c>
      <c r="Z25" s="99">
        <v>102544.75937999999</v>
      </c>
      <c r="AA25" s="99">
        <v>105835.15446999998</v>
      </c>
      <c r="AB25" s="99">
        <v>97334.060050000015</v>
      </c>
      <c r="AC25" s="99">
        <v>138875.43606999997</v>
      </c>
      <c r="AD25" s="80">
        <v>86174.236120000001</v>
      </c>
      <c r="AE25" s="80">
        <v>106401.06849404884</v>
      </c>
      <c r="AF25" s="80">
        <v>129924.10163541722</v>
      </c>
      <c r="AG25" s="80">
        <v>116092.65855053389</v>
      </c>
      <c r="AH25" s="78">
        <v>146560.40184999999</v>
      </c>
      <c r="AI25" s="78">
        <v>139545.16561</v>
      </c>
      <c r="AJ25"/>
      <c r="AK25" s="78">
        <f>SUM(B25:E25)</f>
        <v>71783.008040000015</v>
      </c>
      <c r="AL25" s="78">
        <f>SUM(F25:I25)</f>
        <v>76369.348489999989</v>
      </c>
      <c r="AM25" s="78">
        <f>SUM(J25:M25)</f>
        <v>54182.244600000005</v>
      </c>
      <c r="AN25" s="78">
        <f>SUM(N25:Q25)</f>
        <v>80017.240909999993</v>
      </c>
      <c r="AO25" s="78">
        <f>SUM(R25:U25)</f>
        <v>293586.25783000002</v>
      </c>
      <c r="AP25" s="78">
        <f>SUM(V25:Y25)</f>
        <v>428734.71850999998</v>
      </c>
      <c r="AQ25" s="78">
        <f>SUM(Z25:AC25)</f>
        <v>444589.40996999992</v>
      </c>
      <c r="AR25" s="78">
        <f>SUM(AD25:AG25)</f>
        <v>438592.06479999993</v>
      </c>
    </row>
    <row r="26" spans="1:44" s="25" customFormat="1">
      <c r="A26" s="19" t="str">
        <f>INDEX({"Despesas / Receitas Financeiras";"Financial Expenses/Revenues"},Home!$R$30)</f>
        <v>Despesas / Receitas Financeiras</v>
      </c>
      <c r="B26" s="81">
        <f t="shared" ref="B26:Y26" si="24">+B25+B24</f>
        <v>-40776.906424056688</v>
      </c>
      <c r="C26" s="81">
        <f t="shared" si="24"/>
        <v>-50899.333793182741</v>
      </c>
      <c r="D26" s="81">
        <f t="shared" si="24"/>
        <v>-52538.588798557168</v>
      </c>
      <c r="E26" s="81">
        <f t="shared" si="24"/>
        <v>-39948.071600832023</v>
      </c>
      <c r="F26" s="81">
        <f t="shared" si="24"/>
        <v>-55241.060849999994</v>
      </c>
      <c r="G26" s="81">
        <f t="shared" si="24"/>
        <v>-59666.420070000007</v>
      </c>
      <c r="H26" s="81">
        <f t="shared" si="24"/>
        <v>-68826.550109999996</v>
      </c>
      <c r="I26" s="81">
        <f t="shared" si="24"/>
        <v>-151144.81270000001</v>
      </c>
      <c r="J26" s="81">
        <f t="shared" si="24"/>
        <v>-74226.540790000014</v>
      </c>
      <c r="K26" s="81">
        <f t="shared" si="24"/>
        <v>-72883.694330000013</v>
      </c>
      <c r="L26" s="81">
        <f t="shared" si="24"/>
        <v>-76704.962369999979</v>
      </c>
      <c r="M26" s="81">
        <f t="shared" si="24"/>
        <v>-75800.184559999994</v>
      </c>
      <c r="N26" s="81">
        <f t="shared" si="24"/>
        <v>-72534.885359999986</v>
      </c>
      <c r="O26" s="81">
        <f t="shared" si="24"/>
        <v>-82157.733329999988</v>
      </c>
      <c r="P26" s="81">
        <f t="shared" si="24"/>
        <v>-96759.489910000004</v>
      </c>
      <c r="Q26" s="81">
        <f t="shared" si="24"/>
        <v>-127740.5539</v>
      </c>
      <c r="R26" s="81">
        <f t="shared" si="24"/>
        <v>-135360.76767000003</v>
      </c>
      <c r="S26" s="81">
        <f t="shared" si="24"/>
        <v>-157897.10771999997</v>
      </c>
      <c r="T26" s="81">
        <f t="shared" si="24"/>
        <v>-186820.23573000007</v>
      </c>
      <c r="U26" s="81">
        <f t="shared" si="24"/>
        <v>-166042.7545999999</v>
      </c>
      <c r="V26" s="81">
        <f t="shared" si="24"/>
        <v>-229341.14116999999</v>
      </c>
      <c r="W26" s="81">
        <f t="shared" si="24"/>
        <v>-226625.24504999997</v>
      </c>
      <c r="X26" s="81">
        <f t="shared" si="24"/>
        <v>-228328.72628999999</v>
      </c>
      <c r="Y26" s="81">
        <f t="shared" si="24"/>
        <v>-179500.69264999992</v>
      </c>
      <c r="Z26" s="81">
        <f>+Z25+Z24</f>
        <v>-247529.96652000002</v>
      </c>
      <c r="AA26" s="81">
        <f>+AA25+AA24</f>
        <v>-238132.36031999995</v>
      </c>
      <c r="AB26" s="81">
        <f t="shared" ref="AB26" si="25">+AB25+AB24</f>
        <v>-238126.23833999992</v>
      </c>
      <c r="AC26" s="81">
        <f>+AC25+AC24</f>
        <v>-209323.06956000006</v>
      </c>
      <c r="AD26" s="81">
        <f t="shared" ref="AD26:AE26" si="26">AD25+AD24</f>
        <v>-282596.40435999999</v>
      </c>
      <c r="AE26" s="81">
        <f t="shared" si="26"/>
        <v>-319253.59500595118</v>
      </c>
      <c r="AF26" s="81">
        <f t="shared" ref="AF26:AH26" si="27">AF25+AF24</f>
        <v>-327168.47345458274</v>
      </c>
      <c r="AG26" s="81">
        <f t="shared" si="27"/>
        <v>-393352.99566946615</v>
      </c>
      <c r="AH26" s="81">
        <f t="shared" si="27"/>
        <v>-326669.33967000013</v>
      </c>
      <c r="AI26" s="81">
        <f t="shared" ref="AI26" si="28">AI25+AI24</f>
        <v>-325860.22205999994</v>
      </c>
      <c r="AJ26"/>
      <c r="AK26" s="81">
        <f t="shared" ref="AK26:AR26" si="29">AK25+AK24</f>
        <v>-184162.90061662861</v>
      </c>
      <c r="AL26" s="81">
        <f t="shared" si="29"/>
        <v>-334878.84373000002</v>
      </c>
      <c r="AM26" s="81">
        <f t="shared" si="29"/>
        <v>-299615.38205000001</v>
      </c>
      <c r="AN26" s="81">
        <f t="shared" si="29"/>
        <v>-379192.66249999998</v>
      </c>
      <c r="AO26" s="81">
        <f t="shared" si="29"/>
        <v>-646120.86571999989</v>
      </c>
      <c r="AP26" s="81">
        <f t="shared" si="29"/>
        <v>-863795.80515999999</v>
      </c>
      <c r="AQ26" s="81">
        <f t="shared" si="29"/>
        <v>-933111.63473999989</v>
      </c>
      <c r="AR26" s="81">
        <f t="shared" si="29"/>
        <v>-1322371.4684900003</v>
      </c>
    </row>
    <row r="27" spans="1:44" s="25" customFormat="1">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c r="AK27" s="78"/>
      <c r="AL27" s="78"/>
      <c r="AM27" s="78"/>
      <c r="AN27" s="78"/>
      <c r="AO27" s="78"/>
      <c r="AP27" s="78"/>
      <c r="AQ27" s="78"/>
      <c r="AR27" s="78"/>
    </row>
    <row r="28" spans="1:44" s="25" customFormat="1">
      <c r="A28" s="17" t="str">
        <f>INDEX({"Equivalência Patrimonial";"Equity Equivalence"},Home!$R$30)</f>
        <v>Equivalência Patrimonial</v>
      </c>
      <c r="B28" s="80">
        <v>0</v>
      </c>
      <c r="C28" s="80">
        <v>0</v>
      </c>
      <c r="D28" s="80">
        <v>0</v>
      </c>
      <c r="E28" s="80">
        <v>0</v>
      </c>
      <c r="F28" s="80">
        <v>0</v>
      </c>
      <c r="G28" s="80">
        <v>0</v>
      </c>
      <c r="H28" s="80">
        <v>0</v>
      </c>
      <c r="I28" s="80">
        <v>0</v>
      </c>
      <c r="J28" s="80">
        <v>0</v>
      </c>
      <c r="K28" s="80">
        <v>0</v>
      </c>
      <c r="L28" s="80">
        <v>-4316.2464800000007</v>
      </c>
      <c r="M28" s="80">
        <v>-3550.901550000001</v>
      </c>
      <c r="N28" s="80">
        <v>-1514.8493799999999</v>
      </c>
      <c r="O28" s="80">
        <v>-1486.2648100000001</v>
      </c>
      <c r="P28" s="80">
        <v>179.1202899999991</v>
      </c>
      <c r="Q28" s="80">
        <v>1693.8712780000008</v>
      </c>
      <c r="R28" s="80">
        <v>30.067840000000782</v>
      </c>
      <c r="S28" s="80">
        <v>281.89244999999551</v>
      </c>
      <c r="T28" s="80">
        <v>188.39971999999881</v>
      </c>
      <c r="U28" s="80">
        <v>-1321.4714200000055</v>
      </c>
      <c r="V28" s="80">
        <v>-2580.9251299999992</v>
      </c>
      <c r="W28" s="80">
        <v>-829.11350000000186</v>
      </c>
      <c r="X28" s="80">
        <v>-1783.7362300000009</v>
      </c>
      <c r="Y28" s="80">
        <v>-7315.6457999999966</v>
      </c>
      <c r="Z28" s="80">
        <v>340.11961000000127</v>
      </c>
      <c r="AA28" s="80">
        <v>-587.83263114600072</v>
      </c>
      <c r="AB28" s="80">
        <v>-213.41718999999947</v>
      </c>
      <c r="AC28" s="80">
        <v>1530.4343400000184</v>
      </c>
      <c r="AD28" s="80">
        <v>-1273.6401352319976</v>
      </c>
      <c r="AE28" s="80">
        <v>-434.77436236799463</v>
      </c>
      <c r="AF28" s="80">
        <v>1026.7094577279818</v>
      </c>
      <c r="AG28" s="80">
        <v>2675.0886336000049</v>
      </c>
      <c r="AH28" s="78">
        <v>-237.44383626099861</v>
      </c>
      <c r="AI28" s="78">
        <v>-179.22417959272488</v>
      </c>
      <c r="AJ28"/>
      <c r="AK28" s="78">
        <f>SUM(B28:E28)</f>
        <v>0</v>
      </c>
      <c r="AL28" s="78">
        <f>SUM(F28:I28)</f>
        <v>0</v>
      </c>
      <c r="AM28" s="78">
        <f>SUM(J28:M28)</f>
        <v>-7867.1480300000021</v>
      </c>
      <c r="AN28" s="78">
        <f>SUM(N28:Q28)</f>
        <v>-1128.1226220000005</v>
      </c>
      <c r="AO28" s="78">
        <f>SUM(R28:U28)</f>
        <v>-821.11141000001044</v>
      </c>
      <c r="AP28" s="78">
        <f>SUM(V28:Y28)</f>
        <v>-12509.420659999998</v>
      </c>
      <c r="AQ28" s="78">
        <f>SUM(Z28:AC28)</f>
        <v>1069.3041288540194</v>
      </c>
      <c r="AR28" s="78">
        <f>SUM(AD28:AG28)</f>
        <v>1993.3835937279944</v>
      </c>
    </row>
    <row r="29" spans="1:44" s="25" customFormat="1">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c r="AK29" s="78"/>
      <c r="AL29" s="78"/>
      <c r="AM29" s="78"/>
      <c r="AN29" s="78"/>
      <c r="AO29" s="78"/>
      <c r="AP29" s="78"/>
      <c r="AQ29" s="78"/>
      <c r="AR29" s="78"/>
    </row>
    <row r="30" spans="1:44" s="25" customFormat="1">
      <c r="A30" s="19" t="str">
        <f>INDEX({"Lucro antes do IR e da contribuição social";"Earnings before Income Tax and Social Charges"},Home!$R$30)</f>
        <v>Lucro antes do IR e da contribuição social</v>
      </c>
      <c r="B30" s="81">
        <f t="shared" ref="B30:Y30" si="30">+B26+B22+B28</f>
        <v>142174.16945970885</v>
      </c>
      <c r="C30" s="81">
        <f t="shared" si="30"/>
        <v>170623.30382300747</v>
      </c>
      <c r="D30" s="81">
        <f t="shared" si="30"/>
        <v>146832.98448818756</v>
      </c>
      <c r="E30" s="81">
        <f t="shared" si="30"/>
        <v>168031.946320007</v>
      </c>
      <c r="F30" s="81">
        <f t="shared" si="30"/>
        <v>106334.16509969808</v>
      </c>
      <c r="G30" s="81">
        <f t="shared" si="30"/>
        <v>189499.99749999971</v>
      </c>
      <c r="H30" s="81">
        <f t="shared" si="30"/>
        <v>165776.30317451601</v>
      </c>
      <c r="I30" s="81">
        <f t="shared" si="30"/>
        <v>120795.70636000048</v>
      </c>
      <c r="J30" s="81">
        <f t="shared" si="30"/>
        <v>180056.99153305247</v>
      </c>
      <c r="K30" s="81">
        <f t="shared" si="30"/>
        <v>50293.513500000598</v>
      </c>
      <c r="L30" s="81">
        <f t="shared" si="30"/>
        <v>199212.86831999975</v>
      </c>
      <c r="M30" s="81">
        <f t="shared" si="30"/>
        <v>218343.64525000108</v>
      </c>
      <c r="N30" s="81">
        <f t="shared" si="30"/>
        <v>229009.39699999947</v>
      </c>
      <c r="O30" s="81">
        <f t="shared" si="30"/>
        <v>298361.68331000005</v>
      </c>
      <c r="P30" s="81">
        <f t="shared" si="30"/>
        <v>228152.98230000027</v>
      </c>
      <c r="Q30" s="81">
        <f t="shared" si="30"/>
        <v>191084.02867466776</v>
      </c>
      <c r="R30" s="81">
        <f t="shared" si="30"/>
        <v>127819.0312200005</v>
      </c>
      <c r="S30" s="81">
        <f t="shared" si="30"/>
        <v>443915.62008999946</v>
      </c>
      <c r="T30" s="81">
        <f t="shared" si="30"/>
        <v>236422.06879999721</v>
      </c>
      <c r="U30" s="81">
        <f t="shared" si="30"/>
        <v>298530.59411764325</v>
      </c>
      <c r="V30" s="81">
        <f t="shared" si="30"/>
        <v>197317.75803999833</v>
      </c>
      <c r="W30" s="81">
        <f t="shared" si="30"/>
        <v>392968.70528481161</v>
      </c>
      <c r="X30" s="81">
        <f t="shared" si="30"/>
        <v>258860.74149443745</v>
      </c>
      <c r="Y30" s="81">
        <f t="shared" si="30"/>
        <v>289110.51070443576</v>
      </c>
      <c r="Z30" s="81">
        <f>+Z26+Z22+Z28</f>
        <v>279771.44228443346</v>
      </c>
      <c r="AA30" s="81">
        <f t="shared" ref="AA30:AB30" si="31">+AA26+AA22+AA28</f>
        <v>425273.75338329253</v>
      </c>
      <c r="AB30" s="81">
        <f t="shared" si="31"/>
        <v>400671.48609443317</v>
      </c>
      <c r="AC30" s="81">
        <f>+AC26+AC22+AC28</f>
        <v>320574.98098443658</v>
      </c>
      <c r="AD30" s="81">
        <f t="shared" ref="AD30:AE30" si="32">AD26+AD22+AD28</f>
        <v>170707.3429678246</v>
      </c>
      <c r="AE30" s="81">
        <f t="shared" si="32"/>
        <v>378595.35343705292</v>
      </c>
      <c r="AF30" s="81">
        <f t="shared" ref="AF30:AH30" si="33">AF26+AF22+AF28</f>
        <v>391707.23135204741</v>
      </c>
      <c r="AG30" s="81">
        <f t="shared" si="33"/>
        <v>345832.33559413406</v>
      </c>
      <c r="AH30" s="81">
        <f t="shared" si="33"/>
        <v>322223.68816927396</v>
      </c>
      <c r="AI30" s="81">
        <f t="shared" ref="AI30" si="34">AI26+AI22+AI28</f>
        <v>518562.09714040841</v>
      </c>
      <c r="AJ30"/>
      <c r="AK30" s="81">
        <f t="shared" ref="AK30:AR30" si="35">AK26+AK22+AK28</f>
        <v>627662.4040909108</v>
      </c>
      <c r="AL30" s="81">
        <f t="shared" si="35"/>
        <v>582406.17213421455</v>
      </c>
      <c r="AM30" s="81">
        <f t="shared" si="35"/>
        <v>647907.01860305609</v>
      </c>
      <c r="AN30" s="81">
        <f t="shared" si="35"/>
        <v>946608.09128466819</v>
      </c>
      <c r="AO30" s="81">
        <f t="shared" si="35"/>
        <v>1106687.3142276404</v>
      </c>
      <c r="AP30" s="81">
        <f t="shared" si="35"/>
        <v>1138257.7155236795</v>
      </c>
      <c r="AQ30" s="81">
        <f t="shared" si="35"/>
        <v>1426291.6627465927</v>
      </c>
      <c r="AR30" s="81">
        <f t="shared" si="35"/>
        <v>1286842.2633510593</v>
      </c>
    </row>
    <row r="31" spans="1:44" s="25" customFormat="1">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c r="AK31" s="78"/>
      <c r="AL31" s="78"/>
      <c r="AM31" s="78"/>
      <c r="AN31" s="78"/>
      <c r="AO31" s="78"/>
      <c r="AP31" s="78"/>
      <c r="AQ31" s="78"/>
      <c r="AR31" s="78"/>
    </row>
    <row r="32" spans="1:44" s="25" customFormat="1">
      <c r="A32" s="17" t="str">
        <f>INDEX({"Imposto de renda e contribuição social";"Income Tax and Social Charges"},Home!$R$30)</f>
        <v>Imposto de renda e contribuição social</v>
      </c>
      <c r="B32" s="106">
        <v>-32657.297076940849</v>
      </c>
      <c r="C32" s="106">
        <v>-41975.394917812824</v>
      </c>
      <c r="D32" s="106">
        <v>-26339.482911343584</v>
      </c>
      <c r="E32" s="106">
        <v>-24754.211844421836</v>
      </c>
      <c r="F32" s="106">
        <v>-12419.5999942</v>
      </c>
      <c r="G32" s="106">
        <v>-40098.696520199999</v>
      </c>
      <c r="H32" s="106">
        <v>-30215.851988940252</v>
      </c>
      <c r="I32" s="106">
        <v>-908.28150613674188</v>
      </c>
      <c r="J32" s="106">
        <v>-47798.688464399995</v>
      </c>
      <c r="K32" s="106">
        <v>-3384.2429104000012</v>
      </c>
      <c r="L32" s="106">
        <v>-46211.673862600001</v>
      </c>
      <c r="M32" s="106">
        <v>-34164.202148600001</v>
      </c>
      <c r="N32" s="106">
        <v>-63703.868339399989</v>
      </c>
      <c r="O32" s="106">
        <v>-79494.26892339997</v>
      </c>
      <c r="P32" s="106">
        <v>-67933.771942799984</v>
      </c>
      <c r="Q32" s="106">
        <v>1823.8520626000009</v>
      </c>
      <c r="R32" s="106">
        <v>7762.8944633999999</v>
      </c>
      <c r="S32" s="106">
        <v>-109332.11803639999</v>
      </c>
      <c r="T32" s="106">
        <v>-40106.313844600008</v>
      </c>
      <c r="U32" s="106">
        <v>-7150.0443187999945</v>
      </c>
      <c r="V32" s="106">
        <v>-3456.9866312000004</v>
      </c>
      <c r="W32" s="106">
        <v>-65321.540649400013</v>
      </c>
      <c r="X32" s="106">
        <v>-19019.578603799986</v>
      </c>
      <c r="Y32" s="106">
        <v>-15083.589554599994</v>
      </c>
      <c r="Z32" s="106">
        <v>-86655.743047999989</v>
      </c>
      <c r="AA32" s="106">
        <v>-90418.493835200003</v>
      </c>
      <c r="AB32" s="106">
        <v>-88087.2097412</v>
      </c>
      <c r="AC32" s="106">
        <v>55059.564410999985</v>
      </c>
      <c r="AD32" s="106">
        <v>-24943.509633000001</v>
      </c>
      <c r="AE32" s="106">
        <v>-53255.758956199999</v>
      </c>
      <c r="AF32" s="106">
        <v>-62260.43318279997</v>
      </c>
      <c r="AG32" s="106">
        <v>-40915.364874999992</v>
      </c>
      <c r="AH32" s="106">
        <v>-41880.108989882159</v>
      </c>
      <c r="AI32" s="106">
        <v>-110070.88511419998</v>
      </c>
      <c r="AJ32"/>
      <c r="AK32" s="106">
        <f>SUM(B32:E32)</f>
        <v>-125726.38675051909</v>
      </c>
      <c r="AL32" s="106">
        <f>SUM(F32:I32)</f>
        <v>-83642.430009477001</v>
      </c>
      <c r="AM32" s="106">
        <f>SUM(J32:M32)</f>
        <v>-131558.807386</v>
      </c>
      <c r="AN32" s="106">
        <f>SUM(N32:Q32)</f>
        <v>-209308.05714299993</v>
      </c>
      <c r="AO32" s="106">
        <f>SUM(R32:U32)</f>
        <v>-148825.5817364</v>
      </c>
      <c r="AP32" s="106">
        <f>SUM(V32:Y32)</f>
        <v>-102881.69543899999</v>
      </c>
      <c r="AQ32" s="106">
        <f>SUM(Z32:AC32)</f>
        <v>-210101.88221339998</v>
      </c>
      <c r="AR32" s="106">
        <f>SUM(AD32:AG32)</f>
        <v>-181375.06664699997</v>
      </c>
    </row>
    <row r="33" spans="1:57" s="25" customFormat="1">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c r="AK33" s="78"/>
      <c r="AL33" s="78"/>
      <c r="AM33" s="78"/>
      <c r="AN33" s="78"/>
      <c r="AO33" s="78"/>
      <c r="AP33" s="78"/>
      <c r="AQ33" s="78"/>
      <c r="AR33" s="78"/>
    </row>
    <row r="34" spans="1:57" customFormat="1">
      <c r="A34" s="94" t="str">
        <f>INDEX({"Lucro líq. operações continuadas";"Net income continued operations"},Home!$R$30)</f>
        <v>Lucro líq. operações continuadas</v>
      </c>
      <c r="B34" s="95">
        <f t="shared" ref="B34:AB34" si="36">+B32+B30</f>
        <v>109516.87238276799</v>
      </c>
      <c r="C34" s="95">
        <f t="shared" si="36"/>
        <v>128647.90890519465</v>
      </c>
      <c r="D34" s="95">
        <f t="shared" si="36"/>
        <v>120493.50157684398</v>
      </c>
      <c r="E34" s="95">
        <f t="shared" si="36"/>
        <v>143277.73447558517</v>
      </c>
      <c r="F34" s="95">
        <f t="shared" si="36"/>
        <v>93914.56510549807</v>
      </c>
      <c r="G34" s="95">
        <f t="shared" si="36"/>
        <v>149401.30097979971</v>
      </c>
      <c r="H34" s="95">
        <f t="shared" si="36"/>
        <v>135560.45118557574</v>
      </c>
      <c r="I34" s="95">
        <f t="shared" si="36"/>
        <v>119887.42485386373</v>
      </c>
      <c r="J34" s="95">
        <f t="shared" si="36"/>
        <v>132258.30306865246</v>
      </c>
      <c r="K34" s="95">
        <f t="shared" si="36"/>
        <v>46909.270589600594</v>
      </c>
      <c r="L34" s="95">
        <f t="shared" si="36"/>
        <v>153001.19445739975</v>
      </c>
      <c r="M34" s="95">
        <f t="shared" si="36"/>
        <v>184179.44310140109</v>
      </c>
      <c r="N34" s="95">
        <f t="shared" si="36"/>
        <v>165305.52866059949</v>
      </c>
      <c r="O34" s="95">
        <f t="shared" si="36"/>
        <v>218867.41438660008</v>
      </c>
      <c r="P34" s="95">
        <f t="shared" si="36"/>
        <v>160219.2103572003</v>
      </c>
      <c r="Q34" s="95">
        <f t="shared" si="36"/>
        <v>192907.88073726775</v>
      </c>
      <c r="R34" s="95">
        <f t="shared" si="36"/>
        <v>135581.92568340051</v>
      </c>
      <c r="S34" s="95">
        <f t="shared" si="36"/>
        <v>334583.50205359946</v>
      </c>
      <c r="T34" s="95">
        <f t="shared" si="36"/>
        <v>196315.75495539722</v>
      </c>
      <c r="U34" s="95">
        <f t="shared" si="36"/>
        <v>291380.54979884328</v>
      </c>
      <c r="V34" s="95">
        <f t="shared" si="36"/>
        <v>193860.77140879832</v>
      </c>
      <c r="W34" s="95">
        <f t="shared" si="36"/>
        <v>327647.16463541158</v>
      </c>
      <c r="X34" s="95">
        <f t="shared" si="36"/>
        <v>239841.16289063747</v>
      </c>
      <c r="Y34" s="95">
        <f t="shared" si="36"/>
        <v>274026.92114983575</v>
      </c>
      <c r="Z34" s="95">
        <f t="shared" si="36"/>
        <v>193115.69923643349</v>
      </c>
      <c r="AA34" s="95">
        <f t="shared" si="36"/>
        <v>334855.25954809249</v>
      </c>
      <c r="AB34" s="95">
        <f t="shared" si="36"/>
        <v>312584.27635323314</v>
      </c>
      <c r="AC34" s="95">
        <f t="shared" ref="AC34" si="37">+AC32+AC30</f>
        <v>375634.54539543658</v>
      </c>
      <c r="AD34" s="95">
        <f t="shared" ref="AD34:AE34" si="38">AD32+AD30</f>
        <v>145763.83333482459</v>
      </c>
      <c r="AE34" s="95">
        <f t="shared" si="38"/>
        <v>325339.59448085295</v>
      </c>
      <c r="AF34" s="95">
        <f t="shared" ref="AF34:AH34" si="39">AF32+AF30</f>
        <v>329446.79816924746</v>
      </c>
      <c r="AG34" s="95">
        <f t="shared" si="39"/>
        <v>304916.97071913409</v>
      </c>
      <c r="AH34" s="95">
        <f t="shared" si="39"/>
        <v>280343.57917939179</v>
      </c>
      <c r="AI34" s="95">
        <f t="shared" ref="AI34" si="40">AI32+AI30</f>
        <v>408491.21202620841</v>
      </c>
      <c r="AK34" s="95">
        <f t="shared" ref="AK34:AR34" si="41">AK32+AK30</f>
        <v>501936.0173403917</v>
      </c>
      <c r="AL34" s="95">
        <f t="shared" si="41"/>
        <v>498763.74212473753</v>
      </c>
      <c r="AM34" s="95">
        <f t="shared" si="41"/>
        <v>516348.21121705609</v>
      </c>
      <c r="AN34" s="95">
        <f t="shared" si="41"/>
        <v>737300.03414166823</v>
      </c>
      <c r="AO34" s="95">
        <f t="shared" si="41"/>
        <v>957861.73249124037</v>
      </c>
      <c r="AP34" s="95">
        <f t="shared" si="41"/>
        <v>1035376.0200846795</v>
      </c>
      <c r="AQ34" s="95">
        <f t="shared" si="41"/>
        <v>1216189.7805331927</v>
      </c>
      <c r="AR34" s="95">
        <f t="shared" si="41"/>
        <v>1105467.1967040594</v>
      </c>
    </row>
    <row r="35" spans="1:57" customFormat="1">
      <c r="A35" s="25"/>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K35" s="78"/>
      <c r="AL35" s="78"/>
      <c r="AM35" s="78"/>
      <c r="AN35" s="78"/>
      <c r="AO35" s="78"/>
      <c r="AP35" s="78"/>
      <c r="AQ35" s="78"/>
      <c r="AR35" s="78"/>
      <c r="AS35" s="78"/>
      <c r="AT35" s="78"/>
      <c r="AU35" s="78"/>
      <c r="AV35" s="78"/>
      <c r="AW35" s="78"/>
      <c r="AX35" s="78"/>
      <c r="AY35" s="78"/>
      <c r="AZ35" s="78"/>
      <c r="BA35" s="78"/>
      <c r="BB35" s="78"/>
      <c r="BC35" s="78"/>
      <c r="BD35" s="78"/>
      <c r="BE35" s="78"/>
    </row>
    <row r="36" spans="1:57" customFormat="1">
      <c r="A36" s="17" t="str">
        <f>INDEX({"Resultado de operações descontinuadas (4Bio)";"Results of discontinued operations (4Bio)"},Home!$R$30)</f>
        <v>Resultado de operações descontinuadas (4Bio)</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99">
        <v>0</v>
      </c>
      <c r="AD36" s="99">
        <v>14961.701548400801</v>
      </c>
      <c r="AE36" s="99">
        <v>58733.861981798997</v>
      </c>
      <c r="AF36" s="99">
        <v>55173.660956199899</v>
      </c>
      <c r="AG36" s="99">
        <v>11481.314300202201</v>
      </c>
      <c r="AH36" s="99">
        <v>16497.782219599998</v>
      </c>
      <c r="AI36" s="80">
        <v>8304.2441273999993</v>
      </c>
      <c r="AK36" s="80">
        <f>SUM(B36:E36)</f>
        <v>0</v>
      </c>
      <c r="AL36" s="80">
        <f>SUM(F36:I36)</f>
        <v>0</v>
      </c>
      <c r="AM36" s="80">
        <f>SUM(J36:M36)</f>
        <v>0</v>
      </c>
      <c r="AN36" s="80">
        <f>SUM(N36:Q36)</f>
        <v>0</v>
      </c>
      <c r="AO36" s="80">
        <f>SUM(R36:U36)</f>
        <v>0</v>
      </c>
      <c r="AP36" s="80">
        <f>SUM(V36:Y36)</f>
        <v>0</v>
      </c>
      <c r="AQ36" s="80">
        <f>SUM(Z36:AC36)</f>
        <v>0</v>
      </c>
      <c r="AR36" s="80">
        <f>SUM(AD36:AG36)</f>
        <v>140350.53878660192</v>
      </c>
    </row>
    <row r="37" spans="1:57" customFormat="1">
      <c r="A37" s="94" t="str">
        <f>INDEX({"Lucro líquido";"Net income"},Home!$R$30)</f>
        <v>Lucro líquido</v>
      </c>
      <c r="B37" s="95">
        <f t="shared" ref="B37:AH37" si="42">B36+B34</f>
        <v>109516.87238276799</v>
      </c>
      <c r="C37" s="95">
        <f t="shared" si="42"/>
        <v>128647.90890519465</v>
      </c>
      <c r="D37" s="95">
        <f t="shared" si="42"/>
        <v>120493.50157684398</v>
      </c>
      <c r="E37" s="95">
        <f t="shared" si="42"/>
        <v>143277.73447558517</v>
      </c>
      <c r="F37" s="95">
        <f t="shared" si="42"/>
        <v>93914.56510549807</v>
      </c>
      <c r="G37" s="95">
        <f t="shared" si="42"/>
        <v>149401.30097979971</v>
      </c>
      <c r="H37" s="95">
        <f t="shared" si="42"/>
        <v>135560.45118557574</v>
      </c>
      <c r="I37" s="95">
        <f t="shared" si="42"/>
        <v>119887.42485386373</v>
      </c>
      <c r="J37" s="95">
        <f t="shared" si="42"/>
        <v>132258.30306865246</v>
      </c>
      <c r="K37" s="95">
        <f t="shared" si="42"/>
        <v>46909.270589600594</v>
      </c>
      <c r="L37" s="95">
        <f t="shared" si="42"/>
        <v>153001.19445739975</v>
      </c>
      <c r="M37" s="95">
        <f t="shared" si="42"/>
        <v>184179.44310140109</v>
      </c>
      <c r="N37" s="95">
        <f t="shared" si="42"/>
        <v>165305.52866059949</v>
      </c>
      <c r="O37" s="95">
        <f t="shared" si="42"/>
        <v>218867.41438660008</v>
      </c>
      <c r="P37" s="95">
        <f t="shared" si="42"/>
        <v>160219.2103572003</v>
      </c>
      <c r="Q37" s="95">
        <f t="shared" si="42"/>
        <v>192907.88073726775</v>
      </c>
      <c r="R37" s="95">
        <f t="shared" si="42"/>
        <v>135581.92568340051</v>
      </c>
      <c r="S37" s="95">
        <f t="shared" si="42"/>
        <v>334583.50205359946</v>
      </c>
      <c r="T37" s="95">
        <f t="shared" si="42"/>
        <v>196315.75495539722</v>
      </c>
      <c r="U37" s="95">
        <f t="shared" si="42"/>
        <v>291380.54979884328</v>
      </c>
      <c r="V37" s="95">
        <f t="shared" si="42"/>
        <v>193860.77140879832</v>
      </c>
      <c r="W37" s="95">
        <f t="shared" si="42"/>
        <v>327647.16463541158</v>
      </c>
      <c r="X37" s="95">
        <f t="shared" si="42"/>
        <v>239841.16289063747</v>
      </c>
      <c r="Y37" s="95">
        <f t="shared" si="42"/>
        <v>274026.92114983575</v>
      </c>
      <c r="Z37" s="95">
        <f t="shared" si="42"/>
        <v>193115.69923643349</v>
      </c>
      <c r="AA37" s="95">
        <f t="shared" si="42"/>
        <v>334855.25954809249</v>
      </c>
      <c r="AB37" s="95">
        <f t="shared" si="42"/>
        <v>312584.27635323314</v>
      </c>
      <c r="AC37" s="95">
        <f t="shared" si="42"/>
        <v>375634.54539543658</v>
      </c>
      <c r="AD37" s="95">
        <f t="shared" si="42"/>
        <v>160725.53488322539</v>
      </c>
      <c r="AE37" s="95">
        <f t="shared" si="42"/>
        <v>384073.45646265196</v>
      </c>
      <c r="AF37" s="95">
        <f t="shared" si="42"/>
        <v>384620.45912544738</v>
      </c>
      <c r="AG37" s="95">
        <f t="shared" si="42"/>
        <v>316398.28501933627</v>
      </c>
      <c r="AH37" s="95">
        <f t="shared" si="42"/>
        <v>296841.36139899178</v>
      </c>
      <c r="AI37" s="95">
        <f t="shared" ref="AI37" si="43">AI36+AI34</f>
        <v>416795.45615360839</v>
      </c>
      <c r="AK37" s="95">
        <f t="shared" ref="AK37:AR37" si="44">AK36+AK34</f>
        <v>501936.0173403917</v>
      </c>
      <c r="AL37" s="95">
        <f t="shared" si="44"/>
        <v>498763.74212473753</v>
      </c>
      <c r="AM37" s="95">
        <f t="shared" si="44"/>
        <v>516348.21121705609</v>
      </c>
      <c r="AN37" s="95">
        <f t="shared" si="44"/>
        <v>737300.03414166823</v>
      </c>
      <c r="AO37" s="95">
        <f t="shared" si="44"/>
        <v>957861.73249124037</v>
      </c>
      <c r="AP37" s="95">
        <f t="shared" si="44"/>
        <v>1035376.0200846795</v>
      </c>
      <c r="AQ37" s="95">
        <f t="shared" si="44"/>
        <v>1216189.7805331927</v>
      </c>
      <c r="AR37" s="95">
        <f t="shared" si="44"/>
        <v>1245817.7354906613</v>
      </c>
    </row>
    <row r="38" spans="1:57" s="25" customFormat="1">
      <c r="AJ38"/>
    </row>
    <row r="39" spans="1:57" s="25" customFormat="1" ht="52">
      <c r="A39" s="30" t="str">
        <f>INDEX({"*Ajustado para considerar as operações da Onofre somente após suas respectivas integrações. As lojas foram incluídas de agosto em diante, enquanto a operação de e-commerce e as estruturas corporativa e de logística foram excluídas nesse trimestre.";"*Adjusted to consider Onofre’s operations only after their respective integration. Therefore, the stores are included from August onwards, while the e-commerce operations, as well as the corporate and logistics structures, have been fully excluded."},Home!$R$30)</f>
        <v>*Ajustado para considerar as operações da Onofre somente após suas respectivas integrações. As lojas foram incluídas de agosto em diante, enquanto a operação de e-commerce e as estruturas corporativa e de logística foram excluídas nesse trimestre.</v>
      </c>
      <c r="S39" s="23"/>
      <c r="T39" s="23"/>
      <c r="U39" s="23"/>
      <c r="V39" s="23"/>
      <c r="W39" s="23"/>
      <c r="X39" s="23"/>
      <c r="Y39" s="23"/>
      <c r="Z39" s="23"/>
      <c r="AA39" s="23"/>
      <c r="AB39" s="23"/>
      <c r="AC39" s="23"/>
      <c r="AD39" s="23"/>
      <c r="AE39" s="23"/>
      <c r="AF39" s="23"/>
      <c r="AG39" s="23"/>
      <c r="AJ39"/>
    </row>
    <row r="40" spans="1:57">
      <c r="AD40" s="23"/>
      <c r="AE40" s="23"/>
      <c r="AF40" s="23"/>
      <c r="AG40" s="23"/>
      <c r="AK40" s="25"/>
      <c r="AL40" s="25"/>
      <c r="AM40" s="25"/>
      <c r="AN40" s="25"/>
      <c r="AO40" s="25"/>
      <c r="AP40" s="25"/>
      <c r="AQ40" s="25"/>
      <c r="AR40" s="25"/>
    </row>
  </sheetData>
  <pageMargins left="0.78740157499999996" right="0.78740157499999996" top="0.984251969" bottom="0.984251969" header="0.4921259845" footer="0.4921259845"/>
  <pageSetup paperSize="9" orientation="portrait" r:id="rId1"/>
  <ignoredErrors>
    <ignoredError sqref="AK3:AK37 AL3:AL37 AM3:AR37"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D1C3"/>
  </sheetPr>
  <dimension ref="A1:BG40"/>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15" customWidth="1"/>
    <col min="2" max="2" width="10.6328125" style="15" customWidth="1"/>
    <col min="3" max="35" width="10.6328125" style="15"/>
    <col min="36" max="36" width="14.1796875" customWidth="1"/>
    <col min="37" max="16384" width="10.6328125" style="15"/>
  </cols>
  <sheetData>
    <row r="1" spans="1:44" customFormat="1" ht="20" customHeight="1" thickBot="1">
      <c r="A1" s="61" t="str">
        <f>INDEX({"DRE Consolidado IFRS 16 (R$ mil)";"Consolidated Income Statement IFRS 16 (R$ thousands)"},Home!$R$30)</f>
        <v>DRE Consolidado IFRS 16 (R$ mil)</v>
      </c>
      <c r="B1" s="70" t="str">
        <f>INDEX({"1T18";"1Q18"},Home!$R$30)</f>
        <v>1T18</v>
      </c>
      <c r="C1" s="70" t="str">
        <f>INDEX({"2T18";"2Q18"},Home!$R$30)</f>
        <v>2T18</v>
      </c>
      <c r="D1" s="70" t="str">
        <f>INDEX({"3T18";"3Q18"},Home!$R$30)</f>
        <v>3T18</v>
      </c>
      <c r="E1" s="70" t="str">
        <f>INDEX({"4T18";"4Q18"},Home!$R$30)</f>
        <v>4T18</v>
      </c>
      <c r="F1" s="70" t="str">
        <f>INDEX({"1T19";"1Q19"},Home!$R$30)</f>
        <v>1T19</v>
      </c>
      <c r="G1" s="70" t="str">
        <f>INDEX({"2T19";"2Q19"},Home!$R$30)</f>
        <v>2T19</v>
      </c>
      <c r="H1" s="70" t="str">
        <f>INDEX({"3T19*";"3Q19*"},Home!$R$30)</f>
        <v>3T19*</v>
      </c>
      <c r="I1" s="70" t="str">
        <f>INDEX({"4T19";"4Q19"},Home!$R$30)</f>
        <v>4T19</v>
      </c>
      <c r="J1" s="70" t="str">
        <f>INDEX({"1T20";"1Q20"},Home!$R$30)</f>
        <v>1T20</v>
      </c>
      <c r="K1" s="70" t="str">
        <f>INDEX({"2T20";"2Q20"},Home!$R$30)</f>
        <v>2T20</v>
      </c>
      <c r="L1" s="70" t="str">
        <f>INDEX({"3T20";"3Q20"},Home!$R$30)</f>
        <v>3T20</v>
      </c>
      <c r="M1" s="70" t="str">
        <f>INDEX({"4T20";"4Q20"},Home!$R$30)</f>
        <v>4T20</v>
      </c>
      <c r="N1" s="70" t="str">
        <f>INDEX({"1T21";"1Q21"},Home!$R$30)</f>
        <v>1T21</v>
      </c>
      <c r="O1" s="70" t="str">
        <f>INDEX({"2T21";"2Q21"},Home!$R$30)</f>
        <v>2T21</v>
      </c>
      <c r="P1" s="70" t="str">
        <f>INDEX({"3T21";"3Q21"},Home!$R$30)</f>
        <v>3T21</v>
      </c>
      <c r="Q1" s="70" t="str">
        <f>INDEX({"4T21";"4Q21"},Home!$R$30)</f>
        <v>4T21</v>
      </c>
      <c r="R1" s="70" t="str">
        <f>INDEX({"1T22";"1Q22"},Home!$R$30)</f>
        <v>1T22</v>
      </c>
      <c r="S1" s="70" t="str">
        <f>INDEX({"2T22";"2Q22"},Home!$R$30)</f>
        <v>2T22</v>
      </c>
      <c r="T1" s="70" t="str">
        <f>INDEX({"3T22";"3Q22"},Home!$R$30)</f>
        <v>3T22</v>
      </c>
      <c r="U1" s="70" t="str">
        <f>INDEX({"4T22";"4Q22"},Home!$R$30)</f>
        <v>4T22</v>
      </c>
      <c r="V1" s="70" t="str">
        <f>INDEX({"1T23";"1Q23"},Home!$R$30)</f>
        <v>1T23</v>
      </c>
      <c r="W1" s="70" t="str">
        <f>INDEX({"2T23";"2Q23"},Home!$R$30)</f>
        <v>2T23</v>
      </c>
      <c r="X1" s="70" t="str">
        <f>INDEX({"3T23";"3Q23"},Home!$R$30)</f>
        <v>3T23</v>
      </c>
      <c r="Y1" s="70" t="str">
        <f>INDEX({"4T23";"4Q23"},Home!$R$30)</f>
        <v>4T23</v>
      </c>
      <c r="Z1" s="70" t="str">
        <f>INDEX({"1T24";"1Q24"},Home!$R$30)</f>
        <v>1T24</v>
      </c>
      <c r="AA1" s="70" t="str">
        <f>INDEX({"2T24";"2Q24"},Home!$R$30)</f>
        <v>2T24</v>
      </c>
      <c r="AB1" s="70" t="str">
        <f>INDEX({"3T24";"3Q24"},Home!$R$30)</f>
        <v>3T24</v>
      </c>
      <c r="AC1" s="70" t="str">
        <f>INDEX({"4T24";"4Q24"},Home!$R$30)</f>
        <v>4T24</v>
      </c>
      <c r="AD1" s="70" t="str">
        <f>INDEX({"1T25";"1Q25"},Home!$R$30)</f>
        <v>1T25</v>
      </c>
      <c r="AE1" s="70" t="str">
        <f>INDEX({"2T25";"2Q25"},Home!$R$30)</f>
        <v>2T25</v>
      </c>
      <c r="AF1" s="70" t="str">
        <f>INDEX({"3T25";"3Q25"},Home!$R$30)</f>
        <v>3T25</v>
      </c>
      <c r="AG1" s="70" t="str">
        <f>INDEX({"4T25";"4Q25"},Home!$R$30)</f>
        <v>4T25</v>
      </c>
      <c r="AH1" s="70" t="str">
        <f>INDEX({"1T26";"1Q26"},Home!$R$30)</f>
        <v>1T26</v>
      </c>
      <c r="AI1" s="70" t="str">
        <f>INDEX({"2T26";"2Q26"},Home!$R$30)</f>
        <v>2T26</v>
      </c>
      <c r="AK1" s="77">
        <v>2018</v>
      </c>
      <c r="AL1" s="77">
        <v>2019</v>
      </c>
      <c r="AM1" s="77">
        <v>2020</v>
      </c>
      <c r="AN1" s="77">
        <v>2021</v>
      </c>
      <c r="AO1" s="77">
        <v>2022</v>
      </c>
      <c r="AP1" s="77">
        <v>2023</v>
      </c>
      <c r="AQ1" s="77">
        <v>2024</v>
      </c>
      <c r="AR1" s="77">
        <v>2025</v>
      </c>
    </row>
    <row r="2" spans="1:44" s="25" customFormat="1">
      <c r="B2" s="78"/>
      <c r="C2" s="78"/>
      <c r="D2" s="78"/>
      <c r="E2" s="78"/>
      <c r="F2" s="78"/>
      <c r="G2" s="78"/>
      <c r="H2" s="78"/>
      <c r="I2" s="78"/>
      <c r="J2" s="78"/>
      <c r="K2" s="78"/>
      <c r="L2" s="78"/>
      <c r="M2" s="78"/>
      <c r="N2" s="78"/>
      <c r="O2" s="78"/>
      <c r="P2" s="78"/>
      <c r="Q2" s="78"/>
      <c r="R2" s="78"/>
      <c r="S2" s="78"/>
      <c r="T2" s="78"/>
      <c r="U2" s="78"/>
      <c r="V2" s="79" t="str">
        <f>INDEX({"Reclassif.";"Reclassif."},Home!$R$30)</f>
        <v>Reclassif.</v>
      </c>
      <c r="W2" s="79" t="str">
        <f>INDEX({"Reclassif.";"Reclassif."},Home!$R$30)</f>
        <v>Reclassif.</v>
      </c>
      <c r="X2" s="79" t="str">
        <f>INDEX({"Reclassif.";"Reclassif."},Home!$R$30)</f>
        <v>Reclassif.</v>
      </c>
      <c r="Y2" s="79" t="str">
        <f>INDEX({"Reclassif.";"Reclassif."},Home!$R$30)</f>
        <v>Reclassif.</v>
      </c>
      <c r="Z2" s="78"/>
      <c r="AA2" s="78"/>
      <c r="AB2" s="78"/>
      <c r="AC2" s="78"/>
      <c r="AD2" s="79" t="str">
        <f>INDEX({"Reapresentado";"Resubmitted"},Home!$R$30)</f>
        <v>Reapresentado</v>
      </c>
      <c r="AE2" s="79" t="str">
        <f>INDEX({"Reapresentado";"Resubmitted"},Home!$R$30)</f>
        <v>Reapresentado</v>
      </c>
      <c r="AF2" s="79" t="str">
        <f>INDEX({"Reapresentado";"Resubmitted"},Home!$R$30)</f>
        <v>Reapresentado</v>
      </c>
      <c r="AG2" s="79" t="str">
        <f>INDEX({"Reapresentado";"Resubmitted"},Home!$R$30)</f>
        <v>Reapresentado</v>
      </c>
      <c r="AH2" s="78"/>
      <c r="AI2" s="78"/>
      <c r="AJ2"/>
      <c r="AK2" s="78"/>
      <c r="AL2" s="78"/>
      <c r="AM2" s="78"/>
      <c r="AN2" s="78"/>
      <c r="AO2" s="78"/>
      <c r="AP2" s="79" t="str">
        <f>INDEX({"Reclassif.";"Reclassif."},Home!$R$30)</f>
        <v>Reclassif.</v>
      </c>
      <c r="AQ2" s="78"/>
      <c r="AR2" s="79" t="str">
        <f>INDEX({"Reapresentado";"Resubmitted"},Home!$R$30)</f>
        <v>Reapresentado</v>
      </c>
    </row>
    <row r="3" spans="1:44" customFormat="1">
      <c r="A3" s="94" t="str">
        <f>INDEX({"Receita bruta de vendas e serviços";"Gross revenue"},Home!$R$30)</f>
        <v>Receita bruta de vendas e serviços</v>
      </c>
      <c r="B3" s="95">
        <v>3603969.0532000004</v>
      </c>
      <c r="C3" s="95">
        <v>3791577.6702899998</v>
      </c>
      <c r="D3" s="95">
        <v>3944676.7624499998</v>
      </c>
      <c r="E3" s="95">
        <v>4178909.3735000012</v>
      </c>
      <c r="F3" s="95">
        <v>4153922.8716500006</v>
      </c>
      <c r="G3" s="95">
        <v>4440683.2908499995</v>
      </c>
      <c r="H3" s="95">
        <v>4771279.8809899958</v>
      </c>
      <c r="I3" s="95">
        <v>5030160.0746200001</v>
      </c>
      <c r="J3" s="95">
        <v>5206320.2216200009</v>
      </c>
      <c r="K3" s="95">
        <v>4721872.3380100001</v>
      </c>
      <c r="L3" s="95">
        <v>5384230.3225699998</v>
      </c>
      <c r="M3" s="95">
        <v>5868052.4856400015</v>
      </c>
      <c r="N3" s="95">
        <v>5979507</v>
      </c>
      <c r="O3" s="95">
        <v>6245162</v>
      </c>
      <c r="P3" s="95">
        <v>6527874.65833</v>
      </c>
      <c r="Q3" s="95">
        <v>6853140.17294</v>
      </c>
      <c r="R3" s="95">
        <v>6972490</v>
      </c>
      <c r="S3" s="95">
        <v>7641161.3537899991</v>
      </c>
      <c r="T3" s="95">
        <v>7985785.9976899987</v>
      </c>
      <c r="U3" s="95">
        <v>8351126.2797199991</v>
      </c>
      <c r="V3" s="95">
        <v>8471318.9039799999</v>
      </c>
      <c r="W3" s="95">
        <v>9013829.9642600007</v>
      </c>
      <c r="X3" s="95">
        <v>9274782.4353400003</v>
      </c>
      <c r="Y3" s="95">
        <v>9538835.722529998</v>
      </c>
      <c r="Z3" s="95">
        <v>9767155.5103699993</v>
      </c>
      <c r="AA3" s="95">
        <v>10402635.421470001</v>
      </c>
      <c r="AB3" s="95">
        <v>10749829.755501499</v>
      </c>
      <c r="AC3" s="95">
        <v>10862352.540547201</v>
      </c>
      <c r="AD3" s="95">
        <v>9947866.9729399979</v>
      </c>
      <c r="AE3" s="95">
        <v>10803925.919229999</v>
      </c>
      <c r="AF3" s="95">
        <v>11347886.988501301</v>
      </c>
      <c r="AG3" s="95">
        <v>12186597.587122001</v>
      </c>
      <c r="AH3" s="95">
        <v>11979520.74842</v>
      </c>
      <c r="AI3" s="95">
        <v>12777743.22043</v>
      </c>
      <c r="AK3" s="95">
        <f>SUM(B3:E3)</f>
        <v>15519132.859440001</v>
      </c>
      <c r="AL3" s="95">
        <f>SUM(F3:I3)</f>
        <v>18396046.118109997</v>
      </c>
      <c r="AM3" s="95">
        <f>SUM(J3:M3)</f>
        <v>21180475.367840003</v>
      </c>
      <c r="AN3" s="95">
        <f>SUM(N3:Q3)</f>
        <v>25605683.831270002</v>
      </c>
      <c r="AO3" s="95">
        <f>SUM(R3:U3)</f>
        <v>30950563.631200001</v>
      </c>
      <c r="AP3" s="95">
        <f>SUM(V3:Y3)</f>
        <v>36298767.026110001</v>
      </c>
      <c r="AQ3" s="95">
        <f>SUM(Z3:AC3)</f>
        <v>41781973.227888703</v>
      </c>
      <c r="AR3" s="95">
        <f>SUM(AD3:AG3)</f>
        <v>44286277.467793301</v>
      </c>
    </row>
    <row r="4" spans="1:44" s="25" customFormat="1">
      <c r="A4" s="17" t="str">
        <f>INDEX({"Deduções";"Taxes, Discounts and Returns"},Home!$R$30)</f>
        <v>Deduções</v>
      </c>
      <c r="B4" s="80">
        <v>-170391.34349</v>
      </c>
      <c r="C4" s="80">
        <v>-177588.81256999995</v>
      </c>
      <c r="D4" s="80">
        <v>-187862.86900000004</v>
      </c>
      <c r="E4" s="80">
        <v>-181845.10029999999</v>
      </c>
      <c r="F4" s="80">
        <v>-200571.39491000003</v>
      </c>
      <c r="G4" s="80">
        <v>-215189.33674999996</v>
      </c>
      <c r="H4" s="80">
        <v>-232343.88381</v>
      </c>
      <c r="I4" s="80">
        <v>-245045.46244</v>
      </c>
      <c r="J4" s="80">
        <v>-256448.92066</v>
      </c>
      <c r="K4" s="80">
        <v>-252097.95259</v>
      </c>
      <c r="L4" s="80">
        <v>-290778.76572999998</v>
      </c>
      <c r="M4" s="80">
        <v>-314311.32542999997</v>
      </c>
      <c r="N4" s="80">
        <v>-359456.13932000002</v>
      </c>
      <c r="O4" s="80">
        <v>-376898.37956000003</v>
      </c>
      <c r="P4" s="80">
        <v>-363013</v>
      </c>
      <c r="Q4" s="80">
        <v>-379314.77528</v>
      </c>
      <c r="R4" s="80">
        <v>-409985.51458999992</v>
      </c>
      <c r="S4" s="80">
        <v>-462399.95567000011</v>
      </c>
      <c r="T4" s="80">
        <v>-495920.29657000001</v>
      </c>
      <c r="U4" s="80">
        <v>-514877.67183999997</v>
      </c>
      <c r="V4" s="80">
        <v>-546933.00274935085</v>
      </c>
      <c r="W4" s="80">
        <v>-581161.80842442531</v>
      </c>
      <c r="X4" s="80">
        <v>-610296.09252269962</v>
      </c>
      <c r="Y4" s="80">
        <v>-629677.57463639928</v>
      </c>
      <c r="Z4" s="80">
        <v>-666661.59641999996</v>
      </c>
      <c r="AA4" s="80">
        <v>-715414.97257999971</v>
      </c>
      <c r="AB4" s="80">
        <v>-760708.15104000003</v>
      </c>
      <c r="AC4" s="80">
        <v>-767666.77316999994</v>
      </c>
      <c r="AD4" s="80">
        <v>-674903.7567899999</v>
      </c>
      <c r="AE4" s="80">
        <v>-729302.57030000002</v>
      </c>
      <c r="AF4" s="80">
        <v>-767440.05429</v>
      </c>
      <c r="AG4" s="80">
        <v>-817574.6311</v>
      </c>
      <c r="AH4" s="78">
        <v>-1410931.5080900001</v>
      </c>
      <c r="AI4" s="78">
        <v>-1715344.4203699999</v>
      </c>
      <c r="AJ4"/>
      <c r="AK4" s="78">
        <f>SUM(B4:E4)</f>
        <v>-717688.12535999995</v>
      </c>
      <c r="AL4" s="78">
        <f>SUM(F4:I4)</f>
        <v>-893150.07790999999</v>
      </c>
      <c r="AM4" s="78">
        <f>SUM(J4:M4)</f>
        <v>-1113636.96441</v>
      </c>
      <c r="AN4" s="78">
        <f>SUM(N4:Q4)</f>
        <v>-1478682.29416</v>
      </c>
      <c r="AO4" s="78">
        <f>SUM(R4:U4)</f>
        <v>-1883183.4386700001</v>
      </c>
      <c r="AP4" s="78">
        <f>SUM(V4:Y4)</f>
        <v>-2368068.4783328753</v>
      </c>
      <c r="AQ4" s="78">
        <f>SUM(Z4:AC4)</f>
        <v>-2910451.4932099995</v>
      </c>
      <c r="AR4" s="78">
        <f>SUM(AD4:AG4)</f>
        <v>-2989221.0124799996</v>
      </c>
    </row>
    <row r="5" spans="1:44" s="25" customFormat="1">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c r="AK5" s="78"/>
      <c r="AL5" s="78"/>
      <c r="AM5" s="78"/>
      <c r="AN5" s="78"/>
      <c r="AO5" s="78"/>
      <c r="AP5" s="78"/>
      <c r="AQ5" s="78"/>
      <c r="AR5" s="78"/>
    </row>
    <row r="6" spans="1:44" s="25" customFormat="1">
      <c r="A6" s="19" t="str">
        <f>INDEX({"Receita líquida de vendas e serviços";"Net revenue"},Home!$R$30)</f>
        <v>Receita líquida de vendas e serviços</v>
      </c>
      <c r="B6" s="81">
        <f t="shared" ref="B6:Y6" si="0">B3+B4</f>
        <v>3433577.7097100005</v>
      </c>
      <c r="C6" s="81">
        <f t="shared" si="0"/>
        <v>3613988.8577199997</v>
      </c>
      <c r="D6" s="81">
        <f t="shared" si="0"/>
        <v>3756813.8934499999</v>
      </c>
      <c r="E6" s="81">
        <f t="shared" si="0"/>
        <v>3997064.2732000011</v>
      </c>
      <c r="F6" s="81">
        <f t="shared" si="0"/>
        <v>3953351.4767400008</v>
      </c>
      <c r="G6" s="81">
        <f t="shared" si="0"/>
        <v>4225493.9540999997</v>
      </c>
      <c r="H6" s="81">
        <f t="shared" si="0"/>
        <v>4538935.9971799962</v>
      </c>
      <c r="I6" s="81">
        <f t="shared" si="0"/>
        <v>4785114.6121800002</v>
      </c>
      <c r="J6" s="81">
        <f t="shared" si="0"/>
        <v>4949871.3009600006</v>
      </c>
      <c r="K6" s="81">
        <f t="shared" si="0"/>
        <v>4469774.3854200002</v>
      </c>
      <c r="L6" s="81">
        <f t="shared" si="0"/>
        <v>5093451.5568399997</v>
      </c>
      <c r="M6" s="81">
        <f t="shared" si="0"/>
        <v>5553741.1602100013</v>
      </c>
      <c r="N6" s="81">
        <f t="shared" si="0"/>
        <v>5620050.8606799999</v>
      </c>
      <c r="O6" s="81">
        <f t="shared" si="0"/>
        <v>5868263.6204399997</v>
      </c>
      <c r="P6" s="81">
        <f t="shared" si="0"/>
        <v>6164861.65833</v>
      </c>
      <c r="Q6" s="81">
        <f t="shared" si="0"/>
        <v>6473825.3976600002</v>
      </c>
      <c r="R6" s="81">
        <f t="shared" si="0"/>
        <v>6562504.4854100002</v>
      </c>
      <c r="S6" s="81">
        <f t="shared" si="0"/>
        <v>7178761.3981199991</v>
      </c>
      <c r="T6" s="81">
        <f t="shared" si="0"/>
        <v>7489865.7011199985</v>
      </c>
      <c r="U6" s="81">
        <f t="shared" si="0"/>
        <v>7836248.6078799991</v>
      </c>
      <c r="V6" s="81">
        <f t="shared" si="0"/>
        <v>7924385.9012306491</v>
      </c>
      <c r="W6" s="81">
        <f t="shared" si="0"/>
        <v>8432668.1558355764</v>
      </c>
      <c r="X6" s="81">
        <f t="shared" si="0"/>
        <v>8664486.3428173009</v>
      </c>
      <c r="Y6" s="81">
        <f t="shared" si="0"/>
        <v>8909158.1478935983</v>
      </c>
      <c r="Z6" s="81">
        <f>Z3+Z4</f>
        <v>9100493.91395</v>
      </c>
      <c r="AA6" s="81">
        <f>AA3+AA4</f>
        <v>9687220.4488900024</v>
      </c>
      <c r="AB6" s="81">
        <f>AB3+AB4</f>
        <v>9989121.6044614986</v>
      </c>
      <c r="AC6" s="81">
        <f>AC3+AC4</f>
        <v>10094685.767377201</v>
      </c>
      <c r="AD6" s="81">
        <f t="shared" ref="AD6:AG6" si="1">AD3+AD4</f>
        <v>9272963.2161499988</v>
      </c>
      <c r="AE6" s="81">
        <f t="shared" si="1"/>
        <v>10074623.348929999</v>
      </c>
      <c r="AF6" s="81">
        <f t="shared" si="1"/>
        <v>10580446.934211301</v>
      </c>
      <c r="AG6" s="81">
        <f t="shared" si="1"/>
        <v>11369022.956022</v>
      </c>
      <c r="AH6" s="81">
        <f t="shared" ref="AH6:AI6" si="2">AH3+AH4</f>
        <v>10568589.240329999</v>
      </c>
      <c r="AI6" s="81">
        <f t="shared" si="2"/>
        <v>11062398.80006</v>
      </c>
      <c r="AJ6"/>
      <c r="AK6" s="81">
        <f t="shared" ref="AK6:AR6" si="3">AK3+AK4</f>
        <v>14801444.734080002</v>
      </c>
      <c r="AL6" s="81">
        <f t="shared" si="3"/>
        <v>17502896.040199999</v>
      </c>
      <c r="AM6" s="81">
        <f t="shared" si="3"/>
        <v>20066838.403430004</v>
      </c>
      <c r="AN6" s="81">
        <f t="shared" si="3"/>
        <v>24127001.537110001</v>
      </c>
      <c r="AO6" s="81">
        <f t="shared" si="3"/>
        <v>29067380.192529999</v>
      </c>
      <c r="AP6" s="81">
        <f t="shared" si="3"/>
        <v>33930698.547777124</v>
      </c>
      <c r="AQ6" s="81">
        <f t="shared" si="3"/>
        <v>38871521.734678701</v>
      </c>
      <c r="AR6" s="81">
        <f t="shared" si="3"/>
        <v>41297056.455313303</v>
      </c>
    </row>
    <row r="7" spans="1:44" s="25" customFormat="1">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c r="AK7" s="78"/>
      <c r="AL7" s="78"/>
      <c r="AM7" s="78"/>
      <c r="AN7" s="78"/>
      <c r="AO7" s="78"/>
      <c r="AP7" s="78"/>
      <c r="AQ7" s="78"/>
      <c r="AR7" s="78"/>
    </row>
    <row r="8" spans="1:44" s="25" customFormat="1">
      <c r="A8" s="17" t="str">
        <f>INDEX({"Custo das mercadorias vendidas";"Cost of Goods Sold"},Home!$R$30)</f>
        <v>Custo das mercadorias vendidas</v>
      </c>
      <c r="B8" s="80">
        <v>-2406819.2281200001</v>
      </c>
      <c r="C8" s="80">
        <v>-2509789.6029300005</v>
      </c>
      <c r="D8" s="80">
        <v>-2640038.1913299994</v>
      </c>
      <c r="E8" s="80">
        <v>-2799276.5152999996</v>
      </c>
      <c r="F8" s="80">
        <v>-2791688.2197499997</v>
      </c>
      <c r="G8" s="80">
        <v>-2936208.6845</v>
      </c>
      <c r="H8" s="80">
        <v>-3217586.0353600001</v>
      </c>
      <c r="I8" s="80">
        <v>-3374111.5151299997</v>
      </c>
      <c r="J8" s="80">
        <v>-3508020.6674600001</v>
      </c>
      <c r="K8" s="80">
        <v>-3149651.9118499998</v>
      </c>
      <c r="L8" s="80">
        <v>-3598455.2717400002</v>
      </c>
      <c r="M8" s="80">
        <v>-3919528.3318099999</v>
      </c>
      <c r="N8" s="80">
        <v>-3978198.9420500002</v>
      </c>
      <c r="O8" s="80">
        <v>-4071212.5995999998</v>
      </c>
      <c r="P8" s="80">
        <v>-4349401.3488499997</v>
      </c>
      <c r="Q8" s="80">
        <v>-4522020.645299999</v>
      </c>
      <c r="R8" s="80">
        <v>-4634073.6619099993</v>
      </c>
      <c r="S8" s="80">
        <v>-4860664.3932599993</v>
      </c>
      <c r="T8" s="80">
        <v>-5265091.5665100012</v>
      </c>
      <c r="U8" s="80">
        <v>-5498082.1965599991</v>
      </c>
      <c r="V8" s="80">
        <v>-5609601.8961100001</v>
      </c>
      <c r="W8" s="80">
        <v>-5832247.5748000015</v>
      </c>
      <c r="X8" s="80">
        <v>-6085664.3401999995</v>
      </c>
      <c r="Y8" s="80">
        <v>-6238912.8503199983</v>
      </c>
      <c r="Z8" s="80">
        <v>-6441229.8126600021</v>
      </c>
      <c r="AA8" s="80">
        <v>-6755221.1505899997</v>
      </c>
      <c r="AB8" s="80">
        <v>-7018209.8599400008</v>
      </c>
      <c r="AC8" s="80">
        <v>-7100079.4220700003</v>
      </c>
      <c r="AD8" s="80">
        <v>-6450916.0170300007</v>
      </c>
      <c r="AE8" s="80">
        <v>-6938600.3367499998</v>
      </c>
      <c r="AF8" s="80">
        <v>-7321760.6050299983</v>
      </c>
      <c r="AG8" s="80">
        <v>-7858929.3124099998</v>
      </c>
      <c r="AH8" s="78">
        <v>-7174289.4871499995</v>
      </c>
      <c r="AI8" s="78">
        <v>-7364668.2111499989</v>
      </c>
      <c r="AJ8"/>
      <c r="AK8" s="78">
        <f>SUM(B8:E8)</f>
        <v>-10355923.53768</v>
      </c>
      <c r="AL8" s="78">
        <f>SUM(F8:I8)</f>
        <v>-12319594.454740001</v>
      </c>
      <c r="AM8" s="78">
        <f>SUM(J8:M8)</f>
        <v>-14175656.18286</v>
      </c>
      <c r="AN8" s="78">
        <f>SUM(N8:Q8)</f>
        <v>-16920833.535799999</v>
      </c>
      <c r="AO8" s="78">
        <f>SUM(R8:U8)</f>
        <v>-20257911.818240002</v>
      </c>
      <c r="AP8" s="78">
        <f>SUM(V8:Y8)</f>
        <v>-23766426.661430001</v>
      </c>
      <c r="AQ8" s="78">
        <f>SUM(Z8:AC8)</f>
        <v>-27314740.245260004</v>
      </c>
      <c r="AR8" s="78">
        <f>SUM(AD8:AG8)</f>
        <v>-28570206.271220002</v>
      </c>
    </row>
    <row r="9" spans="1:44" s="25" customFormat="1">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c r="AK9" s="78"/>
      <c r="AL9" s="78"/>
      <c r="AM9" s="78"/>
      <c r="AN9" s="78"/>
      <c r="AO9" s="78"/>
      <c r="AP9" s="78"/>
      <c r="AQ9" s="78"/>
      <c r="AR9" s="78"/>
    </row>
    <row r="10" spans="1:44" s="25" customFormat="1">
      <c r="A10" s="19" t="str">
        <f>INDEX({"Lucro bruto";"Gross profit"},Home!$R$30)</f>
        <v>Lucro bruto</v>
      </c>
      <c r="B10" s="81">
        <f t="shared" ref="B10:Y10" si="4">B6+B8</f>
        <v>1026758.4815900004</v>
      </c>
      <c r="C10" s="81">
        <f t="shared" si="4"/>
        <v>1104199.2547899992</v>
      </c>
      <c r="D10" s="81">
        <f t="shared" si="4"/>
        <v>1116775.7021200005</v>
      </c>
      <c r="E10" s="81">
        <f t="shared" si="4"/>
        <v>1197787.7579000015</v>
      </c>
      <c r="F10" s="81">
        <f t="shared" si="4"/>
        <v>1161663.2569900011</v>
      </c>
      <c r="G10" s="81">
        <f t="shared" si="4"/>
        <v>1289285.2695999998</v>
      </c>
      <c r="H10" s="81">
        <f t="shared" si="4"/>
        <v>1321349.9618199961</v>
      </c>
      <c r="I10" s="81">
        <f t="shared" si="4"/>
        <v>1411003.0970500004</v>
      </c>
      <c r="J10" s="81">
        <f t="shared" si="4"/>
        <v>1441850.6335000005</v>
      </c>
      <c r="K10" s="81">
        <f t="shared" si="4"/>
        <v>1320122.4735700004</v>
      </c>
      <c r="L10" s="81">
        <f t="shared" si="4"/>
        <v>1494996.2850999995</v>
      </c>
      <c r="M10" s="81">
        <f t="shared" si="4"/>
        <v>1634212.8284000014</v>
      </c>
      <c r="N10" s="81">
        <f t="shared" si="4"/>
        <v>1641851.9186299997</v>
      </c>
      <c r="O10" s="81">
        <f t="shared" si="4"/>
        <v>1797051.0208399999</v>
      </c>
      <c r="P10" s="81">
        <f t="shared" si="4"/>
        <v>1815460.3094800003</v>
      </c>
      <c r="Q10" s="81">
        <f t="shared" si="4"/>
        <v>1951804.7523600012</v>
      </c>
      <c r="R10" s="81">
        <f t="shared" si="4"/>
        <v>1928430.8235000009</v>
      </c>
      <c r="S10" s="81">
        <f t="shared" si="4"/>
        <v>2318097.0048599998</v>
      </c>
      <c r="T10" s="81">
        <f t="shared" si="4"/>
        <v>2224774.1346099973</v>
      </c>
      <c r="U10" s="81">
        <f t="shared" si="4"/>
        <v>2338166.41132</v>
      </c>
      <c r="V10" s="81">
        <f t="shared" si="4"/>
        <v>2314784.005120649</v>
      </c>
      <c r="W10" s="81">
        <f t="shared" si="4"/>
        <v>2600420.5810355749</v>
      </c>
      <c r="X10" s="81">
        <f t="shared" si="4"/>
        <v>2578822.0026173014</v>
      </c>
      <c r="Y10" s="81">
        <f t="shared" si="4"/>
        <v>2670245.2975736</v>
      </c>
      <c r="Z10" s="81">
        <f>Z6+Z8</f>
        <v>2659264.1012899978</v>
      </c>
      <c r="AA10" s="81">
        <f>AA6+AA8</f>
        <v>2931999.2983000027</v>
      </c>
      <c r="AB10" s="81">
        <f>AB6+AB8</f>
        <v>2970911.7445214977</v>
      </c>
      <c r="AC10" s="81">
        <f>AC6+AC8</f>
        <v>2994606.3453072011</v>
      </c>
      <c r="AD10" s="81">
        <f t="shared" ref="AD10:AH10" si="5">AD6+AD8</f>
        <v>2822047.1991199981</v>
      </c>
      <c r="AE10" s="81">
        <f t="shared" si="5"/>
        <v>3136023.0121799996</v>
      </c>
      <c r="AF10" s="81">
        <f t="shared" si="5"/>
        <v>3258686.3291813023</v>
      </c>
      <c r="AG10" s="81">
        <f t="shared" si="5"/>
        <v>3510093.6436120002</v>
      </c>
      <c r="AH10" s="81">
        <f t="shared" si="5"/>
        <v>3394299.75318</v>
      </c>
      <c r="AI10" s="81">
        <f t="shared" ref="AI10" si="6">AI6+AI8</f>
        <v>3697730.5889100013</v>
      </c>
      <c r="AJ10"/>
      <c r="AK10" s="81">
        <f t="shared" ref="AK10:AR10" si="7">AK6+AK8</f>
        <v>4445521.1964000016</v>
      </c>
      <c r="AL10" s="81">
        <f t="shared" si="7"/>
        <v>5183301.5854599979</v>
      </c>
      <c r="AM10" s="81">
        <f t="shared" si="7"/>
        <v>5891182.2205700036</v>
      </c>
      <c r="AN10" s="81">
        <f t="shared" si="7"/>
        <v>7206168.0013100021</v>
      </c>
      <c r="AO10" s="81">
        <f t="shared" si="7"/>
        <v>8809468.3742899969</v>
      </c>
      <c r="AP10" s="81">
        <f t="shared" si="7"/>
        <v>10164271.886347122</v>
      </c>
      <c r="AQ10" s="81">
        <f t="shared" si="7"/>
        <v>11556781.489418697</v>
      </c>
      <c r="AR10" s="81">
        <f t="shared" si="7"/>
        <v>12726850.1840933</v>
      </c>
    </row>
    <row r="11" spans="1:44" s="25" customFormat="1">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c r="AK11" s="78"/>
      <c r="AL11" s="78"/>
      <c r="AM11" s="78"/>
      <c r="AN11" s="78"/>
      <c r="AO11" s="78"/>
      <c r="AP11" s="78"/>
      <c r="AQ11" s="78"/>
      <c r="AR11" s="78"/>
    </row>
    <row r="12" spans="1:44" s="25" customFormat="1">
      <c r="A12" s="28" t="str">
        <f>INDEX({"Despesas";"Expenses"},Home!$R$30)</f>
        <v>Despesas</v>
      </c>
      <c r="B12" s="78"/>
      <c r="C12" s="78"/>
      <c r="D12" s="78"/>
      <c r="E12" s="78"/>
      <c r="F12" s="78"/>
      <c r="G12" s="78"/>
      <c r="H12" s="78"/>
      <c r="I12" s="78"/>
      <c r="J12" s="78"/>
      <c r="K12" s="78"/>
      <c r="L12" s="78"/>
      <c r="M12" s="78"/>
      <c r="N12" s="78"/>
      <c r="O12" s="78"/>
      <c r="P12" s="78"/>
      <c r="Q12" s="78"/>
      <c r="R12" s="78"/>
      <c r="S12" s="82"/>
      <c r="T12" s="82"/>
      <c r="U12" s="82"/>
      <c r="V12" s="82"/>
      <c r="W12" s="82"/>
      <c r="X12" s="82"/>
      <c r="Y12" s="82"/>
      <c r="Z12" s="82"/>
      <c r="AA12" s="82"/>
      <c r="AB12" s="82"/>
      <c r="AC12" s="82"/>
      <c r="AD12" s="82"/>
      <c r="AE12" s="82"/>
      <c r="AF12" s="82"/>
      <c r="AG12" s="82"/>
      <c r="AH12" s="78"/>
      <c r="AI12" s="78"/>
      <c r="AJ12"/>
      <c r="AK12" s="78"/>
      <c r="AL12" s="78"/>
      <c r="AM12" s="78"/>
      <c r="AN12" s="78"/>
      <c r="AO12" s="78"/>
      <c r="AP12" s="78"/>
      <c r="AQ12" s="78"/>
      <c r="AR12" s="78"/>
    </row>
    <row r="13" spans="1:44" s="25" customFormat="1">
      <c r="A13" s="17" t="str">
        <f>INDEX({"Vendas";"Selling Expenses"},Home!$R$30)</f>
        <v>Vendas</v>
      </c>
      <c r="B13" s="80">
        <v>-555625.07380422147</v>
      </c>
      <c r="C13" s="80">
        <v>-580317.63272520259</v>
      </c>
      <c r="D13" s="80">
        <v>-602405.82180893968</v>
      </c>
      <c r="E13" s="80">
        <v>-649289.34326403879</v>
      </c>
      <c r="F13" s="80">
        <v>-650111.56105999998</v>
      </c>
      <c r="G13" s="80">
        <v>-672510.20388000004</v>
      </c>
      <c r="H13" s="80">
        <v>-692057.95359000005</v>
      </c>
      <c r="I13" s="80">
        <v>-788521.65834999993</v>
      </c>
      <c r="J13" s="80">
        <v>-778264.39419999986</v>
      </c>
      <c r="K13" s="80">
        <v>-779286.31073999987</v>
      </c>
      <c r="L13" s="80">
        <v>-794600.14050999982</v>
      </c>
      <c r="M13" s="80">
        <v>-851953.02296000044</v>
      </c>
      <c r="N13" s="80">
        <v>-871551.73866000026</v>
      </c>
      <c r="O13" s="80">
        <v>-923822.92938999995</v>
      </c>
      <c r="P13" s="99">
        <v>-957333.95628000028</v>
      </c>
      <c r="Q13" s="99">
        <v>-1043370.7227500002</v>
      </c>
      <c r="R13" s="99">
        <v>-1070106.7701800002</v>
      </c>
      <c r="S13" s="99">
        <v>-1094707.4009100003</v>
      </c>
      <c r="T13" s="99">
        <v>-1148379.5561799998</v>
      </c>
      <c r="U13" s="99">
        <v>-1175277.1091799999</v>
      </c>
      <c r="V13" s="99">
        <v>-1224200.5526827781</v>
      </c>
      <c r="W13" s="99">
        <v>-1280425.711766792</v>
      </c>
      <c r="X13" s="99">
        <v>-1345469.6456434252</v>
      </c>
      <c r="Y13" s="99">
        <v>-1450829.5422538053</v>
      </c>
      <c r="Z13" s="99">
        <v>-1393372.7618</v>
      </c>
      <c r="AA13" s="99">
        <v>-1503674.6513099999</v>
      </c>
      <c r="AB13" s="99">
        <v>-1546157.8704815002</v>
      </c>
      <c r="AC13" s="99">
        <v>-1648991.3221415</v>
      </c>
      <c r="AD13" s="80">
        <v>-1590770.2200799999</v>
      </c>
      <c r="AE13" s="80">
        <v>-1660184.4255899999</v>
      </c>
      <c r="AF13" s="80">
        <v>-1734454.8070800002</v>
      </c>
      <c r="AG13" s="80">
        <v>-1920613.2032099999</v>
      </c>
      <c r="AH13" s="78">
        <v>-1924613.0654700005</v>
      </c>
      <c r="AI13" s="78">
        <v>-2013025.4973500003</v>
      </c>
      <c r="AJ13"/>
      <c r="AK13" s="78">
        <f>SUM(B13:E13)</f>
        <v>-2387637.8716024025</v>
      </c>
      <c r="AL13" s="78">
        <f>SUM(F13:I13)</f>
        <v>-2803201.3768800003</v>
      </c>
      <c r="AM13" s="78">
        <f>SUM(J13:M13)</f>
        <v>-3204103.8684099996</v>
      </c>
      <c r="AN13" s="78">
        <f>SUM(N13:Q13)</f>
        <v>-3796079.3470800007</v>
      </c>
      <c r="AO13" s="78">
        <f>SUM(R13:U13)</f>
        <v>-4488470.8364500003</v>
      </c>
      <c r="AP13" s="78">
        <f>SUM(V13:Y13)</f>
        <v>-5300925.4523468008</v>
      </c>
      <c r="AQ13" s="78">
        <f>SUM(Z13:AC13)</f>
        <v>-6092196.6057330007</v>
      </c>
      <c r="AR13" s="78">
        <f>SUM(AD13:AG13)</f>
        <v>-6906022.6559599992</v>
      </c>
    </row>
    <row r="14" spans="1:44" s="25" customFormat="1">
      <c r="A14" s="17" t="str">
        <f>INDEX({"Gerais e administrativas";"General and Administrative"},Home!$R$30)</f>
        <v>Gerais e administrativas</v>
      </c>
      <c r="B14" s="80">
        <v>-79188.53005244513</v>
      </c>
      <c r="C14" s="80">
        <v>-82774.671954797406</v>
      </c>
      <c r="D14" s="80">
        <v>-84942.284481060386</v>
      </c>
      <c r="E14" s="80">
        <v>-99856.453115961209</v>
      </c>
      <c r="F14" s="80">
        <v>-95997.138760000002</v>
      </c>
      <c r="G14" s="80">
        <v>-101899.34458000002</v>
      </c>
      <c r="H14" s="80">
        <v>-109753.83825</v>
      </c>
      <c r="I14" s="80">
        <v>-141351.05644999997</v>
      </c>
      <c r="J14" s="80">
        <v>-131384.06682000004</v>
      </c>
      <c r="K14" s="80">
        <v>-142514.17155999999</v>
      </c>
      <c r="L14" s="80">
        <v>-133808.67279000004</v>
      </c>
      <c r="M14" s="80">
        <v>-175155.08967999998</v>
      </c>
      <c r="N14" s="80">
        <v>-165514.41407999999</v>
      </c>
      <c r="O14" s="80">
        <v>-179751.57773999992</v>
      </c>
      <c r="P14" s="99">
        <v>-204108.19722000003</v>
      </c>
      <c r="Q14" s="99">
        <v>-241475.15272999997</v>
      </c>
      <c r="R14" s="99">
        <v>-242612.08389000001</v>
      </c>
      <c r="S14" s="99">
        <v>-259613.88052999997</v>
      </c>
      <c r="T14" s="99">
        <v>-283467.89176999999</v>
      </c>
      <c r="U14" s="99">
        <v>-308323.93757999991</v>
      </c>
      <c r="V14" s="99">
        <v>-266101.88976787264</v>
      </c>
      <c r="W14" s="99">
        <v>-287815.27833878319</v>
      </c>
      <c r="X14" s="99">
        <v>-305585.70078387443</v>
      </c>
      <c r="Y14" s="99">
        <v>-327934.91799979453</v>
      </c>
      <c r="Z14" s="99">
        <v>-302321.60175000003</v>
      </c>
      <c r="AA14" s="99">
        <v>-316115.21709999989</v>
      </c>
      <c r="AB14" s="99">
        <v>-320997.14072000002</v>
      </c>
      <c r="AC14" s="99">
        <v>-365191.42734570004</v>
      </c>
      <c r="AD14" s="80">
        <v>-294212.69650000008</v>
      </c>
      <c r="AE14" s="80">
        <v>-288746.52907000005</v>
      </c>
      <c r="AF14" s="80">
        <v>-299678.26403240004</v>
      </c>
      <c r="AG14" s="80">
        <v>-324732.98464199994</v>
      </c>
      <c r="AH14" s="78">
        <v>-295787.47257999994</v>
      </c>
      <c r="AI14" s="78">
        <v>-307588.05012999993</v>
      </c>
      <c r="AJ14"/>
      <c r="AK14" s="78">
        <f>SUM(B14:E14)</f>
        <v>-346761.93960426416</v>
      </c>
      <c r="AL14" s="78">
        <f>SUM(F14:I14)</f>
        <v>-449001.37804000004</v>
      </c>
      <c r="AM14" s="78">
        <f>SUM(J14:M14)</f>
        <v>-582862.00084999995</v>
      </c>
      <c r="AN14" s="78">
        <f>SUM(N14:Q14)</f>
        <v>-790849.34176999982</v>
      </c>
      <c r="AO14" s="78">
        <f>SUM(R14:U14)</f>
        <v>-1094017.7937699999</v>
      </c>
      <c r="AP14" s="78">
        <f>SUM(V14:Y14)</f>
        <v>-1187437.7868903247</v>
      </c>
      <c r="AQ14" s="78">
        <f>SUM(Z14:AC14)</f>
        <v>-1304625.3869157</v>
      </c>
      <c r="AR14" s="78">
        <f>SUM(AD14:AG14)</f>
        <v>-1207370.4742444002</v>
      </c>
    </row>
    <row r="15" spans="1:44" s="25" customFormat="1">
      <c r="A15" s="17" t="str">
        <f>INDEX({"Outras despesas operacionais, líquidas";"Other Operating Expenses, Net"},Home!$R$30)</f>
        <v>Outras despesas operacionais, líquidas</v>
      </c>
      <c r="B15" s="80">
        <v>0</v>
      </c>
      <c r="C15" s="80">
        <v>-6239.6422899999998</v>
      </c>
      <c r="D15" s="80">
        <v>-3501.8597299999997</v>
      </c>
      <c r="E15" s="80">
        <v>-49806.607739999999</v>
      </c>
      <c r="F15" s="80">
        <v>-5205.31682</v>
      </c>
      <c r="G15" s="80">
        <v>-13115.967720000001</v>
      </c>
      <c r="H15" s="80">
        <v>-8938.8052100007408</v>
      </c>
      <c r="I15" s="80">
        <v>-37820.367296284523</v>
      </c>
      <c r="J15" s="80">
        <v>-12457.69435</v>
      </c>
      <c r="K15" s="80">
        <v>-1049.6467500000003</v>
      </c>
      <c r="L15" s="80">
        <v>3051.10392</v>
      </c>
      <c r="M15" s="80">
        <v>-21082.389019999999</v>
      </c>
      <c r="N15" s="80">
        <v>16549.255349999999</v>
      </c>
      <c r="O15" s="80">
        <v>52899.422749999998</v>
      </c>
      <c r="P15" s="99">
        <v>-2637.77864</v>
      </c>
      <c r="Q15" s="99">
        <v>-26157.38133</v>
      </c>
      <c r="R15" s="99">
        <v>12609.086760000002</v>
      </c>
      <c r="S15" s="99">
        <v>43792.627790000006</v>
      </c>
      <c r="T15" s="99">
        <v>35849.576059999992</v>
      </c>
      <c r="U15" s="99">
        <v>-5735.6480700000002</v>
      </c>
      <c r="V15" s="99">
        <v>6057.5670699999991</v>
      </c>
      <c r="W15" s="99">
        <v>23385.053339999999</v>
      </c>
      <c r="X15" s="99">
        <v>43075.229180000009</v>
      </c>
      <c r="Y15" s="99">
        <v>5917.1825600000002</v>
      </c>
      <c r="Z15" s="99">
        <v>281.49954999999983</v>
      </c>
      <c r="AA15" s="99">
        <v>-9370.2075299999997</v>
      </c>
      <c r="AB15" s="99">
        <v>40203.775170000001</v>
      </c>
      <c r="AC15" s="99">
        <v>-38412.616099999999</v>
      </c>
      <c r="AD15" s="80">
        <v>-5234.6806999999999</v>
      </c>
      <c r="AE15" s="80">
        <v>-1718.7676799999997</v>
      </c>
      <c r="AF15" s="80">
        <v>60667.929830000015</v>
      </c>
      <c r="AG15" s="80">
        <v>-52699.779000000002</v>
      </c>
      <c r="AH15" s="78">
        <v>-195424.93596</v>
      </c>
      <c r="AI15" s="78">
        <v>9615.9338100000004</v>
      </c>
      <c r="AJ15"/>
      <c r="AK15" s="78">
        <f>SUM(B15:E15)</f>
        <v>-59548.109759999999</v>
      </c>
      <c r="AL15" s="78">
        <f>SUM(F15:I15)</f>
        <v>-65080.457046285264</v>
      </c>
      <c r="AM15" s="78">
        <f>SUM(J15:M15)</f>
        <v>-31538.626199999999</v>
      </c>
      <c r="AN15" s="78">
        <f>SUM(N15:Q15)</f>
        <v>40653.518129999982</v>
      </c>
      <c r="AO15" s="78">
        <f>SUM(R15:U15)</f>
        <v>86515.642540000001</v>
      </c>
      <c r="AP15" s="78">
        <f>SUM(V15:Y15)</f>
        <v>78435.032149999999</v>
      </c>
      <c r="AQ15" s="78">
        <f>SUM(Z15:AC15)</f>
        <v>-7297.5489099999977</v>
      </c>
      <c r="AR15" s="78">
        <f>SUM(AD15:AG15)</f>
        <v>1014.7024500000116</v>
      </c>
    </row>
    <row r="16" spans="1:44" s="25" customFormat="1">
      <c r="A16" s="19" t="str">
        <f>INDEX({"Despesas operacionais";"Total expenses"},Home!$R$30)</f>
        <v>Despesas operacionais</v>
      </c>
      <c r="B16" s="81">
        <f t="shared" ref="B16:Y16" si="8">SUM(B13:B15)</f>
        <v>-634813.6038566666</v>
      </c>
      <c r="C16" s="81">
        <f t="shared" si="8"/>
        <v>-669331.94697000005</v>
      </c>
      <c r="D16" s="81">
        <f t="shared" si="8"/>
        <v>-690849.96602000005</v>
      </c>
      <c r="E16" s="81">
        <f t="shared" si="8"/>
        <v>-798952.40411999996</v>
      </c>
      <c r="F16" s="81">
        <f t="shared" si="8"/>
        <v>-751314.01663999993</v>
      </c>
      <c r="G16" s="81">
        <f t="shared" si="8"/>
        <v>-787525.51618000004</v>
      </c>
      <c r="H16" s="81">
        <f t="shared" si="8"/>
        <v>-810750.5970500008</v>
      </c>
      <c r="I16" s="81">
        <f t="shared" si="8"/>
        <v>-967693.08209628449</v>
      </c>
      <c r="J16" s="81">
        <f t="shared" si="8"/>
        <v>-922106.15536999993</v>
      </c>
      <c r="K16" s="81">
        <f t="shared" si="8"/>
        <v>-922850.12904999976</v>
      </c>
      <c r="L16" s="81">
        <f t="shared" si="8"/>
        <v>-925357.70937999978</v>
      </c>
      <c r="M16" s="81">
        <f t="shared" si="8"/>
        <v>-1048190.5016600004</v>
      </c>
      <c r="N16" s="81">
        <f t="shared" si="8"/>
        <v>-1020516.8973900003</v>
      </c>
      <c r="O16" s="81">
        <f t="shared" si="8"/>
        <v>-1050675.0843799999</v>
      </c>
      <c r="P16" s="81">
        <f t="shared" si="8"/>
        <v>-1164079.9321400002</v>
      </c>
      <c r="Q16" s="81">
        <f t="shared" si="8"/>
        <v>-1311003.2568100002</v>
      </c>
      <c r="R16" s="81">
        <f t="shared" si="8"/>
        <v>-1300109.7673100003</v>
      </c>
      <c r="S16" s="81">
        <f t="shared" si="8"/>
        <v>-1310528.6536500002</v>
      </c>
      <c r="T16" s="81">
        <f t="shared" si="8"/>
        <v>-1395997.8718900001</v>
      </c>
      <c r="U16" s="81">
        <f t="shared" si="8"/>
        <v>-1489336.6948299999</v>
      </c>
      <c r="V16" s="81">
        <f t="shared" si="8"/>
        <v>-1484244.8753806506</v>
      </c>
      <c r="W16" s="81">
        <f t="shared" si="8"/>
        <v>-1544855.9367655751</v>
      </c>
      <c r="X16" s="81">
        <f t="shared" si="8"/>
        <v>-1607980.1172472995</v>
      </c>
      <c r="Y16" s="81">
        <f t="shared" si="8"/>
        <v>-1772847.2776935997</v>
      </c>
      <c r="Z16" s="81">
        <f>SUM(Z13:Z15)</f>
        <v>-1695412.8639999998</v>
      </c>
      <c r="AA16" s="81">
        <f>SUM(AA13:AA15)</f>
        <v>-1829160.0759399997</v>
      </c>
      <c r="AB16" s="81">
        <f>SUM(AB13:AB15)</f>
        <v>-1826951.2360315002</v>
      </c>
      <c r="AC16" s="81">
        <f>SUM(AC13:AC15)</f>
        <v>-2052595.3655872</v>
      </c>
      <c r="AD16" s="81">
        <f t="shared" ref="AD16:AH16" si="9">SUM(AD13:AD15)</f>
        <v>-1890217.5972799999</v>
      </c>
      <c r="AE16" s="81">
        <f t="shared" si="9"/>
        <v>-1950649.7223399999</v>
      </c>
      <c r="AF16" s="81">
        <f t="shared" si="9"/>
        <v>-1973465.1412824001</v>
      </c>
      <c r="AG16" s="81">
        <f t="shared" si="9"/>
        <v>-2298045.966852</v>
      </c>
      <c r="AH16" s="81">
        <f t="shared" si="9"/>
        <v>-2415825.4740100005</v>
      </c>
      <c r="AI16" s="81">
        <f t="shared" ref="AI16" si="10">SUM(AI13:AI15)</f>
        <v>-2310997.6136700003</v>
      </c>
      <c r="AJ16"/>
      <c r="AK16" s="81">
        <f t="shared" ref="AK16:AR16" si="11">SUM(AK13:AK15)</f>
        <v>-2793947.9209666667</v>
      </c>
      <c r="AL16" s="81">
        <f t="shared" si="11"/>
        <v>-3317283.2119662855</v>
      </c>
      <c r="AM16" s="81">
        <f t="shared" si="11"/>
        <v>-3818504.4954599994</v>
      </c>
      <c r="AN16" s="81">
        <f t="shared" si="11"/>
        <v>-4546275.1707200008</v>
      </c>
      <c r="AO16" s="81">
        <f t="shared" si="11"/>
        <v>-5495972.9876799993</v>
      </c>
      <c r="AP16" s="81">
        <f t="shared" si="11"/>
        <v>-6409928.2070871256</v>
      </c>
      <c r="AQ16" s="81">
        <f t="shared" si="11"/>
        <v>-7404119.5415587006</v>
      </c>
      <c r="AR16" s="81">
        <f t="shared" si="11"/>
        <v>-8112378.4277543994</v>
      </c>
    </row>
    <row r="17" spans="1:44" s="25" customFormat="1">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c r="AK17" s="78"/>
      <c r="AL17" s="78"/>
      <c r="AM17" s="78"/>
      <c r="AN17" s="78"/>
      <c r="AO17" s="78"/>
      <c r="AP17" s="78"/>
      <c r="AQ17" s="78"/>
      <c r="AR17" s="78"/>
    </row>
    <row r="18" spans="1:44" customFormat="1">
      <c r="A18" s="94" t="str">
        <f>INDEX({"EBITDA";"EBITDA"},Home!$R$30)</f>
        <v>EBITDA</v>
      </c>
      <c r="B18" s="95">
        <f t="shared" ref="B18:Y18" si="12">+B16+B10</f>
        <v>391944.87773333385</v>
      </c>
      <c r="C18" s="95">
        <f t="shared" si="12"/>
        <v>434867.30781999917</v>
      </c>
      <c r="D18" s="95">
        <f t="shared" si="12"/>
        <v>425925.73610000045</v>
      </c>
      <c r="E18" s="95">
        <f t="shared" si="12"/>
        <v>398835.35378000152</v>
      </c>
      <c r="F18" s="95">
        <f t="shared" si="12"/>
        <v>410349.24035000114</v>
      </c>
      <c r="G18" s="95">
        <f t="shared" si="12"/>
        <v>501759.75341999973</v>
      </c>
      <c r="H18" s="95">
        <f t="shared" si="12"/>
        <v>510599.36476999533</v>
      </c>
      <c r="I18" s="95">
        <f t="shared" si="12"/>
        <v>443310.01495371596</v>
      </c>
      <c r="J18" s="95">
        <f t="shared" si="12"/>
        <v>519744.47813000053</v>
      </c>
      <c r="K18" s="95">
        <f t="shared" si="12"/>
        <v>397272.34452000062</v>
      </c>
      <c r="L18" s="95">
        <f t="shared" si="12"/>
        <v>569638.57571999973</v>
      </c>
      <c r="M18" s="95">
        <f t="shared" si="12"/>
        <v>586022.32674000098</v>
      </c>
      <c r="N18" s="95">
        <f t="shared" si="12"/>
        <v>621335.02123999945</v>
      </c>
      <c r="O18" s="95">
        <f t="shared" si="12"/>
        <v>746375.93646</v>
      </c>
      <c r="P18" s="95">
        <f t="shared" si="12"/>
        <v>651380.37734000012</v>
      </c>
      <c r="Q18" s="95">
        <f t="shared" si="12"/>
        <v>640801.49555000104</v>
      </c>
      <c r="R18" s="95">
        <f t="shared" si="12"/>
        <v>628321.05619000061</v>
      </c>
      <c r="S18" s="95">
        <f t="shared" si="12"/>
        <v>1007568.3512099995</v>
      </c>
      <c r="T18" s="95">
        <f t="shared" si="12"/>
        <v>828776.2627199972</v>
      </c>
      <c r="U18" s="95">
        <f t="shared" si="12"/>
        <v>848829.71649000002</v>
      </c>
      <c r="V18" s="95">
        <f t="shared" si="12"/>
        <v>830539.12973999837</v>
      </c>
      <c r="W18" s="95">
        <f t="shared" si="12"/>
        <v>1055564.6442699998</v>
      </c>
      <c r="X18" s="95">
        <f t="shared" si="12"/>
        <v>970841.8853700019</v>
      </c>
      <c r="Y18" s="95">
        <f t="shared" si="12"/>
        <v>897398.01988000027</v>
      </c>
      <c r="Z18" s="95">
        <f>+Z16+Z10</f>
        <v>963851.23728999798</v>
      </c>
      <c r="AA18" s="95">
        <f>+AA16+AA10</f>
        <v>1102839.222360003</v>
      </c>
      <c r="AB18" s="95">
        <f>+AB16+AB10</f>
        <v>1143960.5084899976</v>
      </c>
      <c r="AC18" s="95">
        <f>+AC16+AC10</f>
        <v>942010.97972000111</v>
      </c>
      <c r="AD18" s="95">
        <f t="shared" ref="AD18:AE18" si="13">AD16+AD10</f>
        <v>931829.60183999827</v>
      </c>
      <c r="AE18" s="95">
        <f t="shared" si="13"/>
        <v>1185373.2898399998</v>
      </c>
      <c r="AF18" s="95">
        <f t="shared" ref="AF18:AH18" si="14">AF16+AF10</f>
        <v>1285221.1878989022</v>
      </c>
      <c r="AG18" s="95">
        <f t="shared" si="14"/>
        <v>1212047.6767600002</v>
      </c>
      <c r="AH18" s="95">
        <f t="shared" si="14"/>
        <v>978474.27916999953</v>
      </c>
      <c r="AI18" s="95">
        <f t="shared" ref="AI18" si="15">AI16+AI10</f>
        <v>1386732.975240001</v>
      </c>
      <c r="AK18" s="95">
        <f t="shared" ref="AK18:AR18" si="16">AK16+AK10</f>
        <v>1651573.275433335</v>
      </c>
      <c r="AL18" s="95">
        <f t="shared" si="16"/>
        <v>1866018.3734937124</v>
      </c>
      <c r="AM18" s="95">
        <f t="shared" si="16"/>
        <v>2072677.7251100042</v>
      </c>
      <c r="AN18" s="95">
        <f t="shared" si="16"/>
        <v>2659892.8305900013</v>
      </c>
      <c r="AO18" s="95">
        <f t="shared" si="16"/>
        <v>3313495.3866099976</v>
      </c>
      <c r="AP18" s="95">
        <f t="shared" si="16"/>
        <v>3754343.6792599969</v>
      </c>
      <c r="AQ18" s="95">
        <f t="shared" si="16"/>
        <v>4152661.947859996</v>
      </c>
      <c r="AR18" s="95">
        <f t="shared" si="16"/>
        <v>4614471.7563389009</v>
      </c>
    </row>
    <row r="19" spans="1:44" s="25" customFormat="1">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c r="AK19" s="78"/>
      <c r="AL19" s="78"/>
      <c r="AM19" s="78"/>
      <c r="AN19" s="78"/>
      <c r="AO19" s="78"/>
      <c r="AP19" s="78"/>
      <c r="AQ19" s="78"/>
      <c r="AR19" s="78"/>
    </row>
    <row r="20" spans="1:44" s="25" customFormat="1">
      <c r="A20" s="17" t="str">
        <f>INDEX({"Depreciação e Amortização";"Depreciation and Amortization"},Home!$R$30)</f>
        <v>Depreciação e Amortização</v>
      </c>
      <c r="B20" s="80">
        <v>-208993.80184956832</v>
      </c>
      <c r="C20" s="80">
        <v>-219584.31249380895</v>
      </c>
      <c r="D20" s="80">
        <v>-230056.02254325573</v>
      </c>
      <c r="E20" s="80">
        <v>-240661.94359916251</v>
      </c>
      <c r="F20" s="80">
        <v>-253979.33122030302</v>
      </c>
      <c r="G20" s="80">
        <v>-265709.30356999999</v>
      </c>
      <c r="H20" s="80">
        <v>-284935.31669548003</v>
      </c>
      <c r="I20" s="80">
        <v>-209189.86319</v>
      </c>
      <c r="J20" s="80">
        <v>-277918.64015694807</v>
      </c>
      <c r="K20" s="80">
        <v>-275144.78343999997</v>
      </c>
      <c r="L20" s="80">
        <v>-286353.39463</v>
      </c>
      <c r="M20" s="80">
        <v>-309409.9843999999</v>
      </c>
      <c r="N20" s="80">
        <v>-301726.63415</v>
      </c>
      <c r="O20" s="80">
        <v>-311470.83226</v>
      </c>
      <c r="P20" s="99">
        <v>-329284.80405999994</v>
      </c>
      <c r="Q20" s="99">
        <v>-349828.16558333329</v>
      </c>
      <c r="R20" s="99">
        <v>-352562.23838</v>
      </c>
      <c r="S20" s="99">
        <v>-362244.88805999997</v>
      </c>
      <c r="T20" s="99">
        <v>-369872.78185000003</v>
      </c>
      <c r="U20" s="99">
        <v>-388670.54442235694</v>
      </c>
      <c r="V20" s="99">
        <v>-395241.73832999996</v>
      </c>
      <c r="W20" s="99">
        <v>-411756.5270951881</v>
      </c>
      <c r="X20" s="99">
        <v>-438793.45217556442</v>
      </c>
      <c r="Y20" s="99">
        <v>-415553.98816556449</v>
      </c>
      <c r="Z20" s="99">
        <v>-436608.44854556443</v>
      </c>
      <c r="AA20" s="99">
        <v>-448215.48355556454</v>
      </c>
      <c r="AB20" s="99">
        <v>-464745.59169556445</v>
      </c>
      <c r="AC20" s="99">
        <v>-452055.97961556446</v>
      </c>
      <c r="AD20" s="80">
        <v>-482486.89507694158</v>
      </c>
      <c r="AE20" s="80">
        <v>-488808.33471462771</v>
      </c>
      <c r="AF20" s="80">
        <v>-506704.26272</v>
      </c>
      <c r="AG20" s="80">
        <v>-528237.21313000005</v>
      </c>
      <c r="AH20" s="78">
        <v>-524768.74345446436</v>
      </c>
      <c r="AI20" s="78">
        <v>-532515.49805000005</v>
      </c>
      <c r="AJ20"/>
      <c r="AK20" s="78">
        <f>SUM(B20:E20)</f>
        <v>-899296.08048579551</v>
      </c>
      <c r="AL20" s="78">
        <f>SUM(F20:I20)</f>
        <v>-1013813.814675783</v>
      </c>
      <c r="AM20" s="78">
        <f>SUM(J20:M20)</f>
        <v>-1148826.8026269479</v>
      </c>
      <c r="AN20" s="78">
        <f>SUM(N20:Q20)</f>
        <v>-1292310.4360533331</v>
      </c>
      <c r="AO20" s="78">
        <f>SUM(R20:U20)</f>
        <v>-1473350.452712357</v>
      </c>
      <c r="AP20" s="78">
        <f>SUM(V20:Y20)</f>
        <v>-1661345.705766317</v>
      </c>
      <c r="AQ20" s="78">
        <f>SUM(Z20:AC20)</f>
        <v>-1801625.5034122579</v>
      </c>
      <c r="AR20" s="78">
        <f>SUM(AD20:AG20)</f>
        <v>-2006236.7056415693</v>
      </c>
    </row>
    <row r="21" spans="1:44" s="25" customFormat="1">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c r="AK21" s="78"/>
      <c r="AL21" s="78"/>
      <c r="AM21" s="78"/>
      <c r="AN21" s="78"/>
      <c r="AO21" s="78"/>
      <c r="AP21" s="78"/>
      <c r="AQ21" s="78"/>
      <c r="AR21" s="78"/>
    </row>
    <row r="22" spans="1:44" s="25" customFormat="1">
      <c r="A22" s="19" t="str">
        <f>INDEX({"Lucro operacional antes do resultado financeiro";"Operational Earnings before Financial Results"},Home!$R$30)</f>
        <v>Lucro operacional antes do resultado financeiro</v>
      </c>
      <c r="B22" s="81">
        <f t="shared" ref="B22:AC22" si="17">+B20+B18</f>
        <v>182951.07588376553</v>
      </c>
      <c r="C22" s="81">
        <f t="shared" si="17"/>
        <v>215282.99532619023</v>
      </c>
      <c r="D22" s="81">
        <f t="shared" si="17"/>
        <v>195869.71355674471</v>
      </c>
      <c r="E22" s="81">
        <f t="shared" si="17"/>
        <v>158173.41018083901</v>
      </c>
      <c r="F22" s="81">
        <f t="shared" si="17"/>
        <v>156369.90912969812</v>
      </c>
      <c r="G22" s="81">
        <f t="shared" si="17"/>
        <v>236050.44984999974</v>
      </c>
      <c r="H22" s="81">
        <f t="shared" si="17"/>
        <v>225664.0480745153</v>
      </c>
      <c r="I22" s="81">
        <f t="shared" si="17"/>
        <v>234120.15176371596</v>
      </c>
      <c r="J22" s="81">
        <f t="shared" si="17"/>
        <v>241825.83797305246</v>
      </c>
      <c r="K22" s="81">
        <f t="shared" si="17"/>
        <v>122127.56108000065</v>
      </c>
      <c r="L22" s="81">
        <f t="shared" si="17"/>
        <v>283285.18108999974</v>
      </c>
      <c r="M22" s="81">
        <f t="shared" si="17"/>
        <v>276612.34234000108</v>
      </c>
      <c r="N22" s="81">
        <f t="shared" si="17"/>
        <v>319608.38708999945</v>
      </c>
      <c r="O22" s="81">
        <f t="shared" si="17"/>
        <v>434905.1042</v>
      </c>
      <c r="P22" s="81">
        <f t="shared" si="17"/>
        <v>322095.57328000019</v>
      </c>
      <c r="Q22" s="81">
        <f t="shared" si="17"/>
        <v>290973.32996666775</v>
      </c>
      <c r="R22" s="81">
        <f t="shared" si="17"/>
        <v>275758.81781000062</v>
      </c>
      <c r="S22" s="81">
        <f t="shared" si="17"/>
        <v>645323.4631499995</v>
      </c>
      <c r="T22" s="81">
        <f t="shared" si="17"/>
        <v>458903.48086999718</v>
      </c>
      <c r="U22" s="81">
        <f t="shared" si="17"/>
        <v>460159.17206764309</v>
      </c>
      <c r="V22" s="81">
        <f t="shared" si="17"/>
        <v>435297.39140999841</v>
      </c>
      <c r="W22" s="81">
        <f t="shared" si="17"/>
        <v>643808.11717481166</v>
      </c>
      <c r="X22" s="81">
        <f t="shared" si="17"/>
        <v>532048.43319443753</v>
      </c>
      <c r="Y22" s="81">
        <f t="shared" si="17"/>
        <v>481844.03171443578</v>
      </c>
      <c r="Z22" s="81">
        <f t="shared" si="17"/>
        <v>527242.78874443355</v>
      </c>
      <c r="AA22" s="81">
        <f t="shared" si="17"/>
        <v>654623.7388044385</v>
      </c>
      <c r="AB22" s="81">
        <f t="shared" si="17"/>
        <v>679214.91679443314</v>
      </c>
      <c r="AC22" s="81">
        <f t="shared" si="17"/>
        <v>489955.00010443665</v>
      </c>
      <c r="AD22" s="81">
        <f t="shared" ref="AD22:AI22" si="18">AD20+AD18</f>
        <v>449342.70676305669</v>
      </c>
      <c r="AE22" s="81">
        <f t="shared" si="18"/>
        <v>696564.95512537204</v>
      </c>
      <c r="AF22" s="81">
        <f t="shared" si="18"/>
        <v>778516.92517890222</v>
      </c>
      <c r="AG22" s="81">
        <f t="shared" si="18"/>
        <v>683810.46363000013</v>
      </c>
      <c r="AH22" s="81">
        <f t="shared" si="18"/>
        <v>453705.53571553517</v>
      </c>
      <c r="AI22" s="81">
        <f t="shared" si="18"/>
        <v>854217.47719000094</v>
      </c>
      <c r="AJ22"/>
      <c r="AK22" s="81">
        <f>AK20+AK18</f>
        <v>752277.19494753948</v>
      </c>
      <c r="AL22" s="81">
        <f>AL20+AL18</f>
        <v>852204.55881792936</v>
      </c>
      <c r="AM22" s="81">
        <f>AM20+AM18</f>
        <v>923850.92248305632</v>
      </c>
      <c r="AN22" s="81">
        <f>AN20+AN18</f>
        <v>1367582.3945366682</v>
      </c>
      <c r="AO22" s="81">
        <f>AO20+AO18</f>
        <v>1840144.9338976406</v>
      </c>
      <c r="AP22" s="81">
        <f t="shared" ref="AP22:AR22" si="19">AP20+AP18</f>
        <v>2092997.9734936799</v>
      </c>
      <c r="AQ22" s="81">
        <f t="shared" si="19"/>
        <v>2351036.4444477381</v>
      </c>
      <c r="AR22" s="81">
        <f t="shared" si="19"/>
        <v>2608235.0506973313</v>
      </c>
    </row>
    <row r="23" spans="1:44" s="25" customFormat="1">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c r="AK23" s="78"/>
      <c r="AL23" s="78"/>
      <c r="AM23" s="78"/>
      <c r="AN23" s="78"/>
      <c r="AO23" s="78"/>
      <c r="AP23" s="78"/>
      <c r="AQ23" s="78"/>
      <c r="AR23" s="78"/>
    </row>
    <row r="24" spans="1:44" s="25" customFormat="1">
      <c r="A24" s="17" t="str">
        <f>INDEX({"Despesas financeiras";"Financial Expenses"},Home!$R$30)</f>
        <v>Despesas financeiras</v>
      </c>
      <c r="B24" s="80">
        <v>-57244.094214056691</v>
      </c>
      <c r="C24" s="80">
        <v>-69235.268813182745</v>
      </c>
      <c r="D24" s="80">
        <v>-72006.965238557168</v>
      </c>
      <c r="E24" s="80">
        <v>-57459.580390832023</v>
      </c>
      <c r="F24" s="80">
        <v>-72895.329769999997</v>
      </c>
      <c r="G24" s="80">
        <v>-75568.985030000011</v>
      </c>
      <c r="H24" s="80">
        <v>-90347.576300000001</v>
      </c>
      <c r="I24" s="80">
        <v>-172436.30112000002</v>
      </c>
      <c r="J24" s="80">
        <v>-90085.575680000009</v>
      </c>
      <c r="K24" s="80">
        <v>-87820.119100000011</v>
      </c>
      <c r="L24" s="80">
        <v>-86491.649939999974</v>
      </c>
      <c r="M24" s="80">
        <v>-89400.281929999997</v>
      </c>
      <c r="N24" s="80">
        <v>-83247.035859999989</v>
      </c>
      <c r="O24" s="80">
        <v>-95649.267429999978</v>
      </c>
      <c r="P24" s="99">
        <v>-119773.6107</v>
      </c>
      <c r="Q24" s="99">
        <v>-160539.98942</v>
      </c>
      <c r="R24" s="99">
        <v>-182123.17182000002</v>
      </c>
      <c r="S24" s="99">
        <v>-224463.27902999998</v>
      </c>
      <c r="T24" s="99">
        <v>-275106.89205000008</v>
      </c>
      <c r="U24" s="99">
        <v>-258013.78064999991</v>
      </c>
      <c r="V24" s="99">
        <v>-320565.14302999998</v>
      </c>
      <c r="W24" s="99">
        <v>-326870.28021</v>
      </c>
      <c r="X24" s="99">
        <v>-323488.33292999998</v>
      </c>
      <c r="Y24" s="99">
        <v>-321606.76749999996</v>
      </c>
      <c r="Z24" s="99">
        <v>-350074.72590000002</v>
      </c>
      <c r="AA24" s="99">
        <v>-343967.51478999993</v>
      </c>
      <c r="AB24" s="99">
        <v>-335460.29838999995</v>
      </c>
      <c r="AC24" s="99">
        <v>-348198.50563000003</v>
      </c>
      <c r="AD24" s="80">
        <v>-368770.64048</v>
      </c>
      <c r="AE24" s="80">
        <v>-425654.66350000002</v>
      </c>
      <c r="AF24" s="80">
        <v>-457092.57508999994</v>
      </c>
      <c r="AG24" s="80">
        <v>-509445.65422000003</v>
      </c>
      <c r="AH24" s="78">
        <v>-473229.74152000016</v>
      </c>
      <c r="AI24" s="78">
        <v>-465405.38766999997</v>
      </c>
      <c r="AJ24"/>
      <c r="AK24" s="78">
        <f>SUM(B24:E24)</f>
        <v>-255945.90865662863</v>
      </c>
      <c r="AL24" s="78">
        <f>SUM(F24:I24)</f>
        <v>-411248.19222000003</v>
      </c>
      <c r="AM24" s="78">
        <f>SUM(J24:M24)</f>
        <v>-353797.62664999999</v>
      </c>
      <c r="AN24" s="78">
        <f>SUM(N24:Q24)</f>
        <v>-459209.90340999997</v>
      </c>
      <c r="AO24" s="78">
        <f>SUM(R24:U24)</f>
        <v>-939707.1235499999</v>
      </c>
      <c r="AP24" s="78">
        <f>SUM(V24:Y24)</f>
        <v>-1292530.52367</v>
      </c>
      <c r="AQ24" s="78">
        <f>SUM(Z24:AC24)</f>
        <v>-1377701.0447099998</v>
      </c>
      <c r="AR24" s="78">
        <f>SUM(AD24:AG24)</f>
        <v>-1760963.5332900002</v>
      </c>
    </row>
    <row r="25" spans="1:44" s="25" customFormat="1">
      <c r="A25" s="17" t="str">
        <f>INDEX({"Receitas financeiras";"Financial Revenues"},Home!$R$30)</f>
        <v>Receitas financeiras</v>
      </c>
      <c r="B25" s="80">
        <v>16467.187790000004</v>
      </c>
      <c r="C25" s="80">
        <v>18335.935020000004</v>
      </c>
      <c r="D25" s="80">
        <v>19468.37644</v>
      </c>
      <c r="E25" s="80">
        <v>17511.50879</v>
      </c>
      <c r="F25" s="80">
        <v>17654.268919999999</v>
      </c>
      <c r="G25" s="80">
        <v>15902.564960000002</v>
      </c>
      <c r="H25" s="80">
        <v>21521.02619</v>
      </c>
      <c r="I25" s="80">
        <v>21291.488419999998</v>
      </c>
      <c r="J25" s="80">
        <v>15859.034890000001</v>
      </c>
      <c r="K25" s="80">
        <v>14936.42477</v>
      </c>
      <c r="L25" s="80">
        <v>9786.6875700000001</v>
      </c>
      <c r="M25" s="80">
        <v>13600.097370000001</v>
      </c>
      <c r="N25" s="80">
        <v>10712.1505</v>
      </c>
      <c r="O25" s="80">
        <v>13491.534099999997</v>
      </c>
      <c r="P25" s="99">
        <v>23014.120790000001</v>
      </c>
      <c r="Q25" s="99">
        <v>32799.435519999999</v>
      </c>
      <c r="R25" s="99">
        <v>46762.404149999988</v>
      </c>
      <c r="S25" s="99">
        <v>66566.171310000005</v>
      </c>
      <c r="T25" s="99">
        <v>88286.656320000009</v>
      </c>
      <c r="U25" s="99">
        <v>91971.026050000015</v>
      </c>
      <c r="V25" s="99">
        <v>91224.001859999989</v>
      </c>
      <c r="W25" s="99">
        <v>100245.03516000001</v>
      </c>
      <c r="X25" s="99">
        <v>95159.606639999984</v>
      </c>
      <c r="Y25" s="99">
        <v>142106.07485000003</v>
      </c>
      <c r="Z25" s="99">
        <v>102544.75937999999</v>
      </c>
      <c r="AA25" s="99">
        <v>105835.15446999998</v>
      </c>
      <c r="AB25" s="99">
        <v>97334.060050000015</v>
      </c>
      <c r="AC25" s="99">
        <v>138875.43606999997</v>
      </c>
      <c r="AD25" s="80">
        <v>86174.236120000001</v>
      </c>
      <c r="AE25" s="80">
        <v>106401.06849404884</v>
      </c>
      <c r="AF25" s="80">
        <v>129924.10163541722</v>
      </c>
      <c r="AG25" s="80">
        <v>116092.65855053389</v>
      </c>
      <c r="AH25" s="78">
        <v>146560.40184999999</v>
      </c>
      <c r="AI25" s="78">
        <v>141704.86942</v>
      </c>
      <c r="AJ25"/>
      <c r="AK25" s="78">
        <f>SUM(B25:E25)</f>
        <v>71783.008040000015</v>
      </c>
      <c r="AL25" s="78">
        <f>SUM(F25:I25)</f>
        <v>76369.348489999989</v>
      </c>
      <c r="AM25" s="78">
        <f>SUM(J25:M25)</f>
        <v>54182.244600000005</v>
      </c>
      <c r="AN25" s="78">
        <f>SUM(N25:Q25)</f>
        <v>80017.240909999993</v>
      </c>
      <c r="AO25" s="78">
        <f>SUM(R25:U25)</f>
        <v>293586.25783000002</v>
      </c>
      <c r="AP25" s="78">
        <f>SUM(V25:Y25)</f>
        <v>428734.71850999998</v>
      </c>
      <c r="AQ25" s="78">
        <f>SUM(Z25:AC25)</f>
        <v>444589.40996999992</v>
      </c>
      <c r="AR25" s="78">
        <f>SUM(AD25:AG25)</f>
        <v>438592.06479999993</v>
      </c>
    </row>
    <row r="26" spans="1:44" s="25" customFormat="1">
      <c r="A26" s="19" t="str">
        <f>INDEX({"Despesas / Receitas Financeiras";"Financial Expenses/Revenues"},Home!$R$30)</f>
        <v>Despesas / Receitas Financeiras</v>
      </c>
      <c r="B26" s="81">
        <f t="shared" ref="B26:Y26" si="20">+B25+B24</f>
        <v>-40776.906424056688</v>
      </c>
      <c r="C26" s="81">
        <f t="shared" si="20"/>
        <v>-50899.333793182741</v>
      </c>
      <c r="D26" s="81">
        <f t="shared" si="20"/>
        <v>-52538.588798557168</v>
      </c>
      <c r="E26" s="81">
        <f t="shared" si="20"/>
        <v>-39948.071600832023</v>
      </c>
      <c r="F26" s="81">
        <f t="shared" si="20"/>
        <v>-55241.060849999994</v>
      </c>
      <c r="G26" s="81">
        <f t="shared" si="20"/>
        <v>-59666.420070000007</v>
      </c>
      <c r="H26" s="81">
        <f t="shared" si="20"/>
        <v>-68826.550109999996</v>
      </c>
      <c r="I26" s="81">
        <f t="shared" si="20"/>
        <v>-151144.81270000001</v>
      </c>
      <c r="J26" s="81">
        <f t="shared" si="20"/>
        <v>-74226.540790000014</v>
      </c>
      <c r="K26" s="81">
        <f t="shared" si="20"/>
        <v>-72883.694330000013</v>
      </c>
      <c r="L26" s="81">
        <f t="shared" si="20"/>
        <v>-76704.962369999979</v>
      </c>
      <c r="M26" s="81">
        <f t="shared" si="20"/>
        <v>-75800.184559999994</v>
      </c>
      <c r="N26" s="81">
        <f t="shared" si="20"/>
        <v>-72534.885359999986</v>
      </c>
      <c r="O26" s="81">
        <f t="shared" si="20"/>
        <v>-82157.733329999988</v>
      </c>
      <c r="P26" s="81">
        <f t="shared" si="20"/>
        <v>-96759.489910000004</v>
      </c>
      <c r="Q26" s="81">
        <f t="shared" si="20"/>
        <v>-127740.5539</v>
      </c>
      <c r="R26" s="81">
        <f t="shared" si="20"/>
        <v>-135360.76767000003</v>
      </c>
      <c r="S26" s="81">
        <f t="shared" si="20"/>
        <v>-157897.10771999997</v>
      </c>
      <c r="T26" s="81">
        <f t="shared" si="20"/>
        <v>-186820.23573000007</v>
      </c>
      <c r="U26" s="81">
        <f t="shared" si="20"/>
        <v>-166042.7545999999</v>
      </c>
      <c r="V26" s="81">
        <f t="shared" si="20"/>
        <v>-229341.14116999999</v>
      </c>
      <c r="W26" s="81">
        <f t="shared" si="20"/>
        <v>-226625.24504999997</v>
      </c>
      <c r="X26" s="81">
        <f t="shared" si="20"/>
        <v>-228328.72628999999</v>
      </c>
      <c r="Y26" s="81">
        <f t="shared" si="20"/>
        <v>-179500.69264999992</v>
      </c>
      <c r="Z26" s="81">
        <f>+Z25+Z24</f>
        <v>-247529.96652000002</v>
      </c>
      <c r="AA26" s="81">
        <f>+AA25+AA24</f>
        <v>-238132.36031999995</v>
      </c>
      <c r="AB26" s="81">
        <f t="shared" ref="AB26" si="21">+AB25+AB24</f>
        <v>-238126.23833999992</v>
      </c>
      <c r="AC26" s="81">
        <f>+AC25+AC24</f>
        <v>-209323.06956000006</v>
      </c>
      <c r="AD26" s="81">
        <f t="shared" ref="AD26:AH26" si="22">AD25+AD24</f>
        <v>-282596.40435999999</v>
      </c>
      <c r="AE26" s="81">
        <f t="shared" si="22"/>
        <v>-319253.59500595118</v>
      </c>
      <c r="AF26" s="81">
        <f t="shared" si="22"/>
        <v>-327168.47345458274</v>
      </c>
      <c r="AG26" s="81">
        <f t="shared" si="22"/>
        <v>-393352.99566946615</v>
      </c>
      <c r="AH26" s="81">
        <f t="shared" si="22"/>
        <v>-326669.33967000013</v>
      </c>
      <c r="AI26" s="81">
        <f t="shared" ref="AI26" si="23">AI25+AI24</f>
        <v>-323700.51824999996</v>
      </c>
      <c r="AJ26"/>
      <c r="AK26" s="81">
        <f t="shared" ref="AK26:AR26" si="24">AK25+AK24</f>
        <v>-184162.90061662861</v>
      </c>
      <c r="AL26" s="81">
        <f t="shared" si="24"/>
        <v>-334878.84373000002</v>
      </c>
      <c r="AM26" s="81">
        <f t="shared" si="24"/>
        <v>-299615.38205000001</v>
      </c>
      <c r="AN26" s="81">
        <f t="shared" si="24"/>
        <v>-379192.66249999998</v>
      </c>
      <c r="AO26" s="81">
        <f t="shared" si="24"/>
        <v>-646120.86571999989</v>
      </c>
      <c r="AP26" s="81">
        <f t="shared" si="24"/>
        <v>-863795.80515999999</v>
      </c>
      <c r="AQ26" s="81">
        <f t="shared" si="24"/>
        <v>-933111.63473999989</v>
      </c>
      <c r="AR26" s="81">
        <f t="shared" si="24"/>
        <v>-1322371.4684900003</v>
      </c>
    </row>
    <row r="27" spans="1:44" s="25" customFormat="1">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c r="AK27" s="78"/>
      <c r="AL27" s="78"/>
      <c r="AM27" s="78"/>
      <c r="AN27" s="78"/>
      <c r="AO27" s="78"/>
      <c r="AP27" s="78"/>
      <c r="AQ27" s="78"/>
      <c r="AR27" s="78"/>
    </row>
    <row r="28" spans="1:44" s="25" customFormat="1">
      <c r="A28" s="17" t="str">
        <f>INDEX({"Equivalência Patrimonial";"Equity Equivalence"},Home!$R$30)</f>
        <v>Equivalência Patrimonial</v>
      </c>
      <c r="B28" s="80">
        <v>0</v>
      </c>
      <c r="C28" s="80">
        <v>0</v>
      </c>
      <c r="D28" s="80">
        <v>0</v>
      </c>
      <c r="E28" s="80">
        <v>0</v>
      </c>
      <c r="F28" s="80">
        <v>0</v>
      </c>
      <c r="G28" s="80">
        <v>0</v>
      </c>
      <c r="H28" s="80">
        <v>0</v>
      </c>
      <c r="I28" s="80">
        <v>0</v>
      </c>
      <c r="J28" s="80">
        <v>0</v>
      </c>
      <c r="K28" s="80">
        <v>0</v>
      </c>
      <c r="L28" s="80">
        <v>-4316.2464800000007</v>
      </c>
      <c r="M28" s="80">
        <v>-3550.901550000001</v>
      </c>
      <c r="N28" s="80">
        <v>-1514.8493799999999</v>
      </c>
      <c r="O28" s="80">
        <v>-1486.2648100000001</v>
      </c>
      <c r="P28" s="99">
        <v>179.12029000000098</v>
      </c>
      <c r="Q28" s="80">
        <v>1693.8712780000008</v>
      </c>
      <c r="R28" s="80">
        <v>30.067840000000782</v>
      </c>
      <c r="S28" s="80">
        <v>281.89244999999551</v>
      </c>
      <c r="T28" s="80">
        <v>188.39971999999881</v>
      </c>
      <c r="U28" s="80">
        <v>-1321.4714200000055</v>
      </c>
      <c r="V28" s="80">
        <v>-2580.9251299999992</v>
      </c>
      <c r="W28" s="80">
        <v>-829.11350000000186</v>
      </c>
      <c r="X28" s="80">
        <v>-1783.7362300000009</v>
      </c>
      <c r="Y28" s="80">
        <v>-7315.6457999999966</v>
      </c>
      <c r="Z28" s="80">
        <v>340.11961000000127</v>
      </c>
      <c r="AA28" s="80">
        <v>-587.83263114600072</v>
      </c>
      <c r="AB28" s="80">
        <v>-213.41718999999947</v>
      </c>
      <c r="AC28" s="80">
        <v>1530.4343400000184</v>
      </c>
      <c r="AD28" s="80">
        <v>-1273.6401352319976</v>
      </c>
      <c r="AE28" s="80">
        <v>-434.77436236799463</v>
      </c>
      <c r="AF28" s="80">
        <v>1026.7094577279818</v>
      </c>
      <c r="AG28" s="80">
        <v>2675.0886336000049</v>
      </c>
      <c r="AH28" s="78">
        <v>-237.44383626099861</v>
      </c>
      <c r="AI28" s="78">
        <v>-179.22417959272488</v>
      </c>
      <c r="AJ28"/>
      <c r="AK28" s="78">
        <f>SUM(B28:E28)</f>
        <v>0</v>
      </c>
      <c r="AL28" s="78">
        <f>SUM(F28:I28)</f>
        <v>0</v>
      </c>
      <c r="AM28" s="78">
        <f>SUM(J28:M28)</f>
        <v>-7867.1480300000021</v>
      </c>
      <c r="AN28" s="78">
        <f>SUM(N28:Q28)</f>
        <v>-1128.1226219999987</v>
      </c>
      <c r="AO28" s="78">
        <f>SUM(R28:U28)</f>
        <v>-821.11141000001044</v>
      </c>
      <c r="AP28" s="78">
        <f>SUM(V28:Y28)</f>
        <v>-12509.420659999998</v>
      </c>
      <c r="AQ28" s="78">
        <f>SUM(Z28:AC28)</f>
        <v>1069.3041288540194</v>
      </c>
      <c r="AR28" s="78">
        <f>SUM(AD28:AG28)</f>
        <v>1993.3835937279944</v>
      </c>
    </row>
    <row r="29" spans="1:44" s="25" customFormat="1">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c r="AK29" s="78"/>
      <c r="AL29" s="78"/>
      <c r="AM29" s="78"/>
      <c r="AN29" s="78"/>
      <c r="AO29" s="78"/>
      <c r="AP29" s="78"/>
      <c r="AQ29" s="78"/>
      <c r="AR29" s="78"/>
    </row>
    <row r="30" spans="1:44" s="25" customFormat="1">
      <c r="A30" s="19" t="str">
        <f>INDEX({"Lucro antes do IR e da contribuição social";"Earnings before Income Tax and Social Charges"},Home!$R$30)</f>
        <v>Lucro antes do IR e da contribuição social</v>
      </c>
      <c r="B30" s="81">
        <f t="shared" ref="B30:Y30" si="25">+B26+B22+B28</f>
        <v>142174.16945970885</v>
      </c>
      <c r="C30" s="81">
        <f t="shared" si="25"/>
        <v>164383.66153300749</v>
      </c>
      <c r="D30" s="81">
        <f t="shared" si="25"/>
        <v>143331.12475818754</v>
      </c>
      <c r="E30" s="81">
        <f t="shared" si="25"/>
        <v>118225.338580007</v>
      </c>
      <c r="F30" s="81">
        <f t="shared" si="25"/>
        <v>101128.84827969813</v>
      </c>
      <c r="G30" s="81">
        <f t="shared" si="25"/>
        <v>176384.02977999975</v>
      </c>
      <c r="H30" s="81">
        <f t="shared" si="25"/>
        <v>156837.49796451529</v>
      </c>
      <c r="I30" s="81">
        <f t="shared" si="25"/>
        <v>82975.339063715946</v>
      </c>
      <c r="J30" s="81">
        <f t="shared" si="25"/>
        <v>167599.29718305246</v>
      </c>
      <c r="K30" s="81">
        <f t="shared" si="25"/>
        <v>49243.866750000641</v>
      </c>
      <c r="L30" s="81">
        <f t="shared" si="25"/>
        <v>202263.97223999977</v>
      </c>
      <c r="M30" s="81">
        <f t="shared" si="25"/>
        <v>197261.25623000108</v>
      </c>
      <c r="N30" s="81">
        <f t="shared" si="25"/>
        <v>245558.65234999947</v>
      </c>
      <c r="O30" s="81">
        <f t="shared" si="25"/>
        <v>351261.10605999996</v>
      </c>
      <c r="P30" s="81">
        <f t="shared" si="25"/>
        <v>225515.20366000017</v>
      </c>
      <c r="Q30" s="81">
        <f t="shared" si="25"/>
        <v>164926.64734466776</v>
      </c>
      <c r="R30" s="81">
        <f t="shared" si="25"/>
        <v>140428.11798000059</v>
      </c>
      <c r="S30" s="81">
        <f t="shared" si="25"/>
        <v>487708.24787999952</v>
      </c>
      <c r="T30" s="81">
        <f t="shared" si="25"/>
        <v>272271.64485999709</v>
      </c>
      <c r="U30" s="81">
        <f t="shared" si="25"/>
        <v>292794.94604764314</v>
      </c>
      <c r="V30" s="81">
        <f t="shared" si="25"/>
        <v>203375.32510999843</v>
      </c>
      <c r="W30" s="81">
        <f t="shared" si="25"/>
        <v>416353.75862481171</v>
      </c>
      <c r="X30" s="81">
        <f t="shared" si="25"/>
        <v>301935.97067443753</v>
      </c>
      <c r="Y30" s="81">
        <f t="shared" si="25"/>
        <v>295027.69326443586</v>
      </c>
      <c r="Z30" s="81">
        <f>+Z26+Z22+Z28</f>
        <v>280052.94183443353</v>
      </c>
      <c r="AA30" s="81">
        <f t="shared" ref="AA30:AB30" si="26">+AA26+AA22+AA28</f>
        <v>415903.54585329251</v>
      </c>
      <c r="AB30" s="81">
        <f t="shared" si="26"/>
        <v>440875.26126443321</v>
      </c>
      <c r="AC30" s="81">
        <f>+AC26+AC22+AC28</f>
        <v>282162.3648844366</v>
      </c>
      <c r="AD30" s="81">
        <f t="shared" ref="AD30:AH30" si="27">AD26+AD22+AD28</f>
        <v>165472.66226782469</v>
      </c>
      <c r="AE30" s="81">
        <f t="shared" si="27"/>
        <v>376876.58575705288</v>
      </c>
      <c r="AF30" s="81">
        <f t="shared" si="27"/>
        <v>452375.16118204745</v>
      </c>
      <c r="AG30" s="81">
        <f t="shared" si="27"/>
        <v>293132.55659413396</v>
      </c>
      <c r="AH30" s="81">
        <f t="shared" si="27"/>
        <v>126798.75220927404</v>
      </c>
      <c r="AI30" s="81">
        <f t="shared" ref="AI30" si="28">AI26+AI22+AI28</f>
        <v>530337.73476040829</v>
      </c>
      <c r="AJ30"/>
      <c r="AK30" s="81">
        <f t="shared" ref="AK30:AR30" si="29">AK26+AK22+AK28</f>
        <v>568114.2943309109</v>
      </c>
      <c r="AL30" s="81">
        <f t="shared" si="29"/>
        <v>517325.71508792933</v>
      </c>
      <c r="AM30" s="81">
        <f t="shared" si="29"/>
        <v>616368.39240305626</v>
      </c>
      <c r="AN30" s="81">
        <f t="shared" si="29"/>
        <v>987261.60941466817</v>
      </c>
      <c r="AO30" s="81">
        <f t="shared" si="29"/>
        <v>1193202.9567676408</v>
      </c>
      <c r="AP30" s="81">
        <f t="shared" si="29"/>
        <v>1216692.7476736798</v>
      </c>
      <c r="AQ30" s="81">
        <f t="shared" si="29"/>
        <v>1418994.1138365923</v>
      </c>
      <c r="AR30" s="81">
        <f t="shared" si="29"/>
        <v>1287856.965801059</v>
      </c>
    </row>
    <row r="31" spans="1:44" s="25" customFormat="1">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c r="AK31" s="78"/>
      <c r="AL31" s="78"/>
      <c r="AM31" s="78"/>
      <c r="AN31" s="78"/>
      <c r="AO31" s="78"/>
      <c r="AP31" s="78"/>
      <c r="AQ31" s="78"/>
      <c r="AR31" s="78"/>
    </row>
    <row r="32" spans="1:44" s="25" customFormat="1">
      <c r="A32" s="17" t="str">
        <f>INDEX({"Imposto de renda e contribuição social";"Income Tax and Social Charges"},Home!$R$30)</f>
        <v>Imposto de renda e contribuição social</v>
      </c>
      <c r="B32" s="80">
        <v>-32657.297076940849</v>
      </c>
      <c r="C32" s="80">
        <v>-39853.916539212827</v>
      </c>
      <c r="D32" s="80">
        <v>-25148.850603143586</v>
      </c>
      <c r="E32" s="80">
        <v>-7819.9652128218349</v>
      </c>
      <c r="F32" s="80">
        <v>-10649.792275399999</v>
      </c>
      <c r="G32" s="80">
        <v>-35639.267495399996</v>
      </c>
      <c r="H32" s="80">
        <v>-27176.65821754</v>
      </c>
      <c r="I32" s="80">
        <v>11950.643374599997</v>
      </c>
      <c r="J32" s="80">
        <v>-43563.072385399995</v>
      </c>
      <c r="K32" s="80">
        <v>-3027.3630154000011</v>
      </c>
      <c r="L32" s="80">
        <v>-47249.049195400003</v>
      </c>
      <c r="M32" s="80">
        <v>-26996.189881800001</v>
      </c>
      <c r="N32" s="80">
        <v>-69330.615158399989</v>
      </c>
      <c r="O32" s="80">
        <v>-97480.072658399979</v>
      </c>
      <c r="P32" s="99">
        <v>-67036.927205199987</v>
      </c>
      <c r="Q32" s="99">
        <v>10717.361714800001</v>
      </c>
      <c r="R32" s="99">
        <v>3475.8049649999994</v>
      </c>
      <c r="S32" s="99">
        <v>-124221.61148499999</v>
      </c>
      <c r="T32" s="99">
        <v>-52295.169705000008</v>
      </c>
      <c r="U32" s="99">
        <v>-5199.9239749999942</v>
      </c>
      <c r="V32" s="99">
        <v>-5516.5594350000001</v>
      </c>
      <c r="W32" s="99">
        <v>-73272.45878500001</v>
      </c>
      <c r="X32" s="99">
        <v>-33665.156524999991</v>
      </c>
      <c r="Y32" s="99">
        <v>-17095.431624999994</v>
      </c>
      <c r="Z32" s="99">
        <v>-86751.452894999995</v>
      </c>
      <c r="AA32" s="99">
        <v>-87232.623275000005</v>
      </c>
      <c r="AB32" s="99">
        <v>-101756.489185</v>
      </c>
      <c r="AC32" s="99">
        <v>68119.85388499999</v>
      </c>
      <c r="AD32" s="80">
        <v>-23163.718195000001</v>
      </c>
      <c r="AE32" s="80">
        <v>-52671.377945</v>
      </c>
      <c r="AF32" s="80">
        <v>-82887.529324999981</v>
      </c>
      <c r="AG32" s="80">
        <v>-12637.211954999982</v>
      </c>
      <c r="AH32" s="78">
        <v>20471.818415317852</v>
      </c>
      <c r="AI32" s="78">
        <v>-114074.60190499997</v>
      </c>
      <c r="AJ32"/>
      <c r="AK32" s="106">
        <f>SUM(B32:E32)</f>
        <v>-105480.02943211909</v>
      </c>
      <c r="AL32" s="106">
        <f>SUM(F32:I32)</f>
        <v>-61515.074613739998</v>
      </c>
      <c r="AM32" s="106">
        <f>SUM(J32:M32)</f>
        <v>-120835.674478</v>
      </c>
      <c r="AN32" s="106">
        <f>SUM(N32:Q32)</f>
        <v>-223130.25330719995</v>
      </c>
      <c r="AO32" s="106">
        <f>SUM(R32:U32)</f>
        <v>-178240.90019999997</v>
      </c>
      <c r="AP32" s="106">
        <f>SUM(V32:Y32)</f>
        <v>-129549.60636999999</v>
      </c>
      <c r="AQ32" s="106">
        <f>SUM(Z32:AC32)</f>
        <v>-207620.71147000004</v>
      </c>
      <c r="AR32" s="106">
        <f>SUM(AD32:AG32)</f>
        <v>-171359.83741999997</v>
      </c>
    </row>
    <row r="33" spans="1:59" s="25" customFormat="1">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c r="AK33" s="78"/>
      <c r="AL33" s="78"/>
      <c r="AM33" s="78"/>
      <c r="AN33" s="78"/>
      <c r="AO33" s="78"/>
      <c r="AP33" s="78"/>
      <c r="AQ33" s="78"/>
      <c r="AR33" s="78"/>
    </row>
    <row r="34" spans="1:59" customFormat="1">
      <c r="A34" s="94" t="str">
        <f>INDEX({"Lucro líq. operações continuadas";"Net income continued operations"},Home!$R$30)</f>
        <v>Lucro líq. operações continuadas</v>
      </c>
      <c r="B34" s="95">
        <f t="shared" ref="B34:Y34" si="30">+B32+B30</f>
        <v>109516.87238276799</v>
      </c>
      <c r="C34" s="95">
        <f t="shared" si="30"/>
        <v>124529.74499379465</v>
      </c>
      <c r="D34" s="95">
        <f t="shared" si="30"/>
        <v>118182.27415504395</v>
      </c>
      <c r="E34" s="95">
        <f t="shared" si="30"/>
        <v>110405.37336718517</v>
      </c>
      <c r="F34" s="95">
        <f t="shared" si="30"/>
        <v>90479.056004298123</v>
      </c>
      <c r="G34" s="95">
        <f t="shared" si="30"/>
        <v>140744.76228459977</v>
      </c>
      <c r="H34" s="95">
        <f t="shared" si="30"/>
        <v>129660.8397469753</v>
      </c>
      <c r="I34" s="95">
        <f t="shared" si="30"/>
        <v>94925.982438315943</v>
      </c>
      <c r="J34" s="95">
        <f t="shared" si="30"/>
        <v>124036.22479765247</v>
      </c>
      <c r="K34" s="95">
        <f t="shared" si="30"/>
        <v>46216.503734600643</v>
      </c>
      <c r="L34" s="95">
        <f t="shared" si="30"/>
        <v>155014.92304459977</v>
      </c>
      <c r="M34" s="95">
        <f t="shared" si="30"/>
        <v>170265.06634820107</v>
      </c>
      <c r="N34" s="95">
        <f t="shared" si="30"/>
        <v>176228.03719159949</v>
      </c>
      <c r="O34" s="95">
        <f t="shared" si="30"/>
        <v>253781.03340159997</v>
      </c>
      <c r="P34" s="95">
        <f t="shared" si="30"/>
        <v>158478.27645480019</v>
      </c>
      <c r="Q34" s="95">
        <f t="shared" si="30"/>
        <v>175644.00905946776</v>
      </c>
      <c r="R34" s="95">
        <f t="shared" si="30"/>
        <v>143903.92294500058</v>
      </c>
      <c r="S34" s="95">
        <f t="shared" si="30"/>
        <v>363486.63639499951</v>
      </c>
      <c r="T34" s="95">
        <f t="shared" si="30"/>
        <v>219976.47515499708</v>
      </c>
      <c r="U34" s="95">
        <f t="shared" si="30"/>
        <v>287595.02207264316</v>
      </c>
      <c r="V34" s="95">
        <f t="shared" si="30"/>
        <v>197858.76567499843</v>
      </c>
      <c r="W34" s="95">
        <f t="shared" si="30"/>
        <v>343081.29983981169</v>
      </c>
      <c r="X34" s="95">
        <f t="shared" si="30"/>
        <v>268270.81414943753</v>
      </c>
      <c r="Y34" s="95">
        <f t="shared" si="30"/>
        <v>277932.26163943589</v>
      </c>
      <c r="Z34" s="95">
        <f>+Z32+Z30</f>
        <v>193301.48893943353</v>
      </c>
      <c r="AA34" s="95">
        <f t="shared" ref="AA34:AB34" si="31">+AA32+AA30</f>
        <v>328670.92257829249</v>
      </c>
      <c r="AB34" s="95">
        <f t="shared" si="31"/>
        <v>339118.7720794332</v>
      </c>
      <c r="AC34" s="95">
        <f t="shared" ref="AC34" si="32">+AC32+AC30</f>
        <v>350282.21876943659</v>
      </c>
      <c r="AD34" s="95">
        <f t="shared" ref="AD34:AH34" si="33">AD32+AD30</f>
        <v>142308.9440728247</v>
      </c>
      <c r="AE34" s="95">
        <f t="shared" si="33"/>
        <v>324205.20781205286</v>
      </c>
      <c r="AF34" s="95">
        <f t="shared" si="33"/>
        <v>369487.63185704744</v>
      </c>
      <c r="AG34" s="95">
        <f t="shared" si="33"/>
        <v>280495.34463913395</v>
      </c>
      <c r="AH34" s="95">
        <f t="shared" si="33"/>
        <v>147270.5706245919</v>
      </c>
      <c r="AI34" s="95">
        <f t="shared" ref="AI34" si="34">AI32+AI30</f>
        <v>416263.1328554083</v>
      </c>
      <c r="AK34" s="95">
        <f t="shared" ref="AK34:AR34" si="35">AK32+AK30</f>
        <v>462634.26489879179</v>
      </c>
      <c r="AL34" s="95">
        <f t="shared" si="35"/>
        <v>455810.64047418931</v>
      </c>
      <c r="AM34" s="95">
        <f t="shared" si="35"/>
        <v>495532.71792505623</v>
      </c>
      <c r="AN34" s="95">
        <f t="shared" si="35"/>
        <v>764131.35610746825</v>
      </c>
      <c r="AO34" s="95">
        <f t="shared" si="35"/>
        <v>1014962.0565676407</v>
      </c>
      <c r="AP34" s="95">
        <f t="shared" si="35"/>
        <v>1087143.1413036799</v>
      </c>
      <c r="AQ34" s="95">
        <f t="shared" si="35"/>
        <v>1211373.4023665923</v>
      </c>
      <c r="AR34" s="95">
        <f t="shared" si="35"/>
        <v>1116497.128381059</v>
      </c>
    </row>
    <row r="35" spans="1:59" customFormat="1">
      <c r="A35" s="25"/>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row>
    <row r="36" spans="1:59" customFormat="1">
      <c r="A36" s="17" t="str">
        <f>INDEX({"Resultado de operações descontinuadas (4Bio)";"Results of discontinued operations (4Bio)"},Home!$R$30)</f>
        <v>Resultado de operações descontinuadas (4Bio)</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22770</v>
      </c>
      <c r="AE36" s="80">
        <v>58718</v>
      </c>
      <c r="AF36" s="80">
        <v>92193</v>
      </c>
      <c r="AG36" s="80">
        <v>10066</v>
      </c>
      <c r="AH36" s="80">
        <v>11685</v>
      </c>
      <c r="AI36" s="80">
        <v>8277</v>
      </c>
      <c r="AK36" s="80">
        <f>SUM(B36:E36)</f>
        <v>0</v>
      </c>
      <c r="AL36" s="80">
        <f>SUM(F36:I36)</f>
        <v>0</v>
      </c>
      <c r="AM36" s="80">
        <f>SUM(J36:M36)</f>
        <v>0</v>
      </c>
      <c r="AN36" s="80">
        <f>SUM(N36:Q36)</f>
        <v>0</v>
      </c>
      <c r="AO36" s="80">
        <f>SUM(R36:U36)</f>
        <v>0</v>
      </c>
      <c r="AP36" s="80">
        <f>SUM(V36:Y36)</f>
        <v>0</v>
      </c>
      <c r="AQ36" s="80">
        <f>SUM(Z36:AC36)</f>
        <v>0</v>
      </c>
      <c r="AR36" s="80">
        <f>SUM(AD36:AG36)</f>
        <v>183747</v>
      </c>
    </row>
    <row r="37" spans="1:59" customFormat="1">
      <c r="A37" s="94" t="str">
        <f>INDEX({"Lucro líquido";"Net income"},Home!$R$30)</f>
        <v>Lucro líquido</v>
      </c>
      <c r="B37" s="95">
        <f t="shared" ref="B37:AH37" si="36">B36+B34</f>
        <v>109516.87238276799</v>
      </c>
      <c r="C37" s="95">
        <f t="shared" si="36"/>
        <v>124529.74499379465</v>
      </c>
      <c r="D37" s="95">
        <f t="shared" si="36"/>
        <v>118182.27415504395</v>
      </c>
      <c r="E37" s="95">
        <f t="shared" si="36"/>
        <v>110405.37336718517</v>
      </c>
      <c r="F37" s="95">
        <f t="shared" si="36"/>
        <v>90479.056004298123</v>
      </c>
      <c r="G37" s="95">
        <f t="shared" si="36"/>
        <v>140744.76228459977</v>
      </c>
      <c r="H37" s="95">
        <f t="shared" si="36"/>
        <v>129660.8397469753</v>
      </c>
      <c r="I37" s="95">
        <f t="shared" si="36"/>
        <v>94925.982438315943</v>
      </c>
      <c r="J37" s="95">
        <f t="shared" si="36"/>
        <v>124036.22479765247</v>
      </c>
      <c r="K37" s="95">
        <f t="shared" si="36"/>
        <v>46216.503734600643</v>
      </c>
      <c r="L37" s="95">
        <f t="shared" si="36"/>
        <v>155014.92304459977</v>
      </c>
      <c r="M37" s="95">
        <f t="shared" si="36"/>
        <v>170265.06634820107</v>
      </c>
      <c r="N37" s="95">
        <f t="shared" si="36"/>
        <v>176228.03719159949</v>
      </c>
      <c r="O37" s="95">
        <f t="shared" si="36"/>
        <v>253781.03340159997</v>
      </c>
      <c r="P37" s="95">
        <f t="shared" si="36"/>
        <v>158478.27645480019</v>
      </c>
      <c r="Q37" s="95">
        <f t="shared" si="36"/>
        <v>175644.00905946776</v>
      </c>
      <c r="R37" s="95">
        <f t="shared" si="36"/>
        <v>143903.92294500058</v>
      </c>
      <c r="S37" s="95">
        <f t="shared" si="36"/>
        <v>363486.63639499951</v>
      </c>
      <c r="T37" s="95">
        <f t="shared" si="36"/>
        <v>219976.47515499708</v>
      </c>
      <c r="U37" s="95">
        <f t="shared" si="36"/>
        <v>287595.02207264316</v>
      </c>
      <c r="V37" s="95">
        <f t="shared" si="36"/>
        <v>197858.76567499843</v>
      </c>
      <c r="W37" s="95">
        <f t="shared" si="36"/>
        <v>343081.29983981169</v>
      </c>
      <c r="X37" s="95">
        <f t="shared" si="36"/>
        <v>268270.81414943753</v>
      </c>
      <c r="Y37" s="95">
        <f t="shared" si="36"/>
        <v>277932.26163943589</v>
      </c>
      <c r="Z37" s="95">
        <f t="shared" si="36"/>
        <v>193301.48893943353</v>
      </c>
      <c r="AA37" s="95">
        <f t="shared" si="36"/>
        <v>328670.92257829249</v>
      </c>
      <c r="AB37" s="95">
        <f t="shared" si="36"/>
        <v>339118.7720794332</v>
      </c>
      <c r="AC37" s="95">
        <f t="shared" si="36"/>
        <v>350282.21876943659</v>
      </c>
      <c r="AD37" s="95">
        <f t="shared" si="36"/>
        <v>165078.9440728247</v>
      </c>
      <c r="AE37" s="95">
        <f t="shared" si="36"/>
        <v>382923.20781205286</v>
      </c>
      <c r="AF37" s="95">
        <f t="shared" si="36"/>
        <v>461680.63185704744</v>
      </c>
      <c r="AG37" s="95">
        <f t="shared" si="36"/>
        <v>290561.34463913395</v>
      </c>
      <c r="AH37" s="95">
        <f t="shared" si="36"/>
        <v>158955.5706245919</v>
      </c>
      <c r="AI37" s="95">
        <f t="shared" ref="AI37" si="37">AI36+AI34</f>
        <v>424540.1328554083</v>
      </c>
      <c r="AK37" s="95">
        <f t="shared" ref="AK37:AR37" si="38">AK36+AK34</f>
        <v>462634.26489879179</v>
      </c>
      <c r="AL37" s="95">
        <f t="shared" si="38"/>
        <v>455810.64047418931</v>
      </c>
      <c r="AM37" s="95">
        <f t="shared" si="38"/>
        <v>495532.71792505623</v>
      </c>
      <c r="AN37" s="95">
        <f t="shared" si="38"/>
        <v>764131.35610746825</v>
      </c>
      <c r="AO37" s="95">
        <f t="shared" si="38"/>
        <v>1014962.0565676407</v>
      </c>
      <c r="AP37" s="95">
        <f t="shared" si="38"/>
        <v>1087143.1413036799</v>
      </c>
      <c r="AQ37" s="95">
        <f t="shared" si="38"/>
        <v>1211373.4023665923</v>
      </c>
      <c r="AR37" s="95">
        <f t="shared" si="38"/>
        <v>1300244.128381059</v>
      </c>
    </row>
    <row r="38" spans="1:59" s="25" customFormat="1">
      <c r="AJ38"/>
    </row>
    <row r="39" spans="1:59" s="25" customFormat="1" ht="52">
      <c r="A39" s="30" t="str">
        <f>INDEX({"*Ajustado para considerar as operações da Onofre somente após suas respectivas integrações. As lojas foram incluídas de agosto em diante, enquanto a operação de e-commerce e as estruturas corporativa e de logística foram excluídas nesse trimestre.";"*Adjusted to consider Onofre’s operations only after their respective integration. Therefore, the stores are included from August onwards, while the e-commerce operations, as well as the corporate and logistics structures, have been fully excluded."},Home!$R$30)</f>
        <v>*Ajustado para considerar as operações da Onofre somente após suas respectivas integrações. As lojas foram incluídas de agosto em diante, enquanto a operação de e-commerce e as estruturas corporativa e de logística foram excluídas nesse trimestre.</v>
      </c>
      <c r="B39" s="29"/>
      <c r="C39" s="29"/>
      <c r="D39" s="29"/>
      <c r="E39" s="29"/>
      <c r="F39" s="29"/>
      <c r="G39" s="29"/>
      <c r="H39" s="29"/>
      <c r="I39" s="29"/>
      <c r="J39" s="29"/>
      <c r="K39" s="29"/>
      <c r="S39" s="23"/>
      <c r="T39" s="23"/>
      <c r="U39" s="23"/>
      <c r="V39" s="23"/>
      <c r="W39" s="23"/>
      <c r="X39" s="23"/>
      <c r="Y39" s="23"/>
      <c r="Z39" s="23"/>
      <c r="AA39" s="23"/>
      <c r="AB39" s="23"/>
      <c r="AC39" s="23"/>
      <c r="AD39" s="23"/>
      <c r="AE39" s="23"/>
      <c r="AF39" s="23"/>
      <c r="AG39" s="23"/>
      <c r="AJ39"/>
    </row>
    <row r="40" spans="1:59">
      <c r="AD40" s="23"/>
      <c r="AE40" s="23"/>
      <c r="AF40" s="23"/>
      <c r="AG40" s="23"/>
    </row>
  </sheetData>
  <pageMargins left="0.78740157499999996" right="0.78740157499999996" top="0.984251969" bottom="0.984251969" header="0.4921259845" footer="0.4921259845"/>
  <pageSetup paperSize="9" orientation="portrait" verticalDpi="0" r:id="rId1"/>
  <ignoredErrors>
    <ignoredError sqref="AK3:AR14 AK16:AR37 AK15:AR15"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D1C3"/>
  </sheetPr>
  <dimension ref="A1:AZ64"/>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21" customWidth="1"/>
    <col min="2" max="2" width="10.6328125" style="15" customWidth="1"/>
    <col min="3" max="11" width="10.6328125" style="15"/>
    <col min="12" max="35" width="10.6328125" style="21"/>
    <col min="36" max="16384" width="10.6328125" style="15"/>
  </cols>
  <sheetData>
    <row r="1" spans="1:52" s="14" customFormat="1" ht="20" customHeight="1" thickBot="1">
      <c r="A1" s="61" t="str">
        <f>INDEX({"Balanço Patrimonial IFRS 16 (R$ mil)";"Balance Sheet IFRS 16 (R$ thousands)"},Home!$R$30)</f>
        <v>Balanço Patrimonial IFRS 16 (R$ mil)</v>
      </c>
      <c r="B1" s="70" t="str">
        <f>INDEX({"1T18";"1Q18"},Home!$R$30)</f>
        <v>1T18</v>
      </c>
      <c r="C1" s="70" t="str">
        <f>INDEX({"2T18";"2Q18"},Home!$R$30)</f>
        <v>2T18</v>
      </c>
      <c r="D1" s="70" t="str">
        <f>INDEX({"3T18";"3Q18"},Home!$R$30)</f>
        <v>3T18</v>
      </c>
      <c r="E1" s="70" t="str">
        <f>INDEX({"4T18";"4Q18"},Home!$R$30)</f>
        <v>4T18</v>
      </c>
      <c r="F1" s="70" t="str">
        <f>INDEX({"1T19";"1Q19"},Home!$R$30)</f>
        <v>1T19</v>
      </c>
      <c r="G1" s="70" t="str">
        <f>INDEX({"2T19";"2Q19"},Home!$R$30)</f>
        <v>2T19</v>
      </c>
      <c r="H1" s="70" t="str">
        <f>INDEX({"3T19";"3Q19"},Home!$R$30)</f>
        <v>3T19</v>
      </c>
      <c r="I1" s="70" t="str">
        <f>INDEX({"4T19";"4Q19"},Home!$R$30)</f>
        <v>4T19</v>
      </c>
      <c r="J1" s="70" t="str">
        <f>INDEX({"1T20";"1Q20"},Home!$R$30)</f>
        <v>1T20</v>
      </c>
      <c r="K1" s="70" t="str">
        <f>INDEX({"2T20";"2Q20"},Home!$R$30)</f>
        <v>2T20</v>
      </c>
      <c r="L1" s="70" t="str">
        <f>INDEX({"3T20";"3Q20"},Home!$R$30)</f>
        <v>3T20</v>
      </c>
      <c r="M1" s="70" t="str">
        <f>INDEX({"4T20";"4Q20"},Home!$R$30)</f>
        <v>4T20</v>
      </c>
      <c r="N1" s="70" t="str">
        <f>INDEX({"1T21";"1Q21"},Home!$R$30)</f>
        <v>1T21</v>
      </c>
      <c r="O1" s="70" t="str">
        <f>INDEX({"2T21";"2Q21"},Home!$R$30)</f>
        <v>2T21</v>
      </c>
      <c r="P1" s="70" t="str">
        <f>INDEX({"3T21";"3Q21"},Home!$R$30)</f>
        <v>3T21</v>
      </c>
      <c r="Q1" s="70" t="str">
        <f>INDEX({"4T21";"4Q21"},Home!$R$30)</f>
        <v>4T21</v>
      </c>
      <c r="R1" s="70" t="str">
        <f>INDEX({"1T22";"1Q22"},Home!$R$30)</f>
        <v>1T22</v>
      </c>
      <c r="S1" s="70" t="str">
        <f>INDEX({"2T22";"2Q22"},Home!$R$30)</f>
        <v>2T22</v>
      </c>
      <c r="T1" s="70" t="str">
        <f>INDEX({"3T22";"3Q22"},Home!$R$30)</f>
        <v>3T22</v>
      </c>
      <c r="U1" s="70" t="str">
        <f>INDEX({"4T22";"4Q22"},Home!$R$30)</f>
        <v>4T22</v>
      </c>
      <c r="V1" s="70" t="str">
        <f>INDEX({"1T23";"1Q23"},Home!$R$30)</f>
        <v>1T23</v>
      </c>
      <c r="W1" s="70" t="str">
        <f>INDEX({"2T23";"2Q23"},Home!$R$30)</f>
        <v>2T23</v>
      </c>
      <c r="X1" s="70" t="str">
        <f>INDEX({"3T23";"3Q23"},Home!$R$30)</f>
        <v>3T23</v>
      </c>
      <c r="Y1" s="70" t="str">
        <f>INDEX({"4T23";"4Q23"},Home!$R$30)</f>
        <v>4T23</v>
      </c>
      <c r="Z1" s="70" t="str">
        <f>INDEX({"1T24";"1Q24"},Home!$R$30)</f>
        <v>1T24</v>
      </c>
      <c r="AA1" s="70" t="str">
        <f>INDEX({"2T24";"2Q24"},Home!$R$30)</f>
        <v>2T24</v>
      </c>
      <c r="AB1" s="70" t="str">
        <f>INDEX({"3T24";"3Q24"},Home!$R$30)</f>
        <v>3T24</v>
      </c>
      <c r="AC1" s="70" t="str">
        <f>INDEX({"4T24";"4Q24"},Home!$R$30)</f>
        <v>4T24</v>
      </c>
      <c r="AD1" s="70" t="str">
        <f>INDEX({"1T25";"1Q25"},Home!$R$30)</f>
        <v>1T25</v>
      </c>
      <c r="AE1" s="70" t="str">
        <f>INDEX({"2T25";"2Q25"},Home!$R$30)</f>
        <v>2T25</v>
      </c>
      <c r="AF1" s="70" t="str">
        <f>INDEX({"3T25";"3Q25"},Home!$R$30)</f>
        <v>3T25</v>
      </c>
      <c r="AG1" s="70" t="str">
        <f>INDEX({"4T25";"4Q25"},Home!$R$30)</f>
        <v>4T25</v>
      </c>
      <c r="AH1" s="70" t="str">
        <f>INDEX({"1T26";"1Q26"},Home!$R$30)</f>
        <v>1T26</v>
      </c>
      <c r="AI1" s="70" t="str">
        <f>INDEX({"2T26";"2Q26"},Home!$R$30)</f>
        <v>2T26</v>
      </c>
      <c r="AJ1" s="70"/>
      <c r="AK1" s="70"/>
      <c r="AL1" s="70"/>
      <c r="AM1" s="70"/>
      <c r="AN1" s="70"/>
      <c r="AO1" s="70"/>
      <c r="AP1" s="70"/>
      <c r="AQ1" s="70"/>
      <c r="AR1" s="70"/>
      <c r="AS1" s="70"/>
      <c r="AT1" s="70"/>
      <c r="AU1" s="70"/>
      <c r="AV1" s="70"/>
      <c r="AW1" s="70"/>
      <c r="AX1" s="70"/>
      <c r="AY1" s="70"/>
      <c r="AZ1" s="70"/>
    </row>
    <row r="2" spans="1:52">
      <c r="A2" s="15"/>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79"/>
      <c r="AE2" s="79"/>
      <c r="AF2" s="79"/>
      <c r="AG2" s="79"/>
      <c r="AH2" s="79"/>
      <c r="AI2" s="79"/>
    </row>
    <row r="3" spans="1:52">
      <c r="A3" s="13" t="str">
        <f>INDEX({"Ativo";"Assets"},Home!$R$30)</f>
        <v>Ativo</v>
      </c>
      <c r="B3" s="86">
        <f t="shared" ref="B3:AH3" si="0">+B25+B15</f>
        <v>9844318.3887288608</v>
      </c>
      <c r="C3" s="86">
        <f t="shared" si="0"/>
        <v>10157775.344033208</v>
      </c>
      <c r="D3" s="86">
        <f t="shared" si="0"/>
        <v>10587736.213267598</v>
      </c>
      <c r="E3" s="86">
        <f t="shared" si="0"/>
        <v>10763821.398753613</v>
      </c>
      <c r="F3" s="86">
        <f t="shared" si="0"/>
        <v>11187695.25632</v>
      </c>
      <c r="G3" s="86">
        <f t="shared" si="0"/>
        <v>11098713.940919999</v>
      </c>
      <c r="H3" s="86">
        <f t="shared" si="0"/>
        <v>12582525.585249998</v>
      </c>
      <c r="I3" s="86">
        <f t="shared" si="0"/>
        <v>12248255.39621</v>
      </c>
      <c r="J3" s="86">
        <f t="shared" si="0"/>
        <v>13026646.408989999</v>
      </c>
      <c r="K3" s="86">
        <f t="shared" si="0"/>
        <v>12755168.410200002</v>
      </c>
      <c r="L3" s="86">
        <f t="shared" si="0"/>
        <v>13044950.647390001</v>
      </c>
      <c r="M3" s="86">
        <f t="shared" si="0"/>
        <v>13828087.789779998</v>
      </c>
      <c r="N3" s="86">
        <f t="shared" si="0"/>
        <v>14149795.852609999</v>
      </c>
      <c r="O3" s="86">
        <f t="shared" si="0"/>
        <v>14018263.677279998</v>
      </c>
      <c r="P3" s="86">
        <f t="shared" si="0"/>
        <v>14406184.71802</v>
      </c>
      <c r="Q3" s="86">
        <f t="shared" si="0"/>
        <v>14775506.258146666</v>
      </c>
      <c r="R3" s="86">
        <f t="shared" si="0"/>
        <v>15536792.438112766</v>
      </c>
      <c r="S3" s="86">
        <f t="shared" si="0"/>
        <v>16168798.527057167</v>
      </c>
      <c r="T3" s="86">
        <f t="shared" si="0"/>
        <v>16523469.240135416</v>
      </c>
      <c r="U3" s="86">
        <f t="shared" si="0"/>
        <v>17185306.382434309</v>
      </c>
      <c r="V3" s="86">
        <f t="shared" si="0"/>
        <v>18249424.026904311</v>
      </c>
      <c r="W3" s="86">
        <f t="shared" si="0"/>
        <v>17745434.973040003</v>
      </c>
      <c r="X3" s="86">
        <f t="shared" si="0"/>
        <v>19386533.079719998</v>
      </c>
      <c r="Y3" s="86">
        <f t="shared" si="0"/>
        <v>20094412.08467</v>
      </c>
      <c r="Z3" s="86">
        <f t="shared" si="0"/>
        <v>20651653.21407</v>
      </c>
      <c r="AA3" s="86">
        <f t="shared" si="0"/>
        <v>20705523.663939998</v>
      </c>
      <c r="AB3" s="86">
        <f t="shared" si="0"/>
        <v>21955995.602470003</v>
      </c>
      <c r="AC3" s="86">
        <f t="shared" si="0"/>
        <v>22163756.458769999</v>
      </c>
      <c r="AD3" s="86">
        <f t="shared" si="0"/>
        <v>22633252.211604767</v>
      </c>
      <c r="AE3" s="86">
        <f t="shared" si="0"/>
        <v>23052470.184802398</v>
      </c>
      <c r="AF3" s="86">
        <f t="shared" si="0"/>
        <v>23825806.863128513</v>
      </c>
      <c r="AG3" s="86">
        <f t="shared" si="0"/>
        <v>25170475.24951686</v>
      </c>
      <c r="AH3" s="86">
        <f t="shared" si="0"/>
        <v>25272165.588728048</v>
      </c>
      <c r="AI3" s="86">
        <f t="shared" ref="AI3" si="1">+AI25+AI15</f>
        <v>24822598.469661161</v>
      </c>
    </row>
    <row r="4" spans="1:52">
      <c r="A4" s="15"/>
      <c r="B4" s="100"/>
      <c r="C4" s="100"/>
      <c r="D4" s="100"/>
      <c r="E4" s="100"/>
      <c r="F4" s="100"/>
      <c r="G4" s="100"/>
      <c r="H4" s="100"/>
      <c r="I4" s="100"/>
      <c r="J4" s="100"/>
      <c r="K4" s="100"/>
      <c r="L4" s="100"/>
      <c r="M4" s="100"/>
      <c r="N4" s="100"/>
      <c r="O4" s="100"/>
      <c r="P4" s="100"/>
      <c r="Q4" s="100"/>
      <c r="R4" s="100"/>
      <c r="S4" s="102"/>
      <c r="T4" s="102"/>
      <c r="U4" s="102"/>
      <c r="V4" s="102"/>
      <c r="W4" s="102"/>
      <c r="X4" s="102"/>
      <c r="Y4" s="102"/>
      <c r="Z4" s="102"/>
      <c r="AA4" s="102"/>
      <c r="AB4" s="102"/>
      <c r="AC4" s="102"/>
      <c r="AD4" s="102"/>
      <c r="AE4" s="102"/>
      <c r="AF4" s="102"/>
      <c r="AG4" s="102"/>
      <c r="AH4" s="102"/>
      <c r="AI4" s="102"/>
    </row>
    <row r="5" spans="1:52">
      <c r="A5" s="16" t="str">
        <f>INDEX({"Circulante";"Current Assets"},Home!$R$30)</f>
        <v>Circulante</v>
      </c>
      <c r="B5" s="97"/>
      <c r="C5" s="97"/>
      <c r="D5" s="97"/>
      <c r="E5" s="97"/>
      <c r="F5" s="97"/>
      <c r="G5" s="97"/>
      <c r="H5" s="97"/>
      <c r="I5" s="97"/>
      <c r="J5" s="97"/>
      <c r="K5" s="97"/>
      <c r="L5" s="97"/>
      <c r="M5" s="97"/>
      <c r="N5" s="97"/>
      <c r="O5" s="97"/>
      <c r="P5" s="97"/>
      <c r="Q5" s="97"/>
      <c r="R5" s="97"/>
      <c r="S5" s="98"/>
      <c r="T5" s="98"/>
      <c r="U5" s="98"/>
      <c r="V5" s="98"/>
      <c r="W5" s="98"/>
      <c r="X5" s="98"/>
      <c r="Y5" s="98"/>
      <c r="Z5" s="98"/>
      <c r="AA5" s="98"/>
      <c r="AB5" s="98"/>
      <c r="AC5" s="98"/>
      <c r="AD5" s="98"/>
      <c r="AE5" s="98"/>
      <c r="AF5" s="98"/>
      <c r="AG5" s="98"/>
      <c r="AH5" s="98"/>
      <c r="AI5" s="98"/>
    </row>
    <row r="6" spans="1:52" s="25" customFormat="1">
      <c r="A6" s="17" t="str">
        <f>INDEX({"Caixa e Equivalentes de Caixa";"Cash and Cash Equivalents"},Home!$R$30)</f>
        <v>Caixa e Equivalentes de Caixa</v>
      </c>
      <c r="B6" s="80">
        <v>102675.45785999998</v>
      </c>
      <c r="C6" s="80">
        <v>281254.76473</v>
      </c>
      <c r="D6" s="80">
        <v>273555.26394000003</v>
      </c>
      <c r="E6" s="80">
        <v>241568.33601</v>
      </c>
      <c r="F6" s="80">
        <v>243596.03873000003</v>
      </c>
      <c r="G6" s="80">
        <v>145386.97352999996</v>
      </c>
      <c r="H6" s="80">
        <v>406680.72681000002</v>
      </c>
      <c r="I6" s="80">
        <v>299225.77490000002</v>
      </c>
      <c r="J6" s="80">
        <v>533707.74832000001</v>
      </c>
      <c r="K6" s="80">
        <v>266416.04019999999</v>
      </c>
      <c r="L6" s="80">
        <v>600205.92084999999</v>
      </c>
      <c r="M6" s="80">
        <v>880356.74208999996</v>
      </c>
      <c r="N6" s="80">
        <v>734434.42387000006</v>
      </c>
      <c r="O6" s="80">
        <v>266685.13707</v>
      </c>
      <c r="P6" s="80">
        <v>247157.56521999996</v>
      </c>
      <c r="Q6" s="80">
        <v>356117.37972999999</v>
      </c>
      <c r="R6" s="80">
        <v>466154.27480999992</v>
      </c>
      <c r="S6" s="80">
        <v>818805.44246000005</v>
      </c>
      <c r="T6" s="80">
        <v>371171.10529000009</v>
      </c>
      <c r="U6" s="80">
        <v>433541.16435000009</v>
      </c>
      <c r="V6" s="80">
        <v>371266.72487000009</v>
      </c>
      <c r="W6" s="80">
        <v>345309.16444999992</v>
      </c>
      <c r="X6" s="80">
        <v>593586.51719000004</v>
      </c>
      <c r="Y6" s="80">
        <v>412322.14211000007</v>
      </c>
      <c r="Z6" s="80">
        <v>412597.54670999991</v>
      </c>
      <c r="AA6" s="80">
        <v>369659.72822999995</v>
      </c>
      <c r="AB6" s="80">
        <v>410510.05687999993</v>
      </c>
      <c r="AC6" s="80">
        <v>528002.49053000007</v>
      </c>
      <c r="AD6" s="80">
        <v>352268.74456999998</v>
      </c>
      <c r="AE6" s="80">
        <v>376333.72141</v>
      </c>
      <c r="AF6" s="80">
        <v>339614.94628000003</v>
      </c>
      <c r="AG6" s="80">
        <v>358635.8635199999</v>
      </c>
      <c r="AH6" s="80">
        <v>441802.07594000001</v>
      </c>
      <c r="AI6" s="80">
        <v>536500.15952999995</v>
      </c>
    </row>
    <row r="7" spans="1:52" s="25" customFormat="1">
      <c r="A7" s="17" t="str">
        <f>INDEX({"Aplicações Financeiras";"Financial Investments"},Home!$R$30)</f>
        <v>Aplicações Financeiras</v>
      </c>
      <c r="B7" s="80">
        <v>0</v>
      </c>
      <c r="C7" s="80">
        <v>0</v>
      </c>
      <c r="D7" s="80">
        <v>0</v>
      </c>
      <c r="E7" s="80">
        <v>0</v>
      </c>
      <c r="F7" s="80">
        <v>0</v>
      </c>
      <c r="G7" s="80">
        <v>0</v>
      </c>
      <c r="H7" s="80">
        <v>0</v>
      </c>
      <c r="I7" s="80">
        <v>0</v>
      </c>
      <c r="J7" s="80">
        <v>0</v>
      </c>
      <c r="K7" s="80">
        <v>0</v>
      </c>
      <c r="L7" s="80">
        <v>0</v>
      </c>
      <c r="M7" s="80">
        <v>0</v>
      </c>
      <c r="N7" s="80">
        <v>0</v>
      </c>
      <c r="O7" s="80">
        <v>0</v>
      </c>
      <c r="P7" s="80">
        <v>0</v>
      </c>
      <c r="Q7" s="80">
        <v>0</v>
      </c>
      <c r="R7" s="80">
        <v>0</v>
      </c>
      <c r="S7" s="80">
        <v>0</v>
      </c>
      <c r="T7" s="80">
        <v>0</v>
      </c>
      <c r="U7" s="80">
        <v>0</v>
      </c>
      <c r="V7" s="80">
        <v>991.95836999999995</v>
      </c>
      <c r="W7" s="80">
        <v>25126.20866</v>
      </c>
      <c r="X7" s="80">
        <v>25937.771539999998</v>
      </c>
      <c r="Y7" s="80">
        <v>0</v>
      </c>
      <c r="Z7" s="80">
        <v>0</v>
      </c>
      <c r="AA7" s="80">
        <v>0</v>
      </c>
      <c r="AB7" s="80">
        <v>0</v>
      </c>
      <c r="AC7" s="80">
        <v>15706.799100000006</v>
      </c>
      <c r="AD7" s="80">
        <v>65794.743490000008</v>
      </c>
      <c r="AE7" s="80">
        <v>78278.49669</v>
      </c>
      <c r="AF7" s="80">
        <v>102049.70936000001</v>
      </c>
      <c r="AG7" s="80">
        <v>19119.819039999998</v>
      </c>
      <c r="AH7" s="80">
        <v>95934.293340000004</v>
      </c>
      <c r="AI7" s="80">
        <v>116448.62714</v>
      </c>
    </row>
    <row r="8" spans="1:52" s="25" customFormat="1">
      <c r="A8" s="17" t="str">
        <f>INDEX({"Clientes";"Accounts Receivable"},Home!$R$30)</f>
        <v>Clientes</v>
      </c>
      <c r="B8" s="80">
        <v>959181.2654400001</v>
      </c>
      <c r="C8" s="80">
        <v>967282.41634</v>
      </c>
      <c r="D8" s="80">
        <v>1041121.3311000002</v>
      </c>
      <c r="E8" s="80">
        <v>937389.17071000009</v>
      </c>
      <c r="F8" s="80">
        <v>1096151.1329300001</v>
      </c>
      <c r="G8" s="80">
        <v>1092726.0763500002</v>
      </c>
      <c r="H8" s="80">
        <v>1231391.5959900003</v>
      </c>
      <c r="I8" s="80">
        <v>1189018.60255</v>
      </c>
      <c r="J8" s="80">
        <v>1472056.21227</v>
      </c>
      <c r="K8" s="80">
        <v>1330445.6505500001</v>
      </c>
      <c r="L8" s="80">
        <v>1470418.6405800001</v>
      </c>
      <c r="M8" s="80">
        <v>1555434.4234500001</v>
      </c>
      <c r="N8" s="80">
        <v>1732296.19731</v>
      </c>
      <c r="O8" s="80">
        <v>1770669.8147100001</v>
      </c>
      <c r="P8" s="80">
        <v>1848348.9768899996</v>
      </c>
      <c r="Q8" s="80">
        <v>1710057.2892399998</v>
      </c>
      <c r="R8" s="80">
        <v>2089165.2078</v>
      </c>
      <c r="S8" s="80">
        <v>1948433.00181</v>
      </c>
      <c r="T8" s="80">
        <v>2336857.65142</v>
      </c>
      <c r="U8" s="80">
        <v>2295640.1504299999</v>
      </c>
      <c r="V8" s="80">
        <v>2630057.4879300003</v>
      </c>
      <c r="W8" s="80">
        <v>2066982.2212600003</v>
      </c>
      <c r="X8" s="80">
        <v>2904269.6235900009</v>
      </c>
      <c r="Y8" s="80">
        <v>3084939.9511800008</v>
      </c>
      <c r="Z8" s="80">
        <v>2963924.9726799997</v>
      </c>
      <c r="AA8" s="80">
        <v>2910130.8470399999</v>
      </c>
      <c r="AB8" s="80">
        <v>3362713.2177300006</v>
      </c>
      <c r="AC8" s="80">
        <v>2666758.29734</v>
      </c>
      <c r="AD8" s="80">
        <v>2090776.8245600001</v>
      </c>
      <c r="AE8" s="80">
        <v>2373076.4278299999</v>
      </c>
      <c r="AF8" s="80">
        <v>2848274.3022000012</v>
      </c>
      <c r="AG8" s="80">
        <v>2833401.3280199999</v>
      </c>
      <c r="AH8" s="80">
        <v>2835139.2179099997</v>
      </c>
      <c r="AI8" s="80">
        <v>3095747.6930199997</v>
      </c>
    </row>
    <row r="9" spans="1:52" s="25" customFormat="1">
      <c r="A9" s="17" t="str">
        <f>INDEX({"Estoques";"Inventories"},Home!$R$30)</f>
        <v>Estoques</v>
      </c>
      <c r="B9" s="80">
        <v>2627073.4498599996</v>
      </c>
      <c r="C9" s="80">
        <v>2640797.8773699999</v>
      </c>
      <c r="D9" s="80">
        <v>2806901.6744699995</v>
      </c>
      <c r="E9" s="80">
        <v>3087274.6871299995</v>
      </c>
      <c r="F9" s="80">
        <v>3008239.0620100005</v>
      </c>
      <c r="G9" s="80">
        <v>3016386.9210899998</v>
      </c>
      <c r="H9" s="80">
        <v>3462287.99217</v>
      </c>
      <c r="I9" s="80">
        <v>3851388.6175600006</v>
      </c>
      <c r="J9" s="80">
        <v>3932728.2914899997</v>
      </c>
      <c r="K9" s="80">
        <v>4114635.2931300001</v>
      </c>
      <c r="L9" s="80">
        <v>3926676.1388699999</v>
      </c>
      <c r="M9" s="80">
        <v>4225407.1646299995</v>
      </c>
      <c r="N9" s="80">
        <v>4514392.1297199996</v>
      </c>
      <c r="O9" s="80">
        <v>4603133.0599499997</v>
      </c>
      <c r="P9" s="80">
        <v>4717258.3788900003</v>
      </c>
      <c r="Q9" s="80">
        <v>5117798.6430099998</v>
      </c>
      <c r="R9" s="80">
        <v>5324336.8700099997</v>
      </c>
      <c r="S9" s="80">
        <v>5566835.2680200003</v>
      </c>
      <c r="T9" s="80">
        <v>5832183.6385699995</v>
      </c>
      <c r="U9" s="80">
        <v>6126056.2907000007</v>
      </c>
      <c r="V9" s="80">
        <v>6791082.2019600002</v>
      </c>
      <c r="W9" s="80">
        <v>6627088.3993000006</v>
      </c>
      <c r="X9" s="80">
        <v>6925863.15833</v>
      </c>
      <c r="Y9" s="80">
        <v>7197426.3680299995</v>
      </c>
      <c r="Z9" s="80">
        <v>7677321.5267400006</v>
      </c>
      <c r="AA9" s="80">
        <v>7693557.43946</v>
      </c>
      <c r="AB9" s="80">
        <v>8132531.6225400008</v>
      </c>
      <c r="AC9" s="80">
        <v>8407429.0126699992</v>
      </c>
      <c r="AD9" s="80">
        <v>8213536.343919999</v>
      </c>
      <c r="AE9" s="80">
        <v>7948263.91866</v>
      </c>
      <c r="AF9" s="80">
        <v>8125436.8928300021</v>
      </c>
      <c r="AG9" s="80">
        <v>9132735.5380099993</v>
      </c>
      <c r="AH9" s="80">
        <v>8440463.8366799988</v>
      </c>
      <c r="AI9" s="80">
        <v>8333896.5001999997</v>
      </c>
    </row>
    <row r="10" spans="1:52" s="25" customFormat="1">
      <c r="A10" s="17" t="str">
        <f>INDEX({"Tributos a Recuperar";"Taxes Receivable"},Home!$R$30)</f>
        <v>Tributos a Recuperar</v>
      </c>
      <c r="B10" s="80">
        <v>68598.690790000008</v>
      </c>
      <c r="C10" s="80">
        <v>66883.996949999986</v>
      </c>
      <c r="D10" s="80">
        <v>75047.40281</v>
      </c>
      <c r="E10" s="80">
        <v>84883.83937999999</v>
      </c>
      <c r="F10" s="80">
        <v>108733.59723</v>
      </c>
      <c r="G10" s="80">
        <v>104662.44028</v>
      </c>
      <c r="H10" s="80">
        <v>186638.70977000002</v>
      </c>
      <c r="I10" s="80">
        <v>145617.01892999999</v>
      </c>
      <c r="J10" s="80">
        <v>121043.38033</v>
      </c>
      <c r="K10" s="80">
        <v>140084.60292999999</v>
      </c>
      <c r="L10" s="80">
        <v>91306.249129999997</v>
      </c>
      <c r="M10" s="80">
        <v>61531.150740000005</v>
      </c>
      <c r="N10" s="80">
        <v>66365.540039999993</v>
      </c>
      <c r="O10" s="80">
        <v>91045.87840999999</v>
      </c>
      <c r="P10" s="99">
        <v>102261.49112000001</v>
      </c>
      <c r="Q10" s="99">
        <v>195776.93070000003</v>
      </c>
      <c r="R10" s="99">
        <v>267381.71989999997</v>
      </c>
      <c r="S10" s="99">
        <v>272408.32779000001</v>
      </c>
      <c r="T10" s="99">
        <v>298661.74790000002</v>
      </c>
      <c r="U10" s="99">
        <v>393336.30290000001</v>
      </c>
      <c r="V10" s="80">
        <v>395512.43676999997</v>
      </c>
      <c r="W10" s="80">
        <v>415157.83723999991</v>
      </c>
      <c r="X10" s="80">
        <v>417528.34979000001</v>
      </c>
      <c r="Y10" s="80">
        <v>353399.89515999996</v>
      </c>
      <c r="Z10" s="80">
        <v>345023.67910000001</v>
      </c>
      <c r="AA10" s="80">
        <v>324022.60355</v>
      </c>
      <c r="AB10" s="80">
        <v>377940.11653999996</v>
      </c>
      <c r="AC10" s="80">
        <v>483484.00456999993</v>
      </c>
      <c r="AD10" s="80">
        <v>433917.88793000003</v>
      </c>
      <c r="AE10" s="80">
        <v>436986.83746999997</v>
      </c>
      <c r="AF10" s="80">
        <v>466245.61170999997</v>
      </c>
      <c r="AG10" s="80">
        <v>519282.04740999994</v>
      </c>
      <c r="AH10" s="80">
        <v>1041064.7514900001</v>
      </c>
      <c r="AI10" s="80">
        <v>1066713.3447900002</v>
      </c>
    </row>
    <row r="11" spans="1:52" s="25" customFormat="1">
      <c r="A11" s="17" t="str">
        <f>INDEX({"Despesas Antecipadas";"Anticipated Expenses"},Home!$R$30)</f>
        <v>Despesas Antecipadas</v>
      </c>
      <c r="B11" s="80">
        <v>32454.069530000001</v>
      </c>
      <c r="C11" s="80">
        <v>35179.209949999997</v>
      </c>
      <c r="D11" s="80">
        <v>29573.753330000003</v>
      </c>
      <c r="E11" s="80">
        <v>21893.262310000002</v>
      </c>
      <c r="F11" s="80">
        <v>46442.166709999998</v>
      </c>
      <c r="G11" s="80">
        <v>41118.252769999999</v>
      </c>
      <c r="H11" s="80">
        <v>37132.774879999997</v>
      </c>
      <c r="I11" s="80">
        <v>26368.78369</v>
      </c>
      <c r="J11" s="80">
        <v>58421.807059999999</v>
      </c>
      <c r="K11" s="80">
        <v>54924.64546</v>
      </c>
      <c r="L11" s="80">
        <v>47733.161260000001</v>
      </c>
      <c r="M11" s="80">
        <v>36738.078649999996</v>
      </c>
      <c r="N11" s="80">
        <v>55416.368200000004</v>
      </c>
      <c r="O11" s="80">
        <v>59773.364280000002</v>
      </c>
      <c r="P11" s="80">
        <v>50439.776339999997</v>
      </c>
      <c r="Q11" s="80">
        <v>48359.410779999998</v>
      </c>
      <c r="R11" s="80">
        <v>76398.557619999992</v>
      </c>
      <c r="S11" s="80">
        <v>73641.370989999996</v>
      </c>
      <c r="T11" s="80">
        <v>70637.680500000017</v>
      </c>
      <c r="U11" s="80">
        <v>61613.833810000004</v>
      </c>
      <c r="V11" s="80">
        <v>112041.62981</v>
      </c>
      <c r="W11" s="80">
        <v>102145.67313</v>
      </c>
      <c r="X11" s="80">
        <v>91061.912259999997</v>
      </c>
      <c r="Y11" s="80">
        <v>98854.942769999994</v>
      </c>
      <c r="Z11" s="80">
        <v>132113.19075000001</v>
      </c>
      <c r="AA11" s="80">
        <v>134643.07279999999</v>
      </c>
      <c r="AB11" s="80">
        <v>117744.88829999998</v>
      </c>
      <c r="AC11" s="80">
        <v>112610.73725000001</v>
      </c>
      <c r="AD11" s="80">
        <v>145121.87263</v>
      </c>
      <c r="AE11" s="80">
        <v>151807.72268000001</v>
      </c>
      <c r="AF11" s="80">
        <v>115992.58001000001</v>
      </c>
      <c r="AG11" s="80">
        <v>115063.71670999999</v>
      </c>
      <c r="AH11" s="80">
        <v>158787.05039999998</v>
      </c>
      <c r="AI11" s="80">
        <v>156290.27999000001</v>
      </c>
    </row>
    <row r="12" spans="1:52" s="25" customFormat="1">
      <c r="A12" s="17" t="s">
        <v>4</v>
      </c>
      <c r="B12" s="80">
        <v>0</v>
      </c>
      <c r="C12" s="80">
        <v>0</v>
      </c>
      <c r="D12" s="80">
        <v>0</v>
      </c>
      <c r="E12" s="80">
        <v>0</v>
      </c>
      <c r="F12" s="80">
        <v>0</v>
      </c>
      <c r="G12" s="80">
        <v>0</v>
      </c>
      <c r="H12" s="80">
        <v>0</v>
      </c>
      <c r="I12" s="80">
        <v>0</v>
      </c>
      <c r="J12" s="80">
        <v>0</v>
      </c>
      <c r="K12" s="80">
        <v>0</v>
      </c>
      <c r="L12" s="80">
        <v>0</v>
      </c>
      <c r="M12" s="80">
        <v>0</v>
      </c>
      <c r="N12" s="80">
        <v>0</v>
      </c>
      <c r="O12" s="80">
        <v>0</v>
      </c>
      <c r="P12" s="80">
        <v>0</v>
      </c>
      <c r="Q12" s="80">
        <v>0</v>
      </c>
      <c r="R12" s="80">
        <v>0</v>
      </c>
      <c r="S12" s="80">
        <v>0</v>
      </c>
      <c r="T12" s="80">
        <v>0</v>
      </c>
      <c r="U12" s="80">
        <v>0</v>
      </c>
      <c r="V12" s="80">
        <v>0</v>
      </c>
      <c r="W12" s="80">
        <v>0</v>
      </c>
      <c r="X12" s="80">
        <v>0</v>
      </c>
      <c r="Y12" s="80">
        <v>0</v>
      </c>
      <c r="Z12" s="80">
        <v>0</v>
      </c>
      <c r="AA12" s="80">
        <v>2333.7486699999999</v>
      </c>
      <c r="AB12" s="80">
        <v>2378.3778600000001</v>
      </c>
      <c r="AC12" s="80">
        <v>3018.8696299999997</v>
      </c>
      <c r="AD12" s="80">
        <v>3016.5777899999998</v>
      </c>
      <c r="AE12" s="80">
        <v>4059.83329</v>
      </c>
      <c r="AF12" s="80">
        <v>6825.2751699999999</v>
      </c>
      <c r="AG12" s="80">
        <v>4970.0210099999995</v>
      </c>
      <c r="AH12" s="80">
        <v>4886.0403699999997</v>
      </c>
      <c r="AI12" s="80">
        <v>3782.0803300000002</v>
      </c>
    </row>
    <row r="13" spans="1:52" s="25" customFormat="1">
      <c r="A13" s="66" t="str">
        <f>INDEX({"Ativos de investimento à venda (4Bio)";"Assets of investment for sale (4Bio)"},Home!$R$30)</f>
        <v>Ativos de investimento à venda (4Bio)</v>
      </c>
      <c r="B13" s="80">
        <v>0</v>
      </c>
      <c r="C13" s="80">
        <v>0</v>
      </c>
      <c r="D13" s="80">
        <v>0</v>
      </c>
      <c r="E13" s="80">
        <v>0</v>
      </c>
      <c r="F13" s="80">
        <v>0</v>
      </c>
      <c r="G13" s="80">
        <v>0</v>
      </c>
      <c r="H13" s="80">
        <v>0</v>
      </c>
      <c r="I13" s="80">
        <v>0</v>
      </c>
      <c r="J13" s="80">
        <v>0</v>
      </c>
      <c r="K13" s="80">
        <v>0</v>
      </c>
      <c r="L13" s="80">
        <v>0</v>
      </c>
      <c r="M13" s="80">
        <v>0</v>
      </c>
      <c r="N13" s="80">
        <v>0</v>
      </c>
      <c r="O13" s="80">
        <v>0</v>
      </c>
      <c r="P13" s="80">
        <v>0</v>
      </c>
      <c r="Q13" s="80">
        <v>0</v>
      </c>
      <c r="R13" s="80">
        <v>0</v>
      </c>
      <c r="S13" s="80">
        <v>0</v>
      </c>
      <c r="T13" s="80">
        <v>0</v>
      </c>
      <c r="U13" s="80">
        <v>0</v>
      </c>
      <c r="V13" s="80">
        <v>0</v>
      </c>
      <c r="W13" s="80">
        <v>0</v>
      </c>
      <c r="X13" s="80">
        <v>0</v>
      </c>
      <c r="Y13" s="80">
        <v>0</v>
      </c>
      <c r="Z13" s="80">
        <v>0</v>
      </c>
      <c r="AA13" s="80">
        <v>0</v>
      </c>
      <c r="AB13" s="80">
        <v>0</v>
      </c>
      <c r="AC13" s="80">
        <v>0</v>
      </c>
      <c r="AD13" s="80">
        <v>1648597.06015</v>
      </c>
      <c r="AE13" s="80">
        <v>1664363.3914299998</v>
      </c>
      <c r="AF13" s="80">
        <v>1510295.8537399999</v>
      </c>
      <c r="AG13" s="80">
        <v>1633534.5045000003</v>
      </c>
      <c r="AH13" s="80">
        <v>1519281.9758780503</v>
      </c>
      <c r="AI13" s="80">
        <v>0</v>
      </c>
    </row>
    <row r="14" spans="1:52" s="25" customFormat="1" ht="15" thickBot="1">
      <c r="A14" s="17" t="str">
        <f>INDEX({"Outras Contas a Receber";"Other Accounts Receivable"},Home!$R$30)</f>
        <v>Outras Contas a Receber</v>
      </c>
      <c r="B14" s="80">
        <v>141679.12841</v>
      </c>
      <c r="C14" s="80">
        <v>134208.85550000003</v>
      </c>
      <c r="D14" s="80">
        <v>169268.27905999997</v>
      </c>
      <c r="E14" s="80">
        <v>156578.29525</v>
      </c>
      <c r="F14" s="80">
        <v>178375.03880000001</v>
      </c>
      <c r="G14" s="80">
        <v>192721.84930999999</v>
      </c>
      <c r="H14" s="80">
        <v>202322.12225000004</v>
      </c>
      <c r="I14" s="80">
        <v>244427.38861000002</v>
      </c>
      <c r="J14" s="80">
        <v>252128.91052</v>
      </c>
      <c r="K14" s="80">
        <v>233377.82612000001</v>
      </c>
      <c r="L14" s="80">
        <v>222343.72521</v>
      </c>
      <c r="M14" s="80">
        <v>261020.64083999998</v>
      </c>
      <c r="N14" s="80">
        <v>230836.86233</v>
      </c>
      <c r="O14" s="80">
        <v>220004.18562</v>
      </c>
      <c r="P14" s="99">
        <v>264603.29892000003</v>
      </c>
      <c r="Q14" s="99">
        <v>290812.87973000004</v>
      </c>
      <c r="R14" s="99">
        <v>260580.10177000001</v>
      </c>
      <c r="S14" s="99">
        <v>263289.01199999999</v>
      </c>
      <c r="T14" s="99">
        <v>282733.60067000001</v>
      </c>
      <c r="U14" s="99">
        <v>266881.11723999999</v>
      </c>
      <c r="V14" s="80">
        <v>315926.64861000009</v>
      </c>
      <c r="W14" s="80">
        <v>313935.89416000003</v>
      </c>
      <c r="X14" s="80">
        <v>362557.30769000005</v>
      </c>
      <c r="Y14" s="80">
        <v>414730.79910000012</v>
      </c>
      <c r="Z14" s="80">
        <v>497274.44260999997</v>
      </c>
      <c r="AA14" s="80">
        <v>515484.30225000007</v>
      </c>
      <c r="AB14" s="80">
        <v>486586.94603999995</v>
      </c>
      <c r="AC14" s="80">
        <v>486700.30737999995</v>
      </c>
      <c r="AD14" s="80">
        <v>522838.33749000006</v>
      </c>
      <c r="AE14" s="80">
        <v>609789.44967</v>
      </c>
      <c r="AF14" s="80">
        <v>608921.67524999997</v>
      </c>
      <c r="AG14" s="80">
        <v>679773.79684999993</v>
      </c>
      <c r="AH14" s="80">
        <v>819397.34768444998</v>
      </c>
      <c r="AI14" s="80">
        <v>942363.9658499998</v>
      </c>
    </row>
    <row r="15" spans="1:52" s="25" customFormat="1">
      <c r="A15" s="67" t="str">
        <f>INDEX({"Subtotal";"Subtotal"},Home!$R$30)</f>
        <v>Subtotal</v>
      </c>
      <c r="B15" s="92">
        <f t="shared" ref="B15:AC15" si="2">SUM(B6:B14)</f>
        <v>3931662.0618899995</v>
      </c>
      <c r="C15" s="92">
        <f t="shared" si="2"/>
        <v>4125607.12084</v>
      </c>
      <c r="D15" s="92">
        <f t="shared" si="2"/>
        <v>4395467.7047099993</v>
      </c>
      <c r="E15" s="92">
        <f t="shared" si="2"/>
        <v>4529587.5907899998</v>
      </c>
      <c r="F15" s="92">
        <f t="shared" si="2"/>
        <v>4681537.0364100002</v>
      </c>
      <c r="G15" s="92">
        <f t="shared" si="2"/>
        <v>4593002.5133300005</v>
      </c>
      <c r="H15" s="92">
        <f t="shared" si="2"/>
        <v>5526453.9218699997</v>
      </c>
      <c r="I15" s="92">
        <f t="shared" si="2"/>
        <v>5756046.1862400007</v>
      </c>
      <c r="J15" s="92">
        <f t="shared" si="2"/>
        <v>6370086.34999</v>
      </c>
      <c r="K15" s="92">
        <f t="shared" si="2"/>
        <v>6139884.0583900008</v>
      </c>
      <c r="L15" s="92">
        <f t="shared" si="2"/>
        <v>6358683.8359000012</v>
      </c>
      <c r="M15" s="92">
        <f t="shared" si="2"/>
        <v>7020488.2003999995</v>
      </c>
      <c r="N15" s="92">
        <f t="shared" si="2"/>
        <v>7333741.52147</v>
      </c>
      <c r="O15" s="92">
        <f t="shared" si="2"/>
        <v>7011311.4400399998</v>
      </c>
      <c r="P15" s="92">
        <f t="shared" si="2"/>
        <v>7230069.4873800008</v>
      </c>
      <c r="Q15" s="92">
        <f t="shared" si="2"/>
        <v>7718922.5331899999</v>
      </c>
      <c r="R15" s="92">
        <f t="shared" si="2"/>
        <v>8484016.7319099996</v>
      </c>
      <c r="S15" s="92">
        <f t="shared" si="2"/>
        <v>8943412.4230700005</v>
      </c>
      <c r="T15" s="92">
        <f t="shared" si="2"/>
        <v>9192245.4243500009</v>
      </c>
      <c r="U15" s="92">
        <f t="shared" si="2"/>
        <v>9577068.8594300002</v>
      </c>
      <c r="V15" s="92">
        <f t="shared" si="2"/>
        <v>10616879.08832</v>
      </c>
      <c r="W15" s="92">
        <f t="shared" si="2"/>
        <v>9895745.3982000016</v>
      </c>
      <c r="X15" s="92">
        <f t="shared" si="2"/>
        <v>11320804.640389999</v>
      </c>
      <c r="Y15" s="92">
        <f t="shared" si="2"/>
        <v>11561674.098350001</v>
      </c>
      <c r="Z15" s="92">
        <f t="shared" si="2"/>
        <v>12028255.358589998</v>
      </c>
      <c r="AA15" s="92">
        <f t="shared" si="2"/>
        <v>11949831.741999999</v>
      </c>
      <c r="AB15" s="92">
        <f t="shared" si="2"/>
        <v>12890405.225890003</v>
      </c>
      <c r="AC15" s="92">
        <f t="shared" si="2"/>
        <v>12703710.518469999</v>
      </c>
      <c r="AD15" s="92">
        <f t="shared" ref="AD15" si="3">SUM(AD6:AD14)</f>
        <v>13475868.392529998</v>
      </c>
      <c r="AE15" s="92">
        <f t="shared" ref="AE15" si="4">SUM(AE6:AE14)</f>
        <v>13642959.79913</v>
      </c>
      <c r="AF15" s="92">
        <f t="shared" ref="AF15" si="5">SUM(AF6:AF14)</f>
        <v>14123656.846550003</v>
      </c>
      <c r="AG15" s="92">
        <f t="shared" ref="AG15:AH15" si="6">SUM(AG6:AG14)</f>
        <v>15296516.635069998</v>
      </c>
      <c r="AH15" s="92">
        <f t="shared" si="6"/>
        <v>15356756.589692499</v>
      </c>
      <c r="AI15" s="92">
        <f t="shared" ref="AI15" si="7">SUM(AI6:AI14)</f>
        <v>14251742.65085</v>
      </c>
    </row>
    <row r="16" spans="1:52">
      <c r="A16" s="15"/>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row>
    <row r="17" spans="1:35">
      <c r="A17" s="16" t="str">
        <f>INDEX({"Não Circulante";"Non-current Assets"},Home!$R$30)</f>
        <v>Não Circulante</v>
      </c>
      <c r="B17" s="97"/>
      <c r="C17" s="97"/>
      <c r="D17" s="97"/>
      <c r="E17" s="97"/>
      <c r="F17" s="97"/>
      <c r="G17" s="97"/>
      <c r="H17" s="97"/>
      <c r="I17" s="97"/>
      <c r="J17" s="97"/>
      <c r="K17" s="97"/>
      <c r="L17" s="97"/>
      <c r="M17" s="97"/>
      <c r="N17" s="97"/>
      <c r="O17" s="97"/>
      <c r="P17" s="97"/>
      <c r="Q17" s="97"/>
      <c r="R17" s="97"/>
      <c r="S17" s="98"/>
      <c r="T17" s="98"/>
      <c r="U17" s="98"/>
      <c r="V17" s="98"/>
      <c r="W17" s="98"/>
      <c r="X17" s="98"/>
      <c r="Y17" s="98"/>
      <c r="Z17" s="98"/>
      <c r="AA17" s="98"/>
      <c r="AB17" s="98"/>
      <c r="AC17" s="98"/>
      <c r="AD17" s="98"/>
      <c r="AE17" s="98"/>
      <c r="AF17" s="98"/>
      <c r="AG17" s="98"/>
      <c r="AH17" s="98"/>
      <c r="AI17" s="98"/>
    </row>
    <row r="18" spans="1:35" s="25" customFormat="1">
      <c r="A18" s="17" t="str">
        <f>INDEX({"Depósitos Judiciais";"Deposits in Court"},Home!$R$30)</f>
        <v>Depósitos Judiciais</v>
      </c>
      <c r="B18" s="80">
        <v>29972.194750000002</v>
      </c>
      <c r="C18" s="80">
        <v>33398.528429999998</v>
      </c>
      <c r="D18" s="80">
        <v>33368.771130000001</v>
      </c>
      <c r="E18" s="80">
        <v>25770.344840000002</v>
      </c>
      <c r="F18" s="80">
        <v>24371.39544</v>
      </c>
      <c r="G18" s="80">
        <v>26034.10655</v>
      </c>
      <c r="H18" s="80">
        <v>28317.63852</v>
      </c>
      <c r="I18" s="80">
        <v>30000.933109999998</v>
      </c>
      <c r="J18" s="80">
        <v>30850.200370000002</v>
      </c>
      <c r="K18" s="80">
        <v>30594.962420000003</v>
      </c>
      <c r="L18" s="80">
        <v>29331.488690000002</v>
      </c>
      <c r="M18" s="80">
        <v>25753.05862</v>
      </c>
      <c r="N18" s="80">
        <v>26967.053620000002</v>
      </c>
      <c r="O18" s="80">
        <v>26752.366710000002</v>
      </c>
      <c r="P18" s="80">
        <v>27391.776550000002</v>
      </c>
      <c r="Q18" s="80">
        <v>29951.709780000001</v>
      </c>
      <c r="R18" s="80">
        <v>29081.671699999999</v>
      </c>
      <c r="S18" s="80">
        <v>71015.89267999999</v>
      </c>
      <c r="T18" s="80">
        <v>101818.49189999999</v>
      </c>
      <c r="U18" s="80">
        <v>137623.45434999999</v>
      </c>
      <c r="V18" s="80">
        <v>137184.58481</v>
      </c>
      <c r="W18" s="80">
        <v>132500.69632000002</v>
      </c>
      <c r="X18" s="80">
        <v>131428.71541999999</v>
      </c>
      <c r="Y18" s="80">
        <v>228446.83843999999</v>
      </c>
      <c r="Z18" s="80">
        <v>234080.67375999998</v>
      </c>
      <c r="AA18" s="80">
        <v>243987.84976999997</v>
      </c>
      <c r="AB18" s="80">
        <v>247105.27144000001</v>
      </c>
      <c r="AC18" s="80">
        <v>250762.95436999999</v>
      </c>
      <c r="AD18" s="80">
        <v>27578.086310000002</v>
      </c>
      <c r="AE18" s="80">
        <v>32718.485460000007</v>
      </c>
      <c r="AF18" s="80">
        <v>58853.473060000033</v>
      </c>
      <c r="AG18" s="80">
        <v>61238.758330000011</v>
      </c>
      <c r="AH18" s="80">
        <v>64629.691279999999</v>
      </c>
      <c r="AI18" s="80">
        <v>64898.385009999998</v>
      </c>
    </row>
    <row r="19" spans="1:35" s="25" customFormat="1">
      <c r="A19" s="17" t="str">
        <f>INDEX({"Tributos a Recuperar";"Taxes Receivable"},Home!$R$30)</f>
        <v>Tributos a Recuperar</v>
      </c>
      <c r="B19" s="80">
        <v>34682.738469999997</v>
      </c>
      <c r="C19" s="80">
        <v>36126.44397</v>
      </c>
      <c r="D19" s="80">
        <v>38879.800909999998</v>
      </c>
      <c r="E19" s="80">
        <v>44345.105369999997</v>
      </c>
      <c r="F19" s="80">
        <v>52842.35168</v>
      </c>
      <c r="G19" s="80">
        <v>54936.77824</v>
      </c>
      <c r="H19" s="80">
        <v>55531.874929999998</v>
      </c>
      <c r="I19" s="80">
        <v>68098.846720000001</v>
      </c>
      <c r="J19" s="80">
        <v>67255.28499</v>
      </c>
      <c r="K19" s="80">
        <v>71493.988920000003</v>
      </c>
      <c r="L19" s="80">
        <v>102188.93741</v>
      </c>
      <c r="M19" s="80">
        <v>111547.91820999999</v>
      </c>
      <c r="N19" s="80">
        <v>97508.222480000011</v>
      </c>
      <c r="O19" s="80">
        <v>129763.89442999999</v>
      </c>
      <c r="P19" s="80">
        <v>126786.54899000001</v>
      </c>
      <c r="Q19" s="80">
        <v>132929.03514000002</v>
      </c>
      <c r="R19" s="80">
        <v>127773.13279</v>
      </c>
      <c r="S19" s="80">
        <v>121890.21279000001</v>
      </c>
      <c r="T19" s="80">
        <v>110103.36891</v>
      </c>
      <c r="U19" s="80">
        <v>121434.45259999999</v>
      </c>
      <c r="V19" s="80">
        <v>128056.06468000001</v>
      </c>
      <c r="W19" s="80">
        <v>115839.65065000001</v>
      </c>
      <c r="X19" s="80">
        <v>118949.23715</v>
      </c>
      <c r="Y19" s="80">
        <v>246008.35957</v>
      </c>
      <c r="Z19" s="80">
        <v>229597.53135999999</v>
      </c>
      <c r="AA19" s="80">
        <v>253203.40665000002</v>
      </c>
      <c r="AB19" s="80">
        <v>300577.43958999997</v>
      </c>
      <c r="AC19" s="80">
        <v>287938.74406</v>
      </c>
      <c r="AD19" s="80">
        <v>215553.37675999998</v>
      </c>
      <c r="AE19" s="80">
        <v>225666.38022999998</v>
      </c>
      <c r="AF19" s="80">
        <v>233344.57222</v>
      </c>
      <c r="AG19" s="80">
        <v>227330.80890999999</v>
      </c>
      <c r="AH19" s="80">
        <v>218625.60644</v>
      </c>
      <c r="AI19" s="80">
        <v>236633.51512</v>
      </c>
    </row>
    <row r="20" spans="1:35" s="25" customFormat="1">
      <c r="A20" s="17" t="str">
        <f>INDEX({"IR e Contribuição Social Diferidos";"Deferred Taxes"},Home!$R$30)</f>
        <v>IR e Contribuição Social Diferidos</v>
      </c>
      <c r="B20" s="80">
        <v>0</v>
      </c>
      <c r="C20" s="80">
        <v>0</v>
      </c>
      <c r="D20" s="80">
        <v>0</v>
      </c>
      <c r="E20" s="80">
        <v>0</v>
      </c>
      <c r="F20" s="80">
        <v>0</v>
      </c>
      <c r="G20" s="80">
        <v>0</v>
      </c>
      <c r="H20" s="80">
        <v>0</v>
      </c>
      <c r="I20" s="80">
        <v>0</v>
      </c>
      <c r="J20" s="80">
        <v>19152.320829999997</v>
      </c>
      <c r="K20" s="80">
        <v>19677.787079999998</v>
      </c>
      <c r="L20" s="80">
        <v>19656.61807</v>
      </c>
      <c r="M20" s="80">
        <v>36260.506549999998</v>
      </c>
      <c r="N20" s="80">
        <v>39070.355049999998</v>
      </c>
      <c r="O20" s="80">
        <v>37899.499859999996</v>
      </c>
      <c r="P20" s="80">
        <v>38082.859509999995</v>
      </c>
      <c r="Q20" s="80">
        <v>49046.761229999996</v>
      </c>
      <c r="R20" s="80">
        <v>47054.935549999995</v>
      </c>
      <c r="S20" s="80">
        <v>31038.260100000003</v>
      </c>
      <c r="T20" s="80">
        <v>23271.766920000002</v>
      </c>
      <c r="U20" s="80">
        <v>10357.418210000002</v>
      </c>
      <c r="V20" s="80">
        <v>16770.5026</v>
      </c>
      <c r="W20" s="80">
        <v>24066.854500000001</v>
      </c>
      <c r="X20" s="80">
        <v>68660.30349000002</v>
      </c>
      <c r="Y20" s="80">
        <v>177729.14704999997</v>
      </c>
      <c r="Z20" s="80">
        <v>150975.31730999998</v>
      </c>
      <c r="AA20" s="80">
        <v>166741.12694000002</v>
      </c>
      <c r="AB20" s="80">
        <v>194409.74514999997</v>
      </c>
      <c r="AC20" s="80">
        <v>298404.63729000004</v>
      </c>
      <c r="AD20" s="80">
        <v>198939.22688</v>
      </c>
      <c r="AE20" s="80">
        <v>221031.19545</v>
      </c>
      <c r="AF20" s="80">
        <v>249466.68526</v>
      </c>
      <c r="AG20" s="80">
        <v>249156.06315000009</v>
      </c>
      <c r="AH20" s="80">
        <v>288106.83807555004</v>
      </c>
      <c r="AI20" s="80">
        <v>255666.9515</v>
      </c>
    </row>
    <row r="21" spans="1:35" s="25" customFormat="1">
      <c r="A21" s="17" t="str">
        <f>INDEX({"Outros Créditos";"Other Credits"},Home!$R$30)</f>
        <v>Outros Créditos</v>
      </c>
      <c r="B21" s="80">
        <v>2337.5156300000008</v>
      </c>
      <c r="C21" s="80">
        <v>1875.0600799999997</v>
      </c>
      <c r="D21" s="80">
        <v>1903.5999500000003</v>
      </c>
      <c r="E21" s="80">
        <v>2117.4447300000002</v>
      </c>
      <c r="F21" s="80">
        <v>1782.1285800000001</v>
      </c>
      <c r="G21" s="80">
        <v>1455.9737700000001</v>
      </c>
      <c r="H21" s="80">
        <v>330800.94340999995</v>
      </c>
      <c r="I21" s="80">
        <v>334407.09327999997</v>
      </c>
      <c r="J21" s="80">
        <v>337866.53473999997</v>
      </c>
      <c r="K21" s="80">
        <v>340406.95899999997</v>
      </c>
      <c r="L21" s="80">
        <v>344934.32811</v>
      </c>
      <c r="M21" s="80">
        <v>351864.58500999998</v>
      </c>
      <c r="N21" s="80">
        <v>354187.57841999998</v>
      </c>
      <c r="O21" s="80">
        <v>356457.05626000004</v>
      </c>
      <c r="P21" s="99">
        <v>361314.01676000003</v>
      </c>
      <c r="Q21" s="99">
        <v>27986.550640000001</v>
      </c>
      <c r="R21" s="80">
        <v>39501.003199999999</v>
      </c>
      <c r="S21" s="80">
        <v>48731.775649999989</v>
      </c>
      <c r="T21" s="80">
        <v>18205.129949999999</v>
      </c>
      <c r="U21" s="80">
        <v>21374.465499999998</v>
      </c>
      <c r="V21" s="80">
        <v>5669.1116300000003</v>
      </c>
      <c r="W21" s="80">
        <v>6080.8614799999996</v>
      </c>
      <c r="X21" s="80">
        <v>15556.831110000001</v>
      </c>
      <c r="Y21" s="80">
        <v>10658.5965</v>
      </c>
      <c r="Z21" s="80">
        <v>10578.692679999998</v>
      </c>
      <c r="AA21" s="80">
        <v>10522.730489999998</v>
      </c>
      <c r="AB21" s="80">
        <v>9652.6907499999998</v>
      </c>
      <c r="AC21" s="80">
        <v>12947.00071</v>
      </c>
      <c r="AD21" s="80">
        <v>19433.72136</v>
      </c>
      <c r="AE21" s="80">
        <v>14497.90546</v>
      </c>
      <c r="AF21" s="80">
        <v>9521.2501700000012</v>
      </c>
      <c r="AG21" s="80">
        <v>7159.1039499999988</v>
      </c>
      <c r="AH21" s="80">
        <v>8862.7334499999997</v>
      </c>
      <c r="AI21" s="80">
        <v>541120.80379000003</v>
      </c>
    </row>
    <row r="22" spans="1:35" s="25" customFormat="1">
      <c r="A22" s="17" t="str">
        <f>INDEX({"Investimentos";"Investments"},Home!$R$30)</f>
        <v>Investimentos</v>
      </c>
      <c r="B22" s="80">
        <v>0</v>
      </c>
      <c r="C22" s="80">
        <v>0</v>
      </c>
      <c r="D22" s="80">
        <v>0</v>
      </c>
      <c r="E22" s="80">
        <v>0</v>
      </c>
      <c r="F22" s="80">
        <v>0</v>
      </c>
      <c r="G22" s="80">
        <v>0</v>
      </c>
      <c r="H22" s="80">
        <v>0</v>
      </c>
      <c r="I22" s="80">
        <v>0</v>
      </c>
      <c r="J22" s="80">
        <v>3289.1983999999911</v>
      </c>
      <c r="K22" s="80">
        <v>3289.1981000000014</v>
      </c>
      <c r="L22" s="80">
        <v>2.0000003278255463E-5</v>
      </c>
      <c r="M22" s="80">
        <v>0</v>
      </c>
      <c r="N22" s="80">
        <v>8180.2264999999998</v>
      </c>
      <c r="O22" s="80">
        <v>8096.8376599999965</v>
      </c>
      <c r="P22" s="80">
        <v>8096.8376600000302</v>
      </c>
      <c r="Q22" s="80">
        <v>830.24617999994757</v>
      </c>
      <c r="R22" s="80">
        <v>1058.3751161000132</v>
      </c>
      <c r="S22" s="80">
        <v>1921.6215305000544</v>
      </c>
      <c r="T22" s="80">
        <v>7022.3189787499905</v>
      </c>
      <c r="U22" s="80">
        <v>4477.8735500000712</v>
      </c>
      <c r="V22" s="80">
        <v>2413.30825</v>
      </c>
      <c r="W22" s="80">
        <v>2788.2525899999141</v>
      </c>
      <c r="X22" s="80">
        <v>5895.6762700001</v>
      </c>
      <c r="Y22" s="80">
        <v>14954.381440000057</v>
      </c>
      <c r="Z22" s="80">
        <v>10253.171920000195</v>
      </c>
      <c r="AA22" s="80">
        <v>9722.3722700002199</v>
      </c>
      <c r="AB22" s="80">
        <v>9508.9553899999864</v>
      </c>
      <c r="AC22" s="80">
        <v>14740.046089999914</v>
      </c>
      <c r="AD22" s="80">
        <v>13586.766764768065</v>
      </c>
      <c r="AE22" s="80">
        <v>13339.459932400025</v>
      </c>
      <c r="AF22" s="80">
        <v>16545.03899851182</v>
      </c>
      <c r="AG22" s="80">
        <v>19462.858486861518</v>
      </c>
      <c r="AH22" s="80">
        <v>21311.71519999993</v>
      </c>
      <c r="AI22" s="80">
        <v>0</v>
      </c>
    </row>
    <row r="23" spans="1:35" s="25" customFormat="1">
      <c r="A23" s="17" t="str">
        <f>INDEX({"Imobilizado";"Property, Plant and Equipment"},Home!$R$30)</f>
        <v>Imobilizado</v>
      </c>
      <c r="B23" s="80">
        <v>4655338.2361688614</v>
      </c>
      <c r="C23" s="80">
        <v>4767165.9918332091</v>
      </c>
      <c r="D23" s="80">
        <v>4918810.1798876002</v>
      </c>
      <c r="E23" s="80">
        <v>4959613.3325736132</v>
      </c>
      <c r="F23" s="80">
        <v>5224616.9057799997</v>
      </c>
      <c r="G23" s="80">
        <v>5218832.1392999999</v>
      </c>
      <c r="H23" s="80">
        <v>5394511.317379999</v>
      </c>
      <c r="I23" s="80">
        <v>4814261.5378299998</v>
      </c>
      <c r="J23" s="80">
        <v>4946930.5562700005</v>
      </c>
      <c r="K23" s="80">
        <v>4896157.2158200005</v>
      </c>
      <c r="L23" s="80">
        <v>4934937.7260699999</v>
      </c>
      <c r="M23" s="80">
        <v>5020465.4430599995</v>
      </c>
      <c r="N23" s="80">
        <v>5026710.5465799998</v>
      </c>
      <c r="O23" s="80">
        <v>5131680.3274799995</v>
      </c>
      <c r="P23" s="99">
        <v>5268502.1860199999</v>
      </c>
      <c r="Q23" s="99">
        <v>5329587.7142400006</v>
      </c>
      <c r="R23" s="99">
        <v>5319545.8761999998</v>
      </c>
      <c r="S23" s="99">
        <v>5439940.2072200002</v>
      </c>
      <c r="T23" s="99">
        <v>5466481.1351399999</v>
      </c>
      <c r="U23" s="99">
        <v>5574857.1546500009</v>
      </c>
      <c r="V23" s="80">
        <v>5593177.0980500001</v>
      </c>
      <c r="W23" s="80">
        <v>5754181.1339200009</v>
      </c>
      <c r="X23" s="80">
        <v>5848778.7626799997</v>
      </c>
      <c r="Y23" s="80">
        <v>5937687.1056300001</v>
      </c>
      <c r="Z23" s="80">
        <v>6081234.1371300006</v>
      </c>
      <c r="AA23" s="80">
        <v>6127523.4471000005</v>
      </c>
      <c r="AB23" s="80">
        <v>6313590.1663499996</v>
      </c>
      <c r="AC23" s="80">
        <v>6569648.9382100012</v>
      </c>
      <c r="AD23" s="80">
        <v>6669874.8044500006</v>
      </c>
      <c r="AE23" s="80">
        <v>6865285.1800799984</v>
      </c>
      <c r="AF23" s="80">
        <v>7069691.7050000001</v>
      </c>
      <c r="AG23" s="80">
        <v>7263902.3019000012</v>
      </c>
      <c r="AH23" s="80">
        <v>7309116.0187900001</v>
      </c>
      <c r="AI23" s="80">
        <v>7434143.0764300004</v>
      </c>
    </row>
    <row r="24" spans="1:35" s="25" customFormat="1" ht="15" thickBot="1">
      <c r="A24" s="17" t="str">
        <f>INDEX({"Intangível";"Intangible"},Home!$R$30)</f>
        <v>Intangível</v>
      </c>
      <c r="B24" s="80">
        <v>1190325.6418200003</v>
      </c>
      <c r="C24" s="80">
        <v>1193602.19888</v>
      </c>
      <c r="D24" s="80">
        <v>1199306.1566800002</v>
      </c>
      <c r="E24" s="80">
        <v>1202387.58045</v>
      </c>
      <c r="F24" s="80">
        <v>1202545.4384300003</v>
      </c>
      <c r="G24" s="80">
        <v>1204452.42973</v>
      </c>
      <c r="H24" s="80">
        <v>1246909.8891399999</v>
      </c>
      <c r="I24" s="80">
        <v>1245440.7990299999</v>
      </c>
      <c r="J24" s="80">
        <v>1251215.9633999998</v>
      </c>
      <c r="K24" s="80">
        <v>1253664.2404700001</v>
      </c>
      <c r="L24" s="80">
        <v>1255217.71312</v>
      </c>
      <c r="M24" s="80">
        <v>1261708.0779299999</v>
      </c>
      <c r="N24" s="80">
        <v>1263430.34849</v>
      </c>
      <c r="O24" s="80">
        <v>1316302.2548399998</v>
      </c>
      <c r="P24" s="80">
        <v>1345941.0051499996</v>
      </c>
      <c r="Q24" s="80">
        <v>1486251.7077466666</v>
      </c>
      <c r="R24" s="80">
        <v>1488760.7116466665</v>
      </c>
      <c r="S24" s="80">
        <v>1510848.1340166666</v>
      </c>
      <c r="T24" s="80">
        <v>1604321.6039866668</v>
      </c>
      <c r="U24" s="80">
        <v>1738112.7041443097</v>
      </c>
      <c r="V24" s="80">
        <v>1749274.2685643099</v>
      </c>
      <c r="W24" s="80">
        <v>1814232.1253799999</v>
      </c>
      <c r="X24" s="80">
        <v>1876458.9132100001</v>
      </c>
      <c r="Y24" s="80">
        <v>1917253.5576900002</v>
      </c>
      <c r="Z24" s="80">
        <v>1906678.3313200001</v>
      </c>
      <c r="AA24" s="80">
        <v>1943990.98872</v>
      </c>
      <c r="AB24" s="80">
        <v>1990746.10791</v>
      </c>
      <c r="AC24" s="80">
        <v>2025603.6195699999</v>
      </c>
      <c r="AD24" s="80">
        <v>2012417.8365499997</v>
      </c>
      <c r="AE24" s="80">
        <v>2036971.7790599999</v>
      </c>
      <c r="AF24" s="80">
        <v>2064727.2918700003</v>
      </c>
      <c r="AG24" s="80">
        <v>2045708.7197199997</v>
      </c>
      <c r="AH24" s="80">
        <v>2004756.3958000001</v>
      </c>
      <c r="AI24" s="80">
        <v>2038393.0869611623</v>
      </c>
    </row>
    <row r="25" spans="1:35" s="25" customFormat="1">
      <c r="A25" s="67" t="str">
        <f>INDEX({"Subtotal";"Subtotal"},Home!$R$30)</f>
        <v>Subtotal</v>
      </c>
      <c r="B25" s="92">
        <f t="shared" ref="B25:AH25" si="8">+SUM(B18:B24)</f>
        <v>5912656.3268388622</v>
      </c>
      <c r="C25" s="92">
        <f t="shared" si="8"/>
        <v>6032168.2231932087</v>
      </c>
      <c r="D25" s="92">
        <f t="shared" si="8"/>
        <v>6192268.5085576</v>
      </c>
      <c r="E25" s="92">
        <f t="shared" si="8"/>
        <v>6234233.8079636134</v>
      </c>
      <c r="F25" s="92">
        <f t="shared" si="8"/>
        <v>6506158.2199099995</v>
      </c>
      <c r="G25" s="92">
        <f t="shared" si="8"/>
        <v>6505711.4275899995</v>
      </c>
      <c r="H25" s="92">
        <f t="shared" si="8"/>
        <v>7056071.6633799989</v>
      </c>
      <c r="I25" s="92">
        <f t="shared" si="8"/>
        <v>6492209.2099699993</v>
      </c>
      <c r="J25" s="92">
        <f t="shared" si="8"/>
        <v>6656560.0590000004</v>
      </c>
      <c r="K25" s="92">
        <f t="shared" si="8"/>
        <v>6615284.3518100008</v>
      </c>
      <c r="L25" s="92">
        <f t="shared" si="8"/>
        <v>6686266.8114899993</v>
      </c>
      <c r="M25" s="92">
        <f t="shared" si="8"/>
        <v>6807599.5893799989</v>
      </c>
      <c r="N25" s="92">
        <f t="shared" si="8"/>
        <v>6816054.3311399994</v>
      </c>
      <c r="O25" s="92">
        <f t="shared" si="8"/>
        <v>7006952.2372399988</v>
      </c>
      <c r="P25" s="92">
        <f t="shared" si="8"/>
        <v>7176115.2306399997</v>
      </c>
      <c r="Q25" s="92">
        <f t="shared" si="8"/>
        <v>7056583.7249566671</v>
      </c>
      <c r="R25" s="92">
        <f t="shared" si="8"/>
        <v>7052775.7062027669</v>
      </c>
      <c r="S25" s="92">
        <f t="shared" si="8"/>
        <v>7225386.1039871667</v>
      </c>
      <c r="T25" s="92">
        <f t="shared" si="8"/>
        <v>7331223.8157854164</v>
      </c>
      <c r="U25" s="92">
        <f t="shared" si="8"/>
        <v>7608237.5230043102</v>
      </c>
      <c r="V25" s="92">
        <f t="shared" si="8"/>
        <v>7632544.93858431</v>
      </c>
      <c r="W25" s="92">
        <f t="shared" si="8"/>
        <v>7849689.5748400008</v>
      </c>
      <c r="X25" s="92">
        <f t="shared" si="8"/>
        <v>8065728.4393299995</v>
      </c>
      <c r="Y25" s="92">
        <f t="shared" si="8"/>
        <v>8532737.9863200001</v>
      </c>
      <c r="Z25" s="92">
        <f t="shared" si="8"/>
        <v>8623397.8554800004</v>
      </c>
      <c r="AA25" s="92">
        <f t="shared" si="8"/>
        <v>8755691.9219400007</v>
      </c>
      <c r="AB25" s="92">
        <f t="shared" si="8"/>
        <v>9065590.3765799999</v>
      </c>
      <c r="AC25" s="92">
        <f t="shared" si="8"/>
        <v>9460045.9403000008</v>
      </c>
      <c r="AD25" s="92">
        <f t="shared" si="8"/>
        <v>9157383.8190747686</v>
      </c>
      <c r="AE25" s="92">
        <f t="shared" si="8"/>
        <v>9409510.3856723979</v>
      </c>
      <c r="AF25" s="92">
        <f t="shared" si="8"/>
        <v>9702150.0165785123</v>
      </c>
      <c r="AG25" s="92">
        <f t="shared" si="8"/>
        <v>9873958.6144468635</v>
      </c>
      <c r="AH25" s="92">
        <f t="shared" si="8"/>
        <v>9915408.9990355503</v>
      </c>
      <c r="AI25" s="92">
        <f t="shared" ref="AI25" si="9">+SUM(AI18:AI24)</f>
        <v>10570855.818811163</v>
      </c>
    </row>
    <row r="26" spans="1:35">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row>
    <row r="27" spans="1:35">
      <c r="A27" s="13" t="str">
        <f>INDEX({"Passivo e Patrimônio Líquido";"Liabilities &amp; Equity"},Home!$R$30)</f>
        <v>Passivo e Patrimônio Líquido</v>
      </c>
      <c r="B27" s="86">
        <f t="shared" ref="B27:Y27" si="10">+B58+B47+B39</f>
        <v>9844318.3887287155</v>
      </c>
      <c r="C27" s="86">
        <f t="shared" si="10"/>
        <v>10157775.344051825</v>
      </c>
      <c r="D27" s="86">
        <f t="shared" si="10"/>
        <v>10587736.213315088</v>
      </c>
      <c r="E27" s="86">
        <f t="shared" si="10"/>
        <v>10763821.398751047</v>
      </c>
      <c r="F27" s="86">
        <f t="shared" si="10"/>
        <v>11187695.256322727</v>
      </c>
      <c r="G27" s="86">
        <f t="shared" si="10"/>
        <v>11098713.940932728</v>
      </c>
      <c r="H27" s="86">
        <f t="shared" si="10"/>
        <v>12582525.585272731</v>
      </c>
      <c r="I27" s="86">
        <f t="shared" si="10"/>
        <v>12248255.396252729</v>
      </c>
      <c r="J27" s="86">
        <f t="shared" si="10"/>
        <v>13026646.409852728</v>
      </c>
      <c r="K27" s="86">
        <f t="shared" si="10"/>
        <v>12755168.410642726</v>
      </c>
      <c r="L27" s="86">
        <f t="shared" si="10"/>
        <v>13044950.647842728</v>
      </c>
      <c r="M27" s="86">
        <f t="shared" si="10"/>
        <v>13828087.790272728</v>
      </c>
      <c r="N27" s="86">
        <f t="shared" si="10"/>
        <v>14149795.853042725</v>
      </c>
      <c r="O27" s="86">
        <f t="shared" si="10"/>
        <v>14018263.677180002</v>
      </c>
      <c r="P27" s="86">
        <f t="shared" si="10"/>
        <v>14406184.718059998</v>
      </c>
      <c r="Q27" s="86">
        <f t="shared" si="10"/>
        <v>14775506.258145824</v>
      </c>
      <c r="R27" s="86">
        <f t="shared" si="10"/>
        <v>15536792.438111551</v>
      </c>
      <c r="S27" s="86">
        <f t="shared" si="10"/>
        <v>16168798.527054975</v>
      </c>
      <c r="T27" s="86">
        <f t="shared" si="10"/>
        <v>16523469.240147501</v>
      </c>
      <c r="U27" s="86">
        <f t="shared" si="10"/>
        <v>17185306.382430002</v>
      </c>
      <c r="V27" s="86">
        <f t="shared" si="10"/>
        <v>18249424.026799999</v>
      </c>
      <c r="W27" s="86">
        <f t="shared" si="10"/>
        <v>17745434.973080002</v>
      </c>
      <c r="X27" s="86">
        <f t="shared" si="10"/>
        <v>19386533.079719998</v>
      </c>
      <c r="Y27" s="86">
        <f t="shared" si="10"/>
        <v>20094412.0847</v>
      </c>
      <c r="Z27" s="86">
        <f>+Z58+Z47+Z39</f>
        <v>20651653.214049999</v>
      </c>
      <c r="AA27" s="86">
        <f t="shared" ref="AA27:AB27" si="11">+AA58+AA47+AA39</f>
        <v>20705523.663949996</v>
      </c>
      <c r="AB27" s="86">
        <f t="shared" si="11"/>
        <v>21955995.602620002</v>
      </c>
      <c r="AC27" s="86">
        <f t="shared" ref="AC27" si="12">+AC58+AC47+AC39</f>
        <v>22163756.45882</v>
      </c>
      <c r="AD27" s="86">
        <f t="shared" ref="AD27:AG27" si="13">+AD58+AD47+AD39</f>
        <v>22633252.211719997</v>
      </c>
      <c r="AE27" s="86">
        <f t="shared" si="13"/>
        <v>23052470.1851</v>
      </c>
      <c r="AF27" s="86">
        <f t="shared" si="13"/>
        <v>23825806.863430001</v>
      </c>
      <c r="AG27" s="86">
        <f t="shared" si="13"/>
        <v>25170475.249516863</v>
      </c>
      <c r="AH27" s="86">
        <f t="shared" ref="AH27:AI27" si="14">+AH58+AH47+AH39</f>
        <v>25272165.58872626</v>
      </c>
      <c r="AI27" s="86">
        <f t="shared" si="14"/>
        <v>24822598.469662607</v>
      </c>
    </row>
    <row r="28" spans="1:35">
      <c r="B28" s="96"/>
      <c r="C28" s="96"/>
      <c r="D28" s="96"/>
      <c r="E28" s="96"/>
      <c r="F28" s="96"/>
      <c r="G28" s="96"/>
      <c r="H28" s="96"/>
      <c r="I28" s="96"/>
      <c r="J28" s="96"/>
      <c r="K28" s="96"/>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row>
    <row r="29" spans="1:35">
      <c r="A29" s="16" t="str">
        <f>INDEX({"Circulante";"Current Liabilities"},Home!$R$30)</f>
        <v>Circulante</v>
      </c>
      <c r="B29" s="97"/>
      <c r="C29" s="97"/>
      <c r="D29" s="97"/>
      <c r="E29" s="97"/>
      <c r="F29" s="97"/>
      <c r="G29" s="97"/>
      <c r="H29" s="97"/>
      <c r="I29" s="97"/>
      <c r="J29" s="97"/>
      <c r="K29" s="97"/>
      <c r="L29" s="97"/>
      <c r="M29" s="97"/>
      <c r="N29" s="97"/>
      <c r="O29" s="97"/>
      <c r="P29" s="97"/>
      <c r="Q29" s="97"/>
      <c r="R29" s="97"/>
      <c r="S29" s="98"/>
      <c r="T29" s="98"/>
      <c r="U29" s="98"/>
      <c r="V29" s="98"/>
      <c r="W29" s="98"/>
      <c r="X29" s="98"/>
      <c r="Y29" s="98"/>
      <c r="Z29" s="98"/>
      <c r="AA29" s="98"/>
      <c r="AB29" s="98"/>
      <c r="AC29" s="98"/>
      <c r="AD29" s="98"/>
      <c r="AE29" s="98"/>
      <c r="AF29" s="98"/>
      <c r="AG29" s="98"/>
      <c r="AH29" s="98"/>
      <c r="AI29" s="98"/>
    </row>
    <row r="30" spans="1:35" s="25" customFormat="1">
      <c r="A30" s="17" t="str">
        <f>INDEX({"Fornecedores";"Suppliers"},Home!$R$30)</f>
        <v>Fornecedores</v>
      </c>
      <c r="B30" s="80">
        <v>1832996.1585200001</v>
      </c>
      <c r="C30" s="80">
        <v>1670110.5316300003</v>
      </c>
      <c r="D30" s="80">
        <v>1862895.5229900002</v>
      </c>
      <c r="E30" s="80">
        <v>2141273.9144200003</v>
      </c>
      <c r="F30" s="80">
        <v>2019929.0005399999</v>
      </c>
      <c r="G30" s="80">
        <v>1959369.7924000002</v>
      </c>
      <c r="H30" s="80">
        <v>2279946.1875800006</v>
      </c>
      <c r="I30" s="80">
        <v>2653236.5114799999</v>
      </c>
      <c r="J30" s="80">
        <v>2784446.0045400001</v>
      </c>
      <c r="K30" s="80">
        <v>2232219.0502799996</v>
      </c>
      <c r="L30" s="80">
        <v>2339320.1812399998</v>
      </c>
      <c r="M30" s="80">
        <v>3106937.1383499997</v>
      </c>
      <c r="N30" s="80">
        <v>3196508.0662500001</v>
      </c>
      <c r="O30" s="80">
        <v>2682594.7376100002</v>
      </c>
      <c r="P30" s="80">
        <v>2850604.1444899999</v>
      </c>
      <c r="Q30" s="80">
        <v>3656605.2658600002</v>
      </c>
      <c r="R30" s="80">
        <v>3600986.02892</v>
      </c>
      <c r="S30" s="80">
        <v>3538543.9639299996</v>
      </c>
      <c r="T30" s="80">
        <v>3753793.4863300002</v>
      </c>
      <c r="U30" s="80">
        <v>4258916.8156300001</v>
      </c>
      <c r="V30" s="80">
        <v>5106693.800950001</v>
      </c>
      <c r="W30" s="80">
        <v>4105650.4272600003</v>
      </c>
      <c r="X30" s="80">
        <v>4645177.0984199997</v>
      </c>
      <c r="Y30" s="80">
        <v>5099661.1961500002</v>
      </c>
      <c r="Z30" s="80">
        <v>5598965.7641899996</v>
      </c>
      <c r="AA30" s="80">
        <v>4897662.2051199991</v>
      </c>
      <c r="AB30" s="80">
        <v>5712822.9871700015</v>
      </c>
      <c r="AC30" s="80">
        <v>5825380.7123600002</v>
      </c>
      <c r="AD30" s="80">
        <v>5577390.3850899991</v>
      </c>
      <c r="AE30" s="80">
        <v>5192141.1172700003</v>
      </c>
      <c r="AF30" s="80">
        <v>5739195.4023099998</v>
      </c>
      <c r="AG30" s="80">
        <v>6429186.4127600016</v>
      </c>
      <c r="AH30" s="80">
        <v>6469285.2530100001</v>
      </c>
      <c r="AI30" s="80">
        <v>6375301.6436099997</v>
      </c>
    </row>
    <row r="31" spans="1:35" s="25" customFormat="1">
      <c r="A31" s="17" t="str">
        <f>INDEX({"Arrendamentos Financeiros a Pagar";"Leases payable"},Home!$R$30)</f>
        <v>Arrendamentos Financeiros a Pagar</v>
      </c>
      <c r="B31" s="80">
        <v>495620.08815832803</v>
      </c>
      <c r="C31" s="80">
        <v>506161.32911396719</v>
      </c>
      <c r="D31" s="80">
        <v>520285.45976241707</v>
      </c>
      <c r="E31" s="80">
        <v>514275.30416993255</v>
      </c>
      <c r="F31" s="80">
        <v>505579.90470000001</v>
      </c>
      <c r="G31" s="80">
        <v>523834.95299000002</v>
      </c>
      <c r="H31" s="80">
        <v>557999.37398999999</v>
      </c>
      <c r="I31" s="80">
        <v>566645.58311000001</v>
      </c>
      <c r="J31" s="80">
        <v>445494.03766000003</v>
      </c>
      <c r="K31" s="80">
        <v>448668.66009999998</v>
      </c>
      <c r="L31" s="80">
        <v>469221.24868999998</v>
      </c>
      <c r="M31" s="80">
        <v>503318.47172999999</v>
      </c>
      <c r="N31" s="80">
        <v>538364.55816000002</v>
      </c>
      <c r="O31" s="80">
        <v>573292.28982000006</v>
      </c>
      <c r="P31" s="99">
        <v>680717.13278999995</v>
      </c>
      <c r="Q31" s="99">
        <v>699170.0074</v>
      </c>
      <c r="R31" s="99">
        <v>728738.5747</v>
      </c>
      <c r="S31" s="99">
        <v>743519.38309999998</v>
      </c>
      <c r="T31" s="99">
        <v>741722.64587000001</v>
      </c>
      <c r="U31" s="99">
        <v>759301.47033000004</v>
      </c>
      <c r="V31" s="99">
        <v>778005.46682000009</v>
      </c>
      <c r="W31" s="99">
        <v>822269.63295</v>
      </c>
      <c r="X31" s="99">
        <v>852550.27803000004</v>
      </c>
      <c r="Y31" s="99">
        <v>858466.77208000002</v>
      </c>
      <c r="Z31" s="99">
        <v>883273.90390999999</v>
      </c>
      <c r="AA31" s="99">
        <v>909718.95340000011</v>
      </c>
      <c r="AB31" s="99">
        <v>947083.03281999996</v>
      </c>
      <c r="AC31" s="99">
        <v>951044.26379</v>
      </c>
      <c r="AD31" s="99">
        <v>960578.74978999991</v>
      </c>
      <c r="AE31" s="99">
        <v>976310.57986000006</v>
      </c>
      <c r="AF31" s="99">
        <v>1001913.4511900001</v>
      </c>
      <c r="AG31" s="99">
        <v>1019344.2681799999</v>
      </c>
      <c r="AH31" s="99">
        <v>1017045.33013</v>
      </c>
      <c r="AI31" s="99">
        <v>1025312.80425</v>
      </c>
    </row>
    <row r="32" spans="1:35" s="25" customFormat="1">
      <c r="A32" s="17" t="str">
        <f>INDEX({"Empréstimos e Financiamentos";"Loans and Financing"},Home!$R$30)</f>
        <v>Empréstimos e Financiamentos</v>
      </c>
      <c r="B32" s="80">
        <v>186159.52687999999</v>
      </c>
      <c r="C32" s="80">
        <v>227242.11264999997</v>
      </c>
      <c r="D32" s="80">
        <v>237205.23027</v>
      </c>
      <c r="E32" s="80">
        <v>272938.92467000004</v>
      </c>
      <c r="F32" s="80">
        <v>280764.66185999999</v>
      </c>
      <c r="G32" s="80">
        <v>274744.37971000007</v>
      </c>
      <c r="H32" s="80">
        <v>247469.29256999999</v>
      </c>
      <c r="I32" s="80">
        <v>228660.98631000001</v>
      </c>
      <c r="J32" s="80">
        <v>533457.93981999997</v>
      </c>
      <c r="K32" s="80">
        <v>537353.15945999988</v>
      </c>
      <c r="L32" s="80">
        <v>536490.18571999995</v>
      </c>
      <c r="M32" s="80">
        <v>531203.58834999998</v>
      </c>
      <c r="N32" s="80">
        <v>206650.11112000002</v>
      </c>
      <c r="O32" s="80">
        <v>622705.24872000003</v>
      </c>
      <c r="P32" s="99">
        <v>630096.03844000003</v>
      </c>
      <c r="Q32" s="99">
        <v>613830.51089000015</v>
      </c>
      <c r="R32" s="99">
        <v>533453.31231000007</v>
      </c>
      <c r="S32" s="99">
        <v>228200.89267999999</v>
      </c>
      <c r="T32" s="99">
        <v>134789.92296999996</v>
      </c>
      <c r="U32" s="99">
        <v>186355.76365000001</v>
      </c>
      <c r="V32" s="99">
        <v>443799.04950999998</v>
      </c>
      <c r="W32" s="99">
        <v>569822.23011</v>
      </c>
      <c r="X32" s="99">
        <v>581004.19892</v>
      </c>
      <c r="Y32" s="99">
        <v>604600.82670999994</v>
      </c>
      <c r="Z32" s="99">
        <v>311914.26239999995</v>
      </c>
      <c r="AA32" s="99">
        <v>415442.26026999997</v>
      </c>
      <c r="AB32" s="99">
        <v>619036.66347999999</v>
      </c>
      <c r="AC32" s="99">
        <v>637109.33168000006</v>
      </c>
      <c r="AD32" s="99">
        <v>672158.23613999994</v>
      </c>
      <c r="AE32" s="99">
        <v>849691.48855999997</v>
      </c>
      <c r="AF32" s="99">
        <v>522497.36426999996</v>
      </c>
      <c r="AG32" s="99">
        <v>508136.50447000004</v>
      </c>
      <c r="AH32" s="99">
        <v>425458.46025999996</v>
      </c>
      <c r="AI32" s="99">
        <v>365265.75354000001</v>
      </c>
    </row>
    <row r="33" spans="1:35" s="25" customFormat="1">
      <c r="A33" s="17" t="str">
        <f>INDEX({"Salários e Encargos Sociais";"Salaries and Social Charges Payable"},Home!$R$30)</f>
        <v>Salários e Encargos Sociais</v>
      </c>
      <c r="B33" s="80">
        <v>205256.63473999998</v>
      </c>
      <c r="C33" s="80">
        <v>254223.07195000001</v>
      </c>
      <c r="D33" s="80">
        <v>288636.26598999999</v>
      </c>
      <c r="E33" s="80">
        <v>237541.92305000001</v>
      </c>
      <c r="F33" s="80">
        <v>239841.88368999999</v>
      </c>
      <c r="G33" s="80">
        <v>298980.95041999995</v>
      </c>
      <c r="H33" s="80">
        <v>346202.46389999997</v>
      </c>
      <c r="I33" s="80">
        <v>296673.12048000004</v>
      </c>
      <c r="J33" s="80">
        <v>293518.44209999999</v>
      </c>
      <c r="K33" s="80">
        <v>415427.08364999999</v>
      </c>
      <c r="L33" s="80">
        <v>409270.91872000002</v>
      </c>
      <c r="M33" s="80">
        <v>309161.41563</v>
      </c>
      <c r="N33" s="80">
        <v>319416.15724000003</v>
      </c>
      <c r="O33" s="80">
        <v>413458.74962000008</v>
      </c>
      <c r="P33" s="99">
        <v>484720.99226999999</v>
      </c>
      <c r="Q33" s="99">
        <v>420356.23634999996</v>
      </c>
      <c r="R33" s="99">
        <v>431109.82893000008</v>
      </c>
      <c r="S33" s="99">
        <v>529539.19423999998</v>
      </c>
      <c r="T33" s="99">
        <v>617244.50550000009</v>
      </c>
      <c r="U33" s="99">
        <v>561622.50864000001</v>
      </c>
      <c r="V33" s="99">
        <v>526307.60415999999</v>
      </c>
      <c r="W33" s="99">
        <v>626385.2393400002</v>
      </c>
      <c r="X33" s="99">
        <v>735009.76287000009</v>
      </c>
      <c r="Y33" s="99">
        <v>636393.24650000001</v>
      </c>
      <c r="Z33" s="99">
        <v>604956.9545799999</v>
      </c>
      <c r="AA33" s="99">
        <v>716546.40734000015</v>
      </c>
      <c r="AB33" s="99">
        <v>816546.60337000003</v>
      </c>
      <c r="AC33" s="99">
        <v>686526.08820999996</v>
      </c>
      <c r="AD33" s="99">
        <v>646954.02891000011</v>
      </c>
      <c r="AE33" s="99">
        <v>777865.68273999984</v>
      </c>
      <c r="AF33" s="99">
        <v>895260.37082000007</v>
      </c>
      <c r="AG33" s="99">
        <v>757549.54075000004</v>
      </c>
      <c r="AH33" s="99">
        <v>745744.26264999993</v>
      </c>
      <c r="AI33" s="99">
        <v>925554.25864000013</v>
      </c>
    </row>
    <row r="34" spans="1:35" s="25" customFormat="1">
      <c r="A34" s="17" t="str">
        <f>INDEX({"Impostos, Taxas e Contribuições";"Taxes Payable"},Home!$R$30)</f>
        <v>Impostos, Taxas e Contribuições</v>
      </c>
      <c r="B34" s="80">
        <v>98993.751619999995</v>
      </c>
      <c r="C34" s="80">
        <v>83199.97183000001</v>
      </c>
      <c r="D34" s="80">
        <v>82483.221310000023</v>
      </c>
      <c r="E34" s="80">
        <v>92964.008070000011</v>
      </c>
      <c r="F34" s="80">
        <v>118992.73735000001</v>
      </c>
      <c r="G34" s="80">
        <v>132658.36727000002</v>
      </c>
      <c r="H34" s="80">
        <v>99021.947040000014</v>
      </c>
      <c r="I34" s="80">
        <v>102671.50203999999</v>
      </c>
      <c r="J34" s="80">
        <v>161355.41660999999</v>
      </c>
      <c r="K34" s="80">
        <v>119333.19584</v>
      </c>
      <c r="L34" s="80">
        <v>123286.27921000001</v>
      </c>
      <c r="M34" s="80">
        <v>138672.69519999999</v>
      </c>
      <c r="N34" s="80">
        <v>143983.24267000001</v>
      </c>
      <c r="O34" s="80">
        <v>151858.89923999997</v>
      </c>
      <c r="P34" s="99">
        <v>153701.94257000001</v>
      </c>
      <c r="Q34" s="99">
        <v>154772.45628000001</v>
      </c>
      <c r="R34" s="99">
        <v>176333.15604</v>
      </c>
      <c r="S34" s="99">
        <v>239696.52194000001</v>
      </c>
      <c r="T34" s="99">
        <v>186320.89451000001</v>
      </c>
      <c r="U34" s="99">
        <v>213298.33749000001</v>
      </c>
      <c r="V34" s="99">
        <v>263123.21571000002</v>
      </c>
      <c r="W34" s="99">
        <v>310175.63699000003</v>
      </c>
      <c r="X34" s="99">
        <v>289770.95581000001</v>
      </c>
      <c r="Y34" s="99">
        <v>360571.64367000002</v>
      </c>
      <c r="Z34" s="99">
        <v>360411.37567999994</v>
      </c>
      <c r="AA34" s="99">
        <v>411332.37759000005</v>
      </c>
      <c r="AB34" s="99">
        <v>414068.42215</v>
      </c>
      <c r="AC34" s="99">
        <v>364903.43821999995</v>
      </c>
      <c r="AD34" s="99">
        <v>377395.40732</v>
      </c>
      <c r="AE34" s="99">
        <v>384087.62776999996</v>
      </c>
      <c r="AF34" s="99">
        <v>453139.97997999995</v>
      </c>
      <c r="AG34" s="99">
        <v>397995.23339000001</v>
      </c>
      <c r="AH34" s="99">
        <v>423362.63919999998</v>
      </c>
      <c r="AI34" s="99">
        <v>508068.45655999996</v>
      </c>
    </row>
    <row r="35" spans="1:35" s="25" customFormat="1">
      <c r="A35" s="17" t="str">
        <f>INDEX({"Dividendo e Juros Sobre o Capital Próprio";"Dividend and Interest on Equity"},Home!$R$30)</f>
        <v>Dividendo e Juros Sobre o Capital Próprio</v>
      </c>
      <c r="B35" s="80">
        <v>133932.81125100001</v>
      </c>
      <c r="C35" s="80">
        <v>89932.434490999993</v>
      </c>
      <c r="D35" s="80">
        <v>134419.49887000001</v>
      </c>
      <c r="E35" s="80">
        <v>24842.582569999999</v>
      </c>
      <c r="F35" s="80">
        <v>72147.518849999993</v>
      </c>
      <c r="G35" s="80">
        <v>96150.317660000001</v>
      </c>
      <c r="H35" s="80">
        <v>140601.47974000001</v>
      </c>
      <c r="I35" s="80">
        <v>68254.728499999997</v>
      </c>
      <c r="J35" s="80">
        <v>108498.50029000001</v>
      </c>
      <c r="K35" s="80">
        <v>85259.260379999992</v>
      </c>
      <c r="L35" s="80">
        <v>128527.98754</v>
      </c>
      <c r="M35" s="80">
        <v>16491.652340000001</v>
      </c>
      <c r="N35" s="80">
        <v>124024.81427</v>
      </c>
      <c r="O35" s="80">
        <v>83505.838019999996</v>
      </c>
      <c r="P35" s="99">
        <v>83442.627370000002</v>
      </c>
      <c r="Q35" s="99">
        <v>76787.252730000007</v>
      </c>
      <c r="R35" s="99">
        <v>133780.11470000001</v>
      </c>
      <c r="S35" s="99">
        <v>123618.92477</v>
      </c>
      <c r="T35" s="99">
        <v>302155.05682</v>
      </c>
      <c r="U35" s="99">
        <v>62417.172570000002</v>
      </c>
      <c r="V35" s="99">
        <v>131994.60426999998</v>
      </c>
      <c r="W35" s="99">
        <v>160560.008</v>
      </c>
      <c r="X35" s="99">
        <v>238728.82206999999</v>
      </c>
      <c r="Y35" s="99">
        <v>23508.48703</v>
      </c>
      <c r="Z35" s="99">
        <v>87394.796730000002</v>
      </c>
      <c r="AA35" s="99">
        <v>134046.50992000001</v>
      </c>
      <c r="AB35" s="99">
        <v>336979.74962999998</v>
      </c>
      <c r="AC35" s="99">
        <v>241475.61680000002</v>
      </c>
      <c r="AD35" s="99">
        <v>343002.91872000002</v>
      </c>
      <c r="AE35" s="99">
        <v>217181.35721000002</v>
      </c>
      <c r="AF35" s="99">
        <v>338195.87647000002</v>
      </c>
      <c r="AG35" s="99">
        <v>2566.3472599999996</v>
      </c>
      <c r="AH35" s="99">
        <v>131419.41934999998</v>
      </c>
      <c r="AI35" s="99">
        <v>306115.31711</v>
      </c>
    </row>
    <row r="36" spans="1:35" s="25" customFormat="1">
      <c r="A36" s="17" t="str">
        <f>INDEX({"Provisão para Demandas Judiciais";"Provision for Lawsuits"},Home!$R$30)</f>
        <v>Provisão para Demandas Judiciais</v>
      </c>
      <c r="B36" s="80">
        <v>4195.9437099999986</v>
      </c>
      <c r="C36" s="80">
        <v>1060.44991</v>
      </c>
      <c r="D36" s="80">
        <v>286.37818999999951</v>
      </c>
      <c r="E36" s="80">
        <v>2511.535530000001</v>
      </c>
      <c r="F36" s="80">
        <v>3485.1217900000001</v>
      </c>
      <c r="G36" s="80">
        <v>9583.36931</v>
      </c>
      <c r="H36" s="80">
        <v>22521.942780000001</v>
      </c>
      <c r="I36" s="80">
        <v>26007.86607</v>
      </c>
      <c r="J36" s="80">
        <v>28130.545320000001</v>
      </c>
      <c r="K36" s="80">
        <v>28870.226890000002</v>
      </c>
      <c r="L36" s="80">
        <v>32327.46862</v>
      </c>
      <c r="M36" s="80">
        <v>32834.732609999999</v>
      </c>
      <c r="N36" s="80">
        <v>44332.929520000005</v>
      </c>
      <c r="O36" s="80">
        <v>46997.984479999999</v>
      </c>
      <c r="P36" s="99">
        <v>40849.258019999994</v>
      </c>
      <c r="Q36" s="99">
        <v>43559.7739</v>
      </c>
      <c r="R36" s="99">
        <v>44352.785040000002</v>
      </c>
      <c r="S36" s="99">
        <v>47908.571830000001</v>
      </c>
      <c r="T36" s="99">
        <v>49029.508549999999</v>
      </c>
      <c r="U36" s="99">
        <v>53584.341659999998</v>
      </c>
      <c r="V36" s="99">
        <v>54372.111450000004</v>
      </c>
      <c r="W36" s="99">
        <v>52138.672290000002</v>
      </c>
      <c r="X36" s="99">
        <v>53569.09117</v>
      </c>
      <c r="Y36" s="99">
        <v>57223.527320000001</v>
      </c>
      <c r="Z36" s="99">
        <v>56600.73846</v>
      </c>
      <c r="AA36" s="99">
        <v>62590.004529999998</v>
      </c>
      <c r="AB36" s="99">
        <v>69726.077519999992</v>
      </c>
      <c r="AC36" s="99">
        <v>81828.865090000007</v>
      </c>
      <c r="AD36" s="99">
        <v>86280.036389999994</v>
      </c>
      <c r="AE36" s="99">
        <v>77279.015540000008</v>
      </c>
      <c r="AF36" s="99">
        <v>48335.528579999998</v>
      </c>
      <c r="AG36" s="99">
        <v>58220.571380000001</v>
      </c>
      <c r="AH36" s="99">
        <v>51833.024859999998</v>
      </c>
      <c r="AI36" s="99">
        <v>42116.447260000001</v>
      </c>
    </row>
    <row r="37" spans="1:35" s="25" customFormat="1">
      <c r="A37" s="65" t="str">
        <f>INDEX({"Passivos de investimento à venda (4Bio)";"Liabilities of investment for sale (4Bio)"},Home!$R$30)</f>
        <v>Passivos de investimento à venda (4Bio)</v>
      </c>
      <c r="B37" s="99">
        <v>0</v>
      </c>
      <c r="C37" s="99">
        <v>0</v>
      </c>
      <c r="D37" s="99">
        <v>0</v>
      </c>
      <c r="E37" s="99">
        <v>0</v>
      </c>
      <c r="F37" s="99">
        <v>0</v>
      </c>
      <c r="G37" s="99">
        <v>0</v>
      </c>
      <c r="H37" s="99">
        <v>0</v>
      </c>
      <c r="I37" s="99">
        <v>0</v>
      </c>
      <c r="J37" s="99">
        <v>0</v>
      </c>
      <c r="K37" s="99">
        <v>0</v>
      </c>
      <c r="L37" s="99">
        <v>0</v>
      </c>
      <c r="M37" s="99">
        <v>0</v>
      </c>
      <c r="N37" s="99">
        <v>0</v>
      </c>
      <c r="O37" s="99">
        <v>0</v>
      </c>
      <c r="P37" s="99">
        <v>0</v>
      </c>
      <c r="Q37" s="99">
        <v>0</v>
      </c>
      <c r="R37" s="99">
        <v>0</v>
      </c>
      <c r="S37" s="99">
        <v>0</v>
      </c>
      <c r="T37" s="99">
        <v>0</v>
      </c>
      <c r="U37" s="99">
        <v>0</v>
      </c>
      <c r="V37" s="99">
        <v>0</v>
      </c>
      <c r="W37" s="99">
        <v>0</v>
      </c>
      <c r="X37" s="99">
        <v>0</v>
      </c>
      <c r="Y37" s="99">
        <v>0</v>
      </c>
      <c r="Z37" s="99">
        <v>0</v>
      </c>
      <c r="AA37" s="99">
        <v>0</v>
      </c>
      <c r="AB37" s="99">
        <v>0</v>
      </c>
      <c r="AC37" s="99">
        <v>0</v>
      </c>
      <c r="AD37" s="99">
        <v>846021.6762000001</v>
      </c>
      <c r="AE37" s="99">
        <v>803070.31027999986</v>
      </c>
      <c r="AF37" s="99">
        <v>556794.63290999993</v>
      </c>
      <c r="AG37" s="99">
        <v>669967.75492000009</v>
      </c>
      <c r="AH37" s="99">
        <v>726883.31142999989</v>
      </c>
      <c r="AI37" s="99">
        <v>0</v>
      </c>
    </row>
    <row r="38" spans="1:35" s="25" customFormat="1" ht="15" thickBot="1">
      <c r="A38" s="17" t="str">
        <f>INDEX({"Outras Contas a Pagar";"Other Accounts Payable"},Home!$R$30)</f>
        <v>Outras Contas a Pagar</v>
      </c>
      <c r="B38" s="80">
        <v>91508.400070000003</v>
      </c>
      <c r="C38" s="80">
        <v>89344.603850000014</v>
      </c>
      <c r="D38" s="80">
        <v>95999.975970000014</v>
      </c>
      <c r="E38" s="80">
        <v>112281.90027000001</v>
      </c>
      <c r="F38" s="80">
        <v>113717.50776000002</v>
      </c>
      <c r="G38" s="80">
        <v>101820.44046000001</v>
      </c>
      <c r="H38" s="80">
        <v>127925.05202000002</v>
      </c>
      <c r="I38" s="80">
        <v>136334.01237000001</v>
      </c>
      <c r="J38" s="80">
        <v>138876.32360999999</v>
      </c>
      <c r="K38" s="80">
        <v>147696.46353000001</v>
      </c>
      <c r="L38" s="80">
        <v>151756.99893</v>
      </c>
      <c r="M38" s="80">
        <v>162684.37120000002</v>
      </c>
      <c r="N38" s="80">
        <v>190725.46253999998</v>
      </c>
      <c r="O38" s="80">
        <v>253095.54499000005</v>
      </c>
      <c r="P38" s="99">
        <v>231593.66050999999</v>
      </c>
      <c r="Q38" s="99">
        <v>231108.83369</v>
      </c>
      <c r="R38" s="99">
        <v>237902.90183999998</v>
      </c>
      <c r="S38" s="99">
        <v>245633.49577000001</v>
      </c>
      <c r="T38" s="99">
        <v>255486.99053000001</v>
      </c>
      <c r="U38" s="99">
        <v>271672.73249999998</v>
      </c>
      <c r="V38" s="99">
        <v>316019.00722999999</v>
      </c>
      <c r="W38" s="99">
        <v>309945.70062000008</v>
      </c>
      <c r="X38" s="99">
        <v>304112.50004999997</v>
      </c>
      <c r="Y38" s="99">
        <f>340875.41207+98197</f>
        <v>439072.41207000002</v>
      </c>
      <c r="Z38" s="99">
        <v>482869.76209999999</v>
      </c>
      <c r="AA38" s="99">
        <v>352853.25076999993</v>
      </c>
      <c r="AB38" s="99">
        <v>381974.61871999991</v>
      </c>
      <c r="AC38" s="99">
        <v>406691.39461999992</v>
      </c>
      <c r="AD38" s="99">
        <v>450935.32351000002</v>
      </c>
      <c r="AE38" s="99">
        <v>408182.38837</v>
      </c>
      <c r="AF38" s="99">
        <v>435232.57784000004</v>
      </c>
      <c r="AG38" s="99">
        <v>474247.06002999999</v>
      </c>
      <c r="AH38" s="99">
        <v>464519.69433000003</v>
      </c>
      <c r="AI38" s="99">
        <v>587988.84810000006</v>
      </c>
    </row>
    <row r="39" spans="1:35" s="25" customFormat="1">
      <c r="A39" s="67" t="str">
        <f>INDEX({"Subtotal";"Subtotal"},Home!$R$30)</f>
        <v>Subtotal</v>
      </c>
      <c r="B39" s="92">
        <f t="shared" ref="B39:Y39" si="15">SUM(B30:B38)</f>
        <v>3048663.3149493276</v>
      </c>
      <c r="C39" s="92">
        <f t="shared" si="15"/>
        <v>2921274.5054249675</v>
      </c>
      <c r="D39" s="92">
        <f t="shared" si="15"/>
        <v>3222211.5533524179</v>
      </c>
      <c r="E39" s="92">
        <f t="shared" si="15"/>
        <v>3398630.0927499328</v>
      </c>
      <c r="F39" s="92">
        <f t="shared" si="15"/>
        <v>3354458.3365399996</v>
      </c>
      <c r="G39" s="92">
        <f t="shared" si="15"/>
        <v>3397142.5702200006</v>
      </c>
      <c r="H39" s="92">
        <f t="shared" si="15"/>
        <v>3821687.7396200006</v>
      </c>
      <c r="I39" s="92">
        <f t="shared" si="15"/>
        <v>4078484.3103600005</v>
      </c>
      <c r="J39" s="92">
        <f t="shared" si="15"/>
        <v>4493777.20995</v>
      </c>
      <c r="K39" s="92">
        <f t="shared" si="15"/>
        <v>4014827.1001299992</v>
      </c>
      <c r="L39" s="92">
        <f t="shared" si="15"/>
        <v>4190201.2686699992</v>
      </c>
      <c r="M39" s="92">
        <f t="shared" si="15"/>
        <v>4801304.0654099993</v>
      </c>
      <c r="N39" s="92">
        <f t="shared" si="15"/>
        <v>4764005.3417699989</v>
      </c>
      <c r="O39" s="92">
        <f t="shared" si="15"/>
        <v>4827509.2925000004</v>
      </c>
      <c r="P39" s="92">
        <f t="shared" si="15"/>
        <v>5155725.7964599999</v>
      </c>
      <c r="Q39" s="92">
        <f t="shared" si="15"/>
        <v>5896190.3371000001</v>
      </c>
      <c r="R39" s="92">
        <f t="shared" si="15"/>
        <v>5886656.7024800004</v>
      </c>
      <c r="S39" s="92">
        <f t="shared" si="15"/>
        <v>5696660.94826</v>
      </c>
      <c r="T39" s="92">
        <f t="shared" si="15"/>
        <v>6040543.0110799996</v>
      </c>
      <c r="U39" s="92">
        <f t="shared" si="15"/>
        <v>6367169.1424700003</v>
      </c>
      <c r="V39" s="92">
        <f t="shared" si="15"/>
        <v>7620314.8601000002</v>
      </c>
      <c r="W39" s="92">
        <f t="shared" si="15"/>
        <v>6956947.5475600017</v>
      </c>
      <c r="X39" s="92">
        <f t="shared" si="15"/>
        <v>7699922.7073399993</v>
      </c>
      <c r="Y39" s="92">
        <f t="shared" si="15"/>
        <v>8079498.1115300003</v>
      </c>
      <c r="Z39" s="92">
        <f>SUM(Z30:Z38)</f>
        <v>8386387.5580499982</v>
      </c>
      <c r="AA39" s="92">
        <f t="shared" ref="AA39:AB39" si="16">SUM(AA30:AA38)</f>
        <v>7900191.9689399991</v>
      </c>
      <c r="AB39" s="92">
        <f t="shared" si="16"/>
        <v>9298238.1548600011</v>
      </c>
      <c r="AC39" s="92">
        <f t="shared" ref="AC39" si="17">SUM(AC30:AC38)</f>
        <v>9194959.7107699998</v>
      </c>
      <c r="AD39" s="92">
        <f t="shared" ref="AD39:AG39" si="18">SUM(AD30:AD38)</f>
        <v>9960716.7620699983</v>
      </c>
      <c r="AE39" s="92">
        <f t="shared" si="18"/>
        <v>9685809.5676000006</v>
      </c>
      <c r="AF39" s="92">
        <f t="shared" si="18"/>
        <v>9990565.1843699999</v>
      </c>
      <c r="AG39" s="92">
        <f t="shared" si="18"/>
        <v>10317213.693140002</v>
      </c>
      <c r="AH39" s="92">
        <f t="shared" ref="AH39:AI39" si="19">SUM(AH30:AH38)</f>
        <v>10455551.395219998</v>
      </c>
      <c r="AI39" s="92">
        <f t="shared" si="19"/>
        <v>10135723.529070001</v>
      </c>
    </row>
    <row r="40" spans="1:35">
      <c r="A40" s="15"/>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row>
    <row r="41" spans="1:35">
      <c r="A41" s="16" t="str">
        <f>INDEX({"Não Circulante";"Non-current Liabilities"},Home!$R$30)</f>
        <v>Não Circulante</v>
      </c>
      <c r="B41" s="97"/>
      <c r="C41" s="97"/>
      <c r="D41" s="97"/>
      <c r="E41" s="97"/>
      <c r="F41" s="97"/>
      <c r="G41" s="97"/>
      <c r="H41" s="97"/>
      <c r="I41" s="97"/>
      <c r="J41" s="97"/>
      <c r="K41" s="97"/>
      <c r="L41" s="97"/>
      <c r="M41" s="97"/>
      <c r="N41" s="97"/>
      <c r="O41" s="97"/>
      <c r="P41" s="97"/>
      <c r="Q41" s="97"/>
      <c r="R41" s="97"/>
      <c r="S41" s="98"/>
      <c r="T41" s="98"/>
      <c r="U41" s="98"/>
      <c r="V41" s="98"/>
      <c r="W41" s="98"/>
      <c r="X41" s="98"/>
      <c r="Y41" s="98"/>
      <c r="Z41" s="98"/>
      <c r="AA41" s="98"/>
      <c r="AB41" s="98"/>
      <c r="AC41" s="98"/>
      <c r="AD41" s="98"/>
      <c r="AE41" s="98"/>
      <c r="AF41" s="98"/>
      <c r="AG41" s="98"/>
      <c r="AH41" s="98"/>
      <c r="AI41" s="98"/>
    </row>
    <row r="42" spans="1:35" s="25" customFormat="1">
      <c r="A42" s="17" t="str">
        <f>INDEX({"Empréstimos e Financiamentos";"Loans and Financing"},Home!$R$30)</f>
        <v>Empréstimos e Financiamentos</v>
      </c>
      <c r="B42" s="80">
        <v>387345.44309000002</v>
      </c>
      <c r="C42" s="80">
        <v>684375.58740999992</v>
      </c>
      <c r="D42" s="80">
        <v>665920.87176999997</v>
      </c>
      <c r="E42" s="80">
        <v>570211.05628000002</v>
      </c>
      <c r="F42" s="80">
        <v>797522.45001000003</v>
      </c>
      <c r="G42" s="80">
        <v>704966.29897</v>
      </c>
      <c r="H42" s="80">
        <v>989944.52298999997</v>
      </c>
      <c r="I42" s="80">
        <v>897815.18391999986</v>
      </c>
      <c r="J42" s="80">
        <v>879715.64113</v>
      </c>
      <c r="K42" s="80">
        <v>1191067.4017</v>
      </c>
      <c r="L42" s="80">
        <v>1195515.6059600001</v>
      </c>
      <c r="M42" s="80">
        <v>1122249.5689400001</v>
      </c>
      <c r="N42" s="80">
        <v>1426167.8971099998</v>
      </c>
      <c r="O42" s="80">
        <v>934331.79834999994</v>
      </c>
      <c r="P42" s="80">
        <v>934692.61352999997</v>
      </c>
      <c r="Q42" s="80">
        <v>891392.53367000003</v>
      </c>
      <c r="R42" s="80">
        <v>1635614.8427399998</v>
      </c>
      <c r="S42" s="80">
        <v>2141378.9182199999</v>
      </c>
      <c r="T42" s="80">
        <v>2130227.8744399999</v>
      </c>
      <c r="U42" s="80">
        <v>2131548.1336699999</v>
      </c>
      <c r="V42" s="80">
        <v>1832601.18429</v>
      </c>
      <c r="W42" s="80">
        <v>1833783.3422300001</v>
      </c>
      <c r="X42" s="80">
        <v>2523461.0106700002</v>
      </c>
      <c r="Y42" s="80">
        <v>2526101.7167399996</v>
      </c>
      <c r="Z42" s="80">
        <v>2527998.5803</v>
      </c>
      <c r="AA42" s="80">
        <v>3003280.0117899999</v>
      </c>
      <c r="AB42" s="80">
        <v>2655148.07766</v>
      </c>
      <c r="AC42" s="80">
        <v>2656820.0830100002</v>
      </c>
      <c r="AD42" s="80">
        <v>2408492.0884000002</v>
      </c>
      <c r="AE42" s="80">
        <v>2758637.87219</v>
      </c>
      <c r="AF42" s="80">
        <v>2760115.9586300002</v>
      </c>
      <c r="AG42" s="80">
        <v>3359617.5323800002</v>
      </c>
      <c r="AH42" s="80">
        <v>3236090.4150200002</v>
      </c>
      <c r="AI42" s="80">
        <v>3087383.4745999998</v>
      </c>
    </row>
    <row r="43" spans="1:35" s="25" customFormat="1">
      <c r="A43" s="17" t="str">
        <f>INDEX({"Arrendamentos Financeiros a Pagar";"Leases payable"},Home!$R$30)</f>
        <v>Arrendamentos Financeiros a Pagar</v>
      </c>
      <c r="B43" s="80">
        <v>2892044.5892964052</v>
      </c>
      <c r="C43" s="80">
        <v>2952503.9730373682</v>
      </c>
      <c r="D43" s="80">
        <v>3031662.1996955411</v>
      </c>
      <c r="E43" s="80">
        <v>2997338.9127109777</v>
      </c>
      <c r="F43" s="80">
        <v>3139043.9774199999</v>
      </c>
      <c r="G43" s="80">
        <v>3095336.2598999995</v>
      </c>
      <c r="H43" s="80">
        <v>3152811.0002700002</v>
      </c>
      <c r="I43" s="80">
        <v>2617988.1505099996</v>
      </c>
      <c r="J43" s="80">
        <v>2911690.39017</v>
      </c>
      <c r="K43" s="80">
        <v>2867921.25924</v>
      </c>
      <c r="L43" s="80">
        <v>2877753.15026</v>
      </c>
      <c r="M43" s="80">
        <v>2927606.8037100001</v>
      </c>
      <c r="N43" s="80">
        <v>2926132.7172900001</v>
      </c>
      <c r="O43" s="80">
        <v>2994664.1144500002</v>
      </c>
      <c r="P43" s="99">
        <v>2994108.7589400001</v>
      </c>
      <c r="Q43" s="99">
        <v>2973728.62004</v>
      </c>
      <c r="R43" s="99">
        <v>2943356.4418500001</v>
      </c>
      <c r="S43" s="99">
        <v>3014920.04348</v>
      </c>
      <c r="T43" s="99">
        <v>2992341.5148</v>
      </c>
      <c r="U43" s="99">
        <v>2980706.9916999997</v>
      </c>
      <c r="V43" s="99">
        <v>2966204.0076000001</v>
      </c>
      <c r="W43" s="99">
        <v>3059732.9483600003</v>
      </c>
      <c r="X43" s="99">
        <v>3079373.9316400001</v>
      </c>
      <c r="Y43" s="99">
        <v>3078294.8621</v>
      </c>
      <c r="Z43" s="99">
        <v>3226093.39787</v>
      </c>
      <c r="AA43" s="99">
        <v>3251557.6993199997</v>
      </c>
      <c r="AB43" s="99">
        <v>3347686.4829000002</v>
      </c>
      <c r="AC43" s="99">
        <v>3473492.4616600005</v>
      </c>
      <c r="AD43" s="99">
        <v>3578553.8982199999</v>
      </c>
      <c r="AE43" s="99">
        <v>3741689.9283699999</v>
      </c>
      <c r="AF43" s="99">
        <v>3857517.1042499999</v>
      </c>
      <c r="AG43" s="99">
        <v>3939887.3404899999</v>
      </c>
      <c r="AH43" s="99">
        <v>4014690.1095199999</v>
      </c>
      <c r="AI43" s="99">
        <v>4115072.5486900001</v>
      </c>
    </row>
    <row r="44" spans="1:35" s="25" customFormat="1">
      <c r="A44" s="17" t="str">
        <f>INDEX({"Provisão para Demandas Judiciais";"Provision for Lawsuits"},Home!$R$30)</f>
        <v>Provisão para Demandas Judiciais</v>
      </c>
      <c r="B44" s="80">
        <v>5972.7792199999994</v>
      </c>
      <c r="C44" s="80">
        <v>6090.3563200000008</v>
      </c>
      <c r="D44" s="80">
        <v>6439.4674899999982</v>
      </c>
      <c r="E44" s="80">
        <v>48876.938340000001</v>
      </c>
      <c r="F44" s="80">
        <v>44295.267850000004</v>
      </c>
      <c r="G44" s="80">
        <v>36990.208200000001</v>
      </c>
      <c r="H44" s="80">
        <v>60843.129829999998</v>
      </c>
      <c r="I44" s="80">
        <v>67113.964219999994</v>
      </c>
      <c r="J44" s="80">
        <v>69374.885699999999</v>
      </c>
      <c r="K44" s="80">
        <v>72545.051330000002</v>
      </c>
      <c r="L44" s="80">
        <v>70097.554400000008</v>
      </c>
      <c r="M44" s="80">
        <v>70821.763519999993</v>
      </c>
      <c r="N44" s="80">
        <v>68363.004249999998</v>
      </c>
      <c r="O44" s="80">
        <v>61137.721530000003</v>
      </c>
      <c r="P44" s="99">
        <v>54435.849289999998</v>
      </c>
      <c r="Q44" s="99">
        <v>53108.667079999999</v>
      </c>
      <c r="R44" s="99">
        <v>49857.137619999994</v>
      </c>
      <c r="S44" s="99">
        <v>52936.794780000004</v>
      </c>
      <c r="T44" s="99">
        <v>50206.953710000002</v>
      </c>
      <c r="U44" s="99">
        <v>55011.675830000007</v>
      </c>
      <c r="V44" s="99">
        <v>54644.840459999999</v>
      </c>
      <c r="W44" s="99">
        <v>57650.118929999997</v>
      </c>
      <c r="X44" s="99">
        <v>60653.096239999999</v>
      </c>
      <c r="Y44" s="99">
        <v>256234.30450999999</v>
      </c>
      <c r="Z44" s="99">
        <v>256092.45059999998</v>
      </c>
      <c r="AA44" s="99">
        <v>261940.39142000003</v>
      </c>
      <c r="AB44" s="99">
        <v>235310.27781999999</v>
      </c>
      <c r="AC44" s="99">
        <v>282059.12951999996</v>
      </c>
      <c r="AD44" s="99">
        <v>84144.74026000002</v>
      </c>
      <c r="AE44" s="99">
        <v>102132.98138999999</v>
      </c>
      <c r="AF44" s="99">
        <v>143283.26001</v>
      </c>
      <c r="AG44" s="99">
        <v>135298.36184</v>
      </c>
      <c r="AH44" s="99">
        <v>144588.24102000002</v>
      </c>
      <c r="AI44" s="99">
        <v>145180.95262999999</v>
      </c>
    </row>
    <row r="45" spans="1:35" s="25" customFormat="1">
      <c r="A45" s="17" t="str">
        <f>INDEX({"IR e Contribuição Social Diferidos";"Income Tax and Social Charges Deferred"},Home!$R$30)</f>
        <v>IR e Contribuição Social Diferidos</v>
      </c>
      <c r="B45" s="80">
        <v>237523.29841154083</v>
      </c>
      <c r="C45" s="80">
        <v>242699.39880535367</v>
      </c>
      <c r="D45" s="80">
        <v>238599.47407309728</v>
      </c>
      <c r="E45" s="80">
        <v>213725.11121051913</v>
      </c>
      <c r="F45" s="80">
        <v>237866.03847000003</v>
      </c>
      <c r="G45" s="80">
        <v>228520.22751999999</v>
      </c>
      <c r="H45" s="80">
        <v>166353.80030999999</v>
      </c>
      <c r="I45" s="80">
        <v>123985.86409999999</v>
      </c>
      <c r="J45" s="80">
        <v>129648.85045999997</v>
      </c>
      <c r="K45" s="80">
        <v>102242.45584999997</v>
      </c>
      <c r="L45" s="80">
        <v>90371.434139999983</v>
      </c>
      <c r="M45" s="80">
        <v>74428.067449999988</v>
      </c>
      <c r="N45" s="80">
        <v>75363.894680000041</v>
      </c>
      <c r="O45" s="80">
        <v>50810.523339999978</v>
      </c>
      <c r="P45" s="99">
        <v>24696.856580000021</v>
      </c>
      <c r="Q45" s="99">
        <v>89010.959679999956</v>
      </c>
      <c r="R45" s="99">
        <v>74383.224090000018</v>
      </c>
      <c r="S45" s="99">
        <v>48481.857740000021</v>
      </c>
      <c r="T45" s="99">
        <v>30540.619040000005</v>
      </c>
      <c r="U45" s="99">
        <v>17659.119899999991</v>
      </c>
      <c r="V45" s="99">
        <v>24656.196810000049</v>
      </c>
      <c r="W45" s="99">
        <v>6188.1142099999952</v>
      </c>
      <c r="X45" s="99">
        <v>0</v>
      </c>
      <c r="Y45" s="99">
        <v>0</v>
      </c>
      <c r="Z45" s="99">
        <v>0</v>
      </c>
      <c r="AA45" s="99">
        <v>0</v>
      </c>
      <c r="AB45" s="99">
        <v>0</v>
      </c>
      <c r="AC45" s="99">
        <v>0</v>
      </c>
      <c r="AD45" s="99">
        <v>0</v>
      </c>
      <c r="AE45" s="99">
        <v>0</v>
      </c>
      <c r="AF45" s="99">
        <v>0</v>
      </c>
      <c r="AG45" s="99">
        <v>0</v>
      </c>
      <c r="AH45" s="99">
        <v>0</v>
      </c>
      <c r="AI45" s="99">
        <v>0</v>
      </c>
    </row>
    <row r="46" spans="1:35" s="25" customFormat="1" ht="15" thickBot="1">
      <c r="A46" s="17" t="str">
        <f>INDEX({"Outras Obrigações";"Other Accounts Payable"},Home!$R$30)</f>
        <v>Outras Obrigações</v>
      </c>
      <c r="B46" s="80">
        <v>60147.609180000007</v>
      </c>
      <c r="C46" s="80">
        <v>61068.722499999996</v>
      </c>
      <c r="D46" s="80">
        <v>63599.463040000002</v>
      </c>
      <c r="E46" s="80">
        <v>46948.592550000001</v>
      </c>
      <c r="F46" s="80">
        <v>43072.488879999997</v>
      </c>
      <c r="G46" s="80">
        <v>44533.40223</v>
      </c>
      <c r="H46" s="80">
        <v>385336.08756999997</v>
      </c>
      <c r="I46" s="80">
        <v>386449.25682000001</v>
      </c>
      <c r="J46" s="80">
        <v>385539.61551999999</v>
      </c>
      <c r="K46" s="80">
        <v>389208.69481000002</v>
      </c>
      <c r="L46" s="80">
        <v>393572.62724999996</v>
      </c>
      <c r="M46" s="80">
        <v>406057.70073999994</v>
      </c>
      <c r="N46" s="80">
        <v>402597.19190999999</v>
      </c>
      <c r="O46" s="80">
        <v>452920.63127000013</v>
      </c>
      <c r="P46" s="99">
        <v>455037.99682000006</v>
      </c>
      <c r="Q46" s="99">
        <v>153272.92679999999</v>
      </c>
      <c r="R46" s="99">
        <v>151999.82105999999</v>
      </c>
      <c r="S46" s="99">
        <v>148964.22337999998</v>
      </c>
      <c r="T46" s="99">
        <v>170685.21675000002</v>
      </c>
      <c r="U46" s="99">
        <v>230271.77260999999</v>
      </c>
      <c r="V46" s="99">
        <v>227351.74637000001</v>
      </c>
      <c r="W46" s="99">
        <v>229414.41320000001</v>
      </c>
      <c r="X46" s="99">
        <v>228136.22923000003</v>
      </c>
      <c r="Y46" s="99">
        <v>125983.58009</v>
      </c>
      <c r="Z46" s="99">
        <v>110125.90906000001</v>
      </c>
      <c r="AA46" s="99">
        <v>98487.518830000001</v>
      </c>
      <c r="AB46" s="99">
        <v>103505.82136000002</v>
      </c>
      <c r="AC46" s="99">
        <v>109538.47776000001</v>
      </c>
      <c r="AD46" s="99">
        <v>100773.95836000002</v>
      </c>
      <c r="AE46" s="99">
        <v>77625.209740000006</v>
      </c>
      <c r="AF46" s="99">
        <v>64948.08716000001</v>
      </c>
      <c r="AG46" s="99">
        <v>82491.16719686141</v>
      </c>
      <c r="AH46" s="99">
        <v>80848.266476260964</v>
      </c>
      <c r="AI46" s="99">
        <v>48458.163192606895</v>
      </c>
    </row>
    <row r="47" spans="1:35" s="25" customFormat="1">
      <c r="A47" s="67" t="str">
        <f>INDEX({"Subtotal";"Subtotal"},Home!$R$30)</f>
        <v>Subtotal</v>
      </c>
      <c r="B47" s="92">
        <f t="shared" ref="B47:Y47" si="20">SUM(B42:B46)</f>
        <v>3583033.7191979461</v>
      </c>
      <c r="C47" s="92">
        <f t="shared" si="20"/>
        <v>3946738.0380727216</v>
      </c>
      <c r="D47" s="92">
        <f t="shared" si="20"/>
        <v>4006221.4760686383</v>
      </c>
      <c r="E47" s="92">
        <f t="shared" si="20"/>
        <v>3877100.6110914969</v>
      </c>
      <c r="F47" s="92">
        <f t="shared" si="20"/>
        <v>4261800.2226300007</v>
      </c>
      <c r="G47" s="92">
        <f t="shared" si="20"/>
        <v>4110346.3968199999</v>
      </c>
      <c r="H47" s="92">
        <f t="shared" si="20"/>
        <v>4755288.5409699995</v>
      </c>
      <c r="I47" s="92">
        <f t="shared" si="20"/>
        <v>4093352.419569999</v>
      </c>
      <c r="J47" s="92">
        <f t="shared" si="20"/>
        <v>4375969.3829800002</v>
      </c>
      <c r="K47" s="92">
        <f t="shared" si="20"/>
        <v>4622984.8629299998</v>
      </c>
      <c r="L47" s="92">
        <f t="shared" si="20"/>
        <v>4627310.3720099991</v>
      </c>
      <c r="M47" s="92">
        <f t="shared" si="20"/>
        <v>4601163.904360001</v>
      </c>
      <c r="N47" s="92">
        <f t="shared" si="20"/>
        <v>4898624.7052399991</v>
      </c>
      <c r="O47" s="92">
        <f t="shared" si="20"/>
        <v>4493864.7889400003</v>
      </c>
      <c r="P47" s="92">
        <f t="shared" si="20"/>
        <v>4462972.0751599995</v>
      </c>
      <c r="Q47" s="92">
        <f t="shared" si="20"/>
        <v>4160513.7072700001</v>
      </c>
      <c r="R47" s="92">
        <f t="shared" si="20"/>
        <v>4855211.4673600001</v>
      </c>
      <c r="S47" s="92">
        <f t="shared" si="20"/>
        <v>5406681.8376000002</v>
      </c>
      <c r="T47" s="92">
        <f t="shared" si="20"/>
        <v>5374002.1787400004</v>
      </c>
      <c r="U47" s="92">
        <f t="shared" si="20"/>
        <v>5415197.6937100003</v>
      </c>
      <c r="V47" s="92">
        <f t="shared" si="20"/>
        <v>5105457.9755299995</v>
      </c>
      <c r="W47" s="92">
        <f t="shared" si="20"/>
        <v>5186768.9369300008</v>
      </c>
      <c r="X47" s="92">
        <f t="shared" si="20"/>
        <v>5891624.2677799994</v>
      </c>
      <c r="Y47" s="92">
        <f t="shared" si="20"/>
        <v>5986614.4634400001</v>
      </c>
      <c r="Z47" s="92">
        <f>SUM(Z42:Z46)</f>
        <v>6120310.3378300006</v>
      </c>
      <c r="AA47" s="92">
        <f t="shared" ref="AA47:AB47" si="21">SUM(AA42:AA46)</f>
        <v>6615265.6213600002</v>
      </c>
      <c r="AB47" s="92">
        <f t="shared" si="21"/>
        <v>6341650.659740001</v>
      </c>
      <c r="AC47" s="92">
        <f t="shared" ref="AC47" si="22">SUM(AC42:AC46)</f>
        <v>6521910.1519500008</v>
      </c>
      <c r="AD47" s="92">
        <f t="shared" ref="AD47:AG47" si="23">SUM(AD42:AD46)</f>
        <v>6171964.6852399996</v>
      </c>
      <c r="AE47" s="92">
        <f t="shared" si="23"/>
        <v>6680085.9916899996</v>
      </c>
      <c r="AF47" s="92">
        <f t="shared" si="23"/>
        <v>6825864.4100500001</v>
      </c>
      <c r="AG47" s="92">
        <f t="shared" si="23"/>
        <v>7517294.4019068619</v>
      </c>
      <c r="AH47" s="92">
        <f t="shared" ref="AH47:AI47" si="24">SUM(AH42:AH46)</f>
        <v>7476217.0320362598</v>
      </c>
      <c r="AI47" s="92">
        <f t="shared" si="24"/>
        <v>7396095.1391126066</v>
      </c>
    </row>
    <row r="48" spans="1:35">
      <c r="A48" s="15"/>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row>
    <row r="49" spans="1:35">
      <c r="A49" s="16" t="str">
        <f>INDEX({"Patrimônio Líquido";"Equity"},Home!$R$30)</f>
        <v>Patrimônio Líquido</v>
      </c>
      <c r="B49" s="97"/>
      <c r="C49" s="97"/>
      <c r="D49" s="97"/>
      <c r="E49" s="97"/>
      <c r="F49" s="97"/>
      <c r="G49" s="97"/>
      <c r="H49" s="97"/>
      <c r="I49" s="97"/>
      <c r="J49" s="97"/>
      <c r="K49" s="97"/>
      <c r="L49" s="97"/>
      <c r="M49" s="97"/>
      <c r="N49" s="97"/>
      <c r="O49" s="97"/>
      <c r="P49" s="97"/>
      <c r="Q49" s="97"/>
      <c r="R49" s="97"/>
      <c r="S49" s="98"/>
      <c r="T49" s="98"/>
      <c r="U49" s="98"/>
      <c r="V49" s="98"/>
      <c r="W49" s="98"/>
      <c r="X49" s="98"/>
      <c r="Y49" s="98"/>
      <c r="Z49" s="98"/>
      <c r="AA49" s="98"/>
      <c r="AB49" s="98"/>
      <c r="AC49" s="98"/>
      <c r="AD49" s="98"/>
      <c r="AE49" s="98"/>
      <c r="AF49" s="98"/>
      <c r="AG49" s="98"/>
      <c r="AH49" s="98"/>
      <c r="AI49" s="98"/>
    </row>
    <row r="50" spans="1:35" s="25" customFormat="1">
      <c r="A50" s="17" t="str">
        <f>INDEX({"Capital Social";"Common Stock"},Home!$R$30)</f>
        <v>Capital Social</v>
      </c>
      <c r="B50" s="80">
        <v>1808639.2545699999</v>
      </c>
      <c r="C50" s="80">
        <v>1808639.2545699999</v>
      </c>
      <c r="D50" s="80">
        <v>1808639.2545699999</v>
      </c>
      <c r="E50" s="80">
        <v>1808639.2545699999</v>
      </c>
      <c r="F50" s="80">
        <v>1808639.2545699999</v>
      </c>
      <c r="G50" s="80">
        <v>2500000</v>
      </c>
      <c r="H50" s="80">
        <v>2500000</v>
      </c>
      <c r="I50" s="80">
        <v>2500000</v>
      </c>
      <c r="J50" s="80">
        <v>2500000</v>
      </c>
      <c r="K50" s="80">
        <v>2500000</v>
      </c>
      <c r="L50" s="80">
        <v>2500000</v>
      </c>
      <c r="M50" s="80">
        <v>2500000</v>
      </c>
      <c r="N50" s="80">
        <v>2500000</v>
      </c>
      <c r="O50" s="80">
        <v>2500000</v>
      </c>
      <c r="P50" s="80">
        <v>2500000</v>
      </c>
      <c r="Q50" s="80">
        <v>2500000</v>
      </c>
      <c r="R50" s="80">
        <v>2500000</v>
      </c>
      <c r="S50" s="80">
        <v>2500000</v>
      </c>
      <c r="T50" s="80">
        <v>2500000</v>
      </c>
      <c r="U50" s="80">
        <v>2500000</v>
      </c>
      <c r="V50" s="80">
        <v>2500000</v>
      </c>
      <c r="W50" s="80">
        <v>4000000</v>
      </c>
      <c r="X50" s="80">
        <v>4000000</v>
      </c>
      <c r="Y50" s="80">
        <v>4000000</v>
      </c>
      <c r="Z50" s="80">
        <v>4000000</v>
      </c>
      <c r="AA50" s="80">
        <v>4000000</v>
      </c>
      <c r="AB50" s="80">
        <v>4000000</v>
      </c>
      <c r="AC50" s="80">
        <v>4000000</v>
      </c>
      <c r="AD50" s="80">
        <v>4000000.0000000005</v>
      </c>
      <c r="AE50" s="80">
        <v>4000000</v>
      </c>
      <c r="AF50" s="80">
        <v>4000000.0000000005</v>
      </c>
      <c r="AG50" s="80">
        <v>4750000</v>
      </c>
      <c r="AH50" s="80">
        <v>4750000</v>
      </c>
      <c r="AI50" s="80">
        <v>4750000</v>
      </c>
    </row>
    <row r="51" spans="1:35" s="25" customFormat="1">
      <c r="A51" s="17" t="str">
        <f>INDEX({"Reservas de Capital";"Capital Reserves"},Home!$R$30)</f>
        <v>Reservas de Capital</v>
      </c>
      <c r="B51" s="80">
        <v>107490.11517</v>
      </c>
      <c r="C51" s="80">
        <v>110345.78024000001</v>
      </c>
      <c r="D51" s="80">
        <v>113517.77457000001</v>
      </c>
      <c r="E51" s="80">
        <v>116363.25140000001</v>
      </c>
      <c r="F51" s="80">
        <v>119551.95929000001</v>
      </c>
      <c r="G51" s="80">
        <v>122833.2117</v>
      </c>
      <c r="H51" s="80">
        <v>126572.45004000001</v>
      </c>
      <c r="I51" s="80">
        <v>129768.45095</v>
      </c>
      <c r="J51" s="80">
        <v>133213.37675</v>
      </c>
      <c r="K51" s="80">
        <v>137812.60282</v>
      </c>
      <c r="L51" s="80">
        <v>142880.23934999999</v>
      </c>
      <c r="M51" s="80">
        <v>148028.74849999999</v>
      </c>
      <c r="N51" s="80">
        <v>146824.28104</v>
      </c>
      <c r="O51" s="80">
        <v>152448.22496000002</v>
      </c>
      <c r="P51" s="80">
        <v>84567.090230000016</v>
      </c>
      <c r="Q51" s="80">
        <v>89914.142640000005</v>
      </c>
      <c r="R51" s="80">
        <v>88980.819589999999</v>
      </c>
      <c r="S51" s="80">
        <v>95407.007709999991</v>
      </c>
      <c r="T51" s="80">
        <v>105463.66503</v>
      </c>
      <c r="U51" s="80">
        <v>112761.55773999999</v>
      </c>
      <c r="V51" s="80">
        <v>115466.06898000001</v>
      </c>
      <c r="W51" s="80">
        <v>125745.61204000001</v>
      </c>
      <c r="X51" s="80">
        <v>136616.61649000001</v>
      </c>
      <c r="Y51" s="80">
        <v>146560.12138999999</v>
      </c>
      <c r="Z51" s="80">
        <v>145371.88894999999</v>
      </c>
      <c r="AA51" s="80">
        <v>157622.87044999999</v>
      </c>
      <c r="AB51" s="80">
        <v>168672.71186000001</v>
      </c>
      <c r="AC51" s="80">
        <v>111309.31422</v>
      </c>
      <c r="AD51" s="80">
        <v>117893.70410999999</v>
      </c>
      <c r="AE51" s="80">
        <v>131106.60804999998</v>
      </c>
      <c r="AF51" s="80">
        <v>125346.42239999998</v>
      </c>
      <c r="AG51" s="80">
        <v>139290.52901</v>
      </c>
      <c r="AH51" s="80">
        <v>149003.85319999998</v>
      </c>
      <c r="AI51" s="80">
        <v>159823.23319</v>
      </c>
    </row>
    <row r="52" spans="1:35" s="25" customFormat="1">
      <c r="A52" s="17" t="str">
        <f>INDEX({"Reserva de Reavaliação";"Revaluation Reserve"},Home!$R$30)</f>
        <v>Reserva de Reavaliação</v>
      </c>
      <c r="B52" s="80">
        <v>12152.895120000001</v>
      </c>
      <c r="C52" s="80">
        <v>12109.349789999998</v>
      </c>
      <c r="D52" s="80">
        <v>12065.804479999997</v>
      </c>
      <c r="E52" s="80">
        <v>12022.259100000001</v>
      </c>
      <c r="F52" s="80">
        <v>11978.713750000001</v>
      </c>
      <c r="G52" s="80">
        <v>11935.16842</v>
      </c>
      <c r="H52" s="80">
        <v>11891.623109999999</v>
      </c>
      <c r="I52" s="80">
        <v>11848.077710000001</v>
      </c>
      <c r="J52" s="80">
        <v>11805.151619999999</v>
      </c>
      <c r="K52" s="80">
        <v>11762.284529999999</v>
      </c>
      <c r="L52" s="80">
        <v>11719.417449999999</v>
      </c>
      <c r="M52" s="80">
        <v>11676.55033</v>
      </c>
      <c r="N52" s="80">
        <v>11635.370269999999</v>
      </c>
      <c r="O52" s="80">
        <v>11595.036050000001</v>
      </c>
      <c r="P52" s="80">
        <v>11554.701840000002</v>
      </c>
      <c r="Q52" s="80">
        <v>11514.36757</v>
      </c>
      <c r="R52" s="80">
        <v>11474.03333</v>
      </c>
      <c r="S52" s="80">
        <v>11433.69911</v>
      </c>
      <c r="T52" s="80">
        <v>11384.605439999999</v>
      </c>
      <c r="U52" s="80">
        <v>11353.03061</v>
      </c>
      <c r="V52" s="80">
        <v>11312.696300000001</v>
      </c>
      <c r="W52" s="80">
        <v>11273.30264</v>
      </c>
      <c r="X52" s="80">
        <v>11241.934130000001</v>
      </c>
      <c r="Y52" s="80">
        <v>11210.5656</v>
      </c>
      <c r="Z52" s="80">
        <v>11179.19706</v>
      </c>
      <c r="AA52" s="80">
        <v>11147.82857</v>
      </c>
      <c r="AB52" s="80">
        <v>11116.460050000002</v>
      </c>
      <c r="AC52" s="80">
        <v>11085.09153</v>
      </c>
      <c r="AD52" s="80">
        <v>11053.722989999998</v>
      </c>
      <c r="AE52" s="80">
        <v>11022.354499999998</v>
      </c>
      <c r="AF52" s="80">
        <v>10990.965980000001</v>
      </c>
      <c r="AG52" s="80">
        <v>10959.597519999999</v>
      </c>
      <c r="AH52" s="80">
        <v>10928.078460000001</v>
      </c>
      <c r="AI52" s="80">
        <v>10895.274220000001</v>
      </c>
    </row>
    <row r="53" spans="1:35" s="25" customFormat="1">
      <c r="A53" s="17" t="str">
        <f>INDEX({"Reservas de Lucros";"Income Reserves"},Home!$R$30)</f>
        <v>Reservas de Lucros</v>
      </c>
      <c r="B53" s="80">
        <v>1228148.65258</v>
      </c>
      <c r="C53" s="80">
        <v>1228148.65258</v>
      </c>
      <c r="D53" s="80">
        <v>1228148.65258</v>
      </c>
      <c r="E53" s="80">
        <v>1475422.4946168899</v>
      </c>
      <c r="F53" s="80">
        <v>1522073.2566600002</v>
      </c>
      <c r="G53" s="80">
        <v>830712.51123000006</v>
      </c>
      <c r="H53" s="80">
        <v>830712.51123000006</v>
      </c>
      <c r="I53" s="80">
        <v>1371983.2531099999</v>
      </c>
      <c r="J53" s="80">
        <v>1371983.2531099999</v>
      </c>
      <c r="K53" s="80">
        <v>1371983.2531099999</v>
      </c>
      <c r="L53" s="80">
        <v>1371983.2531099999</v>
      </c>
      <c r="M53" s="80">
        <v>1664171.5142000001</v>
      </c>
      <c r="N53" s="80">
        <v>1664171.5142000001</v>
      </c>
      <c r="O53" s="80">
        <v>1664171.5142000001</v>
      </c>
      <c r="P53" s="99">
        <v>1664171.5142000001</v>
      </c>
      <c r="Q53" s="99">
        <v>2050854.1669300003</v>
      </c>
      <c r="R53" s="99">
        <v>2050854.1669300005</v>
      </c>
      <c r="S53" s="99">
        <v>2050854.1669300005</v>
      </c>
      <c r="T53" s="99">
        <v>2050854.1669300005</v>
      </c>
      <c r="U53" s="99">
        <v>2549241.7916899999</v>
      </c>
      <c r="V53" s="99">
        <v>2549241.7916900003</v>
      </c>
      <c r="W53" s="99">
        <v>1049241.7916899999</v>
      </c>
      <c r="X53" s="99">
        <v>1049241.7916899999</v>
      </c>
      <c r="Y53" s="99">
        <v>1577369.9747199998</v>
      </c>
      <c r="Z53" s="99">
        <v>1577369.9747199998</v>
      </c>
      <c r="AA53" s="99">
        <v>1577369.9747199998</v>
      </c>
      <c r="AB53" s="99">
        <v>1577369.9747199998</v>
      </c>
      <c r="AC53" s="99">
        <v>2178201.2026200006</v>
      </c>
      <c r="AD53" s="99">
        <v>2178201.2026200001</v>
      </c>
      <c r="AE53" s="99">
        <v>2178201.2026200001</v>
      </c>
      <c r="AF53" s="99">
        <v>2178201.2026200001</v>
      </c>
      <c r="AG53" s="99">
        <v>2075725.7257099999</v>
      </c>
      <c r="AH53" s="99">
        <v>2075725.7257099999</v>
      </c>
      <c r="AI53" s="99">
        <v>2075725.7257099999</v>
      </c>
    </row>
    <row r="54" spans="1:35" s="25" customFormat="1">
      <c r="A54" s="17" t="str">
        <f>INDEX({"Lucros Acumulados";"Accrued Income"},Home!$R$30)</f>
        <v>Lucros Acumulados</v>
      </c>
      <c r="B54" s="80">
        <v>58228.041994168088</v>
      </c>
      <c r="C54" s="80">
        <v>131366.82016686344</v>
      </c>
      <c r="D54" s="80">
        <v>196712.14998130614</v>
      </c>
      <c r="E54" s="80">
        <v>0</v>
      </c>
      <c r="F54" s="80">
        <v>31546.079739999994</v>
      </c>
      <c r="G54" s="80">
        <v>116785.37879999999</v>
      </c>
      <c r="H54" s="80">
        <v>524168.10743000347</v>
      </c>
      <c r="I54" s="80">
        <v>3.4642871469259261E-9</v>
      </c>
      <c r="J54" s="80">
        <v>76363.34302</v>
      </c>
      <c r="K54" s="80">
        <v>72365.572140000004</v>
      </c>
      <c r="L54" s="80">
        <v>177134.94488999998</v>
      </c>
      <c r="M54" s="80">
        <v>0</v>
      </c>
      <c r="N54" s="80">
        <v>130336.78712000001</v>
      </c>
      <c r="O54" s="80">
        <v>333424.89551999996</v>
      </c>
      <c r="P54" s="99">
        <v>487997.26733999996</v>
      </c>
      <c r="Q54" s="99">
        <v>0</v>
      </c>
      <c r="R54" s="99">
        <v>74680.356066100008</v>
      </c>
      <c r="S54" s="99">
        <v>355874.64344050008</v>
      </c>
      <c r="T54" s="99">
        <v>381830.86625874991</v>
      </c>
      <c r="U54" s="99">
        <v>0</v>
      </c>
      <c r="V54" s="99">
        <v>112301.74107999998</v>
      </c>
      <c r="W54" s="99">
        <v>348862.56661000004</v>
      </c>
      <c r="X54" s="99">
        <v>521463.70241000003</v>
      </c>
      <c r="Y54" s="99">
        <v>0</v>
      </c>
      <c r="Z54" s="99">
        <v>118067.64599</v>
      </c>
      <c r="AA54" s="99">
        <v>367843.47147000005</v>
      </c>
      <c r="AB54" s="99">
        <v>482790.90577000001</v>
      </c>
      <c r="AC54" s="99">
        <v>0</v>
      </c>
      <c r="AD54" s="99">
        <v>45898.649229999959</v>
      </c>
      <c r="AE54" s="99">
        <v>288534.08699999988</v>
      </c>
      <c r="AF54" s="99">
        <v>617636.89892999979</v>
      </c>
      <c r="AG54" s="99">
        <v>0</v>
      </c>
      <c r="AH54" s="99">
        <v>8586.80475999999</v>
      </c>
      <c r="AI54" s="99">
        <v>231366.65168999997</v>
      </c>
    </row>
    <row r="55" spans="1:35" s="25" customFormat="1">
      <c r="A55" s="17" t="str">
        <f>INDEX({"Ajustes de Avaliação Patrimonial";"Equity Adjustments"},Home!$R$30)</f>
        <v>Ajustes de Avaliação Patrimonial</v>
      </c>
      <c r="B55" s="80">
        <v>-30230.295409999999</v>
      </c>
      <c r="C55" s="80">
        <v>-30230.295409999999</v>
      </c>
      <c r="D55" s="80">
        <v>-30230.295409999999</v>
      </c>
      <c r="E55" s="80">
        <v>-30230.295409999999</v>
      </c>
      <c r="F55" s="80">
        <v>-30230.295409999999</v>
      </c>
      <c r="G55" s="80">
        <v>-30230.295409999999</v>
      </c>
      <c r="H55" s="80">
        <v>-30230.295409999999</v>
      </c>
      <c r="I55" s="80">
        <v>-30230.295409999999</v>
      </c>
      <c r="J55" s="80">
        <v>-30230.295409999999</v>
      </c>
      <c r="K55" s="80">
        <v>-30230.295409999999</v>
      </c>
      <c r="L55" s="80">
        <v>-30230.295409999999</v>
      </c>
      <c r="M55" s="80">
        <v>-30230.295409999999</v>
      </c>
      <c r="N55" s="80">
        <v>-30230.295409999999</v>
      </c>
      <c r="O55" s="80">
        <v>3820.8615800000002</v>
      </c>
      <c r="P55" s="99">
        <v>3820.8615800000002</v>
      </c>
      <c r="Q55" s="99">
        <v>3261.15398</v>
      </c>
      <c r="R55" s="99">
        <v>3261.15398</v>
      </c>
      <c r="S55" s="99">
        <v>613.30775000000006</v>
      </c>
      <c r="T55" s="99">
        <v>3261.15398</v>
      </c>
      <c r="U55" s="99">
        <v>-22.23798</v>
      </c>
      <c r="V55" s="99">
        <v>2808.8580499999998</v>
      </c>
      <c r="W55" s="99">
        <v>-3147.93093</v>
      </c>
      <c r="X55" s="99">
        <v>3261.15398</v>
      </c>
      <c r="Y55" s="99">
        <v>3261.15398</v>
      </c>
      <c r="Z55" s="99">
        <v>2059.29214</v>
      </c>
      <c r="AA55" s="99">
        <v>62571.150529999999</v>
      </c>
      <c r="AB55" s="99">
        <v>62688.002479999996</v>
      </c>
      <c r="AC55" s="99">
        <v>62968.916669999999</v>
      </c>
      <c r="AD55" s="99">
        <v>62968.916669999999</v>
      </c>
      <c r="AE55" s="99">
        <v>62968.916669999999</v>
      </c>
      <c r="AF55" s="99">
        <v>62968.916669999999</v>
      </c>
      <c r="AG55" s="99">
        <v>62968.916669999999</v>
      </c>
      <c r="AH55" s="99">
        <v>62968.916669999999</v>
      </c>
      <c r="AI55" s="99">
        <v>62968.916669999999</v>
      </c>
    </row>
    <row r="56" spans="1:35" s="25" customFormat="1">
      <c r="A56" s="17" t="str">
        <f>INDEX({"Participação de Não Controladores";"Non Controller Interest"},Home!$R$30)</f>
        <v>Participação de Não Controladores</v>
      </c>
      <c r="B56" s="80">
        <v>28192.69055727273</v>
      </c>
      <c r="C56" s="80">
        <v>29383.238617272727</v>
      </c>
      <c r="D56" s="80">
        <v>30449.84312272727</v>
      </c>
      <c r="E56" s="80">
        <v>34883.943472727275</v>
      </c>
      <c r="F56" s="80">
        <v>36887.941392727276</v>
      </c>
      <c r="G56" s="80">
        <v>39188.99915272728</v>
      </c>
      <c r="H56" s="80">
        <v>42434.908282727272</v>
      </c>
      <c r="I56" s="80">
        <v>51406.087482727271</v>
      </c>
      <c r="J56" s="80">
        <v>52121.895352727275</v>
      </c>
      <c r="K56" s="80">
        <v>53663.030392727276</v>
      </c>
      <c r="L56" s="80">
        <v>53951.447772727275</v>
      </c>
      <c r="M56" s="80">
        <v>62495.166092727275</v>
      </c>
      <c r="N56" s="80">
        <v>64428.148812727275</v>
      </c>
      <c r="O56" s="80">
        <v>31429.063429999998</v>
      </c>
      <c r="P56" s="99">
        <v>35375.411249999997</v>
      </c>
      <c r="Q56" s="99">
        <v>41129.25044582499</v>
      </c>
      <c r="R56" s="99">
        <v>43544.606165449994</v>
      </c>
      <c r="S56" s="99">
        <v>51272.916254474992</v>
      </c>
      <c r="T56" s="99">
        <v>56129.592688749988</v>
      </c>
      <c r="U56" s="99">
        <v>62078.989539999995</v>
      </c>
      <c r="V56" s="99">
        <v>64993.620419999999</v>
      </c>
      <c r="W56" s="99">
        <v>69743.146539999987</v>
      </c>
      <c r="X56" s="99">
        <v>73160.905899999998</v>
      </c>
      <c r="Y56" s="99">
        <v>72299.811359999992</v>
      </c>
      <c r="Z56" s="99">
        <v>73309.436629999997</v>
      </c>
      <c r="AA56" s="99">
        <v>13510.777910000001</v>
      </c>
      <c r="AB56" s="99">
        <v>13468.73314</v>
      </c>
      <c r="AC56" s="99">
        <v>13426.687109999999</v>
      </c>
      <c r="AD56" s="99">
        <v>14659.184839999998</v>
      </c>
      <c r="AE56" s="99">
        <v>14741.456970000001</v>
      </c>
      <c r="AF56" s="99">
        <v>14232.86241</v>
      </c>
      <c r="AG56" s="99">
        <v>13838.60289</v>
      </c>
      <c r="AH56" s="99">
        <v>0</v>
      </c>
      <c r="AI56" s="99">
        <v>0</v>
      </c>
    </row>
    <row r="57" spans="1:35" s="25" customFormat="1" ht="15" thickBot="1">
      <c r="A57" s="17" t="str">
        <f>INDEX({"Dividendo Adicional Proposto";"Additional Dividend Proposed"},Home!$R$30)</f>
        <v>Dividendo Adicional Proposto</v>
      </c>
      <c r="B57" s="80">
        <v>0</v>
      </c>
      <c r="C57" s="80">
        <v>0</v>
      </c>
      <c r="D57" s="80">
        <v>0</v>
      </c>
      <c r="E57" s="80">
        <v>70989.787159999993</v>
      </c>
      <c r="F57" s="80">
        <v>70989.787159999993</v>
      </c>
      <c r="G57" s="80">
        <v>0</v>
      </c>
      <c r="H57" s="80">
        <v>0</v>
      </c>
      <c r="I57" s="80">
        <v>41643.092479999999</v>
      </c>
      <c r="J57" s="80">
        <v>41643.092479999999</v>
      </c>
      <c r="K57" s="80">
        <v>0</v>
      </c>
      <c r="L57" s="80">
        <v>0</v>
      </c>
      <c r="M57" s="80">
        <v>69478.136790000004</v>
      </c>
      <c r="N57" s="80">
        <v>0</v>
      </c>
      <c r="O57" s="80">
        <v>0</v>
      </c>
      <c r="P57" s="80">
        <v>0</v>
      </c>
      <c r="Q57" s="80">
        <v>22129.13221</v>
      </c>
      <c r="R57" s="80">
        <v>22129.13221</v>
      </c>
      <c r="S57" s="80">
        <v>0</v>
      </c>
      <c r="T57" s="80">
        <v>0</v>
      </c>
      <c r="U57" s="80">
        <v>167526.41464999999</v>
      </c>
      <c r="V57" s="80">
        <v>167526.41464999999</v>
      </c>
      <c r="W57" s="80">
        <v>0</v>
      </c>
      <c r="X57" s="80">
        <v>0</v>
      </c>
      <c r="Y57" s="80">
        <v>217597.88268000001</v>
      </c>
      <c r="Z57" s="80">
        <v>217597.88268000001</v>
      </c>
      <c r="AA57" s="80">
        <v>0</v>
      </c>
      <c r="AB57" s="80">
        <v>0</v>
      </c>
      <c r="AC57" s="80">
        <v>69895.383950000003</v>
      </c>
      <c r="AD57" s="80">
        <v>69895.383950000003</v>
      </c>
      <c r="AE57" s="80">
        <v>0</v>
      </c>
      <c r="AF57" s="80">
        <v>0</v>
      </c>
      <c r="AG57" s="80">
        <v>283183.78267000004</v>
      </c>
      <c r="AH57" s="80">
        <v>283183.78267000004</v>
      </c>
      <c r="AI57" s="99">
        <v>0</v>
      </c>
    </row>
    <row r="58" spans="1:35" s="25" customFormat="1">
      <c r="A58" s="67" t="str">
        <f>INDEX({"Subtotal";"Subtotal"},Home!$R$30)</f>
        <v>Subtotal</v>
      </c>
      <c r="B58" s="92">
        <f t="shared" ref="B58:Y58" si="25">SUM(B50:B57)</f>
        <v>3212621.3545814408</v>
      </c>
      <c r="C58" s="92">
        <f t="shared" si="25"/>
        <v>3289762.8005541363</v>
      </c>
      <c r="D58" s="92">
        <f t="shared" si="25"/>
        <v>3359303.1838940331</v>
      </c>
      <c r="E58" s="92">
        <f t="shared" si="25"/>
        <v>3488090.6949096168</v>
      </c>
      <c r="F58" s="92">
        <f t="shared" si="25"/>
        <v>3571436.6971527273</v>
      </c>
      <c r="G58" s="92">
        <f t="shared" si="25"/>
        <v>3591224.9738927279</v>
      </c>
      <c r="H58" s="92">
        <f t="shared" si="25"/>
        <v>4005549.3046827312</v>
      </c>
      <c r="I58" s="92">
        <f t="shared" si="25"/>
        <v>4076418.6663227305</v>
      </c>
      <c r="J58" s="92">
        <f t="shared" si="25"/>
        <v>4156899.8169227275</v>
      </c>
      <c r="K58" s="92">
        <f t="shared" si="25"/>
        <v>4117356.4475827273</v>
      </c>
      <c r="L58" s="92">
        <f t="shared" si="25"/>
        <v>4227439.0071627274</v>
      </c>
      <c r="M58" s="92">
        <f t="shared" si="25"/>
        <v>4425619.8205027273</v>
      </c>
      <c r="N58" s="92">
        <f t="shared" si="25"/>
        <v>4487165.8060327275</v>
      </c>
      <c r="O58" s="92">
        <f t="shared" si="25"/>
        <v>4696889.5957400007</v>
      </c>
      <c r="P58" s="92">
        <f t="shared" si="25"/>
        <v>4787486.8464400005</v>
      </c>
      <c r="Q58" s="92">
        <f t="shared" si="25"/>
        <v>4718802.2137758257</v>
      </c>
      <c r="R58" s="92">
        <f t="shared" si="25"/>
        <v>4794924.2682715515</v>
      </c>
      <c r="S58" s="92">
        <f t="shared" si="25"/>
        <v>5065455.7411949746</v>
      </c>
      <c r="T58" s="92">
        <f t="shared" si="25"/>
        <v>5108924.0503274994</v>
      </c>
      <c r="U58" s="92">
        <f t="shared" si="25"/>
        <v>5402939.5462499997</v>
      </c>
      <c r="V58" s="92">
        <f t="shared" si="25"/>
        <v>5523651.1911699995</v>
      </c>
      <c r="W58" s="92">
        <f t="shared" si="25"/>
        <v>5601718.4885900002</v>
      </c>
      <c r="X58" s="92">
        <f t="shared" si="25"/>
        <v>5794986.1046000002</v>
      </c>
      <c r="Y58" s="92">
        <f t="shared" si="25"/>
        <v>6028299.5097299991</v>
      </c>
      <c r="Z58" s="92">
        <f t="shared" ref="Z58:AC58" si="26">SUM(Z50:Z57)</f>
        <v>6144955.3181699999</v>
      </c>
      <c r="AA58" s="92">
        <f t="shared" si="26"/>
        <v>6190066.0736499997</v>
      </c>
      <c r="AB58" s="92">
        <f t="shared" si="26"/>
        <v>6316106.7880200008</v>
      </c>
      <c r="AC58" s="92">
        <f t="shared" si="26"/>
        <v>6446886.5961000007</v>
      </c>
      <c r="AD58" s="92">
        <f t="shared" ref="AD58:AG58" si="27">SUM(AD50:AD57)</f>
        <v>6500570.7644100003</v>
      </c>
      <c r="AE58" s="92">
        <f t="shared" si="27"/>
        <v>6686574.6258100001</v>
      </c>
      <c r="AF58" s="92">
        <f t="shared" si="27"/>
        <v>7009377.2690099999</v>
      </c>
      <c r="AG58" s="92">
        <f t="shared" si="27"/>
        <v>7335967.1544699995</v>
      </c>
      <c r="AH58" s="92">
        <f t="shared" ref="AH58:AI58" si="28">SUM(AH50:AH57)</f>
        <v>7340397.1614699997</v>
      </c>
      <c r="AI58" s="92">
        <f t="shared" si="28"/>
        <v>7290779.8014799999</v>
      </c>
    </row>
    <row r="59" spans="1:35">
      <c r="A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row>
    <row r="61" spans="1:35">
      <c r="B61" s="22"/>
      <c r="C61" s="22"/>
      <c r="D61" s="22"/>
      <c r="E61" s="22"/>
      <c r="F61" s="22"/>
      <c r="G61" s="22"/>
      <c r="H61" s="22"/>
      <c r="I61" s="22"/>
      <c r="J61" s="22"/>
      <c r="K61" s="22"/>
    </row>
    <row r="62" spans="1:35">
      <c r="B62" s="22"/>
      <c r="C62" s="22"/>
      <c r="D62" s="22"/>
      <c r="E62" s="22"/>
      <c r="F62" s="22"/>
      <c r="G62" s="22"/>
      <c r="H62" s="22"/>
      <c r="I62" s="22"/>
      <c r="J62" s="22"/>
      <c r="K62" s="22"/>
    </row>
    <row r="63" spans="1:35">
      <c r="B63" s="22"/>
      <c r="C63" s="22"/>
      <c r="D63" s="22"/>
      <c r="E63" s="22"/>
      <c r="F63" s="22"/>
      <c r="G63" s="22"/>
      <c r="H63" s="22"/>
      <c r="I63" s="22"/>
      <c r="J63" s="22"/>
      <c r="K63" s="22"/>
    </row>
    <row r="64" spans="1:35">
      <c r="B64" s="22"/>
      <c r="C64" s="22"/>
      <c r="D64" s="22"/>
      <c r="E64" s="22"/>
      <c r="F64" s="22"/>
      <c r="G64" s="22"/>
      <c r="H64" s="22"/>
      <c r="I64" s="22"/>
      <c r="J64" s="22"/>
      <c r="K64" s="22"/>
    </row>
  </sheetData>
  <pageMargins left="0.78740157499999996" right="0.78740157499999996" top="0.984251969" bottom="0.984251969" header="0.4921259845" footer="0.4921259845"/>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5D1C3"/>
  </sheetPr>
  <dimension ref="A1:BE69"/>
  <sheetViews>
    <sheetView showGridLines="0" zoomScale="85" zoomScaleNormal="85" workbookViewId="0">
      <pane xSplit="1" ySplit="1" topLeftCell="B2" activePane="bottomRight" state="frozen"/>
      <selection activeCell="AD27" sqref="AD27"/>
      <selection pane="topRight" activeCell="AD27" sqref="AD27"/>
      <selection pane="bottomLeft" activeCell="AD27" sqref="AD27"/>
      <selection pane="bottomRight" activeCell="B2" sqref="B2"/>
    </sheetView>
  </sheetViews>
  <sheetFormatPr defaultColWidth="10.6328125" defaultRowHeight="14.5"/>
  <cols>
    <col min="1" max="1" width="56.453125" style="21" customWidth="1"/>
    <col min="2" max="2" width="10.6328125" style="15" customWidth="1"/>
    <col min="3" max="7" width="10.6328125" style="15"/>
    <col min="8" max="31" width="10.6328125" style="21"/>
    <col min="32" max="16384" width="10.6328125" style="15"/>
  </cols>
  <sheetData>
    <row r="1" spans="1:57" s="14" customFormat="1" ht="20" customHeight="1" thickBot="1">
      <c r="A1" s="61" t="str">
        <f>INDEX({"Fluxo de Caixa IFRS 16 (R$ mil)";"Cash Flow Statement IFRS 16 (R$ thousands)"},Home!$R$30)</f>
        <v>Fluxo de Caixa IFRS 16 (R$ mil)</v>
      </c>
      <c r="B1" s="70" t="str">
        <f>INDEX({"1T19";"1Q19"},Home!$R$30)</f>
        <v>1T19</v>
      </c>
      <c r="C1" s="70" t="str">
        <f>INDEX({"2T19";"2Q19"},Home!$R$30)</f>
        <v>2T19</v>
      </c>
      <c r="D1" s="70" t="str">
        <f>INDEX({"3T19";"3Q19"},Home!$R$30)</f>
        <v>3T19</v>
      </c>
      <c r="E1" s="70" t="str">
        <f>INDEX({"4T19";"4Q19"},Home!$R$30)</f>
        <v>4T19</v>
      </c>
      <c r="F1" s="70" t="str">
        <f>INDEX({"1T20";"1Q20"},Home!$R$30)</f>
        <v>1T20</v>
      </c>
      <c r="G1" s="70" t="str">
        <f>INDEX({"2T20";"2Q20"},Home!$R$30)</f>
        <v>2T20</v>
      </c>
      <c r="H1" s="70" t="str">
        <f>INDEX({"3T20";"3Q20"},Home!$R$30)</f>
        <v>3T20</v>
      </c>
      <c r="I1" s="70" t="str">
        <f>INDEX({"4T20";"4Q20"},Home!$R$30)</f>
        <v>4T20</v>
      </c>
      <c r="J1" s="70" t="str">
        <f>INDEX({"1T21";"1Q21"},Home!$R$30)</f>
        <v>1T21</v>
      </c>
      <c r="K1" s="70" t="str">
        <f>INDEX({"2T21";"2Q21"},Home!$R$30)</f>
        <v>2T21</v>
      </c>
      <c r="L1" s="70" t="str">
        <f>INDEX({"3T21";"3Q21"},Home!$R$30)</f>
        <v>3T21</v>
      </c>
      <c r="M1" s="70" t="str">
        <f>INDEX({"4T21";"4Q21"},Home!$R$30)</f>
        <v>4T21</v>
      </c>
      <c r="N1" s="70" t="str">
        <f>INDEX({"1T22";"1Q22"},Home!$R$30)</f>
        <v>1T22</v>
      </c>
      <c r="O1" s="70" t="str">
        <f>INDEX({"2T22";"2Q22"},Home!$R$30)</f>
        <v>2T22</v>
      </c>
      <c r="P1" s="70" t="str">
        <f>INDEX({"3T22";"3Q22"},Home!$R$30)</f>
        <v>3T22</v>
      </c>
      <c r="Q1" s="70" t="str">
        <f>INDEX({"4T22";"4Q22"},Home!$R$30)</f>
        <v>4T22</v>
      </c>
      <c r="R1" s="70" t="str">
        <f>INDEX({"1T23";"1Q23"},Home!$R$30)</f>
        <v>1T23</v>
      </c>
      <c r="S1" s="70" t="str">
        <f>INDEX({"2T23";"2Q23"},Home!$R$30)</f>
        <v>2T23</v>
      </c>
      <c r="T1" s="70" t="str">
        <f>INDEX({"3T23";"3Q23"},Home!$R$30)</f>
        <v>3T23</v>
      </c>
      <c r="U1" s="70" t="str">
        <f>INDEX({"4T23";"4Q23"},Home!$R$30)</f>
        <v>4T23</v>
      </c>
      <c r="V1" s="70" t="str">
        <f>INDEX({"1T24";"1Q24"},Home!$R$30)</f>
        <v>1T24</v>
      </c>
      <c r="W1" s="70" t="str">
        <f>INDEX({"2T24";"2Q24"},Home!$R$30)</f>
        <v>2T24</v>
      </c>
      <c r="X1" s="70" t="str">
        <f>INDEX({"3T24";"3Q24"},Home!$R$30)</f>
        <v>3T24</v>
      </c>
      <c r="Y1" s="70" t="str">
        <f>INDEX({"4T24";"4Q24"},Home!$R$30)</f>
        <v>4T24</v>
      </c>
      <c r="Z1" s="70" t="str">
        <f>INDEX({"1T25";"1Q25"},Home!$R$30)</f>
        <v>1T25</v>
      </c>
      <c r="AA1" s="70" t="str">
        <f>INDEX({"2T25";"2Q25"},Home!$R$30)</f>
        <v>2T25</v>
      </c>
      <c r="AB1" s="70" t="str">
        <f>INDEX({"3T25";"3Q25"},Home!$R$30)</f>
        <v>3T25</v>
      </c>
      <c r="AC1" s="70" t="str">
        <f>INDEX({"4T25";"4Q25"},Home!$R$30)</f>
        <v>4T25</v>
      </c>
      <c r="AD1" s="70" t="str">
        <f>INDEX({"1T26";"1Q26"},Home!$R$30)</f>
        <v>1T26</v>
      </c>
      <c r="AE1" s="70" t="str">
        <f>INDEX({"2T26";"2Q26"},Home!$R$30)</f>
        <v>2T26</v>
      </c>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row>
    <row r="2" spans="1:57">
      <c r="A2" s="15"/>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row>
    <row r="3" spans="1:57">
      <c r="A3" s="13" t="str">
        <f>INDEX({"Lucro antes do Imposto de Renda e da Contribuição Social";"Earnings before Income Tax and Social Charges"},Home!$R$30)</f>
        <v>Lucro antes do Imposto de Renda e da Contribuição Social</v>
      </c>
      <c r="B3" s="86">
        <v>101130</v>
      </c>
      <c r="C3" s="86">
        <v>176384.02977999975</v>
      </c>
      <c r="D3" s="86">
        <v>423677.97022000025</v>
      </c>
      <c r="E3" s="86">
        <v>82975</v>
      </c>
      <c r="F3" s="86">
        <v>167599</v>
      </c>
      <c r="G3" s="86">
        <v>49244</v>
      </c>
      <c r="H3" s="86">
        <v>202264</v>
      </c>
      <c r="I3" s="86">
        <v>197261</v>
      </c>
      <c r="J3" s="86">
        <v>245559</v>
      </c>
      <c r="K3" s="86">
        <v>351262</v>
      </c>
      <c r="L3" s="86">
        <v>225516</v>
      </c>
      <c r="M3" s="86">
        <v>164925</v>
      </c>
      <c r="N3" s="86">
        <v>140434</v>
      </c>
      <c r="O3" s="86">
        <v>487708</v>
      </c>
      <c r="P3" s="86">
        <v>272271</v>
      </c>
      <c r="Q3" s="86">
        <v>292796</v>
      </c>
      <c r="R3" s="86">
        <v>203535</v>
      </c>
      <c r="S3" s="86">
        <v>416353</v>
      </c>
      <c r="T3" s="86">
        <v>301641</v>
      </c>
      <c r="U3" s="86">
        <v>295164</v>
      </c>
      <c r="V3" s="86">
        <v>280053</v>
      </c>
      <c r="W3" s="86">
        <v>415904</v>
      </c>
      <c r="X3" s="86">
        <v>440875</v>
      </c>
      <c r="Y3" s="86">
        <v>282162</v>
      </c>
      <c r="Z3" s="86">
        <v>200399</v>
      </c>
      <c r="AA3" s="86">
        <v>399925</v>
      </c>
      <c r="AB3" s="86">
        <v>545360</v>
      </c>
      <c r="AC3" s="86">
        <v>302371</v>
      </c>
      <c r="AD3" s="86">
        <v>126799</v>
      </c>
      <c r="AE3" s="86">
        <v>530338</v>
      </c>
    </row>
    <row r="4" spans="1:57">
      <c r="A4" s="15"/>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row>
    <row r="5" spans="1:57">
      <c r="A5" s="16" t="str">
        <f>INDEX({"Ajustes";"Adjustments"},Home!$R$30)</f>
        <v>Ajustes</v>
      </c>
      <c r="B5" s="103"/>
      <c r="C5" s="103"/>
      <c r="D5" s="103"/>
      <c r="E5" s="103"/>
      <c r="F5" s="103"/>
      <c r="G5" s="103"/>
      <c r="H5" s="103"/>
      <c r="I5" s="103"/>
      <c r="J5" s="103"/>
      <c r="K5" s="103"/>
      <c r="L5" s="103"/>
      <c r="M5" s="103"/>
      <c r="N5" s="103"/>
      <c r="O5" s="104"/>
      <c r="P5" s="104"/>
      <c r="Q5" s="104"/>
      <c r="R5" s="104"/>
      <c r="S5" s="104"/>
      <c r="T5" s="104"/>
      <c r="U5" s="104"/>
      <c r="V5" s="104"/>
      <c r="W5" s="104"/>
      <c r="X5" s="104"/>
      <c r="Y5" s="104"/>
      <c r="Z5" s="104"/>
      <c r="AA5" s="104"/>
      <c r="AB5" s="104"/>
      <c r="AC5" s="104"/>
      <c r="AD5" s="104"/>
      <c r="AE5" s="104"/>
    </row>
    <row r="6" spans="1:57" s="25" customFormat="1">
      <c r="A6" s="17" t="str">
        <f>INDEX({"Depreciações e amortizações";"Depreciation and Amortization"},Home!$R$30)</f>
        <v>Depreciações e amortizações</v>
      </c>
      <c r="B6" s="80">
        <v>253979</v>
      </c>
      <c r="C6" s="80">
        <v>265709.40356999997</v>
      </c>
      <c r="D6" s="80">
        <v>283526.59643000003</v>
      </c>
      <c r="E6" s="80">
        <v>237818</v>
      </c>
      <c r="F6" s="80">
        <v>285238</v>
      </c>
      <c r="G6" s="80">
        <v>281567</v>
      </c>
      <c r="H6" s="80">
        <v>272613</v>
      </c>
      <c r="I6" s="80">
        <v>309409</v>
      </c>
      <c r="J6" s="99">
        <v>309972</v>
      </c>
      <c r="K6" s="99">
        <v>319935</v>
      </c>
      <c r="L6" s="99">
        <v>338334</v>
      </c>
      <c r="M6" s="99">
        <v>358869</v>
      </c>
      <c r="N6" s="99">
        <v>363189</v>
      </c>
      <c r="O6" s="99">
        <v>372707</v>
      </c>
      <c r="P6" s="99">
        <v>381224</v>
      </c>
      <c r="Q6" s="99">
        <v>398418</v>
      </c>
      <c r="R6" s="99">
        <v>406557</v>
      </c>
      <c r="S6" s="99">
        <v>424960</v>
      </c>
      <c r="T6" s="99">
        <v>451098</v>
      </c>
      <c r="U6" s="99">
        <v>424681</v>
      </c>
      <c r="V6" s="99">
        <v>447704</v>
      </c>
      <c r="W6" s="99">
        <v>459903</v>
      </c>
      <c r="X6" s="99">
        <v>479167</v>
      </c>
      <c r="Y6" s="99">
        <v>465118</v>
      </c>
      <c r="Z6" s="99">
        <v>497164</v>
      </c>
      <c r="AA6" s="99">
        <v>504296</v>
      </c>
      <c r="AB6" s="99">
        <v>515472</v>
      </c>
      <c r="AC6" s="99">
        <v>557847</v>
      </c>
      <c r="AD6" s="99">
        <v>562906</v>
      </c>
      <c r="AE6" s="99">
        <v>527919</v>
      </c>
    </row>
    <row r="7" spans="1:57" s="25" customFormat="1">
      <c r="A7" s="17" t="str">
        <f>INDEX({"Plano de remuneração com ações restritas, líquido";"Compensation plan with restricted shares, net"},Home!$R$30)</f>
        <v>Plano de remuneração com ações restritas, líquido</v>
      </c>
      <c r="B7" s="80">
        <v>3130</v>
      </c>
      <c r="C7" s="80">
        <v>3320</v>
      </c>
      <c r="D7" s="80">
        <v>3766</v>
      </c>
      <c r="E7" s="80">
        <v>3224</v>
      </c>
      <c r="F7" s="80">
        <v>3477</v>
      </c>
      <c r="G7" s="80">
        <v>4533</v>
      </c>
      <c r="H7" s="80">
        <v>4973</v>
      </c>
      <c r="I7" s="80">
        <v>5107</v>
      </c>
      <c r="J7" s="99">
        <v>-1247</v>
      </c>
      <c r="K7" s="99">
        <v>5583</v>
      </c>
      <c r="L7" s="99">
        <v>5307</v>
      </c>
      <c r="M7" s="99">
        <v>5470</v>
      </c>
      <c r="N7" s="99">
        <v>-933</v>
      </c>
      <c r="O7" s="99">
        <v>6426</v>
      </c>
      <c r="P7" s="99">
        <v>9813</v>
      </c>
      <c r="Q7" s="99">
        <v>7298</v>
      </c>
      <c r="R7" s="99">
        <v>2598</v>
      </c>
      <c r="S7" s="99">
        <v>9803</v>
      </c>
      <c r="T7" s="99">
        <v>10871</v>
      </c>
      <c r="U7" s="99">
        <v>9943</v>
      </c>
      <c r="V7" s="99">
        <v>-1708</v>
      </c>
      <c r="W7" s="99">
        <v>11713</v>
      </c>
      <c r="X7" s="99">
        <v>11050</v>
      </c>
      <c r="Y7" s="99">
        <v>16979</v>
      </c>
      <c r="Z7" s="99">
        <v>6585</v>
      </c>
      <c r="AA7" s="99">
        <v>13213</v>
      </c>
      <c r="AB7" s="99">
        <v>-5761</v>
      </c>
      <c r="AC7" s="99">
        <v>13944</v>
      </c>
      <c r="AD7" s="99">
        <v>9713</v>
      </c>
      <c r="AE7" s="99">
        <v>10819</v>
      </c>
    </row>
    <row r="8" spans="1:57" s="25" customFormat="1">
      <c r="A8" s="17" t="str">
        <f>INDEX({"Juros sobre opção de compra de ações adicionais";"Interest over additional stock option"},Home!$R$30)</f>
        <v>Juros sobre opção de compra de ações adicionais</v>
      </c>
      <c r="B8" s="80">
        <v>883</v>
      </c>
      <c r="C8" s="80">
        <v>904</v>
      </c>
      <c r="D8" s="80">
        <v>8043</v>
      </c>
      <c r="E8" s="80">
        <v>-4097</v>
      </c>
      <c r="F8" s="80">
        <v>1192</v>
      </c>
      <c r="G8" s="80">
        <v>1226</v>
      </c>
      <c r="H8" s="80">
        <v>1260</v>
      </c>
      <c r="I8" s="80">
        <v>657</v>
      </c>
      <c r="J8" s="99">
        <v>676</v>
      </c>
      <c r="K8" s="99">
        <v>694</v>
      </c>
      <c r="L8" s="99">
        <v>715</v>
      </c>
      <c r="M8" s="99">
        <v>734</v>
      </c>
      <c r="N8" s="99">
        <v>755</v>
      </c>
      <c r="O8" s="99">
        <v>777</v>
      </c>
      <c r="P8" s="99">
        <v>24642</v>
      </c>
      <c r="Q8" s="99">
        <v>595</v>
      </c>
      <c r="R8" s="99">
        <v>29969</v>
      </c>
      <c r="S8" s="99">
        <v>2089</v>
      </c>
      <c r="T8" s="99">
        <v>1428</v>
      </c>
      <c r="U8" s="99">
        <v>0</v>
      </c>
      <c r="V8" s="99">
        <v>31151</v>
      </c>
      <c r="W8" s="99">
        <v>1348</v>
      </c>
      <c r="X8" s="99">
        <v>340</v>
      </c>
      <c r="Y8" s="99">
        <v>-30798</v>
      </c>
      <c r="Z8" s="99">
        <v>405</v>
      </c>
      <c r="AA8" s="99">
        <v>467</v>
      </c>
      <c r="AB8" s="99">
        <v>8325</v>
      </c>
      <c r="AC8" s="99">
        <v>-7252</v>
      </c>
      <c r="AD8" s="99">
        <v>337</v>
      </c>
      <c r="AE8" s="99">
        <v>723</v>
      </c>
    </row>
    <row r="9" spans="1:57" s="25" customFormat="1">
      <c r="A9" s="17" t="str">
        <f>INDEX({"Resultado na venda ou baixa do ativo imobilizado e intangível";"P,P&amp;E and Intangible Assets residual value"},Home!$R$30)</f>
        <v>Resultado na venda ou baixa do ativo imobilizado e intangível</v>
      </c>
      <c r="B9" s="80">
        <v>5932</v>
      </c>
      <c r="C9" s="80">
        <v>566</v>
      </c>
      <c r="D9" s="80">
        <v>32739</v>
      </c>
      <c r="E9" s="80">
        <v>7883</v>
      </c>
      <c r="F9" s="80">
        <v>992</v>
      </c>
      <c r="G9" s="80">
        <v>233</v>
      </c>
      <c r="H9" s="80">
        <v>1662</v>
      </c>
      <c r="I9" s="80">
        <v>693</v>
      </c>
      <c r="J9" s="99">
        <v>8035</v>
      </c>
      <c r="K9" s="99">
        <v>871</v>
      </c>
      <c r="L9" s="99">
        <v>2532</v>
      </c>
      <c r="M9" s="99">
        <v>12427</v>
      </c>
      <c r="N9" s="99">
        <v>6621</v>
      </c>
      <c r="O9" s="99">
        <v>8084</v>
      </c>
      <c r="P9" s="99">
        <v>10187</v>
      </c>
      <c r="Q9" s="99">
        <v>4341</v>
      </c>
      <c r="R9" s="99">
        <v>15872</v>
      </c>
      <c r="S9" s="99">
        <v>-7138</v>
      </c>
      <c r="T9" s="99">
        <v>3359</v>
      </c>
      <c r="U9" s="99">
        <v>56337</v>
      </c>
      <c r="V9" s="99">
        <v>5495</v>
      </c>
      <c r="W9" s="99">
        <v>1817</v>
      </c>
      <c r="X9" s="99">
        <v>4946</v>
      </c>
      <c r="Y9" s="99">
        <v>43884</v>
      </c>
      <c r="Z9" s="99">
        <v>4326</v>
      </c>
      <c r="AA9" s="99">
        <v>1016</v>
      </c>
      <c r="AB9" s="99">
        <v>7717</v>
      </c>
      <c r="AC9" s="99">
        <v>55462</v>
      </c>
      <c r="AD9" s="99">
        <v>979</v>
      </c>
      <c r="AE9" s="99">
        <v>54009</v>
      </c>
    </row>
    <row r="10" spans="1:57" s="25" customFormat="1" ht="14.5" customHeight="1">
      <c r="A10" s="49" t="str">
        <f>INDEX({"Provisão (reversão) para demandas judiciais";"Provisioned Lawsuits"},Home!$R$30)</f>
        <v>Provisão (reversão) para demandas judiciais</v>
      </c>
      <c r="B10" s="80">
        <v>-2172</v>
      </c>
      <c r="C10" s="80">
        <v>-4026</v>
      </c>
      <c r="D10" s="80">
        <v>-4201</v>
      </c>
      <c r="E10" s="80">
        <v>14291</v>
      </c>
      <c r="F10" s="80">
        <v>3084</v>
      </c>
      <c r="G10" s="80">
        <v>2976</v>
      </c>
      <c r="H10" s="80">
        <v>3243</v>
      </c>
      <c r="I10" s="80">
        <v>24809</v>
      </c>
      <c r="J10" s="105">
        <v>62843</v>
      </c>
      <c r="K10" s="105">
        <v>58268</v>
      </c>
      <c r="L10" s="105">
        <v>-93487</v>
      </c>
      <c r="M10" s="105">
        <v>14405</v>
      </c>
      <c r="N10" s="105">
        <v>8353</v>
      </c>
      <c r="O10" s="105">
        <v>18597</v>
      </c>
      <c r="P10" s="105">
        <v>14849</v>
      </c>
      <c r="Q10" s="105">
        <v>22871</v>
      </c>
      <c r="R10" s="105">
        <v>16238</v>
      </c>
      <c r="S10" s="105">
        <v>18163</v>
      </c>
      <c r="T10" s="105">
        <v>20333</v>
      </c>
      <c r="U10" s="105">
        <v>213848</v>
      </c>
      <c r="V10" s="105">
        <v>14264</v>
      </c>
      <c r="W10" s="105">
        <v>23920</v>
      </c>
      <c r="X10" s="105">
        <v>4766</v>
      </c>
      <c r="Y10" s="105">
        <v>81399</v>
      </c>
      <c r="Z10" s="105">
        <v>22508</v>
      </c>
      <c r="AA10" s="105">
        <v>-10330</v>
      </c>
      <c r="AB10" s="105">
        <v>44727</v>
      </c>
      <c r="AC10" s="105">
        <v>-43995</v>
      </c>
      <c r="AD10" s="105">
        <v>24789</v>
      </c>
      <c r="AE10" s="105">
        <v>22404</v>
      </c>
    </row>
    <row r="11" spans="1:57" s="25" customFormat="1">
      <c r="A11" s="17" t="str">
        <f>INDEX({"Provisão (reversão) para perdas no estoque";"Provisioned Inventory Loss"},Home!$R$30)</f>
        <v>Provisão (reversão) para perdas no estoque</v>
      </c>
      <c r="B11" s="80">
        <v>-1443</v>
      </c>
      <c r="C11" s="80">
        <v>1222</v>
      </c>
      <c r="D11" s="80">
        <v>68</v>
      </c>
      <c r="E11" s="80">
        <v>-432</v>
      </c>
      <c r="F11" s="80">
        <v>23200</v>
      </c>
      <c r="G11" s="80">
        <v>-2610</v>
      </c>
      <c r="H11" s="80">
        <v>2732</v>
      </c>
      <c r="I11" s="80">
        <v>-8242</v>
      </c>
      <c r="J11" s="99">
        <v>2501</v>
      </c>
      <c r="K11" s="99">
        <v>2753</v>
      </c>
      <c r="L11" s="99">
        <v>286</v>
      </c>
      <c r="M11" s="99">
        <v>-1122</v>
      </c>
      <c r="N11" s="99">
        <v>6320</v>
      </c>
      <c r="O11" s="99">
        <v>963</v>
      </c>
      <c r="P11" s="99">
        <v>20181</v>
      </c>
      <c r="Q11" s="99">
        <v>-380</v>
      </c>
      <c r="R11" s="99">
        <v>-12858</v>
      </c>
      <c r="S11" s="99">
        <v>13579</v>
      </c>
      <c r="T11" s="99">
        <v>255</v>
      </c>
      <c r="U11" s="99">
        <v>-2298</v>
      </c>
      <c r="V11" s="99">
        <v>1613</v>
      </c>
      <c r="W11" s="99">
        <v>3907</v>
      </c>
      <c r="X11" s="99">
        <v>13395</v>
      </c>
      <c r="Y11" s="99">
        <v>6122</v>
      </c>
      <c r="Z11" s="99">
        <v>12435</v>
      </c>
      <c r="AA11" s="99">
        <v>-19142</v>
      </c>
      <c r="AB11" s="99">
        <v>8939</v>
      </c>
      <c r="AC11" s="99">
        <v>-10281</v>
      </c>
      <c r="AD11" s="99">
        <v>-3900</v>
      </c>
      <c r="AE11" s="99">
        <v>-5976</v>
      </c>
    </row>
    <row r="12" spans="1:57" s="25" customFormat="1">
      <c r="A12" s="17" t="str">
        <f>INDEX({"Provisão (reversão) para créditos de liquidação duvidosa";"Provision for Doubtful Accounts"},Home!$R$30)</f>
        <v>Provisão (reversão) para créditos de liquidação duvidosa</v>
      </c>
      <c r="B12" s="80">
        <v>794</v>
      </c>
      <c r="C12" s="80">
        <v>170</v>
      </c>
      <c r="D12" s="80">
        <v>-1079</v>
      </c>
      <c r="E12" s="80">
        <v>854</v>
      </c>
      <c r="F12" s="80">
        <v>180</v>
      </c>
      <c r="G12" s="80">
        <v>-85</v>
      </c>
      <c r="H12" s="80">
        <v>1740</v>
      </c>
      <c r="I12" s="80">
        <v>9645</v>
      </c>
      <c r="J12" s="99">
        <v>770</v>
      </c>
      <c r="K12" s="99">
        <v>1885</v>
      </c>
      <c r="L12" s="99">
        <v>1206</v>
      </c>
      <c r="M12" s="99">
        <v>3871</v>
      </c>
      <c r="N12" s="99">
        <v>2858</v>
      </c>
      <c r="O12" s="99">
        <v>427</v>
      </c>
      <c r="P12" s="99">
        <v>167</v>
      </c>
      <c r="Q12" s="99">
        <v>3793</v>
      </c>
      <c r="R12" s="99">
        <v>1334</v>
      </c>
      <c r="S12" s="99">
        <v>1070</v>
      </c>
      <c r="T12" s="99">
        <v>4901</v>
      </c>
      <c r="U12" s="99">
        <v>5476</v>
      </c>
      <c r="V12" s="99">
        <v>2804</v>
      </c>
      <c r="W12" s="99">
        <v>6337</v>
      </c>
      <c r="X12" s="99">
        <v>6375</v>
      </c>
      <c r="Y12" s="99">
        <v>5776</v>
      </c>
      <c r="Z12" s="99">
        <v>-1655</v>
      </c>
      <c r="AA12" s="99">
        <v>9063</v>
      </c>
      <c r="AB12" s="99">
        <v>5500</v>
      </c>
      <c r="AC12" s="99">
        <v>7489</v>
      </c>
      <c r="AD12" s="99">
        <v>814</v>
      </c>
      <c r="AE12" s="99">
        <v>4865</v>
      </c>
    </row>
    <row r="13" spans="1:57" s="25" customFormat="1">
      <c r="A13" s="17" t="str">
        <f>INDEX({"Provisão (reversão) para encerramento de lojas";"Provisioned Store Closures"},Home!$R$30)</f>
        <v>Provisão (reversão) para encerramento de lojas</v>
      </c>
      <c r="B13" s="80">
        <v>-3540</v>
      </c>
      <c r="C13" s="80">
        <v>0</v>
      </c>
      <c r="D13" s="80">
        <v>-2964</v>
      </c>
      <c r="E13" s="80">
        <v>0</v>
      </c>
      <c r="F13" s="80">
        <v>-1198</v>
      </c>
      <c r="G13" s="80">
        <v>0</v>
      </c>
      <c r="H13" s="80">
        <v>-717</v>
      </c>
      <c r="I13" s="80">
        <v>4175</v>
      </c>
      <c r="J13" s="99">
        <v>-8853</v>
      </c>
      <c r="K13" s="99">
        <v>5068</v>
      </c>
      <c r="L13" s="99">
        <v>-4392</v>
      </c>
      <c r="M13" s="99">
        <v>8072</v>
      </c>
      <c r="N13" s="99">
        <v>-4553</v>
      </c>
      <c r="O13" s="99">
        <v>6335</v>
      </c>
      <c r="P13" s="99">
        <v>-8922</v>
      </c>
      <c r="Q13" s="99">
        <v>6068</v>
      </c>
      <c r="R13" s="99">
        <v>-2474</v>
      </c>
      <c r="S13" s="99">
        <v>-4361</v>
      </c>
      <c r="T13" s="99">
        <v>-783</v>
      </c>
      <c r="U13" s="99">
        <v>5410</v>
      </c>
      <c r="V13" s="99">
        <v>-3281</v>
      </c>
      <c r="W13" s="99">
        <v>-1130</v>
      </c>
      <c r="X13" s="99">
        <v>-3110</v>
      </c>
      <c r="Y13" s="99">
        <v>1857</v>
      </c>
      <c r="Z13" s="99">
        <v>-2608</v>
      </c>
      <c r="AA13" s="99">
        <v>-310</v>
      </c>
      <c r="AB13" s="99">
        <v>-330</v>
      </c>
      <c r="AC13" s="99">
        <v>1205</v>
      </c>
      <c r="AD13" s="99">
        <v>-147</v>
      </c>
      <c r="AE13" s="99">
        <v>4492</v>
      </c>
    </row>
    <row r="14" spans="1:57" s="25" customFormat="1">
      <c r="A14" s="17" t="str">
        <f>INDEX({"Despesas de juros";"Interest Expenses"},Home!$R$30)</f>
        <v>Despesas de juros</v>
      </c>
      <c r="B14" s="80">
        <v>14790</v>
      </c>
      <c r="C14" s="80">
        <v>16264</v>
      </c>
      <c r="D14" s="80">
        <v>20019</v>
      </c>
      <c r="E14" s="80">
        <v>15673</v>
      </c>
      <c r="F14" s="80">
        <v>12475</v>
      </c>
      <c r="G14" s="80">
        <v>17829</v>
      </c>
      <c r="H14" s="80">
        <v>15207</v>
      </c>
      <c r="I14" s="80">
        <v>14004</v>
      </c>
      <c r="J14" s="99">
        <v>13832</v>
      </c>
      <c r="K14" s="99">
        <v>17686</v>
      </c>
      <c r="L14" s="99">
        <v>25003</v>
      </c>
      <c r="M14" s="99">
        <v>29659</v>
      </c>
      <c r="N14" s="99">
        <v>51240</v>
      </c>
      <c r="O14" s="99">
        <v>59647</v>
      </c>
      <c r="P14" s="99">
        <v>84244</v>
      </c>
      <c r="Q14" s="99">
        <v>79831</v>
      </c>
      <c r="R14" s="99">
        <v>81364</v>
      </c>
      <c r="S14" s="99">
        <v>80314</v>
      </c>
      <c r="T14" s="99">
        <v>88264</v>
      </c>
      <c r="U14" s="99">
        <v>97275</v>
      </c>
      <c r="V14" s="99">
        <v>90556</v>
      </c>
      <c r="W14" s="99">
        <v>87982</v>
      </c>
      <c r="X14" s="99">
        <v>93513</v>
      </c>
      <c r="Y14" s="99">
        <v>94817</v>
      </c>
      <c r="Z14" s="99">
        <v>102977</v>
      </c>
      <c r="AA14" s="99">
        <v>125090</v>
      </c>
      <c r="AB14" s="99">
        <v>155720</v>
      </c>
      <c r="AC14" s="99">
        <v>128983</v>
      </c>
      <c r="AD14" s="99">
        <v>135822</v>
      </c>
      <c r="AE14" s="99">
        <v>125321</v>
      </c>
    </row>
    <row r="15" spans="1:57" s="25" customFormat="1">
      <c r="A15" s="17" t="str">
        <f>INDEX({"Amortizações do custo de transação de financiamentos";"Debt Issuance Costs Amortization"},Home!$R$30)</f>
        <v>Amortizações do custo de transação de financiamentos</v>
      </c>
      <c r="B15" s="80">
        <v>608</v>
      </c>
      <c r="C15" s="80">
        <v>735</v>
      </c>
      <c r="D15" s="80">
        <v>646</v>
      </c>
      <c r="E15" s="80">
        <v>728</v>
      </c>
      <c r="F15" s="80">
        <v>714</v>
      </c>
      <c r="G15" s="80">
        <v>991</v>
      </c>
      <c r="H15" s="80">
        <v>1575</v>
      </c>
      <c r="I15" s="80">
        <v>1296</v>
      </c>
      <c r="J15" s="99">
        <v>1261</v>
      </c>
      <c r="K15" s="99">
        <v>1127</v>
      </c>
      <c r="L15" s="99">
        <v>965</v>
      </c>
      <c r="M15" s="99">
        <v>968</v>
      </c>
      <c r="N15" s="99">
        <v>1080</v>
      </c>
      <c r="O15" s="99">
        <v>926</v>
      </c>
      <c r="P15" s="99">
        <v>1313</v>
      </c>
      <c r="Q15" s="99">
        <v>1320</v>
      </c>
      <c r="R15" s="99">
        <v>1321</v>
      </c>
      <c r="S15" s="99">
        <v>1027</v>
      </c>
      <c r="T15" s="99">
        <v>1360</v>
      </c>
      <c r="U15" s="99">
        <v>1594</v>
      </c>
      <c r="V15" s="99">
        <v>1913</v>
      </c>
      <c r="W15" s="99">
        <v>-166</v>
      </c>
      <c r="X15" s="99">
        <v>5233</v>
      </c>
      <c r="Y15" s="99">
        <v>2391</v>
      </c>
      <c r="Z15" s="99">
        <v>2384</v>
      </c>
      <c r="AA15" s="99">
        <v>2444</v>
      </c>
      <c r="AB15" s="99">
        <v>2326</v>
      </c>
      <c r="AC15" s="99">
        <v>2125</v>
      </c>
      <c r="AD15" s="99">
        <v>2216</v>
      </c>
      <c r="AE15" s="99">
        <v>1917</v>
      </c>
    </row>
    <row r="16" spans="1:57" s="25" customFormat="1">
      <c r="A16" s="17" t="str">
        <f>INDEX({"Resultado de Equivalência Patrimonial";"Equity Equivalence Result "},Home!$R$30)</f>
        <v>Resultado de Equivalência Patrimonial</v>
      </c>
      <c r="B16" s="80">
        <v>0</v>
      </c>
      <c r="C16" s="80">
        <v>0</v>
      </c>
      <c r="D16" s="80">
        <v>0</v>
      </c>
      <c r="E16" s="80">
        <v>0</v>
      </c>
      <c r="F16" s="80">
        <v>0</v>
      </c>
      <c r="G16" s="80">
        <v>0</v>
      </c>
      <c r="H16" s="80">
        <v>1027</v>
      </c>
      <c r="I16" s="80">
        <v>6840</v>
      </c>
      <c r="J16" s="99">
        <v>1515</v>
      </c>
      <c r="K16" s="99">
        <v>1486</v>
      </c>
      <c r="L16" s="99">
        <v>-179</v>
      </c>
      <c r="M16" s="99">
        <v>-1695</v>
      </c>
      <c r="N16" s="99">
        <v>-30</v>
      </c>
      <c r="O16" s="99">
        <v>-283</v>
      </c>
      <c r="P16" s="99">
        <v>814</v>
      </c>
      <c r="Q16" s="99">
        <v>-1321</v>
      </c>
      <c r="R16" s="99">
        <v>2581</v>
      </c>
      <c r="S16" s="99">
        <v>829</v>
      </c>
      <c r="T16" s="99">
        <v>1909</v>
      </c>
      <c r="U16" s="99">
        <v>7190</v>
      </c>
      <c r="V16" s="99">
        <v>-340</v>
      </c>
      <c r="W16" s="99">
        <v>587</v>
      </c>
      <c r="X16" s="99">
        <v>214</v>
      </c>
      <c r="Y16" s="99">
        <v>-1530</v>
      </c>
      <c r="Z16" s="99">
        <v>1274</v>
      </c>
      <c r="AA16" s="99">
        <v>434</v>
      </c>
      <c r="AB16" s="99">
        <v>-1026</v>
      </c>
      <c r="AC16" s="99">
        <v>-2675</v>
      </c>
      <c r="AD16" s="99">
        <v>237</v>
      </c>
      <c r="AE16" s="99">
        <v>180</v>
      </c>
    </row>
    <row r="17" spans="1:31" s="25" customFormat="1">
      <c r="A17" s="17" t="str">
        <f>INDEX({"Despesas de juros - Arrendamento Mercantil";"Interest Expenses - Leasing"},Home!$R$30)</f>
        <v>Despesas de juros - Arrendamento Mercantil</v>
      </c>
      <c r="B17" s="80">
        <v>26881</v>
      </c>
      <c r="C17" s="80">
        <v>26891</v>
      </c>
      <c r="D17" s="80">
        <v>28161</v>
      </c>
      <c r="E17" s="80">
        <v>134167</v>
      </c>
      <c r="F17" s="80">
        <v>53561</v>
      </c>
      <c r="G17" s="80">
        <v>55192</v>
      </c>
      <c r="H17" s="80">
        <v>57367</v>
      </c>
      <c r="I17" s="80">
        <v>61899</v>
      </c>
      <c r="J17" s="99">
        <v>56550</v>
      </c>
      <c r="K17" s="99">
        <v>58226</v>
      </c>
      <c r="L17" s="99">
        <v>59842</v>
      </c>
      <c r="M17" s="99">
        <v>61049</v>
      </c>
      <c r="N17" s="99">
        <v>60414</v>
      </c>
      <c r="O17" s="99">
        <v>63197</v>
      </c>
      <c r="P17" s="99">
        <v>64669</v>
      </c>
      <c r="Q17" s="99">
        <v>70360</v>
      </c>
      <c r="R17" s="99">
        <v>73423</v>
      </c>
      <c r="S17" s="99">
        <v>84726</v>
      </c>
      <c r="T17" s="99">
        <v>82736</v>
      </c>
      <c r="U17" s="99">
        <v>89897</v>
      </c>
      <c r="V17" s="99">
        <v>97022</v>
      </c>
      <c r="W17" s="99">
        <v>100830</v>
      </c>
      <c r="X17" s="99">
        <v>102010</v>
      </c>
      <c r="Y17" s="99">
        <v>100499</v>
      </c>
      <c r="Z17" s="99">
        <v>109928</v>
      </c>
      <c r="AA17" s="99">
        <v>122072</v>
      </c>
      <c r="AB17" s="99">
        <v>124353</v>
      </c>
      <c r="AC17" s="99">
        <v>122263</v>
      </c>
      <c r="AD17" s="99">
        <v>131499</v>
      </c>
      <c r="AE17" s="99">
        <v>137083</v>
      </c>
    </row>
    <row r="18" spans="1:31" s="25" customFormat="1">
      <c r="A18" s="17" t="str">
        <f>INDEX({"Ganho adquirido em combinação de negócio";"Gains from business combination"},Home!$R$30)</f>
        <v>Ganho adquirido em combinação de negócio</v>
      </c>
      <c r="B18" s="80">
        <v>0</v>
      </c>
      <c r="C18" s="80">
        <v>0</v>
      </c>
      <c r="D18" s="80">
        <v>-350397</v>
      </c>
      <c r="E18" s="80">
        <v>2407</v>
      </c>
      <c r="F18" s="80">
        <v>0</v>
      </c>
      <c r="G18" s="80">
        <v>0</v>
      </c>
      <c r="H18" s="80">
        <v>0</v>
      </c>
      <c r="I18" s="80">
        <v>0</v>
      </c>
      <c r="J18" s="99">
        <v>0</v>
      </c>
      <c r="K18" s="99">
        <v>0</v>
      </c>
      <c r="L18" s="99">
        <v>0</v>
      </c>
      <c r="M18" s="99">
        <v>0</v>
      </c>
      <c r="N18" s="99">
        <v>0</v>
      </c>
      <c r="O18" s="99">
        <v>0</v>
      </c>
      <c r="P18" s="99">
        <v>0</v>
      </c>
      <c r="Q18" s="99">
        <v>0</v>
      </c>
      <c r="R18" s="99">
        <v>0</v>
      </c>
      <c r="S18" s="99">
        <v>0</v>
      </c>
      <c r="T18" s="99">
        <v>0</v>
      </c>
      <c r="U18" s="99">
        <v>0</v>
      </c>
      <c r="V18" s="99">
        <v>0</v>
      </c>
      <c r="W18" s="99">
        <v>59708</v>
      </c>
      <c r="X18" s="99">
        <v>0</v>
      </c>
      <c r="Y18" s="99">
        <v>1</v>
      </c>
      <c r="Z18" s="99">
        <v>0</v>
      </c>
      <c r="AA18" s="99">
        <v>0</v>
      </c>
      <c r="AB18" s="99">
        <v>0</v>
      </c>
      <c r="AC18" s="99">
        <v>0</v>
      </c>
      <c r="AD18" s="99">
        <v>0</v>
      </c>
      <c r="AE18" s="99">
        <v>0</v>
      </c>
    </row>
    <row r="19" spans="1:31" s="25" customFormat="1">
      <c r="A19" s="17" t="str">
        <f>INDEX({"Provisão (Reversão) Perdas estimadas em outros ativos";"Provision for Estimated Losses on other Assets"},Home!$R$30)</f>
        <v>Provisão (Reversão) Perdas estimadas em outros ativos</v>
      </c>
      <c r="B19" s="80">
        <v>0</v>
      </c>
      <c r="C19" s="80">
        <v>0</v>
      </c>
      <c r="D19" s="80">
        <v>0</v>
      </c>
      <c r="E19" s="80">
        <v>0</v>
      </c>
      <c r="F19" s="80">
        <v>0</v>
      </c>
      <c r="G19" s="80">
        <v>-29</v>
      </c>
      <c r="H19" s="80">
        <v>29</v>
      </c>
      <c r="I19" s="80">
        <v>0</v>
      </c>
      <c r="J19" s="99">
        <v>0</v>
      </c>
      <c r="K19" s="99">
        <v>0</v>
      </c>
      <c r="L19" s="99">
        <v>0</v>
      </c>
      <c r="M19" s="99">
        <v>0</v>
      </c>
      <c r="N19" s="99">
        <v>0</v>
      </c>
      <c r="O19" s="99">
        <v>0</v>
      </c>
      <c r="P19" s="99">
        <v>0</v>
      </c>
      <c r="Q19" s="99">
        <v>0</v>
      </c>
      <c r="R19" s="99">
        <v>0</v>
      </c>
      <c r="S19" s="99">
        <v>0</v>
      </c>
      <c r="T19" s="99">
        <v>0</v>
      </c>
      <c r="U19" s="99">
        <v>0</v>
      </c>
      <c r="V19" s="99">
        <v>0</v>
      </c>
      <c r="W19" s="99">
        <v>0</v>
      </c>
      <c r="X19" s="99">
        <v>0</v>
      </c>
      <c r="Y19" s="99">
        <v>0</v>
      </c>
      <c r="Z19" s="99">
        <v>0</v>
      </c>
      <c r="AA19" s="99">
        <v>0</v>
      </c>
      <c r="AB19" s="99">
        <v>0</v>
      </c>
      <c r="AC19" s="99">
        <v>0</v>
      </c>
      <c r="AD19" s="99">
        <v>0</v>
      </c>
      <c r="AE19" s="99">
        <v>0</v>
      </c>
    </row>
    <row r="20" spans="1:31" s="25" customFormat="1">
      <c r="A20" s="17" t="str">
        <f>INDEX({"Valoração Cotistas Seniores";"Net Valuation of Senior Quota Holders"},Home!$R$30)</f>
        <v>Valoração Cotistas Seniores</v>
      </c>
      <c r="B20" s="80">
        <v>0</v>
      </c>
      <c r="C20" s="80">
        <v>0</v>
      </c>
      <c r="D20" s="80">
        <v>0</v>
      </c>
      <c r="E20" s="80">
        <v>0</v>
      </c>
      <c r="F20" s="80">
        <v>0</v>
      </c>
      <c r="G20" s="80">
        <v>0</v>
      </c>
      <c r="H20" s="80">
        <v>0</v>
      </c>
      <c r="I20" s="80">
        <v>0</v>
      </c>
      <c r="J20" s="99">
        <v>-1873</v>
      </c>
      <c r="K20" s="99">
        <v>-4546</v>
      </c>
      <c r="L20" s="99">
        <v>796</v>
      </c>
      <c r="M20" s="99">
        <v>-767</v>
      </c>
      <c r="N20" s="99">
        <v>-577</v>
      </c>
      <c r="O20" s="99">
        <v>-291</v>
      </c>
      <c r="P20" s="99">
        <v>-227</v>
      </c>
      <c r="Q20" s="99">
        <v>-10</v>
      </c>
      <c r="R20" s="99">
        <v>-37</v>
      </c>
      <c r="S20" s="99">
        <v>5</v>
      </c>
      <c r="T20" s="99">
        <v>0</v>
      </c>
      <c r="U20" s="99">
        <v>-41</v>
      </c>
      <c r="V20" s="99">
        <v>0</v>
      </c>
      <c r="W20" s="99">
        <v>0</v>
      </c>
      <c r="X20" s="99">
        <v>0</v>
      </c>
      <c r="Y20" s="99">
        <v>0</v>
      </c>
      <c r="Z20" s="99">
        <v>0</v>
      </c>
      <c r="AA20" s="99">
        <v>0</v>
      </c>
      <c r="AB20" s="99">
        <v>0</v>
      </c>
      <c r="AC20" s="99">
        <v>350</v>
      </c>
      <c r="AD20" s="99">
        <v>0</v>
      </c>
      <c r="AE20" s="99">
        <v>-19568</v>
      </c>
    </row>
    <row r="21" spans="1:31" s="25" customFormat="1" ht="15" thickBot="1">
      <c r="A21" s="17" t="str">
        <f>INDEX({"Provisão para realização do valor recuperável em investimento";"Provision for realization of recoverable investment"},Home!$R$30)</f>
        <v>Provisão para realização do valor recuperável em investimento</v>
      </c>
      <c r="B21" s="109">
        <v>0</v>
      </c>
      <c r="C21" s="109">
        <v>0</v>
      </c>
      <c r="D21" s="109">
        <v>0</v>
      </c>
      <c r="E21" s="109">
        <v>0</v>
      </c>
      <c r="F21" s="109">
        <v>0</v>
      </c>
      <c r="G21" s="109">
        <v>0</v>
      </c>
      <c r="H21" s="109">
        <v>0</v>
      </c>
      <c r="I21" s="109">
        <v>0</v>
      </c>
      <c r="J21" s="109">
        <v>0</v>
      </c>
      <c r="K21" s="109">
        <v>0</v>
      </c>
      <c r="L21" s="109">
        <v>0</v>
      </c>
      <c r="M21" s="109">
        <v>0</v>
      </c>
      <c r="N21" s="109">
        <v>0</v>
      </c>
      <c r="O21" s="109">
        <v>0</v>
      </c>
      <c r="P21" s="109">
        <v>0</v>
      </c>
      <c r="Q21" s="109">
        <v>0</v>
      </c>
      <c r="R21" s="109">
        <v>0</v>
      </c>
      <c r="S21" s="109">
        <v>0</v>
      </c>
      <c r="T21" s="109">
        <v>0</v>
      </c>
      <c r="U21" s="109">
        <v>0</v>
      </c>
      <c r="V21" s="109">
        <v>0</v>
      </c>
      <c r="W21" s="109">
        <v>0</v>
      </c>
      <c r="X21" s="109">
        <v>0</v>
      </c>
      <c r="Y21" s="109">
        <v>0</v>
      </c>
      <c r="Z21" s="109">
        <v>0</v>
      </c>
      <c r="AA21" s="109">
        <v>0</v>
      </c>
      <c r="AB21" s="109">
        <v>0</v>
      </c>
      <c r="AC21" s="109">
        <v>0</v>
      </c>
      <c r="AD21" s="109">
        <v>196098</v>
      </c>
      <c r="AE21" s="109">
        <v>6698</v>
      </c>
    </row>
    <row r="22" spans="1:31" s="25" customFormat="1">
      <c r="A22" s="67" t="str">
        <f>INDEX({"Subtotal";"Subtotal"},Home!$R$30)</f>
        <v>Subtotal</v>
      </c>
      <c r="B22" s="92">
        <f t="shared" ref="B22:AC22" si="0">SUM(B6:B21)+B3</f>
        <v>400972</v>
      </c>
      <c r="C22" s="92">
        <f t="shared" si="0"/>
        <v>488139.43334999972</v>
      </c>
      <c r="D22" s="92">
        <f t="shared" si="0"/>
        <v>442005.56665000028</v>
      </c>
      <c r="E22" s="92">
        <f t="shared" si="0"/>
        <v>495491</v>
      </c>
      <c r="F22" s="92">
        <f t="shared" si="0"/>
        <v>550514</v>
      </c>
      <c r="G22" s="92">
        <f t="shared" si="0"/>
        <v>411067</v>
      </c>
      <c r="H22" s="92">
        <f t="shared" si="0"/>
        <v>564975</v>
      </c>
      <c r="I22" s="92">
        <f t="shared" si="0"/>
        <v>627553</v>
      </c>
      <c r="J22" s="92">
        <f t="shared" si="0"/>
        <v>691541</v>
      </c>
      <c r="K22" s="92">
        <f t="shared" si="0"/>
        <v>820298</v>
      </c>
      <c r="L22" s="92">
        <f t="shared" si="0"/>
        <v>562444</v>
      </c>
      <c r="M22" s="92">
        <f t="shared" si="0"/>
        <v>656865</v>
      </c>
      <c r="N22" s="92">
        <f t="shared" si="0"/>
        <v>635171</v>
      </c>
      <c r="O22" s="92">
        <f t="shared" si="0"/>
        <v>1025220</v>
      </c>
      <c r="P22" s="92">
        <f t="shared" si="0"/>
        <v>875225</v>
      </c>
      <c r="Q22" s="92">
        <f t="shared" si="0"/>
        <v>885980</v>
      </c>
      <c r="R22" s="92">
        <f t="shared" si="0"/>
        <v>819423</v>
      </c>
      <c r="S22" s="92">
        <f t="shared" si="0"/>
        <v>1041419</v>
      </c>
      <c r="T22" s="92">
        <f t="shared" si="0"/>
        <v>967372</v>
      </c>
      <c r="U22" s="92">
        <f t="shared" si="0"/>
        <v>1204476</v>
      </c>
      <c r="V22" s="92">
        <f t="shared" si="0"/>
        <v>967246</v>
      </c>
      <c r="W22" s="92">
        <f t="shared" si="0"/>
        <v>1172660</v>
      </c>
      <c r="X22" s="92">
        <f t="shared" si="0"/>
        <v>1158774</v>
      </c>
      <c r="Y22" s="92">
        <f t="shared" si="0"/>
        <v>1068677</v>
      </c>
      <c r="Z22" s="92">
        <f t="shared" si="0"/>
        <v>956122</v>
      </c>
      <c r="AA22" s="92">
        <f t="shared" si="0"/>
        <v>1148238</v>
      </c>
      <c r="AB22" s="92">
        <f t="shared" si="0"/>
        <v>1411322</v>
      </c>
      <c r="AC22" s="92">
        <f t="shared" si="0"/>
        <v>1127836</v>
      </c>
      <c r="AD22" s="92">
        <f>SUM(AD6:AD21)+AD3</f>
        <v>1188162</v>
      </c>
      <c r="AE22" s="92">
        <f>SUM(AE6:AE21)+AE3</f>
        <v>1401224</v>
      </c>
    </row>
    <row r="23" spans="1:31">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row>
    <row r="24" spans="1:31">
      <c r="A24" s="16" t="str">
        <f>INDEX({"Variações nos ativos e passivos";"Assets and Liabilities Variation"},Home!$R$30)</f>
        <v>Variações nos ativos e passivos</v>
      </c>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row>
    <row r="25" spans="1:31" s="25" customFormat="1">
      <c r="A25" s="17" t="str">
        <f>INDEX({"Clientes e outras contas a receber";"Clients and Other Accounts Receivable"},Home!$R$30)</f>
        <v>Clientes e outras contas a receber</v>
      </c>
      <c r="B25" s="80">
        <v>-180140</v>
      </c>
      <c r="C25" s="80">
        <v>-10360</v>
      </c>
      <c r="D25" s="80">
        <v>-72574</v>
      </c>
      <c r="E25" s="80">
        <v>12240</v>
      </c>
      <c r="F25" s="80">
        <v>-207091</v>
      </c>
      <c r="G25" s="80">
        <v>161061</v>
      </c>
      <c r="H25" s="80">
        <v>-237204</v>
      </c>
      <c r="I25" s="80">
        <v>-94661</v>
      </c>
      <c r="J25" s="99">
        <v>-177632</v>
      </c>
      <c r="K25" s="99">
        <v>-37624</v>
      </c>
      <c r="L25" s="99">
        <v>-78885</v>
      </c>
      <c r="M25" s="99">
        <v>136049</v>
      </c>
      <c r="N25" s="99">
        <v>-381965</v>
      </c>
      <c r="O25" s="99">
        <v>140621</v>
      </c>
      <c r="P25" s="99">
        <v>-373101</v>
      </c>
      <c r="Q25" s="99">
        <v>30843</v>
      </c>
      <c r="R25" s="99">
        <v>-321951</v>
      </c>
      <c r="S25" s="99">
        <v>560479</v>
      </c>
      <c r="T25" s="99">
        <v>-842251</v>
      </c>
      <c r="U25" s="99">
        <v>-184468</v>
      </c>
      <c r="V25" s="99">
        <v>118212</v>
      </c>
      <c r="W25" s="99">
        <v>47457</v>
      </c>
      <c r="X25" s="99">
        <v>-458958</v>
      </c>
      <c r="Y25" s="99">
        <v>690179</v>
      </c>
      <c r="Z25" s="99">
        <v>-158496</v>
      </c>
      <c r="AA25" s="99">
        <v>-208850</v>
      </c>
      <c r="AB25" s="99">
        <v>-387034</v>
      </c>
      <c r="AC25" s="99">
        <v>155</v>
      </c>
      <c r="AD25" s="99">
        <v>-219644</v>
      </c>
      <c r="AE25" s="99">
        <v>-138130</v>
      </c>
    </row>
    <row r="26" spans="1:31" s="25" customFormat="1">
      <c r="A26" s="17" t="str">
        <f>INDEX({"Estoques";"Inventories"},Home!$R$30)</f>
        <v>Estoques</v>
      </c>
      <c r="B26" s="80">
        <v>80480</v>
      </c>
      <c r="C26" s="80">
        <v>-9371</v>
      </c>
      <c r="D26" s="80">
        <v>-357370</v>
      </c>
      <c r="E26" s="80">
        <v>-388669</v>
      </c>
      <c r="F26" s="80">
        <v>-104540</v>
      </c>
      <c r="G26" s="80">
        <v>-179298</v>
      </c>
      <c r="H26" s="80">
        <v>185228</v>
      </c>
      <c r="I26" s="80">
        <v>-290490</v>
      </c>
      <c r="J26" s="99">
        <v>-291485</v>
      </c>
      <c r="K26" s="99">
        <v>-91494</v>
      </c>
      <c r="L26" s="99">
        <v>-114411</v>
      </c>
      <c r="M26" s="99">
        <v>-399419</v>
      </c>
      <c r="N26" s="99">
        <v>-212858</v>
      </c>
      <c r="O26" s="99">
        <v>-243461</v>
      </c>
      <c r="P26" s="99">
        <v>-285530</v>
      </c>
      <c r="Q26" s="99">
        <v>-293492</v>
      </c>
      <c r="R26" s="99">
        <v>-652168</v>
      </c>
      <c r="S26" s="99">
        <v>150415</v>
      </c>
      <c r="T26" s="99">
        <v>-299030</v>
      </c>
      <c r="U26" s="99">
        <v>-269153</v>
      </c>
      <c r="V26" s="99">
        <v>-481508</v>
      </c>
      <c r="W26" s="99">
        <v>-20141</v>
      </c>
      <c r="X26" s="99">
        <v>-452371</v>
      </c>
      <c r="Y26" s="99">
        <v>-281020</v>
      </c>
      <c r="Z26" s="99">
        <v>-205748</v>
      </c>
      <c r="AA26" s="99">
        <v>296920</v>
      </c>
      <c r="AB26" s="99">
        <v>-183482</v>
      </c>
      <c r="AC26" s="99">
        <v>-1068555</v>
      </c>
      <c r="AD26" s="99">
        <v>723880</v>
      </c>
      <c r="AE26" s="99">
        <v>112545</v>
      </c>
    </row>
    <row r="27" spans="1:31" s="25" customFormat="1">
      <c r="A27" s="17" t="str">
        <f>INDEX({"Outros ativos circulantes";"Other Short Term Assets"},Home!$R$30)</f>
        <v>Outros ativos circulantes</v>
      </c>
      <c r="B27" s="80">
        <v>-55283</v>
      </c>
      <c r="C27" s="80">
        <v>5251</v>
      </c>
      <c r="D27" s="80">
        <v>-211065</v>
      </c>
      <c r="E27" s="80">
        <v>21315</v>
      </c>
      <c r="F27" s="80">
        <v>-11572</v>
      </c>
      <c r="G27" s="80">
        <v>-22519</v>
      </c>
      <c r="H27" s="80">
        <v>34557</v>
      </c>
      <c r="I27" s="80">
        <v>-27282</v>
      </c>
      <c r="J27" s="80">
        <v>-18715</v>
      </c>
      <c r="K27" s="80">
        <v>-38889</v>
      </c>
      <c r="L27" s="80">
        <v>1948</v>
      </c>
      <c r="M27" s="80">
        <v>57475</v>
      </c>
      <c r="N27" s="80">
        <v>-5131</v>
      </c>
      <c r="O27" s="80">
        <v>-38958</v>
      </c>
      <c r="P27" s="80">
        <v>-7216</v>
      </c>
      <c r="Q27" s="80">
        <v>-5585</v>
      </c>
      <c r="R27" s="80">
        <v>-110193</v>
      </c>
      <c r="S27" s="80">
        <v>-5575</v>
      </c>
      <c r="T27" s="80">
        <v>-54455</v>
      </c>
      <c r="U27" s="80">
        <v>-122823</v>
      </c>
      <c r="V27" s="80">
        <v>-121937</v>
      </c>
      <c r="W27" s="80">
        <v>-24487</v>
      </c>
      <c r="X27" s="80">
        <v>43503</v>
      </c>
      <c r="Y27" s="80">
        <v>-6271</v>
      </c>
      <c r="Z27" s="80">
        <v>-143637</v>
      </c>
      <c r="AA27" s="80">
        <v>-115670</v>
      </c>
      <c r="AB27" s="80">
        <v>20291</v>
      </c>
      <c r="AC27" s="80">
        <v>-59239</v>
      </c>
      <c r="AD27" s="99">
        <v>-174403</v>
      </c>
      <c r="AE27" s="99">
        <v>-320952</v>
      </c>
    </row>
    <row r="28" spans="1:31" s="25" customFormat="1">
      <c r="A28" s="17" t="str">
        <f>INDEX({"Fornecedores";"Suppliers"},Home!$R$30)</f>
        <v>Fornecedores</v>
      </c>
      <c r="B28" s="80">
        <v>-117235</v>
      </c>
      <c r="C28" s="80">
        <v>-61636</v>
      </c>
      <c r="D28" s="80">
        <v>272866</v>
      </c>
      <c r="E28" s="80">
        <v>371197</v>
      </c>
      <c r="F28" s="80">
        <v>133961</v>
      </c>
      <c r="G28" s="80">
        <v>-553015</v>
      </c>
      <c r="H28" s="80">
        <v>111442</v>
      </c>
      <c r="I28" s="80">
        <v>763646</v>
      </c>
      <c r="J28" s="99">
        <v>83581</v>
      </c>
      <c r="K28" s="99">
        <v>-487771</v>
      </c>
      <c r="L28" s="99">
        <v>146190</v>
      </c>
      <c r="M28" s="99">
        <v>747894</v>
      </c>
      <c r="N28" s="99">
        <v>-98312</v>
      </c>
      <c r="O28" s="99">
        <v>-9007</v>
      </c>
      <c r="P28" s="99">
        <v>215683</v>
      </c>
      <c r="Q28" s="99">
        <v>503172</v>
      </c>
      <c r="R28" s="99">
        <v>848859</v>
      </c>
      <c r="S28" s="99">
        <v>-999709</v>
      </c>
      <c r="T28" s="99">
        <v>531689</v>
      </c>
      <c r="U28" s="99">
        <v>459316</v>
      </c>
      <c r="V28" s="99">
        <v>497366</v>
      </c>
      <c r="W28" s="99">
        <v>-706442</v>
      </c>
      <c r="X28" s="99">
        <v>815108</v>
      </c>
      <c r="Y28" s="99">
        <v>103563</v>
      </c>
      <c r="Z28" s="99">
        <v>248242</v>
      </c>
      <c r="AA28" s="99">
        <v>-403675</v>
      </c>
      <c r="AB28" s="99">
        <v>465443</v>
      </c>
      <c r="AC28" s="99">
        <v>794124</v>
      </c>
      <c r="AD28" s="99">
        <v>93510</v>
      </c>
      <c r="AE28" s="99">
        <v>-98668</v>
      </c>
    </row>
    <row r="29" spans="1:31" s="25" customFormat="1">
      <c r="A29" s="17" t="str">
        <f>INDEX({"Salários e encargos sociais";"Salaries and Social Charges"},Home!$R$30)</f>
        <v>Salários e encargos sociais</v>
      </c>
      <c r="B29" s="80">
        <v>2300</v>
      </c>
      <c r="C29" s="80">
        <v>59139</v>
      </c>
      <c r="D29" s="80">
        <v>33535</v>
      </c>
      <c r="E29" s="80">
        <v>-49531</v>
      </c>
      <c r="F29" s="80">
        <v>-3155</v>
      </c>
      <c r="G29" s="80">
        <v>121909</v>
      </c>
      <c r="H29" s="80">
        <v>-6158</v>
      </c>
      <c r="I29" s="80">
        <v>-100110</v>
      </c>
      <c r="J29" s="99">
        <v>10256</v>
      </c>
      <c r="K29" s="99">
        <v>93443</v>
      </c>
      <c r="L29" s="99">
        <v>71262</v>
      </c>
      <c r="M29" s="99">
        <v>-65687</v>
      </c>
      <c r="N29" s="99">
        <v>10754</v>
      </c>
      <c r="O29" s="99">
        <v>98428</v>
      </c>
      <c r="P29" s="99">
        <v>87708</v>
      </c>
      <c r="Q29" s="99">
        <v>-55622</v>
      </c>
      <c r="R29" s="99">
        <v>-35316</v>
      </c>
      <c r="S29" s="99">
        <v>100077</v>
      </c>
      <c r="T29" s="99">
        <v>108626</v>
      </c>
      <c r="U29" s="99">
        <v>-98618</v>
      </c>
      <c r="V29" s="99">
        <v>-31437</v>
      </c>
      <c r="W29" s="99">
        <v>111590</v>
      </c>
      <c r="X29" s="99">
        <v>100000</v>
      </c>
      <c r="Y29" s="99">
        <v>-130020</v>
      </c>
      <c r="Z29" s="99">
        <v>-26632</v>
      </c>
      <c r="AA29" s="99">
        <v>133527</v>
      </c>
      <c r="AB29" s="99">
        <v>118243</v>
      </c>
      <c r="AC29" s="99">
        <v>-139074</v>
      </c>
      <c r="AD29" s="99">
        <v>-11418</v>
      </c>
      <c r="AE29" s="99">
        <v>181932</v>
      </c>
    </row>
    <row r="30" spans="1:31" s="25" customFormat="1">
      <c r="A30" s="17" t="str">
        <f>INDEX({"Impostos, taxas e contribuições";"Taxes Payable"},Home!$R$30)</f>
        <v>Impostos, taxas e contribuições</v>
      </c>
      <c r="B30" s="80">
        <v>27395</v>
      </c>
      <c r="C30" s="80">
        <v>-13179</v>
      </c>
      <c r="D30" s="80">
        <v>-3898</v>
      </c>
      <c r="E30" s="80">
        <v>-35760</v>
      </c>
      <c r="F30" s="80">
        <v>39469</v>
      </c>
      <c r="G30" s="80">
        <v>-36496</v>
      </c>
      <c r="H30" s="80">
        <v>-20663</v>
      </c>
      <c r="I30" s="80">
        <v>5884</v>
      </c>
      <c r="J30" s="99">
        <v>4881</v>
      </c>
      <c r="K30" s="99">
        <v>39092</v>
      </c>
      <c r="L30" s="99">
        <v>-26642</v>
      </c>
      <c r="M30" s="99">
        <v>-53334</v>
      </c>
      <c r="N30" s="99">
        <v>-59554</v>
      </c>
      <c r="O30" s="99">
        <v>48800</v>
      </c>
      <c r="P30" s="99">
        <v>-82149</v>
      </c>
      <c r="Q30" s="99">
        <v>-67297</v>
      </c>
      <c r="R30" s="99">
        <v>41608</v>
      </c>
      <c r="S30" s="99">
        <v>13849</v>
      </c>
      <c r="T30" s="99">
        <v>-76666</v>
      </c>
      <c r="U30" s="99">
        <v>-101187</v>
      </c>
      <c r="V30" s="99">
        <v>47385</v>
      </c>
      <c r="W30" s="99">
        <v>30269</v>
      </c>
      <c r="X30" s="99">
        <v>-123933</v>
      </c>
      <c r="Y30" s="99">
        <v>-244114</v>
      </c>
      <c r="Z30" s="99">
        <v>95607</v>
      </c>
      <c r="AA30" s="99">
        <v>-22889</v>
      </c>
      <c r="AB30" s="99">
        <v>-644</v>
      </c>
      <c r="AC30" s="99">
        <v>-101918</v>
      </c>
      <c r="AD30" s="99">
        <v>-547989</v>
      </c>
      <c r="AE30" s="99">
        <v>73603</v>
      </c>
    </row>
    <row r="31" spans="1:31" s="25" customFormat="1">
      <c r="A31" s="49" t="str">
        <f>INDEX({"Outras Obrigações";"Other Liabilities"},Home!$R$30)</f>
        <v>Outras Obrigações</v>
      </c>
      <c r="B31" s="80">
        <v>-6117</v>
      </c>
      <c r="C31" s="80">
        <v>-10933</v>
      </c>
      <c r="D31" s="80">
        <v>21637</v>
      </c>
      <c r="E31" s="80">
        <v>4972</v>
      </c>
      <c r="F31" s="105">
        <v>17554.309519999999</v>
      </c>
      <c r="G31" s="105">
        <v>27251.365330000001</v>
      </c>
      <c r="H31" s="105">
        <v>16247.868109999999</v>
      </c>
      <c r="I31" s="105">
        <v>56569.458030000002</v>
      </c>
      <c r="J31" s="99">
        <v>-2412</v>
      </c>
      <c r="K31" s="99">
        <v>-36146</v>
      </c>
      <c r="L31" s="105">
        <v>101374</v>
      </c>
      <c r="M31" s="105">
        <v>56477</v>
      </c>
      <c r="N31" s="105">
        <v>44118</v>
      </c>
      <c r="O31" s="105">
        <v>-73525</v>
      </c>
      <c r="P31" s="105">
        <v>91198</v>
      </c>
      <c r="Q31" s="105">
        <v>75784</v>
      </c>
      <c r="R31" s="105">
        <v>6776</v>
      </c>
      <c r="S31" s="105">
        <v>-83511</v>
      </c>
      <c r="T31" s="105">
        <v>19498</v>
      </c>
      <c r="U31" s="105">
        <v>-50188</v>
      </c>
      <c r="V31" s="105">
        <v>7726</v>
      </c>
      <c r="W31" s="105">
        <v>-129732</v>
      </c>
      <c r="X31" s="105">
        <v>35241</v>
      </c>
      <c r="Y31" s="105">
        <v>181940</v>
      </c>
      <c r="Z31" s="105">
        <v>-22733</v>
      </c>
      <c r="AA31" s="105">
        <v>-85991</v>
      </c>
      <c r="AB31" s="105">
        <v>-95179</v>
      </c>
      <c r="AC31" s="105">
        <v>233913</v>
      </c>
      <c r="AD31" s="105">
        <v>-5854</v>
      </c>
      <c r="AE31" s="105">
        <v>-42374</v>
      </c>
    </row>
    <row r="32" spans="1:31" s="25" customFormat="1" ht="15" thickBot="1">
      <c r="A32" s="17" t="str">
        <f>INDEX({"Aluguéis a pagar";"Rent Payable"},Home!$R$30)</f>
        <v>Aluguéis a pagar</v>
      </c>
      <c r="B32" s="80">
        <v>-27714</v>
      </c>
      <c r="C32" s="80">
        <v>2373</v>
      </c>
      <c r="D32" s="80">
        <v>3419</v>
      </c>
      <c r="E32" s="80">
        <v>4084</v>
      </c>
      <c r="F32" s="80">
        <v>-1361</v>
      </c>
      <c r="G32" s="80">
        <v>1228</v>
      </c>
      <c r="H32" s="80">
        <v>4020</v>
      </c>
      <c r="I32" s="80">
        <v>4621</v>
      </c>
      <c r="J32" s="99">
        <v>14046</v>
      </c>
      <c r="K32" s="99">
        <v>48568</v>
      </c>
      <c r="L32" s="99">
        <v>-48543</v>
      </c>
      <c r="M32" s="99">
        <v>667</v>
      </c>
      <c r="N32" s="99">
        <v>-2307</v>
      </c>
      <c r="O32" s="99">
        <v>2716</v>
      </c>
      <c r="P32" s="99">
        <v>5162</v>
      </c>
      <c r="Q32" s="99">
        <v>5414</v>
      </c>
      <c r="R32" s="99">
        <v>-798</v>
      </c>
      <c r="S32" s="99">
        <v>974</v>
      </c>
      <c r="T32" s="99">
        <v>3184</v>
      </c>
      <c r="U32" s="99">
        <v>6101</v>
      </c>
      <c r="V32" s="99">
        <v>-1639</v>
      </c>
      <c r="W32" s="99">
        <v>4037</v>
      </c>
      <c r="X32" s="99">
        <v>1763</v>
      </c>
      <c r="Y32" s="99">
        <v>6444</v>
      </c>
      <c r="Z32" s="99">
        <v>1032</v>
      </c>
      <c r="AA32" s="99">
        <v>5513</v>
      </c>
      <c r="AB32" s="99">
        <v>4464</v>
      </c>
      <c r="AC32" s="99">
        <v>7528</v>
      </c>
      <c r="AD32" s="99">
        <v>-452</v>
      </c>
      <c r="AE32" s="99">
        <v>26460</v>
      </c>
    </row>
    <row r="33" spans="1:31" s="25" customFormat="1">
      <c r="A33" s="67" t="str">
        <f>INDEX({"Caixa proveniente das operações";"Cash from Operations"},Home!$R$30)</f>
        <v>Caixa proveniente das operações</v>
      </c>
      <c r="B33" s="92">
        <f t="shared" ref="B33:AD33" si="1">SUM(B25:B32)+B22</f>
        <v>124658</v>
      </c>
      <c r="C33" s="92">
        <f t="shared" si="1"/>
        <v>449423.43334999972</v>
      </c>
      <c r="D33" s="92">
        <f t="shared" si="1"/>
        <v>128555.56665000028</v>
      </c>
      <c r="E33" s="92">
        <f t="shared" si="1"/>
        <v>435339</v>
      </c>
      <c r="F33" s="92">
        <f t="shared" si="1"/>
        <v>413779.30952000001</v>
      </c>
      <c r="G33" s="92">
        <f t="shared" si="1"/>
        <v>-68811.634669999999</v>
      </c>
      <c r="H33" s="92">
        <f t="shared" si="1"/>
        <v>652444.86811000004</v>
      </c>
      <c r="I33" s="92">
        <f t="shared" si="1"/>
        <v>945730.45802999998</v>
      </c>
      <c r="J33" s="92">
        <f t="shared" si="1"/>
        <v>314061</v>
      </c>
      <c r="K33" s="92">
        <f t="shared" si="1"/>
        <v>309477</v>
      </c>
      <c r="L33" s="92">
        <f t="shared" si="1"/>
        <v>614737</v>
      </c>
      <c r="M33" s="92">
        <f t="shared" si="1"/>
        <v>1136987</v>
      </c>
      <c r="N33" s="92">
        <f t="shared" si="1"/>
        <v>-70084</v>
      </c>
      <c r="O33" s="92">
        <f t="shared" si="1"/>
        <v>950834</v>
      </c>
      <c r="P33" s="92">
        <f t="shared" si="1"/>
        <v>526980</v>
      </c>
      <c r="Q33" s="92">
        <f t="shared" si="1"/>
        <v>1079197</v>
      </c>
      <c r="R33" s="92">
        <f t="shared" si="1"/>
        <v>596240</v>
      </c>
      <c r="S33" s="92">
        <f t="shared" si="1"/>
        <v>778418</v>
      </c>
      <c r="T33" s="92">
        <f t="shared" si="1"/>
        <v>357967</v>
      </c>
      <c r="U33" s="92">
        <f t="shared" si="1"/>
        <v>843456</v>
      </c>
      <c r="V33" s="92">
        <f t="shared" si="1"/>
        <v>1001414</v>
      </c>
      <c r="W33" s="92">
        <f t="shared" si="1"/>
        <v>485211</v>
      </c>
      <c r="X33" s="92">
        <f t="shared" si="1"/>
        <v>1119127</v>
      </c>
      <c r="Y33" s="92">
        <f t="shared" si="1"/>
        <v>1389378</v>
      </c>
      <c r="Z33" s="92">
        <f t="shared" si="1"/>
        <v>743757</v>
      </c>
      <c r="AA33" s="92">
        <f t="shared" si="1"/>
        <v>747123</v>
      </c>
      <c r="AB33" s="92">
        <f t="shared" si="1"/>
        <v>1353424</v>
      </c>
      <c r="AC33" s="92">
        <f t="shared" si="1"/>
        <v>794770</v>
      </c>
      <c r="AD33" s="92">
        <f t="shared" si="1"/>
        <v>1045792</v>
      </c>
      <c r="AE33" s="92">
        <f t="shared" ref="AE33" si="2">SUM(AE25:AE32)+AE22</f>
        <v>1195640</v>
      </c>
    </row>
    <row r="34" spans="1:31" s="25" customFormat="1">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row>
    <row r="35" spans="1:31" s="25" customFormat="1">
      <c r="A35" s="17" t="str">
        <f>INDEX({"Juros pagos";"Interest Paid"},Home!$R$30)</f>
        <v>Juros pagos</v>
      </c>
      <c r="B35" s="80">
        <v>-2270</v>
      </c>
      <c r="C35" s="80">
        <v>-23103</v>
      </c>
      <c r="D35" s="80">
        <v>-9776</v>
      </c>
      <c r="E35" s="80">
        <v>-26984</v>
      </c>
      <c r="F35" s="80">
        <v>-6812</v>
      </c>
      <c r="G35" s="80">
        <v>-17809</v>
      </c>
      <c r="H35" s="80">
        <v>-5419</v>
      </c>
      <c r="I35" s="80">
        <v>-10044</v>
      </c>
      <c r="J35" s="99">
        <v>-20298</v>
      </c>
      <c r="K35" s="99">
        <v>-9318</v>
      </c>
      <c r="L35" s="99">
        <v>-18070</v>
      </c>
      <c r="M35" s="99">
        <v>-17175</v>
      </c>
      <c r="N35" s="99">
        <v>-29891</v>
      </c>
      <c r="O35" s="99">
        <v>-77220</v>
      </c>
      <c r="P35" s="99">
        <v>-91138</v>
      </c>
      <c r="Q35" s="99">
        <v>-60425</v>
      </c>
      <c r="R35" s="99">
        <v>-100213</v>
      </c>
      <c r="S35" s="99">
        <v>-61502</v>
      </c>
      <c r="T35" s="99">
        <v>-103049</v>
      </c>
      <c r="U35" s="99">
        <v>-64130</v>
      </c>
      <c r="V35" s="99">
        <v>-132835</v>
      </c>
      <c r="W35" s="99">
        <v>-56007</v>
      </c>
      <c r="X35" s="99">
        <v>-100487</v>
      </c>
      <c r="Y35" s="99">
        <v>-83915</v>
      </c>
      <c r="Z35" s="99">
        <v>-102922</v>
      </c>
      <c r="AA35" s="99">
        <v>-94936</v>
      </c>
      <c r="AB35" s="99">
        <v>-122531</v>
      </c>
      <c r="AC35" s="99">
        <v>-149444</v>
      </c>
      <c r="AD35" s="99">
        <v>-94704</v>
      </c>
      <c r="AE35" s="99">
        <v>-186025</v>
      </c>
    </row>
    <row r="36" spans="1:31" s="25" customFormat="1">
      <c r="A36" s="17" t="str">
        <f>INDEX({"Imposto de renda e contribuição social pagos";"Income Tax and Social Charges Paid"},Home!$R$30)</f>
        <v>Imposto de renda e contribuição social pagos</v>
      </c>
      <c r="B36" s="80">
        <v>-20382</v>
      </c>
      <c r="C36" s="80">
        <v>-25997</v>
      </c>
      <c r="D36" s="80">
        <v>-64708</v>
      </c>
      <c r="E36" s="80">
        <v>-56</v>
      </c>
      <c r="F36" s="80">
        <v>-44006</v>
      </c>
      <c r="G36" s="80">
        <v>-43064</v>
      </c>
      <c r="H36" s="80">
        <v>-6769</v>
      </c>
      <c r="I36" s="80">
        <v>-107602</v>
      </c>
      <c r="J36" s="99">
        <v>-61743</v>
      </c>
      <c r="K36" s="99">
        <v>-96079</v>
      </c>
      <c r="L36" s="99">
        <v>-94371</v>
      </c>
      <c r="M36" s="99">
        <v>-121783</v>
      </c>
      <c r="N36" s="99">
        <v>-40282</v>
      </c>
      <c r="O36" s="99">
        <v>-68027</v>
      </c>
      <c r="P36" s="99">
        <v>-112834</v>
      </c>
      <c r="Q36" s="99">
        <v>-12032</v>
      </c>
      <c r="R36" s="99">
        <v>0</v>
      </c>
      <c r="S36" s="99">
        <v>0</v>
      </c>
      <c r="T36" s="99">
        <v>-68125</v>
      </c>
      <c r="U36" s="99">
        <v>-534</v>
      </c>
      <c r="V36" s="99">
        <v>-101031</v>
      </c>
      <c r="W36" s="99">
        <v>-55078</v>
      </c>
      <c r="X36" s="99">
        <v>-115274</v>
      </c>
      <c r="Y36" s="99">
        <v>-95973</v>
      </c>
      <c r="Z36" s="99">
        <v>0</v>
      </c>
      <c r="AA36" s="99">
        <v>-26165</v>
      </c>
      <c r="AB36" s="99">
        <v>-81744</v>
      </c>
      <c r="AC36" s="99">
        <v>-82337</v>
      </c>
      <c r="AD36" s="99">
        <v>-30354</v>
      </c>
      <c r="AE36" s="99">
        <v>0</v>
      </c>
    </row>
    <row r="37" spans="1:31" s="25" customFormat="1">
      <c r="A37" s="17" t="str">
        <f>INDEX({"Juros Pagos - Arrendamento Mercantil";"Interest Paid - Leasing"},Home!$R$30)</f>
        <v>Juros Pagos - Arrendamento Mercantil</v>
      </c>
      <c r="B37" s="80">
        <v>-26881</v>
      </c>
      <c r="C37" s="80">
        <v>-26891</v>
      </c>
      <c r="D37" s="80">
        <v>-28161</v>
      </c>
      <c r="E37" s="80">
        <v>-134167</v>
      </c>
      <c r="F37" s="80">
        <v>-53561</v>
      </c>
      <c r="G37" s="80">
        <v>-55192</v>
      </c>
      <c r="H37" s="80">
        <v>-57367</v>
      </c>
      <c r="I37" s="80">
        <v>-61899</v>
      </c>
      <c r="J37" s="99">
        <v>-56550</v>
      </c>
      <c r="K37" s="99">
        <v>-58226</v>
      </c>
      <c r="L37" s="99">
        <v>-59842</v>
      </c>
      <c r="M37" s="99">
        <v>-61049</v>
      </c>
      <c r="N37" s="99">
        <v>-60414</v>
      </c>
      <c r="O37" s="99">
        <v>-63197</v>
      </c>
      <c r="P37" s="99">
        <v>-64669</v>
      </c>
      <c r="Q37" s="99">
        <v>-70360</v>
      </c>
      <c r="R37" s="99">
        <v>-73423</v>
      </c>
      <c r="S37" s="99">
        <v>-84726</v>
      </c>
      <c r="T37" s="99">
        <v>-82736</v>
      </c>
      <c r="U37" s="99">
        <v>-89897</v>
      </c>
      <c r="V37" s="99">
        <v>-97022</v>
      </c>
      <c r="W37" s="99">
        <v>-100830</v>
      </c>
      <c r="X37" s="99">
        <v>-102010</v>
      </c>
      <c r="Y37" s="99">
        <v>-100499</v>
      </c>
      <c r="Z37" s="99">
        <v>-109928</v>
      </c>
      <c r="AA37" s="99">
        <v>-122072</v>
      </c>
      <c r="AB37" s="99">
        <v>-124353</v>
      </c>
      <c r="AC37" s="99">
        <v>-122263</v>
      </c>
      <c r="AD37" s="99">
        <v>-131499</v>
      </c>
      <c r="AE37" s="99">
        <v>-137083</v>
      </c>
    </row>
    <row r="38" spans="1:31" s="25" customFormat="1" ht="15" thickBot="1">
      <c r="A38" s="49" t="str">
        <f>INDEX({"Demandas judiciais pagas";"Paid lawsuits"},Home!$R$30)</f>
        <v>Demandas judiciais pagas</v>
      </c>
      <c r="B38" s="80">
        <v>0</v>
      </c>
      <c r="C38" s="80">
        <v>0</v>
      </c>
      <c r="D38" s="80">
        <v>0</v>
      </c>
      <c r="E38" s="80">
        <v>0</v>
      </c>
      <c r="F38" s="105">
        <v>-14485</v>
      </c>
      <c r="G38" s="105">
        <v>-16319</v>
      </c>
      <c r="H38" s="105">
        <v>-18711</v>
      </c>
      <c r="I38" s="105">
        <v>-18901.458030000002</v>
      </c>
      <c r="J38" s="105">
        <v>-8473</v>
      </c>
      <c r="K38" s="105">
        <v>-18289</v>
      </c>
      <c r="L38" s="105">
        <v>-10788</v>
      </c>
      <c r="M38" s="105">
        <v>-13522</v>
      </c>
      <c r="N38" s="105">
        <v>-11002</v>
      </c>
      <c r="O38" s="105">
        <v>-12400</v>
      </c>
      <c r="P38" s="105">
        <v>-17573</v>
      </c>
      <c r="Q38" s="105">
        <v>-13210</v>
      </c>
      <c r="R38" s="105">
        <v>-14463</v>
      </c>
      <c r="S38" s="105">
        <v>-18635</v>
      </c>
      <c r="T38" s="105">
        <v>-15164</v>
      </c>
      <c r="U38" s="105">
        <v>-14157</v>
      </c>
      <c r="V38" s="105">
        <v>-15450</v>
      </c>
      <c r="W38" s="105">
        <v>-20648</v>
      </c>
      <c r="X38" s="105">
        <v>-24261</v>
      </c>
      <c r="Y38" s="105">
        <v>-22547</v>
      </c>
      <c r="Z38" s="105">
        <v>-9597</v>
      </c>
      <c r="AA38" s="105">
        <v>-8020</v>
      </c>
      <c r="AB38" s="105">
        <v>-29694</v>
      </c>
      <c r="AC38" s="105">
        <v>-22414</v>
      </c>
      <c r="AD38" s="105">
        <v>-19633</v>
      </c>
      <c r="AE38" s="105">
        <v>-33781</v>
      </c>
    </row>
    <row r="39" spans="1:31" s="25" customFormat="1" ht="15" customHeight="1">
      <c r="A39" s="67" t="str">
        <f>INDEX({"Caixa líquido proveniente das (aplicado nas) atividades operacionais";"Net Cash from (invested) Operational Activities"},Home!$R$30)</f>
        <v>Caixa líquido proveniente das (aplicado nas) atividades operacionais</v>
      </c>
      <c r="B39" s="92">
        <f t="shared" ref="B39:X39" si="3">SUM(B35:B38)+B33</f>
        <v>75125</v>
      </c>
      <c r="C39" s="92">
        <f t="shared" si="3"/>
        <v>373432.43334999972</v>
      </c>
      <c r="D39" s="92">
        <f t="shared" si="3"/>
        <v>25910.566650000284</v>
      </c>
      <c r="E39" s="92">
        <f t="shared" si="3"/>
        <v>274132</v>
      </c>
      <c r="F39" s="92">
        <f t="shared" si="3"/>
        <v>294915.30952000001</v>
      </c>
      <c r="G39" s="92">
        <f t="shared" si="3"/>
        <v>-201195.63467</v>
      </c>
      <c r="H39" s="92">
        <f t="shared" si="3"/>
        <v>564178.86811000004</v>
      </c>
      <c r="I39" s="92">
        <f t="shared" si="3"/>
        <v>747284</v>
      </c>
      <c r="J39" s="92">
        <f t="shared" si="3"/>
        <v>166997</v>
      </c>
      <c r="K39" s="92">
        <f t="shared" si="3"/>
        <v>127565</v>
      </c>
      <c r="L39" s="92">
        <f t="shared" si="3"/>
        <v>431666</v>
      </c>
      <c r="M39" s="92">
        <f t="shared" si="3"/>
        <v>923458</v>
      </c>
      <c r="N39" s="92">
        <f t="shared" si="3"/>
        <v>-211673</v>
      </c>
      <c r="O39" s="92">
        <f t="shared" si="3"/>
        <v>729990</v>
      </c>
      <c r="P39" s="92">
        <f t="shared" si="3"/>
        <v>240766</v>
      </c>
      <c r="Q39" s="92">
        <f t="shared" si="3"/>
        <v>923170</v>
      </c>
      <c r="R39" s="92">
        <f t="shared" si="3"/>
        <v>408141</v>
      </c>
      <c r="S39" s="92">
        <f t="shared" si="3"/>
        <v>613555</v>
      </c>
      <c r="T39" s="92">
        <f t="shared" si="3"/>
        <v>88893</v>
      </c>
      <c r="U39" s="92">
        <f t="shared" si="3"/>
        <v>674738</v>
      </c>
      <c r="V39" s="92">
        <f t="shared" si="3"/>
        <v>655076</v>
      </c>
      <c r="W39" s="92">
        <f t="shared" si="3"/>
        <v>252648</v>
      </c>
      <c r="X39" s="92">
        <f t="shared" si="3"/>
        <v>777095</v>
      </c>
      <c r="Y39" s="92">
        <f t="shared" ref="Y39:AA39" si="4">SUM(Y35:Y38)+Y33</f>
        <v>1086444</v>
      </c>
      <c r="Z39" s="92">
        <f t="shared" si="4"/>
        <v>521310</v>
      </c>
      <c r="AA39" s="92">
        <f t="shared" si="4"/>
        <v>495930</v>
      </c>
      <c r="AB39" s="92">
        <f t="shared" ref="AB39:AC39" si="5">SUM(AB35:AB38)+AB33</f>
        <v>995102</v>
      </c>
      <c r="AC39" s="92">
        <f t="shared" si="5"/>
        <v>418312</v>
      </c>
      <c r="AD39" s="92">
        <f t="shared" ref="AD39:AE39" si="6">SUM(AD35:AD38)+AD33</f>
        <v>769602</v>
      </c>
      <c r="AE39" s="92">
        <f t="shared" si="6"/>
        <v>838751</v>
      </c>
    </row>
    <row r="40" spans="1:31">
      <c r="A40" s="15"/>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row>
    <row r="41" spans="1:31">
      <c r="A41" s="16" t="str">
        <f>INDEX({"Fluxos de caixa das atividades de investimentos";"Investment Activities Cash Flow"},Home!$R$30)</f>
        <v>Fluxos de caixa das atividades de investimentos</v>
      </c>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row>
    <row r="42" spans="1:31" s="25" customFormat="1">
      <c r="A42" s="25" t="str">
        <f>INDEX({"Caixa adquirido em combinação de negócio";"Cash acquired from business combination"},Home!$R$30)</f>
        <v>Caixa adquirido em combinação de negócio</v>
      </c>
      <c r="B42" s="80">
        <v>0</v>
      </c>
      <c r="C42" s="80">
        <v>0</v>
      </c>
      <c r="D42" s="80">
        <v>283685</v>
      </c>
      <c r="E42" s="80">
        <v>1</v>
      </c>
      <c r="F42" s="80">
        <v>0</v>
      </c>
      <c r="G42" s="80">
        <v>0</v>
      </c>
      <c r="H42" s="80">
        <v>0</v>
      </c>
      <c r="I42" s="80">
        <v>0</v>
      </c>
      <c r="J42" s="80">
        <v>0</v>
      </c>
      <c r="K42" s="80">
        <v>13275</v>
      </c>
      <c r="L42" s="99">
        <v>0</v>
      </c>
      <c r="M42" s="99">
        <v>1380</v>
      </c>
      <c r="N42" s="99">
        <v>0</v>
      </c>
      <c r="O42" s="99">
        <v>0</v>
      </c>
      <c r="P42" s="99">
        <v>0</v>
      </c>
      <c r="Q42" s="99">
        <v>0</v>
      </c>
      <c r="R42" s="99">
        <v>0</v>
      </c>
      <c r="S42" s="99">
        <v>0</v>
      </c>
      <c r="T42" s="99">
        <v>0</v>
      </c>
      <c r="U42" s="99">
        <v>256</v>
      </c>
      <c r="V42" s="99">
        <v>0</v>
      </c>
      <c r="W42" s="99">
        <v>0</v>
      </c>
      <c r="X42" s="99">
        <v>0</v>
      </c>
      <c r="Y42" s="99">
        <v>0</v>
      </c>
      <c r="Z42" s="99">
        <v>0</v>
      </c>
      <c r="AA42" s="99">
        <v>0</v>
      </c>
      <c r="AB42" s="99">
        <v>0</v>
      </c>
      <c r="AC42" s="99">
        <v>0</v>
      </c>
      <c r="AD42" s="99">
        <v>0</v>
      </c>
      <c r="AE42" s="99">
        <v>144517</v>
      </c>
    </row>
    <row r="43" spans="1:31" s="25" customFormat="1">
      <c r="A43" s="17" t="str">
        <f>INDEX({"Aquisição de controlada";"Acquisition of subsidiary"},Home!$R$30)</f>
        <v>Aquisição de controlada</v>
      </c>
      <c r="B43" s="80">
        <v>0</v>
      </c>
      <c r="C43" s="80">
        <v>0</v>
      </c>
      <c r="D43" s="80">
        <v>0</v>
      </c>
      <c r="E43" s="80">
        <v>0</v>
      </c>
      <c r="F43" s="80">
        <v>0</v>
      </c>
      <c r="G43" s="80">
        <v>0</v>
      </c>
      <c r="H43" s="80">
        <v>0</v>
      </c>
      <c r="I43" s="80">
        <v>0</v>
      </c>
      <c r="J43" s="99">
        <v>0</v>
      </c>
      <c r="K43" s="99">
        <v>0</v>
      </c>
      <c r="L43" s="99">
        <v>0</v>
      </c>
      <c r="M43" s="99">
        <v>0</v>
      </c>
      <c r="N43" s="99">
        <v>0</v>
      </c>
      <c r="O43" s="99">
        <v>0</v>
      </c>
      <c r="P43" s="99">
        <v>0</v>
      </c>
      <c r="Q43" s="99">
        <v>0</v>
      </c>
      <c r="R43" s="99">
        <v>0</v>
      </c>
      <c r="S43" s="99">
        <v>0</v>
      </c>
      <c r="T43" s="99">
        <v>0</v>
      </c>
      <c r="U43" s="99">
        <v>0</v>
      </c>
      <c r="V43" s="99">
        <v>0</v>
      </c>
      <c r="W43" s="99">
        <v>0</v>
      </c>
      <c r="X43" s="99">
        <v>0</v>
      </c>
      <c r="Y43" s="99">
        <v>0</v>
      </c>
      <c r="Z43" s="99">
        <v>0</v>
      </c>
      <c r="AA43" s="99">
        <v>0</v>
      </c>
      <c r="AB43" s="99">
        <v>0</v>
      </c>
      <c r="AC43" s="99">
        <v>0</v>
      </c>
      <c r="AD43" s="99">
        <v>0</v>
      </c>
      <c r="AE43" s="99">
        <v>0</v>
      </c>
    </row>
    <row r="44" spans="1:31" s="25" customFormat="1">
      <c r="A44" s="17" t="str">
        <f>INDEX({"Aquisição participação em controlada, sem mudar controle";"Acquisition of share in investee, without change in control"},Home!$R$30)</f>
        <v>Aquisição participação em controlada, sem mudar controle</v>
      </c>
      <c r="B44" s="80">
        <v>0</v>
      </c>
      <c r="C44" s="80">
        <v>0</v>
      </c>
      <c r="D44" s="80">
        <v>0</v>
      </c>
      <c r="E44" s="80">
        <v>0</v>
      </c>
      <c r="F44" s="80">
        <v>0</v>
      </c>
      <c r="G44" s="80">
        <v>0</v>
      </c>
      <c r="H44" s="80">
        <v>0</v>
      </c>
      <c r="I44" s="80">
        <v>0</v>
      </c>
      <c r="J44" s="99">
        <v>0</v>
      </c>
      <c r="K44" s="99">
        <v>0</v>
      </c>
      <c r="L44" s="99">
        <v>0</v>
      </c>
      <c r="M44" s="99">
        <v>0</v>
      </c>
      <c r="N44" s="99">
        <v>0</v>
      </c>
      <c r="O44" s="99">
        <v>0</v>
      </c>
      <c r="P44" s="99">
        <v>0</v>
      </c>
      <c r="Q44" s="99">
        <v>0</v>
      </c>
      <c r="R44" s="99">
        <v>0</v>
      </c>
      <c r="S44" s="99">
        <v>0</v>
      </c>
      <c r="T44" s="99">
        <v>0</v>
      </c>
      <c r="U44" s="99">
        <v>0</v>
      </c>
      <c r="V44" s="99">
        <v>0</v>
      </c>
      <c r="W44" s="99">
        <v>-117817</v>
      </c>
      <c r="X44" s="99">
        <v>0</v>
      </c>
      <c r="Y44" s="99">
        <v>0</v>
      </c>
      <c r="Z44" s="99">
        <v>0</v>
      </c>
      <c r="AA44" s="99">
        <v>0</v>
      </c>
      <c r="AB44" s="99">
        <v>0</v>
      </c>
      <c r="AC44" s="99">
        <v>0</v>
      </c>
      <c r="AD44" s="99">
        <v>0</v>
      </c>
      <c r="AE44" s="99">
        <v>0</v>
      </c>
    </row>
    <row r="45" spans="1:31" s="25" customFormat="1">
      <c r="A45" s="17" t="str">
        <f>INDEX({"Aquisições de imobilizado e intangível";"P,P&amp;E and Intangible Acquisitions"},Home!$R$30)</f>
        <v>Aquisições de imobilizado e intangível</v>
      </c>
      <c r="B45" s="80">
        <v>-174402.93273</v>
      </c>
      <c r="C45" s="80">
        <v>-162104.90419999999</v>
      </c>
      <c r="D45" s="80">
        <v>-143753.27840000001</v>
      </c>
      <c r="E45" s="80">
        <v>194126.10182000001</v>
      </c>
      <c r="F45" s="80">
        <v>-177063</v>
      </c>
      <c r="G45" s="80">
        <v>-110397</v>
      </c>
      <c r="H45" s="80">
        <v>-187228</v>
      </c>
      <c r="I45" s="80">
        <v>-201733</v>
      </c>
      <c r="J45" s="99">
        <v>-133863</v>
      </c>
      <c r="K45" s="99">
        <v>-254620</v>
      </c>
      <c r="L45" s="99">
        <v>-215286</v>
      </c>
      <c r="M45" s="99">
        <v>-350967</v>
      </c>
      <c r="N45" s="99">
        <v>-134770</v>
      </c>
      <c r="O45" s="99">
        <v>-308223</v>
      </c>
      <c r="P45" s="99">
        <v>-332055</v>
      </c>
      <c r="Q45" s="99">
        <v>-413734</v>
      </c>
      <c r="R45" s="99">
        <v>-240719</v>
      </c>
      <c r="S45" s="99">
        <v>-316220</v>
      </c>
      <c r="T45" s="99">
        <v>-349065</v>
      </c>
      <c r="U45" s="99">
        <v>-398577</v>
      </c>
      <c r="V45" s="99">
        <v>-203679</v>
      </c>
      <c r="W45" s="99">
        <v>-279417</v>
      </c>
      <c r="X45" s="99">
        <v>-369185</v>
      </c>
      <c r="Y45" s="99">
        <v>-431372</v>
      </c>
      <c r="Z45" s="99">
        <v>-270528</v>
      </c>
      <c r="AA45" s="99">
        <v>-323410</v>
      </c>
      <c r="AB45" s="99">
        <v>-378062</v>
      </c>
      <c r="AC45" s="99">
        <v>-430977</v>
      </c>
      <c r="AD45" s="99">
        <v>-259952</v>
      </c>
      <c r="AE45" s="99">
        <v>-324281</v>
      </c>
    </row>
    <row r="46" spans="1:31" s="25" customFormat="1">
      <c r="A46" s="17" t="str">
        <f>INDEX({"Recebimentos por vendas de imobilizados";"Receipts from sales of property, plant and equipment"},Home!$R$30)</f>
        <v>Recebimentos por vendas de imobilizados</v>
      </c>
      <c r="B46" s="80">
        <v>-17</v>
      </c>
      <c r="C46" s="80">
        <v>50</v>
      </c>
      <c r="D46" s="80">
        <v>406</v>
      </c>
      <c r="E46" s="80">
        <v>-218</v>
      </c>
      <c r="F46" s="80">
        <v>8</v>
      </c>
      <c r="G46" s="80">
        <v>0</v>
      </c>
      <c r="H46" s="80">
        <v>1292</v>
      </c>
      <c r="I46" s="80">
        <v>5348</v>
      </c>
      <c r="J46" s="99">
        <v>466</v>
      </c>
      <c r="K46" s="99">
        <v>209</v>
      </c>
      <c r="L46" s="99">
        <v>0</v>
      </c>
      <c r="M46" s="99">
        <v>134</v>
      </c>
      <c r="N46" s="99">
        <v>0</v>
      </c>
      <c r="O46" s="99">
        <v>0</v>
      </c>
      <c r="P46" s="99">
        <v>0</v>
      </c>
      <c r="Q46" s="99">
        <v>0</v>
      </c>
      <c r="R46" s="99">
        <v>0</v>
      </c>
      <c r="S46" s="99">
        <v>0</v>
      </c>
      <c r="T46" s="99">
        <v>0</v>
      </c>
      <c r="U46" s="99">
        <v>154</v>
      </c>
      <c r="V46" s="99">
        <v>4194</v>
      </c>
      <c r="W46" s="99">
        <v>71</v>
      </c>
      <c r="X46" s="99">
        <v>0</v>
      </c>
      <c r="Y46" s="99">
        <v>0</v>
      </c>
      <c r="Z46" s="99">
        <v>0</v>
      </c>
      <c r="AA46" s="99">
        <v>0</v>
      </c>
      <c r="AB46" s="99">
        <v>573</v>
      </c>
      <c r="AC46" s="99">
        <v>79</v>
      </c>
      <c r="AD46" s="99">
        <v>0</v>
      </c>
      <c r="AE46" s="99">
        <v>533</v>
      </c>
    </row>
    <row r="47" spans="1:31" s="25" customFormat="1">
      <c r="A47" s="17" t="str">
        <f>INDEX({"Aplicações financeiras restritas";"Restricted financial investments"},Home!$R$30)</f>
        <v>Aplicações financeiras restritas</v>
      </c>
      <c r="B47" s="99">
        <v>0</v>
      </c>
      <c r="C47" s="99">
        <v>0</v>
      </c>
      <c r="D47" s="99">
        <v>0</v>
      </c>
      <c r="E47" s="99">
        <v>0</v>
      </c>
      <c r="F47" s="99">
        <v>0</v>
      </c>
      <c r="G47" s="99">
        <v>0</v>
      </c>
      <c r="H47" s="99">
        <v>0</v>
      </c>
      <c r="I47" s="99">
        <v>0</v>
      </c>
      <c r="J47" s="99">
        <v>0</v>
      </c>
      <c r="K47" s="99">
        <v>0</v>
      </c>
      <c r="L47" s="99">
        <v>0</v>
      </c>
      <c r="M47" s="99">
        <v>0</v>
      </c>
      <c r="N47" s="99">
        <v>0</v>
      </c>
      <c r="O47" s="99">
        <v>0</v>
      </c>
      <c r="P47" s="99">
        <v>0</v>
      </c>
      <c r="Q47" s="99">
        <v>0</v>
      </c>
      <c r="R47" s="99">
        <v>0</v>
      </c>
      <c r="S47" s="99">
        <v>0</v>
      </c>
      <c r="T47" s="99">
        <v>0</v>
      </c>
      <c r="U47" s="99">
        <v>0</v>
      </c>
      <c r="V47" s="99">
        <v>0</v>
      </c>
      <c r="W47" s="99">
        <v>0</v>
      </c>
      <c r="X47" s="99">
        <v>0</v>
      </c>
      <c r="Y47" s="80">
        <v>-15706</v>
      </c>
      <c r="Z47" s="80">
        <v>-50089</v>
      </c>
      <c r="AA47" s="80">
        <v>-12484</v>
      </c>
      <c r="AB47" s="80">
        <v>-23771</v>
      </c>
      <c r="AC47" s="80">
        <v>82930</v>
      </c>
      <c r="AD47" s="80">
        <v>-76814</v>
      </c>
      <c r="AE47" s="80">
        <v>-20515</v>
      </c>
    </row>
    <row r="48" spans="1:31" s="25" customFormat="1">
      <c r="A48" s="17" t="str">
        <f>INDEX({"Aquisição e aporte de capital em investidas, líquido";"Acquisition and capital injection in investees, net"},Home!$R$30)</f>
        <v>Aquisição e aporte de capital em investidas, líquido</v>
      </c>
      <c r="B48" s="80">
        <v>0</v>
      </c>
      <c r="C48" s="80">
        <v>0</v>
      </c>
      <c r="D48" s="80">
        <v>0</v>
      </c>
      <c r="E48" s="80">
        <v>0</v>
      </c>
      <c r="F48" s="80">
        <v>-3289</v>
      </c>
      <c r="G48" s="80">
        <v>0</v>
      </c>
      <c r="H48" s="80">
        <v>3289</v>
      </c>
      <c r="I48" s="80">
        <v>-3289</v>
      </c>
      <c r="J48" s="99">
        <v>-14274</v>
      </c>
      <c r="K48" s="99">
        <v>-331</v>
      </c>
      <c r="L48" s="99">
        <v>6479</v>
      </c>
      <c r="M48" s="99">
        <v>-4510</v>
      </c>
      <c r="N48" s="99">
        <v>0</v>
      </c>
      <c r="O48" s="99">
        <v>0</v>
      </c>
      <c r="P48" s="99">
        <v>-42000</v>
      </c>
      <c r="Q48" s="99">
        <v>2000</v>
      </c>
      <c r="R48" s="99">
        <v>0</v>
      </c>
      <c r="S48" s="99">
        <v>0</v>
      </c>
      <c r="T48" s="99">
        <v>0</v>
      </c>
      <c r="U48" s="99">
        <v>0</v>
      </c>
      <c r="V48" s="99">
        <v>0</v>
      </c>
      <c r="W48" s="99">
        <v>0</v>
      </c>
      <c r="X48" s="99">
        <v>0</v>
      </c>
      <c r="Y48" s="99">
        <v>0</v>
      </c>
      <c r="Z48" s="99">
        <v>0</v>
      </c>
      <c r="AA48" s="99">
        <v>0</v>
      </c>
      <c r="AB48" s="99">
        <v>0</v>
      </c>
      <c r="AC48" s="99">
        <v>0</v>
      </c>
      <c r="AD48" s="99">
        <v>0</v>
      </c>
      <c r="AE48" s="99">
        <v>-2300</v>
      </c>
    </row>
    <row r="49" spans="1:31" s="25" customFormat="1">
      <c r="A49" s="17" t="str">
        <f>INDEX({"Empréstimos concedidos a controladas";"Loans granted to subsidiaries"},Home!$R$30)</f>
        <v>Empréstimos concedidos a controladas</v>
      </c>
      <c r="B49" s="80">
        <v>0</v>
      </c>
      <c r="C49" s="80">
        <v>0</v>
      </c>
      <c r="D49" s="80">
        <v>0</v>
      </c>
      <c r="E49" s="80">
        <v>0</v>
      </c>
      <c r="F49" s="80">
        <v>0</v>
      </c>
      <c r="G49" s="80">
        <v>0</v>
      </c>
      <c r="H49" s="80">
        <v>-1803</v>
      </c>
      <c r="I49" s="80">
        <v>1768</v>
      </c>
      <c r="J49" s="99">
        <v>0</v>
      </c>
      <c r="K49" s="99">
        <v>0</v>
      </c>
      <c r="L49" s="99">
        <v>-1100</v>
      </c>
      <c r="M49" s="99">
        <v>-17350</v>
      </c>
      <c r="N49" s="99">
        <v>-4000</v>
      </c>
      <c r="O49" s="99">
        <v>-10345</v>
      </c>
      <c r="P49" s="99">
        <v>13545</v>
      </c>
      <c r="Q49" s="99">
        <v>0</v>
      </c>
      <c r="R49" s="99">
        <v>0</v>
      </c>
      <c r="S49" s="99">
        <v>0</v>
      </c>
      <c r="T49" s="99">
        <v>0</v>
      </c>
      <c r="U49" s="99">
        <v>0</v>
      </c>
      <c r="V49" s="99">
        <v>0</v>
      </c>
      <c r="W49" s="99">
        <v>0</v>
      </c>
      <c r="X49" s="99">
        <v>0</v>
      </c>
      <c r="Y49" s="99">
        <v>0</v>
      </c>
      <c r="Z49" s="99">
        <v>0</v>
      </c>
      <c r="AA49" s="99">
        <v>0</v>
      </c>
      <c r="AB49" s="99">
        <v>0</v>
      </c>
      <c r="AC49" s="99">
        <v>0</v>
      </c>
      <c r="AD49" s="99">
        <v>0</v>
      </c>
      <c r="AE49" s="99">
        <v>0</v>
      </c>
    </row>
    <row r="50" spans="1:31" s="25" customFormat="1">
      <c r="A50" s="17" t="str">
        <f>INDEX({"Caixa da empresa incorporada";"Cash from incorporated company"},Home!$R$30)</f>
        <v>Caixa da empresa incorporada</v>
      </c>
      <c r="B50" s="99">
        <v>0</v>
      </c>
      <c r="C50" s="99">
        <v>0</v>
      </c>
      <c r="D50" s="99">
        <v>0</v>
      </c>
      <c r="E50" s="99">
        <v>0</v>
      </c>
      <c r="F50" s="99">
        <v>0</v>
      </c>
      <c r="G50" s="99">
        <v>0</v>
      </c>
      <c r="H50" s="99">
        <v>0</v>
      </c>
      <c r="I50" s="99">
        <v>0</v>
      </c>
      <c r="J50" s="99">
        <v>0</v>
      </c>
      <c r="K50" s="99">
        <v>-14292</v>
      </c>
      <c r="L50" s="99">
        <v>0</v>
      </c>
      <c r="M50" s="99">
        <v>-440</v>
      </c>
      <c r="N50" s="99">
        <v>0</v>
      </c>
      <c r="O50" s="99">
        <v>0</v>
      </c>
      <c r="P50" s="99">
        <v>0</v>
      </c>
      <c r="Q50" s="99">
        <v>0</v>
      </c>
      <c r="R50" s="99">
        <v>0</v>
      </c>
      <c r="S50" s="99">
        <v>-1445</v>
      </c>
      <c r="T50" s="99">
        <v>-1179</v>
      </c>
      <c r="U50" s="99">
        <v>-328</v>
      </c>
      <c r="V50" s="99">
        <v>0</v>
      </c>
      <c r="W50" s="99">
        <v>0</v>
      </c>
      <c r="X50" s="99">
        <v>0</v>
      </c>
      <c r="Y50" s="99">
        <v>0</v>
      </c>
      <c r="Z50" s="99">
        <v>0</v>
      </c>
      <c r="AA50" s="99">
        <v>0</v>
      </c>
      <c r="AB50" s="99">
        <v>0</v>
      </c>
      <c r="AC50" s="99">
        <v>0</v>
      </c>
      <c r="AD50" s="99">
        <v>0</v>
      </c>
      <c r="AE50" s="99">
        <v>0</v>
      </c>
    </row>
    <row r="51" spans="1:31" s="25" customFormat="1" ht="15" thickBot="1">
      <c r="A51" s="17" t="str">
        <f>INDEX({"Recebimentos por vendas de Investida";"Cash from divestments "},Home!$R$30)</f>
        <v>Recebimentos por vendas de Investida</v>
      </c>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v>100000</v>
      </c>
    </row>
    <row r="52" spans="1:31" s="25" customFormat="1">
      <c r="A52" s="67" t="str">
        <f>INDEX({"Caixa líquido aplicado nas atividades de investimentos";"Net Cash from Investment Activities"},Home!$R$30)</f>
        <v>Caixa líquido aplicado nas atividades de investimentos</v>
      </c>
      <c r="B52" s="92">
        <f t="shared" ref="B52:X52" si="7">SUM(B42:B50)</f>
        <v>-174419.93273</v>
      </c>
      <c r="C52" s="92">
        <f t="shared" si="7"/>
        <v>-162054.90419999999</v>
      </c>
      <c r="D52" s="92">
        <f t="shared" si="7"/>
        <v>140337.72159999999</v>
      </c>
      <c r="E52" s="92">
        <f t="shared" si="7"/>
        <v>193909.10182000001</v>
      </c>
      <c r="F52" s="92">
        <f t="shared" si="7"/>
        <v>-180344</v>
      </c>
      <c r="G52" s="92">
        <f t="shared" si="7"/>
        <v>-110397</v>
      </c>
      <c r="H52" s="92">
        <f t="shared" si="7"/>
        <v>-184450</v>
      </c>
      <c r="I52" s="92">
        <f t="shared" si="7"/>
        <v>-197906</v>
      </c>
      <c r="J52" s="92">
        <f t="shared" si="7"/>
        <v>-147671</v>
      </c>
      <c r="K52" s="92">
        <f t="shared" si="7"/>
        <v>-255759</v>
      </c>
      <c r="L52" s="92">
        <f t="shared" si="7"/>
        <v>-209907</v>
      </c>
      <c r="M52" s="92">
        <f t="shared" si="7"/>
        <v>-371753</v>
      </c>
      <c r="N52" s="92">
        <f t="shared" si="7"/>
        <v>-138770</v>
      </c>
      <c r="O52" s="92">
        <f t="shared" si="7"/>
        <v>-318568</v>
      </c>
      <c r="P52" s="92">
        <f t="shared" si="7"/>
        <v>-360510</v>
      </c>
      <c r="Q52" s="92">
        <f t="shared" si="7"/>
        <v>-411734</v>
      </c>
      <c r="R52" s="92">
        <f t="shared" si="7"/>
        <v>-240719</v>
      </c>
      <c r="S52" s="92">
        <f t="shared" si="7"/>
        <v>-317665</v>
      </c>
      <c r="T52" s="92">
        <f t="shared" si="7"/>
        <v>-350244</v>
      </c>
      <c r="U52" s="92">
        <f t="shared" si="7"/>
        <v>-398495</v>
      </c>
      <c r="V52" s="92">
        <f t="shared" si="7"/>
        <v>-199485</v>
      </c>
      <c r="W52" s="92">
        <f t="shared" si="7"/>
        <v>-397163</v>
      </c>
      <c r="X52" s="92">
        <f t="shared" si="7"/>
        <v>-369185</v>
      </c>
      <c r="Y52" s="92">
        <f t="shared" ref="Y52:AA52" si="8">SUM(Y42:Y50)</f>
        <v>-447078</v>
      </c>
      <c r="Z52" s="92">
        <f t="shared" si="8"/>
        <v>-320617</v>
      </c>
      <c r="AA52" s="92">
        <f t="shared" si="8"/>
        <v>-335894</v>
      </c>
      <c r="AB52" s="92">
        <f t="shared" ref="AB52:AC52" si="9">SUM(AB42:AB50)</f>
        <v>-401260</v>
      </c>
      <c r="AC52" s="92">
        <f t="shared" si="9"/>
        <v>-347968</v>
      </c>
      <c r="AD52" s="92">
        <f t="shared" ref="AD52" si="10">SUM(AD42:AD50)</f>
        <v>-336766</v>
      </c>
      <c r="AE52" s="92">
        <f>SUM(AE42:AE51)</f>
        <v>-102046</v>
      </c>
    </row>
    <row r="53" spans="1:31">
      <c r="A53" s="15"/>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row>
    <row r="54" spans="1:31">
      <c r="A54" s="16" t="str">
        <f>INDEX({"Fluxos de caixa das atividades de financiamentos";"Financing Activities Cash Flow"},Home!$R$30)</f>
        <v>Fluxos de caixa das atividades de financiamentos</v>
      </c>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row>
    <row r="55" spans="1:31" s="25" customFormat="1">
      <c r="A55" s="17" t="str">
        <f>INDEX({"Empréstimos e financiamentos tomados";"Funding"},Home!$R$30)</f>
        <v>Empréstimos e financiamentos tomados</v>
      </c>
      <c r="B55" s="80">
        <v>265244</v>
      </c>
      <c r="C55" s="80">
        <v>89170</v>
      </c>
      <c r="D55" s="80">
        <v>362367</v>
      </c>
      <c r="E55" s="80">
        <v>21866</v>
      </c>
      <c r="F55" s="80">
        <v>299821</v>
      </c>
      <c r="G55" s="80">
        <v>411599</v>
      </c>
      <c r="H55" s="80">
        <v>8379</v>
      </c>
      <c r="I55" s="80">
        <v>8417</v>
      </c>
      <c r="J55" s="99">
        <v>299056</v>
      </c>
      <c r="K55" s="99">
        <v>39954</v>
      </c>
      <c r="L55" s="99">
        <v>-73</v>
      </c>
      <c r="M55" s="99">
        <v>-703</v>
      </c>
      <c r="N55" s="99">
        <v>743252</v>
      </c>
      <c r="O55" s="99">
        <v>699336</v>
      </c>
      <c r="P55" s="99">
        <v>-14542</v>
      </c>
      <c r="Q55" s="99">
        <v>32203</v>
      </c>
      <c r="R55" s="99">
        <v>20576</v>
      </c>
      <c r="S55" s="99">
        <v>173151</v>
      </c>
      <c r="T55" s="99">
        <v>833991</v>
      </c>
      <c r="U55" s="99">
        <v>31147</v>
      </c>
      <c r="V55" s="99">
        <v>49576</v>
      </c>
      <c r="W55" s="99">
        <v>600000</v>
      </c>
      <c r="X55" s="99">
        <v>424</v>
      </c>
      <c r="Y55" s="99">
        <v>38869</v>
      </c>
      <c r="Z55" s="99">
        <v>90000</v>
      </c>
      <c r="AA55" s="99">
        <v>500000</v>
      </c>
      <c r="AB55" s="99">
        <v>0</v>
      </c>
      <c r="AC55" s="99">
        <v>600000</v>
      </c>
      <c r="AD55" s="99">
        <v>0</v>
      </c>
      <c r="AE55" s="99">
        <v>0</v>
      </c>
    </row>
    <row r="56" spans="1:31" s="25" customFormat="1">
      <c r="A56" s="17" t="str">
        <f>INDEX({"Pagamentos de empréstimos e financiamentos";"Payments"},Home!$R$30)</f>
        <v>Pagamentos de empréstimos e financiamentos</v>
      </c>
      <c r="B56" s="80">
        <v>-43234</v>
      </c>
      <c r="C56" s="80">
        <v>-181644</v>
      </c>
      <c r="D56" s="80">
        <v>-115553</v>
      </c>
      <c r="E56" s="80">
        <v>-122220</v>
      </c>
      <c r="F56" s="80">
        <v>-19500</v>
      </c>
      <c r="G56" s="80">
        <v>-97362</v>
      </c>
      <c r="H56" s="80">
        <v>-16158</v>
      </c>
      <c r="I56" s="80">
        <v>-92225</v>
      </c>
      <c r="J56" s="99">
        <v>-314487</v>
      </c>
      <c r="K56" s="99">
        <v>-125229</v>
      </c>
      <c r="L56" s="99">
        <v>-78</v>
      </c>
      <c r="M56" s="99">
        <v>-77852</v>
      </c>
      <c r="N56" s="99">
        <v>-101202</v>
      </c>
      <c r="O56" s="99">
        <v>-482811</v>
      </c>
      <c r="P56" s="99">
        <v>-84439</v>
      </c>
      <c r="Q56" s="99">
        <v>-41</v>
      </c>
      <c r="R56" s="99">
        <v>-44552</v>
      </c>
      <c r="S56" s="99">
        <v>-65785</v>
      </c>
      <c r="T56" s="99">
        <v>-119706</v>
      </c>
      <c r="U56" s="99">
        <v>-39648</v>
      </c>
      <c r="V56" s="99">
        <v>-300000</v>
      </c>
      <c r="W56" s="99">
        <v>-53000</v>
      </c>
      <c r="X56" s="99">
        <v>-140000</v>
      </c>
      <c r="Y56" s="99">
        <v>-32000</v>
      </c>
      <c r="Z56" s="99">
        <v>-213869</v>
      </c>
      <c r="AA56" s="99">
        <v>0</v>
      </c>
      <c r="AB56" s="99">
        <v>-440000</v>
      </c>
      <c r="AC56" s="99">
        <v>0</v>
      </c>
      <c r="AD56" s="99">
        <v>-250000</v>
      </c>
      <c r="AE56" s="99">
        <v>-150000</v>
      </c>
    </row>
    <row r="57" spans="1:31" s="25" customFormat="1">
      <c r="A57" s="17" t="str">
        <f>INDEX({"Recompra de ações";"Share Buyback"},Home!$R$30)</f>
        <v>Recompra de ações</v>
      </c>
      <c r="B57" s="80">
        <v>0</v>
      </c>
      <c r="C57" s="80">
        <v>0</v>
      </c>
      <c r="D57" s="80">
        <v>0</v>
      </c>
      <c r="E57" s="80">
        <v>0</v>
      </c>
      <c r="F57" s="80">
        <v>0</v>
      </c>
      <c r="G57" s="80">
        <v>0</v>
      </c>
      <c r="H57" s="80">
        <v>0</v>
      </c>
      <c r="I57" s="80">
        <v>0</v>
      </c>
      <c r="J57" s="99">
        <v>0</v>
      </c>
      <c r="K57" s="99">
        <v>0</v>
      </c>
      <c r="L57" s="99">
        <v>-73228</v>
      </c>
      <c r="M57" s="99">
        <v>0</v>
      </c>
      <c r="N57" s="99">
        <v>0</v>
      </c>
      <c r="O57" s="99">
        <v>0</v>
      </c>
      <c r="P57" s="99">
        <v>0</v>
      </c>
      <c r="Q57" s="99">
        <v>0</v>
      </c>
      <c r="R57" s="99">
        <v>0</v>
      </c>
      <c r="S57" s="99">
        <v>0</v>
      </c>
      <c r="T57" s="99">
        <v>0</v>
      </c>
      <c r="U57" s="99">
        <v>0</v>
      </c>
      <c r="V57" s="99">
        <v>0</v>
      </c>
      <c r="W57" s="99">
        <v>0</v>
      </c>
      <c r="X57" s="99">
        <v>0</v>
      </c>
      <c r="Y57" s="99">
        <v>-73285</v>
      </c>
      <c r="Z57" s="99">
        <v>0</v>
      </c>
      <c r="AA57" s="99">
        <v>0</v>
      </c>
      <c r="AB57" s="99">
        <v>0</v>
      </c>
      <c r="AC57" s="99">
        <v>0</v>
      </c>
      <c r="AD57" s="99">
        <v>0</v>
      </c>
      <c r="AE57" s="99">
        <v>0</v>
      </c>
    </row>
    <row r="58" spans="1:31" s="25" customFormat="1">
      <c r="A58" s="17" t="str">
        <f>INDEX({"Juros sobre capital próprio e dividendo pagos";"Interest on Equity and Dividends Paid"},Home!$R$30)</f>
        <v>Juros sobre capital próprio e dividendo pagos</v>
      </c>
      <c r="B58" s="80">
        <v>-1219</v>
      </c>
      <c r="C58" s="80">
        <v>-92378</v>
      </c>
      <c r="D58" s="80">
        <v>-49</v>
      </c>
      <c r="E58" s="80">
        <v>-92955</v>
      </c>
      <c r="F58" s="80">
        <v>-585</v>
      </c>
      <c r="G58" s="80">
        <v>-107020</v>
      </c>
      <c r="H58" s="80">
        <v>-19481</v>
      </c>
      <c r="I58" s="80">
        <v>-63432</v>
      </c>
      <c r="J58" s="99">
        <v>-40</v>
      </c>
      <c r="K58" s="99">
        <v>-83618</v>
      </c>
      <c r="L58" s="99">
        <v>-64</v>
      </c>
      <c r="M58" s="99">
        <v>-181303</v>
      </c>
      <c r="N58" s="99">
        <v>-99</v>
      </c>
      <c r="O58" s="99">
        <v>-96140</v>
      </c>
      <c r="P58" s="99">
        <v>-8</v>
      </c>
      <c r="Q58" s="99">
        <v>-227835</v>
      </c>
      <c r="R58" s="99">
        <v>-23</v>
      </c>
      <c r="S58" s="99">
        <v>-226509</v>
      </c>
      <c r="T58" s="99">
        <v>-303</v>
      </c>
      <c r="U58" s="99">
        <v>-239066</v>
      </c>
      <c r="V58" s="99">
        <v>-194</v>
      </c>
      <c r="W58" s="99">
        <v>-237370</v>
      </c>
      <c r="X58" s="99">
        <v>-1111</v>
      </c>
      <c r="Y58" s="99">
        <v>-235898</v>
      </c>
      <c r="Z58" s="99">
        <v>-102</v>
      </c>
      <c r="AA58" s="99">
        <v>-308261</v>
      </c>
      <c r="AB58" s="99">
        <v>-75</v>
      </c>
      <c r="AC58" s="99">
        <v>-344326</v>
      </c>
      <c r="AD58" s="99">
        <v>-491</v>
      </c>
      <c r="AE58" s="99">
        <v>-246301</v>
      </c>
    </row>
    <row r="59" spans="1:31" s="25" customFormat="1">
      <c r="A59" s="17" t="str">
        <f>INDEX({"Pagamentos de Arrendamento Mercantil";"Lease Payments"},Home!$R$30)</f>
        <v>Pagamentos de Arrendamento Mercantil</v>
      </c>
      <c r="B59" s="80">
        <v>-119468</v>
      </c>
      <c r="C59" s="80">
        <v>-124735</v>
      </c>
      <c r="D59" s="80">
        <v>-151718</v>
      </c>
      <c r="E59" s="80">
        <v>-382187</v>
      </c>
      <c r="F59" s="80">
        <v>-159825</v>
      </c>
      <c r="G59" s="80">
        <v>-162915.51918999999</v>
      </c>
      <c r="H59" s="80">
        <v>-18679.480809999979</v>
      </c>
      <c r="I59" s="80">
        <v>-121987</v>
      </c>
      <c r="J59" s="99">
        <v>-149778</v>
      </c>
      <c r="K59" s="99">
        <v>-170662</v>
      </c>
      <c r="L59" s="99">
        <v>-167843</v>
      </c>
      <c r="M59" s="99">
        <v>-182887</v>
      </c>
      <c r="N59" s="99">
        <v>-181472</v>
      </c>
      <c r="O59" s="99">
        <v>-179155</v>
      </c>
      <c r="P59" s="99">
        <v>-228901</v>
      </c>
      <c r="Q59" s="99">
        <v>-253394</v>
      </c>
      <c r="R59" s="99">
        <v>-205697</v>
      </c>
      <c r="S59" s="99">
        <v>-202705</v>
      </c>
      <c r="T59" s="99">
        <v>-204354</v>
      </c>
      <c r="U59" s="99">
        <v>-209941</v>
      </c>
      <c r="V59" s="99">
        <v>-204698</v>
      </c>
      <c r="W59" s="99">
        <v>-208050</v>
      </c>
      <c r="X59" s="99">
        <v>-226373</v>
      </c>
      <c r="Y59" s="99">
        <v>-219561</v>
      </c>
      <c r="Z59" s="99">
        <v>-200343</v>
      </c>
      <c r="AA59" s="99">
        <v>-229136</v>
      </c>
      <c r="AB59" s="99">
        <v>-244447</v>
      </c>
      <c r="AC59" s="99">
        <v>-247258</v>
      </c>
      <c r="AD59" s="99">
        <v>-244699</v>
      </c>
      <c r="AE59" s="99">
        <v>-245477</v>
      </c>
    </row>
    <row r="60" spans="1:31" s="25" customFormat="1" ht="15" thickBot="1">
      <c r="A60" s="17" t="str">
        <f>INDEX({"Resgate Cotistas Seniores";"Senior Quota Redemption"},Home!$R$30)</f>
        <v>Resgate Cotistas Seniores</v>
      </c>
      <c r="B60" s="99">
        <v>0</v>
      </c>
      <c r="C60" s="99">
        <v>0</v>
      </c>
      <c r="D60" s="99">
        <v>0</v>
      </c>
      <c r="E60" s="99">
        <v>0</v>
      </c>
      <c r="F60" s="99">
        <v>0</v>
      </c>
      <c r="G60" s="99">
        <v>0</v>
      </c>
      <c r="H60" s="99">
        <v>0</v>
      </c>
      <c r="I60" s="99">
        <v>0</v>
      </c>
      <c r="J60" s="99">
        <v>0</v>
      </c>
      <c r="K60" s="99">
        <v>0</v>
      </c>
      <c r="L60" s="99">
        <v>0</v>
      </c>
      <c r="M60" s="99">
        <v>0</v>
      </c>
      <c r="N60" s="99">
        <v>0</v>
      </c>
      <c r="O60" s="99">
        <v>0</v>
      </c>
      <c r="P60" s="99">
        <v>0</v>
      </c>
      <c r="Q60" s="99">
        <v>0</v>
      </c>
      <c r="R60" s="99">
        <v>0</v>
      </c>
      <c r="S60" s="99">
        <v>0</v>
      </c>
      <c r="T60" s="99">
        <v>0</v>
      </c>
      <c r="U60" s="99">
        <v>0</v>
      </c>
      <c r="V60" s="99">
        <v>0</v>
      </c>
      <c r="W60" s="99">
        <v>0</v>
      </c>
      <c r="X60" s="99">
        <v>0</v>
      </c>
      <c r="Y60" s="99">
        <v>0</v>
      </c>
      <c r="Z60" s="99">
        <v>0</v>
      </c>
      <c r="AA60" s="99">
        <v>0</v>
      </c>
      <c r="AB60" s="99">
        <v>0</v>
      </c>
      <c r="AC60" s="99">
        <v>-5481</v>
      </c>
      <c r="AD60" s="99">
        <v>-5463</v>
      </c>
      <c r="AE60" s="99">
        <v>-228</v>
      </c>
    </row>
    <row r="61" spans="1:31" s="25" customFormat="1">
      <c r="A61" s="67" t="str">
        <f>INDEX({"Caixa líquido proveniente das atividades de financiamentos";"Net Cash from Funding Activities"},Home!$R$30)</f>
        <v>Caixa líquido proveniente das atividades de financiamentos</v>
      </c>
      <c r="B61" s="92">
        <f t="shared" ref="B61:AB61" si="11">SUM(B55:B60)</f>
        <v>101323</v>
      </c>
      <c r="C61" s="92">
        <f t="shared" si="11"/>
        <v>-309587</v>
      </c>
      <c r="D61" s="92">
        <f t="shared" si="11"/>
        <v>95047</v>
      </c>
      <c r="E61" s="92">
        <f t="shared" si="11"/>
        <v>-575496</v>
      </c>
      <c r="F61" s="92">
        <f t="shared" si="11"/>
        <v>119911</v>
      </c>
      <c r="G61" s="92">
        <f t="shared" si="11"/>
        <v>44301.480810000008</v>
      </c>
      <c r="H61" s="92">
        <f t="shared" si="11"/>
        <v>-45939.480809999979</v>
      </c>
      <c r="I61" s="92">
        <f t="shared" si="11"/>
        <v>-269227</v>
      </c>
      <c r="J61" s="92">
        <f t="shared" si="11"/>
        <v>-165249</v>
      </c>
      <c r="K61" s="92">
        <f t="shared" si="11"/>
        <v>-339555</v>
      </c>
      <c r="L61" s="92">
        <f t="shared" si="11"/>
        <v>-241286</v>
      </c>
      <c r="M61" s="92">
        <f t="shared" si="11"/>
        <v>-442745</v>
      </c>
      <c r="N61" s="92">
        <f t="shared" si="11"/>
        <v>460479</v>
      </c>
      <c r="O61" s="92">
        <f t="shared" si="11"/>
        <v>-58770</v>
      </c>
      <c r="P61" s="92">
        <f t="shared" si="11"/>
        <v>-327890</v>
      </c>
      <c r="Q61" s="92">
        <f t="shared" si="11"/>
        <v>-449067</v>
      </c>
      <c r="R61" s="92">
        <f t="shared" si="11"/>
        <v>-229696</v>
      </c>
      <c r="S61" s="92">
        <f t="shared" si="11"/>
        <v>-321848</v>
      </c>
      <c r="T61" s="92">
        <f t="shared" si="11"/>
        <v>509628</v>
      </c>
      <c r="U61" s="92">
        <f t="shared" si="11"/>
        <v>-457508</v>
      </c>
      <c r="V61" s="92">
        <f t="shared" si="11"/>
        <v>-455316</v>
      </c>
      <c r="W61" s="92">
        <f t="shared" si="11"/>
        <v>101580</v>
      </c>
      <c r="X61" s="92">
        <f t="shared" si="11"/>
        <v>-367060</v>
      </c>
      <c r="Y61" s="92">
        <f t="shared" si="11"/>
        <v>-521875</v>
      </c>
      <c r="Z61" s="92">
        <f t="shared" si="11"/>
        <v>-324314</v>
      </c>
      <c r="AA61" s="92">
        <f t="shared" si="11"/>
        <v>-37397</v>
      </c>
      <c r="AB61" s="92">
        <f t="shared" si="11"/>
        <v>-684522</v>
      </c>
      <c r="AC61" s="92">
        <f>SUM(AC55:AC60)</f>
        <v>2935</v>
      </c>
      <c r="AD61" s="92">
        <f>SUM(AD55:AD60)</f>
        <v>-500653</v>
      </c>
      <c r="AE61" s="92">
        <f>SUM(AE55:AE60)</f>
        <v>-642006</v>
      </c>
    </row>
    <row r="62" spans="1:31">
      <c r="A62" s="15"/>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row>
    <row r="63" spans="1:31">
      <c r="A63" s="13" t="str">
        <f>INDEX({"Aumento (redução) líquido de caixa e equivalentes de caixa";"Cash and Cash Equivalents Net Increase"},Home!$R$30)</f>
        <v>Aumento (redução) líquido de caixa e equivalentes de caixa</v>
      </c>
      <c r="B63" s="86">
        <f t="shared" ref="B63:Y63" si="12">B61+B52+B39</f>
        <v>2028.0672699999996</v>
      </c>
      <c r="C63" s="86">
        <f t="shared" si="12"/>
        <v>-98209.470850000274</v>
      </c>
      <c r="D63" s="86">
        <f t="shared" si="12"/>
        <v>261295.28825000027</v>
      </c>
      <c r="E63" s="86">
        <f t="shared" si="12"/>
        <v>-107454.89818000002</v>
      </c>
      <c r="F63" s="86">
        <f t="shared" si="12"/>
        <v>234482.30952000001</v>
      </c>
      <c r="G63" s="86">
        <f t="shared" si="12"/>
        <v>-267291.15385999996</v>
      </c>
      <c r="H63" s="86">
        <f t="shared" si="12"/>
        <v>333789.38730000006</v>
      </c>
      <c r="I63" s="86">
        <f t="shared" si="12"/>
        <v>280151</v>
      </c>
      <c r="J63" s="86">
        <f t="shared" si="12"/>
        <v>-145923</v>
      </c>
      <c r="K63" s="86">
        <f t="shared" si="12"/>
        <v>-467749</v>
      </c>
      <c r="L63" s="86">
        <f t="shared" si="12"/>
        <v>-19527</v>
      </c>
      <c r="M63" s="86">
        <f t="shared" si="12"/>
        <v>108960</v>
      </c>
      <c r="N63" s="86">
        <f t="shared" si="12"/>
        <v>110036</v>
      </c>
      <c r="O63" s="86">
        <f t="shared" si="12"/>
        <v>352652</v>
      </c>
      <c r="P63" s="86">
        <f t="shared" si="12"/>
        <v>-447634</v>
      </c>
      <c r="Q63" s="86">
        <f t="shared" si="12"/>
        <v>62369</v>
      </c>
      <c r="R63" s="86">
        <f t="shared" si="12"/>
        <v>-62274</v>
      </c>
      <c r="S63" s="86">
        <f t="shared" si="12"/>
        <v>-25958</v>
      </c>
      <c r="T63" s="86">
        <f t="shared" si="12"/>
        <v>248277</v>
      </c>
      <c r="U63" s="86">
        <f t="shared" si="12"/>
        <v>-181265</v>
      </c>
      <c r="V63" s="86">
        <f t="shared" si="12"/>
        <v>275</v>
      </c>
      <c r="W63" s="86">
        <f t="shared" si="12"/>
        <v>-42935</v>
      </c>
      <c r="X63" s="86">
        <f t="shared" si="12"/>
        <v>40850</v>
      </c>
      <c r="Y63" s="86">
        <f t="shared" si="12"/>
        <v>117491</v>
      </c>
      <c r="Z63" s="86">
        <f t="shared" ref="Z63:AA63" si="13">Z61+Z52+Z39</f>
        <v>-123621</v>
      </c>
      <c r="AA63" s="86">
        <f t="shared" si="13"/>
        <v>122639</v>
      </c>
      <c r="AB63" s="86">
        <f t="shared" ref="AB63:AC63" si="14">AB61+AB52+AB39</f>
        <v>-90680</v>
      </c>
      <c r="AC63" s="86">
        <f t="shared" si="14"/>
        <v>73279</v>
      </c>
      <c r="AD63" s="86">
        <f t="shared" ref="AD63:AE63" si="15">AD61+AD52+AD39</f>
        <v>-67817</v>
      </c>
      <c r="AE63" s="86">
        <f t="shared" si="15"/>
        <v>94699</v>
      </c>
    </row>
    <row r="64" spans="1:31">
      <c r="A64" s="15"/>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row>
    <row r="65" spans="1:31" s="25" customFormat="1">
      <c r="A65" s="17" t="str">
        <f>INDEX({"Caixa e equivalentes de caixa no início do exercício";"Cash and Cash Equivalents in the beggining of the period"},Home!$R$30)</f>
        <v>Caixa e equivalentes de caixa no início do exercício</v>
      </c>
      <c r="B65" s="80">
        <v>241568</v>
      </c>
      <c r="C65" s="99">
        <f t="shared" ref="C65" si="16">B66</f>
        <v>243596.06727</v>
      </c>
      <c r="D65" s="99">
        <f t="shared" ref="D65" si="17">C66</f>
        <v>145386.59641999973</v>
      </c>
      <c r="E65" s="99">
        <f t="shared" ref="E65" si="18">D66</f>
        <v>406681.88467</v>
      </c>
      <c r="F65" s="99">
        <f t="shared" ref="F65" si="19">E66</f>
        <v>299226.98648999998</v>
      </c>
      <c r="G65" s="99">
        <f t="shared" ref="G65" si="20">F66</f>
        <v>533709.29600999993</v>
      </c>
      <c r="H65" s="99">
        <f t="shared" ref="H65" si="21">G66</f>
        <v>266418.14214999997</v>
      </c>
      <c r="I65" s="99">
        <f t="shared" ref="I65" si="22">H66</f>
        <v>600207.52945000003</v>
      </c>
      <c r="J65" s="99">
        <f t="shared" ref="J65" si="23">I66</f>
        <v>880358.52945000003</v>
      </c>
      <c r="K65" s="99">
        <f t="shared" ref="K65" si="24">J66</f>
        <v>734435.52945000003</v>
      </c>
      <c r="L65" s="99">
        <f t="shared" ref="L65" si="25">K66</f>
        <v>266686.52945000003</v>
      </c>
      <c r="M65" s="99">
        <f t="shared" ref="M65" si="26">L66</f>
        <v>247159.52945000003</v>
      </c>
      <c r="N65" s="99">
        <f t="shared" ref="N65" si="27">M66</f>
        <v>356119.52945000003</v>
      </c>
      <c r="O65" s="99">
        <f t="shared" ref="O65" si="28">N66</f>
        <v>466155.52945000003</v>
      </c>
      <c r="P65" s="99">
        <f t="shared" ref="P65" si="29">O66</f>
        <v>818807.52945000003</v>
      </c>
      <c r="Q65" s="99">
        <f t="shared" ref="Q65" si="30">P66</f>
        <v>371173.52945000003</v>
      </c>
      <c r="R65" s="99">
        <f t="shared" ref="R65" si="31">Q66</f>
        <v>433542.52945000003</v>
      </c>
      <c r="S65" s="99">
        <f t="shared" ref="S65" si="32">R66</f>
        <v>371268.52945000003</v>
      </c>
      <c r="T65" s="99">
        <f t="shared" ref="T65" si="33">S66</f>
        <v>345310.52945000003</v>
      </c>
      <c r="U65" s="99">
        <f t="shared" ref="U65" si="34">T66</f>
        <v>593587.52945000003</v>
      </c>
      <c r="V65" s="99">
        <f t="shared" ref="V65" si="35">U66</f>
        <v>412322.52945000003</v>
      </c>
      <c r="W65" s="99">
        <f t="shared" ref="W65" si="36">V66</f>
        <v>412597.52945000003</v>
      </c>
      <c r="X65" s="99">
        <v>369661</v>
      </c>
      <c r="Y65" s="99">
        <f t="shared" ref="Y65" si="37">X66</f>
        <v>410511</v>
      </c>
      <c r="Z65" s="99">
        <f t="shared" ref="Z65" si="38">Y66</f>
        <v>528002</v>
      </c>
      <c r="AA65" s="99">
        <v>404381</v>
      </c>
      <c r="AB65" s="99">
        <v>527020</v>
      </c>
      <c r="AC65" s="99">
        <v>436340</v>
      </c>
      <c r="AD65" s="99">
        <v>509619</v>
      </c>
      <c r="AE65" s="99">
        <v>441802</v>
      </c>
    </row>
    <row r="66" spans="1:31" s="25" customFormat="1">
      <c r="A66" s="17" t="str">
        <f>INDEX({"Caixa e equivalentes de caixa no fim do exercício";"Cash and Cash Equivalents in the end of the period"},Home!$R$30)</f>
        <v>Caixa e equivalentes de caixa no fim do exercício</v>
      </c>
      <c r="B66" s="80">
        <f t="shared" ref="B66:U66" si="39">B65+B63</f>
        <v>243596.06727</v>
      </c>
      <c r="C66" s="80">
        <f t="shared" si="39"/>
        <v>145386.59641999973</v>
      </c>
      <c r="D66" s="80">
        <f t="shared" si="39"/>
        <v>406681.88467</v>
      </c>
      <c r="E66" s="80">
        <f t="shared" si="39"/>
        <v>299226.98648999998</v>
      </c>
      <c r="F66" s="80">
        <f t="shared" si="39"/>
        <v>533709.29600999993</v>
      </c>
      <c r="G66" s="80">
        <f t="shared" si="39"/>
        <v>266418.14214999997</v>
      </c>
      <c r="H66" s="80">
        <f t="shared" si="39"/>
        <v>600207.52945000003</v>
      </c>
      <c r="I66" s="80">
        <f t="shared" si="39"/>
        <v>880358.52945000003</v>
      </c>
      <c r="J66" s="80">
        <f t="shared" si="39"/>
        <v>734435.52945000003</v>
      </c>
      <c r="K66" s="80">
        <f t="shared" si="39"/>
        <v>266686.52945000003</v>
      </c>
      <c r="L66" s="80">
        <f t="shared" si="39"/>
        <v>247159.52945000003</v>
      </c>
      <c r="M66" s="80">
        <f t="shared" si="39"/>
        <v>356119.52945000003</v>
      </c>
      <c r="N66" s="80">
        <f t="shared" si="39"/>
        <v>466155.52945000003</v>
      </c>
      <c r="O66" s="80">
        <f t="shared" si="39"/>
        <v>818807.52945000003</v>
      </c>
      <c r="P66" s="80">
        <f t="shared" si="39"/>
        <v>371173.52945000003</v>
      </c>
      <c r="Q66" s="80">
        <f t="shared" si="39"/>
        <v>433542.52945000003</v>
      </c>
      <c r="R66" s="80">
        <f t="shared" si="39"/>
        <v>371268.52945000003</v>
      </c>
      <c r="S66" s="80">
        <f t="shared" si="39"/>
        <v>345310.52945000003</v>
      </c>
      <c r="T66" s="80">
        <f t="shared" si="39"/>
        <v>593587.52945000003</v>
      </c>
      <c r="U66" s="80">
        <f t="shared" si="39"/>
        <v>412322.52945000003</v>
      </c>
      <c r="V66" s="80">
        <f t="shared" ref="V66:Z66" si="40">V65+V63</f>
        <v>412597.52945000003</v>
      </c>
      <c r="W66" s="80">
        <f t="shared" si="40"/>
        <v>369662.52945000003</v>
      </c>
      <c r="X66" s="80">
        <v>410511</v>
      </c>
      <c r="Y66" s="80">
        <f t="shared" si="40"/>
        <v>528002</v>
      </c>
      <c r="Z66" s="80">
        <f t="shared" si="40"/>
        <v>404381</v>
      </c>
      <c r="AA66" s="80">
        <v>527020</v>
      </c>
      <c r="AB66" s="80">
        <v>436340</v>
      </c>
      <c r="AC66" s="80">
        <v>509619</v>
      </c>
      <c r="AD66" s="80">
        <v>441802</v>
      </c>
      <c r="AE66" s="80">
        <v>536501</v>
      </c>
    </row>
    <row r="68" spans="1:31">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row>
    <row r="69" spans="1:31">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row>
  </sheetData>
  <pageMargins left="0.78740157499999996" right="0.78740157499999996" top="0.984251969" bottom="0.984251969" header="0.4921259845" footer="0.49212598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Home</vt:lpstr>
      <vt:lpstr>AdjP&amp;L</vt:lpstr>
      <vt:lpstr>P&amp;L</vt:lpstr>
      <vt:lpstr>BalanceSheet</vt:lpstr>
      <vt:lpstr>CashFlow</vt:lpstr>
      <vt:lpstr>Operational</vt:lpstr>
      <vt:lpstr>MaturationCurves</vt:lpstr>
      <vt:lpstr>Proceeds</vt:lpstr>
      <vt:lpstr>IFRS_AdjP&amp;L</vt:lpstr>
      <vt:lpstr>IFRS_P&amp;L</vt:lpstr>
      <vt:lpstr>IFRS_BalanceSheet</vt:lpstr>
      <vt:lpstr>IFRS_CashFlow</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RD</dc:title>
  <dc:subject/>
  <dc:creator/>
  <cp:keywords/>
  <cp:lastModifiedBy/>
  <dcterms:created xsi:type="dcterms:W3CDTF">2015-06-05T18:19:34Z</dcterms:created>
  <dcterms:modified xsi:type="dcterms:W3CDTF">2026-09-30T12:29:29Z</dcterms:modified>
  <cp:category/>
</cp:coreProperties>
</file>