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nerservicos-my.sharepoint.com/personal/aline_rodrigues_priner_com_br/Documents/GRUPO PRINER (Central Files) - RINV/Divulgação/2026/2T26/"/>
    </mc:Choice>
  </mc:AlternateContent>
  <xr:revisionPtr revIDLastSave="297" documentId="8_{850A9B84-42D0-492A-8D4A-15076FDA6C3D}" xr6:coauthVersionLast="47" xr6:coauthVersionMax="47" xr10:uidLastSave="{76DDE01E-497D-4398-9E87-ACF4E9BC8F48}"/>
  <bookViews>
    <workbookView showSheetTabs="0" xWindow="-28920" yWindow="-120" windowWidth="29040" windowHeight="15720" tabRatio="687" xr2:uid="{00000000-000D-0000-FFFF-FFFF00000000}"/>
  </bookViews>
  <sheets>
    <sheet name="Capa" sheetId="20" r:id="rId1"/>
    <sheet name="BP Ativo" sheetId="34" r:id="rId2"/>
    <sheet name="BP Passivo" sheetId="35" r:id="rId3"/>
    <sheet name="DRE" sheetId="36" r:id="rId4"/>
    <sheet name="DRA" sheetId="37" r:id="rId5"/>
    <sheet name="DMPL" sheetId="38" r:id="rId6"/>
    <sheet name="DFC" sheetId="39" r:id="rId7"/>
    <sheet name="DVA" sheetId="40" r:id="rId8"/>
    <sheet name="BP Histórico_Consolidado" sheetId="24" r:id="rId9"/>
    <sheet name="DRE Histórico_Consolidado" sheetId="25" r:id="rId10"/>
    <sheet name="DFC Histórico_Consolidado" sheetId="32" state="hidden" r:id="rId11"/>
    <sheet name="Dados Operacionais_Consolidado" sheetId="23" r:id="rId12"/>
    <sheet name="Dados gerais" sheetId="28" r:id="rId13"/>
    <sheet name="LB por segmento" sheetId="29" r:id="rId14"/>
    <sheet name="ROIC" sheetId="31" r:id="rId15"/>
    <sheet name="Gráficos" sheetId="27" r:id="rId16"/>
    <sheet name="Dados para gráficos" sheetId="33" r:id="rId17"/>
  </sheets>
  <externalReferences>
    <externalReference r:id="rId18"/>
  </externalReferences>
  <definedNames>
    <definedName name="_xlnm.Print_Area" localSheetId="1">'BP Ativo'!$A$3:$J$42</definedName>
    <definedName name="_xlnm.Print_Area" localSheetId="2">'BP Passivo'!$A$3:$J$51</definedName>
    <definedName name="_xlnm.Print_Area" localSheetId="6">DFC!$A$3:$I$80</definedName>
    <definedName name="_xlnm.Print_Area" localSheetId="5">DMPL!$A$3:$W$41</definedName>
    <definedName name="_xlnm.Print_Area" localSheetId="7">DVA!$A$3:$I$58</definedName>
    <definedName name="_xlnm.Print_Area" localSheetId="14">ROIC!$A$6:$A$13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1" i="40" l="1"/>
  <c r="G51" i="40"/>
  <c r="E51" i="40"/>
  <c r="C51" i="40"/>
  <c r="I46" i="40"/>
  <c r="G46" i="40"/>
  <c r="E46" i="40"/>
  <c r="C46" i="40"/>
  <c r="I41" i="40"/>
  <c r="G41" i="40"/>
  <c r="E41" i="40"/>
  <c r="C41" i="40"/>
  <c r="I36" i="40"/>
  <c r="I56" i="40" s="1"/>
  <c r="G36" i="40"/>
  <c r="E36" i="40"/>
  <c r="C36" i="40"/>
  <c r="C56" i="40" s="1"/>
  <c r="I31" i="40"/>
  <c r="E31" i="40"/>
  <c r="I16" i="40"/>
  <c r="I22" i="40" s="1"/>
  <c r="I26" i="40" s="1"/>
  <c r="I33" i="40" s="1"/>
  <c r="G16" i="40"/>
  <c r="G22" i="40" s="1"/>
  <c r="G26" i="40" s="1"/>
  <c r="G33" i="40" s="1"/>
  <c r="E16" i="40"/>
  <c r="E22" i="40" s="1"/>
  <c r="E26" i="40" s="1"/>
  <c r="E33" i="40" s="1"/>
  <c r="C16" i="40"/>
  <c r="C22" i="40" s="1"/>
  <c r="C26" i="40" s="1"/>
  <c r="C33" i="40" s="1"/>
  <c r="I9" i="40"/>
  <c r="G9" i="40"/>
  <c r="A6" i="40"/>
  <c r="I83" i="39"/>
  <c r="E83" i="39"/>
  <c r="I77" i="39"/>
  <c r="E77" i="39"/>
  <c r="G75" i="39"/>
  <c r="C75" i="39"/>
  <c r="G74" i="39"/>
  <c r="C74" i="39"/>
  <c r="I70" i="39"/>
  <c r="G70" i="39"/>
  <c r="E70" i="39"/>
  <c r="C70" i="39"/>
  <c r="I56" i="39"/>
  <c r="E56" i="39"/>
  <c r="G46" i="39"/>
  <c r="G56" i="39" s="1"/>
  <c r="C46" i="39"/>
  <c r="C56" i="39" s="1"/>
  <c r="G36" i="39"/>
  <c r="C36" i="39"/>
  <c r="G31" i="39"/>
  <c r="C31" i="39"/>
  <c r="I26" i="39"/>
  <c r="G26" i="39"/>
  <c r="E26" i="39"/>
  <c r="C26" i="39"/>
  <c r="I19" i="39"/>
  <c r="G19" i="39"/>
  <c r="E19" i="39"/>
  <c r="C19" i="39"/>
  <c r="C16" i="39"/>
  <c r="I10" i="39"/>
  <c r="G10" i="39"/>
  <c r="K38" i="38"/>
  <c r="G38" i="38"/>
  <c r="E38" i="38"/>
  <c r="C38" i="38"/>
  <c r="S35" i="38"/>
  <c r="W35" i="38" s="1"/>
  <c r="S34" i="38"/>
  <c r="W34" i="38" s="1"/>
  <c r="U33" i="38"/>
  <c r="O33" i="38"/>
  <c r="O38" i="38" s="1"/>
  <c r="S32" i="38"/>
  <c r="W32" i="38" s="1"/>
  <c r="S31" i="38"/>
  <c r="W31" i="38" s="1"/>
  <c r="S30" i="38"/>
  <c r="W30" i="38" s="1"/>
  <c r="Q29" i="38"/>
  <c r="Q38" i="38" s="1"/>
  <c r="S28" i="38"/>
  <c r="W28" i="38" s="1"/>
  <c r="W26" i="38"/>
  <c r="U24" i="38"/>
  <c r="Q24" i="38"/>
  <c r="M24" i="38"/>
  <c r="K24" i="38"/>
  <c r="I24" i="38"/>
  <c r="I26" i="38" s="1"/>
  <c r="I38" i="38" s="1"/>
  <c r="G24" i="38"/>
  <c r="E24" i="38"/>
  <c r="C24" i="38"/>
  <c r="S22" i="38"/>
  <c r="W22" i="38" s="1"/>
  <c r="S21" i="38"/>
  <c r="W21" i="38" s="1"/>
  <c r="S20" i="38"/>
  <c r="W20" i="38" s="1"/>
  <c r="S19" i="38"/>
  <c r="W19" i="38" s="1"/>
  <c r="S18" i="38"/>
  <c r="S24" i="38" s="1"/>
  <c r="S17" i="38"/>
  <c r="W17" i="38" s="1"/>
  <c r="S16" i="38"/>
  <c r="W16" i="38" s="1"/>
  <c r="S15" i="38"/>
  <c r="W15" i="38" s="1"/>
  <c r="S14" i="38"/>
  <c r="W14" i="38" s="1"/>
  <c r="S13" i="38"/>
  <c r="W13" i="38" s="1"/>
  <c r="I10" i="37"/>
  <c r="G10" i="37"/>
  <c r="L15" i="36"/>
  <c r="L20" i="36" s="1"/>
  <c r="L25" i="36" s="1"/>
  <c r="K15" i="36"/>
  <c r="K20" i="36" s="1"/>
  <c r="K25" i="36" s="1"/>
  <c r="K29" i="36" s="1"/>
  <c r="J15" i="36"/>
  <c r="J20" i="36" s="1"/>
  <c r="J25" i="36" s="1"/>
  <c r="I15" i="36"/>
  <c r="I20" i="36" s="1"/>
  <c r="I25" i="36" s="1"/>
  <c r="I29" i="36" s="1"/>
  <c r="G15" i="36"/>
  <c r="G20" i="36" s="1"/>
  <c r="G25" i="36" s="1"/>
  <c r="F15" i="36"/>
  <c r="F20" i="36" s="1"/>
  <c r="F25" i="36" s="1"/>
  <c r="F29" i="36" s="1"/>
  <c r="E15" i="36"/>
  <c r="E20" i="36" s="1"/>
  <c r="E25" i="36" s="1"/>
  <c r="D15" i="36"/>
  <c r="D20" i="36" s="1"/>
  <c r="D25" i="36" s="1"/>
  <c r="D29" i="36" s="1"/>
  <c r="A51" i="35"/>
  <c r="A58" i="40" s="1"/>
  <c r="J43" i="35"/>
  <c r="J47" i="35" s="1"/>
  <c r="H43" i="35"/>
  <c r="H47" i="35" s="1"/>
  <c r="F43" i="35"/>
  <c r="F47" i="35" s="1"/>
  <c r="H42" i="35"/>
  <c r="J39" i="35"/>
  <c r="H39" i="35"/>
  <c r="F39" i="35"/>
  <c r="D39" i="35"/>
  <c r="D43" i="35" s="1"/>
  <c r="D47" i="35" s="1"/>
  <c r="J33" i="35"/>
  <c r="H33" i="35"/>
  <c r="J31" i="35"/>
  <c r="H31" i="35"/>
  <c r="F31" i="35"/>
  <c r="D31" i="35"/>
  <c r="J30" i="35"/>
  <c r="H30" i="35"/>
  <c r="F30" i="35"/>
  <c r="F34" i="35" s="1"/>
  <c r="D30" i="35"/>
  <c r="D34" i="35" s="1"/>
  <c r="J28" i="35"/>
  <c r="F28" i="35"/>
  <c r="H25" i="35"/>
  <c r="D25" i="35"/>
  <c r="J24" i="35"/>
  <c r="F24" i="35"/>
  <c r="J16" i="35"/>
  <c r="J25" i="35" s="1"/>
  <c r="F16" i="35"/>
  <c r="F25" i="35" s="1"/>
  <c r="J11" i="35"/>
  <c r="H11" i="35"/>
  <c r="A6" i="35"/>
  <c r="D36" i="34"/>
  <c r="D38" i="34" s="1"/>
  <c r="J34" i="34"/>
  <c r="J36" i="34" s="1"/>
  <c r="F34" i="34"/>
  <c r="J32" i="34"/>
  <c r="H32" i="34"/>
  <c r="F32" i="34"/>
  <c r="H30" i="34"/>
  <c r="F23" i="34"/>
  <c r="D23" i="34"/>
  <c r="J22" i="34"/>
  <c r="J18" i="34"/>
  <c r="J23" i="34" s="1"/>
  <c r="J38" i="34" s="1"/>
  <c r="H18" i="34"/>
  <c r="H23" i="34" s="1"/>
  <c r="J11" i="34"/>
  <c r="H11" i="34"/>
  <c r="E56" i="40" l="1"/>
  <c r="G56" i="40"/>
  <c r="C77" i="39"/>
  <c r="G77" i="39"/>
  <c r="S29" i="38"/>
  <c r="W29" i="38" s="1"/>
  <c r="W18" i="38"/>
  <c r="F49" i="35"/>
  <c r="D49" i="35"/>
  <c r="J34" i="35"/>
  <c r="A41" i="38"/>
  <c r="H34" i="35"/>
  <c r="H49" i="35" s="1"/>
  <c r="D44" i="34"/>
  <c r="A79" i="39"/>
  <c r="C83" i="39"/>
  <c r="G83" i="39"/>
  <c r="H36" i="34"/>
  <c r="H38" i="34" s="1"/>
  <c r="D53" i="35"/>
  <c r="F36" i="34"/>
  <c r="F38" i="34" s="1"/>
  <c r="F44" i="34" s="1"/>
  <c r="F53" i="35"/>
  <c r="E13" i="39"/>
  <c r="E28" i="39" s="1"/>
  <c r="E40" i="39" s="1"/>
  <c r="E42" i="39" s="1"/>
  <c r="E72" i="39" s="1"/>
  <c r="E84" i="39" s="1"/>
  <c r="G29" i="36"/>
  <c r="I13" i="39"/>
  <c r="I28" i="39" s="1"/>
  <c r="I40" i="39" s="1"/>
  <c r="I42" i="39" s="1"/>
  <c r="I72" i="39" s="1"/>
  <c r="I84" i="39" s="1"/>
  <c r="L29" i="36"/>
  <c r="I12" i="37"/>
  <c r="I17" i="37" s="1"/>
  <c r="K33" i="36"/>
  <c r="W24" i="38"/>
  <c r="E60" i="40"/>
  <c r="G13" i="39"/>
  <c r="G28" i="39" s="1"/>
  <c r="G40" i="39" s="1"/>
  <c r="G42" i="39" s="1"/>
  <c r="G72" i="39" s="1"/>
  <c r="J29" i="36"/>
  <c r="J49" i="35"/>
  <c r="J53" i="35" s="1"/>
  <c r="B12" i="37"/>
  <c r="B17" i="37" s="1"/>
  <c r="B20" i="37" s="1"/>
  <c r="G20" i="37" s="1"/>
  <c r="D32" i="36"/>
  <c r="I32" i="36" s="1"/>
  <c r="I33" i="36" s="1"/>
  <c r="G60" i="40"/>
  <c r="C60" i="40"/>
  <c r="D12" i="37"/>
  <c r="D17" i="37" s="1"/>
  <c r="D20" i="37" s="1"/>
  <c r="I20" i="37" s="1"/>
  <c r="F32" i="36"/>
  <c r="K32" i="36" s="1"/>
  <c r="G12" i="37"/>
  <c r="G17" i="37" s="1"/>
  <c r="C13" i="39"/>
  <c r="C28" i="39" s="1"/>
  <c r="C40" i="39" s="1"/>
  <c r="C42" i="39" s="1"/>
  <c r="C72" i="39" s="1"/>
  <c r="E29" i="36"/>
  <c r="I60" i="40"/>
  <c r="S33" i="38"/>
  <c r="W33" i="38" s="1"/>
  <c r="G84" i="39" l="1"/>
  <c r="C84" i="39"/>
  <c r="H44" i="34"/>
  <c r="H53" i="35"/>
  <c r="I21" i="37"/>
  <c r="G21" i="37"/>
  <c r="C12" i="37"/>
  <c r="C17" i="37" s="1"/>
  <c r="C20" i="37" s="1"/>
  <c r="H20" i="37" s="1"/>
  <c r="E32" i="36"/>
  <c r="J12" i="37"/>
  <c r="J17" i="37" s="1"/>
  <c r="H12" i="37"/>
  <c r="H17" i="37" s="1"/>
  <c r="J44" i="34"/>
  <c r="E12" i="37"/>
  <c r="E17" i="37" s="1"/>
  <c r="E20" i="37" s="1"/>
  <c r="J20" i="37" s="1"/>
  <c r="G32" i="36"/>
  <c r="L32" i="36" s="1"/>
  <c r="L33" i="36" s="1"/>
  <c r="H21" i="37" l="1"/>
  <c r="J32" i="36"/>
  <c r="J33" i="36" s="1"/>
  <c r="U36" i="38" s="1"/>
  <c r="U38" i="38" s="1"/>
  <c r="M36" i="38"/>
  <c r="J21" i="37"/>
  <c r="M38" i="38" l="1"/>
  <c r="S36" i="38"/>
  <c r="W36" i="38" l="1"/>
  <c r="W38" i="38" s="1"/>
  <c r="S38" i="38"/>
  <c r="AA41" i="33" l="1"/>
  <c r="AA37" i="33"/>
  <c r="AA38" i="33"/>
  <c r="AA35" i="33"/>
  <c r="V38" i="33"/>
  <c r="W38" i="33"/>
  <c r="X38" i="33"/>
  <c r="Y38" i="33"/>
  <c r="Z38" i="33"/>
  <c r="Z37" i="33"/>
  <c r="AA31" i="33"/>
  <c r="AA32" i="33"/>
  <c r="AA25" i="33"/>
  <c r="AA27" i="33" s="1"/>
  <c r="AA26" i="33"/>
  <c r="AA28" i="33" s="1"/>
  <c r="AA19" i="33"/>
  <c r="AA20" i="33"/>
  <c r="AA21" i="33"/>
  <c r="AA22" i="33"/>
  <c r="AA12" i="33"/>
  <c r="AA18" i="33" s="1"/>
  <c r="AA24" i="33" s="1"/>
  <c r="AA30" i="33" s="1"/>
  <c r="AA13" i="33"/>
  <c r="AA15" i="33" s="1"/>
  <c r="AA14" i="33"/>
  <c r="AA16" i="33" s="1"/>
  <c r="AA8" i="33"/>
  <c r="AA9" i="33"/>
  <c r="AA10" i="33"/>
  <c r="AA5" i="33"/>
  <c r="AA6" i="33"/>
  <c r="AA96" i="27"/>
  <c r="AA97" i="27"/>
  <c r="V93" i="27"/>
  <c r="W93" i="27"/>
  <c r="X93" i="27"/>
  <c r="Y93" i="27"/>
  <c r="Z93" i="27"/>
  <c r="AA93" i="27"/>
  <c r="AA91" i="27"/>
  <c r="AA92" i="27"/>
  <c r="AA86" i="27"/>
  <c r="AA87" i="27"/>
  <c r="AA80" i="27"/>
  <c r="AA82" i="27" s="1"/>
  <c r="AA81" i="27"/>
  <c r="AA83" i="27" s="1"/>
  <c r="AA74" i="27"/>
  <c r="AA75" i="27"/>
  <c r="AA68" i="27"/>
  <c r="AA69" i="27"/>
  <c r="AA63" i="27"/>
  <c r="AA67" i="27" s="1"/>
  <c r="AA73" i="27" s="1"/>
  <c r="AA79" i="27" s="1"/>
  <c r="AA85" i="27" s="1"/>
  <c r="AA90" i="27" s="1"/>
  <c r="AA64" i="27"/>
  <c r="AA76" i="27" s="1"/>
  <c r="AA65" i="27"/>
  <c r="AA71" i="27" s="1"/>
  <c r="AA60" i="27"/>
  <c r="AA61" i="27"/>
  <c r="S16" i="31"/>
  <c r="S28" i="31"/>
  <c r="S25" i="31"/>
  <c r="S19" i="31"/>
  <c r="AA32" i="29"/>
  <c r="AA33" i="29"/>
  <c r="AA34" i="29"/>
  <c r="AA35" i="29"/>
  <c r="AA29" i="29"/>
  <c r="AA23" i="29"/>
  <c r="AA17" i="29"/>
  <c r="AA11" i="29"/>
  <c r="AA77" i="27" l="1"/>
  <c r="AA70" i="27"/>
  <c r="S22" i="31"/>
  <c r="S31" i="31"/>
  <c r="V27" i="28" l="1"/>
  <c r="W27" i="28"/>
  <c r="X27" i="28"/>
  <c r="Y27" i="28"/>
  <c r="Z27" i="28"/>
  <c r="AA27" i="28"/>
  <c r="V24" i="28"/>
  <c r="W24" i="28"/>
  <c r="X24" i="28"/>
  <c r="Y24" i="28"/>
  <c r="Z24" i="28"/>
  <c r="AA24" i="28"/>
  <c r="V22" i="28"/>
  <c r="W22" i="28"/>
  <c r="X22" i="28"/>
  <c r="Y22" i="28"/>
  <c r="Z22" i="28"/>
  <c r="AA22" i="28"/>
  <c r="V19" i="28"/>
  <c r="W19" i="28"/>
  <c r="X19" i="28"/>
  <c r="Y19" i="28"/>
  <c r="Z19" i="28"/>
  <c r="AA19" i="28"/>
  <c r="BY53" i="25"/>
  <c r="BY47" i="25"/>
  <c r="BY44" i="25"/>
  <c r="BY36" i="25"/>
  <c r="BY37" i="25" s="1"/>
  <c r="BY38" i="25" s="1"/>
  <c r="BY33" i="25"/>
  <c r="BR137" i="24" s="1"/>
  <c r="BR139" i="24" s="1"/>
  <c r="BR140" i="24" s="1"/>
  <c r="BY28" i="25"/>
  <c r="BY22" i="25"/>
  <c r="BY15" i="25"/>
  <c r="BR150" i="24"/>
  <c r="BR148" i="24"/>
  <c r="BR147" i="24"/>
  <c r="BR146" i="24"/>
  <c r="BR145" i="24"/>
  <c r="BR120" i="24"/>
  <c r="BR117" i="24"/>
  <c r="BR110" i="24"/>
  <c r="BR106" i="24"/>
  <c r="BR105" i="24"/>
  <c r="BR107" i="24" s="1"/>
  <c r="BR104" i="24"/>
  <c r="BR101" i="24"/>
  <c r="BR99" i="24"/>
  <c r="BR96" i="24"/>
  <c r="BR87" i="24"/>
  <c r="BR72" i="24"/>
  <c r="BR49" i="24"/>
  <c r="BR47" i="24"/>
  <c r="BR30" i="24"/>
  <c r="BO66" i="32"/>
  <c r="BO23" i="32"/>
  <c r="BO16" i="32"/>
  <c r="BO78" i="32" l="1"/>
  <c r="BO75" i="32"/>
  <c r="BO49" i="32"/>
  <c r="BO38" i="32"/>
  <c r="BP150" i="24"/>
  <c r="BP148" i="24"/>
  <c r="BP147" i="24"/>
  <c r="BP146" i="24"/>
  <c r="BP145" i="24"/>
  <c r="BP140" i="24"/>
  <c r="BP137" i="24"/>
  <c r="BP117" i="24"/>
  <c r="BP106" i="24"/>
  <c r="BP105" i="24"/>
  <c r="BP107" i="24" s="1"/>
  <c r="BP104" i="24"/>
  <c r="BP96" i="24"/>
  <c r="BP99" i="24" s="1"/>
  <c r="BP87" i="24"/>
  <c r="BP72" i="24"/>
  <c r="BP101" i="24" s="1"/>
  <c r="BP47" i="24"/>
  <c r="BP30" i="24"/>
  <c r="Z25" i="33"/>
  <c r="Z26" i="33"/>
  <c r="Z19" i="33"/>
  <c r="Z21" i="33" s="1"/>
  <c r="Z20" i="33"/>
  <c r="Z13" i="33"/>
  <c r="Z8" i="33"/>
  <c r="Z12" i="33" s="1"/>
  <c r="Z18" i="33" s="1"/>
  <c r="Z24" i="33" s="1"/>
  <c r="Z30" i="33" s="1"/>
  <c r="Z35" i="33" s="1"/>
  <c r="Z41" i="33" s="1"/>
  <c r="Z9" i="33"/>
  <c r="Z5" i="33"/>
  <c r="Z6" i="33"/>
  <c r="Z97" i="27"/>
  <c r="Z91" i="27"/>
  <c r="Z92" i="27"/>
  <c r="Z80" i="27"/>
  <c r="Z81" i="27"/>
  <c r="Z74" i="27"/>
  <c r="Z75" i="27"/>
  <c r="Z68" i="27"/>
  <c r="Z63" i="27"/>
  <c r="Z67" i="27" s="1"/>
  <c r="Z73" i="27" s="1"/>
  <c r="Z79" i="27" s="1"/>
  <c r="Z85" i="27" s="1"/>
  <c r="Z90" i="27" s="1"/>
  <c r="Z96" i="27" s="1"/>
  <c r="Z64" i="27"/>
  <c r="Z76" i="27" s="1"/>
  <c r="Z60" i="27"/>
  <c r="R28" i="31"/>
  <c r="R25" i="31"/>
  <c r="R19" i="31"/>
  <c r="Z32" i="29"/>
  <c r="Z33" i="29"/>
  <c r="Z34" i="29"/>
  <c r="Z35" i="29"/>
  <c r="Z26" i="29"/>
  <c r="Z27" i="29"/>
  <c r="Z28" i="29"/>
  <c r="Z29" i="29"/>
  <c r="Z23" i="29"/>
  <c r="J23" i="29"/>
  <c r="K23" i="29"/>
  <c r="L23" i="29"/>
  <c r="M23" i="29"/>
  <c r="N23" i="29"/>
  <c r="O23" i="29"/>
  <c r="P23" i="29"/>
  <c r="Q23" i="29"/>
  <c r="R23" i="29"/>
  <c r="S23" i="29"/>
  <c r="T23" i="29"/>
  <c r="U23" i="29"/>
  <c r="V23" i="29"/>
  <c r="W23" i="29"/>
  <c r="X23" i="29"/>
  <c r="Y23" i="29"/>
  <c r="Z17" i="29"/>
  <c r="Z11" i="29"/>
  <c r="Z14" i="28"/>
  <c r="Z14" i="33" s="1"/>
  <c r="Z12" i="28"/>
  <c r="Z10" i="28"/>
  <c r="Z65" i="27" s="1"/>
  <c r="Z8" i="28"/>
  <c r="Z61" i="27" s="1"/>
  <c r="Z70" i="27" l="1"/>
  <c r="Z77" i="27"/>
  <c r="Z83" i="27"/>
  <c r="Z15" i="33"/>
  <c r="Z27" i="33"/>
  <c r="Z82" i="27"/>
  <c r="Z10" i="33"/>
  <c r="Z22" i="33" s="1"/>
  <c r="Z69" i="27"/>
  <c r="Z71" i="27" s="1"/>
  <c r="BO77" i="32"/>
  <c r="BO81" i="32" s="1"/>
  <c r="BP49" i="24"/>
  <c r="R31" i="31"/>
  <c r="R16" i="31"/>
  <c r="R22" i="31" s="1"/>
  <c r="BW53" i="25"/>
  <c r="BW47" i="25"/>
  <c r="BW44" i="25"/>
  <c r="BW36" i="25"/>
  <c r="BW37" i="25" s="1"/>
  <c r="BW38" i="25" s="1"/>
  <c r="BW33" i="25"/>
  <c r="BW28" i="25"/>
  <c r="BW22" i="25"/>
  <c r="BW15" i="25"/>
  <c r="BM38" i="32"/>
  <c r="Z87" i="27" l="1"/>
  <c r="Z32" i="33"/>
  <c r="Z86" i="27"/>
  <c r="Z31" i="33"/>
  <c r="Z16" i="33"/>
  <c r="Z28" i="33"/>
  <c r="BM78" i="32"/>
  <c r="BM75" i="32"/>
  <c r="BM49" i="32"/>
  <c r="Y37" i="33"/>
  <c r="U32" i="33"/>
  <c r="C25" i="33"/>
  <c r="D25" i="33"/>
  <c r="E25" i="33"/>
  <c r="F25" i="33"/>
  <c r="G25" i="33"/>
  <c r="H25" i="33"/>
  <c r="I25" i="33"/>
  <c r="J25" i="33"/>
  <c r="K25" i="33"/>
  <c r="L25" i="33"/>
  <c r="M25" i="33"/>
  <c r="N25" i="33"/>
  <c r="O25" i="33"/>
  <c r="P25" i="33"/>
  <c r="Q25" i="33"/>
  <c r="R25" i="33"/>
  <c r="S25" i="33"/>
  <c r="T25" i="33"/>
  <c r="U25" i="33"/>
  <c r="V25" i="33"/>
  <c r="W25" i="33"/>
  <c r="X25" i="33"/>
  <c r="Y25" i="33"/>
  <c r="K26" i="33"/>
  <c r="L26" i="33"/>
  <c r="M26" i="33"/>
  <c r="B25" i="33"/>
  <c r="C19" i="33"/>
  <c r="D19" i="33"/>
  <c r="E19" i="33"/>
  <c r="F19" i="33"/>
  <c r="G19" i="33"/>
  <c r="H19" i="33"/>
  <c r="I19" i="33"/>
  <c r="J19" i="33"/>
  <c r="K19" i="33"/>
  <c r="L19" i="33"/>
  <c r="M19" i="33"/>
  <c r="N19" i="33"/>
  <c r="O19" i="33"/>
  <c r="P19" i="33"/>
  <c r="Q19" i="33"/>
  <c r="R19" i="33"/>
  <c r="S19" i="33"/>
  <c r="T19" i="33"/>
  <c r="U19" i="33"/>
  <c r="V19" i="33"/>
  <c r="W19" i="33"/>
  <c r="X19" i="33"/>
  <c r="Y19" i="33"/>
  <c r="K20" i="33"/>
  <c r="L20" i="33"/>
  <c r="M20" i="33"/>
  <c r="W20" i="33"/>
  <c r="X20" i="33"/>
  <c r="Y20" i="33"/>
  <c r="B19" i="33"/>
  <c r="C13" i="33"/>
  <c r="D13" i="33"/>
  <c r="E13" i="33"/>
  <c r="F13" i="33"/>
  <c r="G13" i="33"/>
  <c r="H13" i="33"/>
  <c r="I13" i="33"/>
  <c r="J13" i="33"/>
  <c r="K13" i="33"/>
  <c r="L13" i="33"/>
  <c r="M13" i="33"/>
  <c r="N13" i="33"/>
  <c r="O13" i="33"/>
  <c r="P13" i="33"/>
  <c r="Q13" i="33"/>
  <c r="R13" i="33"/>
  <c r="S13" i="33"/>
  <c r="T13" i="33"/>
  <c r="U13" i="33"/>
  <c r="V13" i="33"/>
  <c r="W13" i="33"/>
  <c r="X13" i="33"/>
  <c r="Y13" i="33"/>
  <c r="K14" i="33"/>
  <c r="L14" i="33"/>
  <c r="M14" i="33"/>
  <c r="B13" i="33"/>
  <c r="Y97" i="27"/>
  <c r="Y92" i="27"/>
  <c r="Y91" i="27"/>
  <c r="U87" i="27"/>
  <c r="C80" i="27"/>
  <c r="D80" i="27"/>
  <c r="E80" i="27"/>
  <c r="F80" i="27"/>
  <c r="G80" i="27"/>
  <c r="H80" i="27"/>
  <c r="I80" i="27"/>
  <c r="J80" i="27"/>
  <c r="K80" i="27"/>
  <c r="L80" i="27"/>
  <c r="M80" i="27"/>
  <c r="N80" i="27"/>
  <c r="O80" i="27"/>
  <c r="P80" i="27"/>
  <c r="Q80" i="27"/>
  <c r="R80" i="27"/>
  <c r="S80" i="27"/>
  <c r="T80" i="27"/>
  <c r="U80" i="27"/>
  <c r="V80" i="27"/>
  <c r="W80" i="27"/>
  <c r="X80" i="27"/>
  <c r="Y80" i="27"/>
  <c r="K81" i="27"/>
  <c r="L81" i="27"/>
  <c r="M81" i="27"/>
  <c r="B80" i="27"/>
  <c r="C74" i="27"/>
  <c r="D74" i="27"/>
  <c r="E74" i="27"/>
  <c r="F74" i="27"/>
  <c r="G74" i="27"/>
  <c r="H74" i="27"/>
  <c r="I74" i="27"/>
  <c r="J74" i="27"/>
  <c r="K74" i="27"/>
  <c r="L74" i="27"/>
  <c r="M74" i="27"/>
  <c r="N74" i="27"/>
  <c r="O74" i="27"/>
  <c r="P74" i="27"/>
  <c r="Q74" i="27"/>
  <c r="R74" i="27"/>
  <c r="S74" i="27"/>
  <c r="T74" i="27"/>
  <c r="U74" i="27"/>
  <c r="V74" i="27"/>
  <c r="W74" i="27"/>
  <c r="X74" i="27"/>
  <c r="Y74" i="27"/>
  <c r="K75" i="27"/>
  <c r="L75" i="27"/>
  <c r="M75" i="27"/>
  <c r="W75" i="27"/>
  <c r="X75" i="27"/>
  <c r="Y75" i="27"/>
  <c r="B74" i="27"/>
  <c r="C68" i="27"/>
  <c r="D68" i="27"/>
  <c r="E68" i="27"/>
  <c r="F68" i="27"/>
  <c r="G68" i="27"/>
  <c r="H68" i="27"/>
  <c r="I68" i="27"/>
  <c r="J68" i="27"/>
  <c r="K68" i="27"/>
  <c r="L68" i="27"/>
  <c r="M68" i="27"/>
  <c r="N68" i="27"/>
  <c r="O68" i="27"/>
  <c r="P68" i="27"/>
  <c r="Q68" i="27"/>
  <c r="R68" i="27"/>
  <c r="S68" i="27"/>
  <c r="T68" i="27"/>
  <c r="U68" i="27"/>
  <c r="V68" i="27"/>
  <c r="W68" i="27"/>
  <c r="X68" i="27"/>
  <c r="Y68" i="27"/>
  <c r="K69" i="27"/>
  <c r="L69" i="27"/>
  <c r="M69" i="27"/>
  <c r="B68" i="27"/>
  <c r="Y63" i="27"/>
  <c r="Y67" i="27" s="1"/>
  <c r="Y73" i="27" s="1"/>
  <c r="Y79" i="27" s="1"/>
  <c r="Y85" i="27" s="1"/>
  <c r="Y90" i="27" s="1"/>
  <c r="Y96" i="27" s="1"/>
  <c r="C64" i="27"/>
  <c r="D64" i="27"/>
  <c r="E64" i="27"/>
  <c r="F64" i="27"/>
  <c r="G64" i="27"/>
  <c r="H64" i="27"/>
  <c r="I64" i="27"/>
  <c r="J64" i="27"/>
  <c r="K64" i="27"/>
  <c r="L64" i="27"/>
  <c r="M64" i="27"/>
  <c r="N64" i="27"/>
  <c r="O64" i="27"/>
  <c r="P64" i="27"/>
  <c r="Q64" i="27"/>
  <c r="R64" i="27"/>
  <c r="S64" i="27"/>
  <c r="T64" i="27"/>
  <c r="U64" i="27"/>
  <c r="V64" i="27"/>
  <c r="W64" i="27"/>
  <c r="X64" i="27"/>
  <c r="Y64" i="27"/>
  <c r="K65" i="27"/>
  <c r="L65" i="27"/>
  <c r="M65" i="27"/>
  <c r="B64" i="27"/>
  <c r="K61" i="27"/>
  <c r="L61" i="27"/>
  <c r="M61" i="27"/>
  <c r="Y60" i="27"/>
  <c r="C60" i="27"/>
  <c r="D60" i="27"/>
  <c r="E60" i="27"/>
  <c r="F60" i="27"/>
  <c r="G60" i="27"/>
  <c r="H60" i="27"/>
  <c r="I60" i="27"/>
  <c r="J60" i="27"/>
  <c r="K60" i="27"/>
  <c r="L60" i="27"/>
  <c r="M60" i="27"/>
  <c r="N60" i="27"/>
  <c r="O60" i="27"/>
  <c r="P60" i="27"/>
  <c r="Q60" i="27"/>
  <c r="R60" i="27"/>
  <c r="S60" i="27"/>
  <c r="T60" i="27"/>
  <c r="U60" i="27"/>
  <c r="V60" i="27"/>
  <c r="W60" i="27"/>
  <c r="X60" i="27"/>
  <c r="B60" i="27"/>
  <c r="Y76" i="27" l="1"/>
  <c r="Y82" i="27"/>
  <c r="BM77" i="32"/>
  <c r="BM81" i="32" s="1"/>
  <c r="Y70" i="27"/>
  <c r="K10" i="33" l="1"/>
  <c r="L10" i="33"/>
  <c r="M10" i="33"/>
  <c r="Y8" i="33"/>
  <c r="Y12" i="33" s="1"/>
  <c r="Y18" i="33" s="1"/>
  <c r="Y24" i="33" s="1"/>
  <c r="Y30" i="33" s="1"/>
  <c r="Y35" i="33" s="1"/>
  <c r="Y41" i="33" s="1"/>
  <c r="C9" i="33"/>
  <c r="D9" i="33"/>
  <c r="E9" i="33"/>
  <c r="F9" i="33"/>
  <c r="G9" i="33"/>
  <c r="H9" i="33"/>
  <c r="I9" i="33"/>
  <c r="J9" i="33"/>
  <c r="K9" i="33"/>
  <c r="L9" i="33"/>
  <c r="M9" i="33"/>
  <c r="N9" i="33"/>
  <c r="O9" i="33"/>
  <c r="P9" i="33"/>
  <c r="Q9" i="33"/>
  <c r="R9" i="33"/>
  <c r="S9" i="33"/>
  <c r="T9" i="33"/>
  <c r="U9" i="33"/>
  <c r="V9" i="33"/>
  <c r="W9" i="33"/>
  <c r="X9" i="33"/>
  <c r="Y9" i="33"/>
  <c r="B9" i="33"/>
  <c r="B21" i="33" s="1"/>
  <c r="K6" i="33"/>
  <c r="L6" i="33"/>
  <c r="M6" i="33"/>
  <c r="T6" i="33"/>
  <c r="Y5" i="33"/>
  <c r="C5" i="33"/>
  <c r="D5" i="33"/>
  <c r="E5" i="33"/>
  <c r="F5" i="33"/>
  <c r="G5" i="33"/>
  <c r="H5" i="33"/>
  <c r="I5" i="33"/>
  <c r="J5" i="33"/>
  <c r="K5" i="33"/>
  <c r="L5" i="33"/>
  <c r="M5" i="33"/>
  <c r="N5" i="33"/>
  <c r="O5" i="33"/>
  <c r="P5" i="33"/>
  <c r="Q5" i="33"/>
  <c r="R5" i="33"/>
  <c r="S5" i="33"/>
  <c r="T5" i="33"/>
  <c r="U5" i="33"/>
  <c r="V5" i="33"/>
  <c r="W5" i="33"/>
  <c r="X5" i="33"/>
  <c r="B5" i="33"/>
  <c r="O28" i="31"/>
  <c r="P28" i="31"/>
  <c r="Q28" i="31"/>
  <c r="N28" i="31"/>
  <c r="N25" i="31"/>
  <c r="O25" i="31"/>
  <c r="P25" i="31"/>
  <c r="Q25" i="31"/>
  <c r="M28" i="31"/>
  <c r="M25" i="31"/>
  <c r="A30" i="31"/>
  <c r="A28" i="31"/>
  <c r="Q19" i="31"/>
  <c r="Q22" i="31" s="1"/>
  <c r="I29" i="28"/>
  <c r="J29" i="28"/>
  <c r="K29" i="28"/>
  <c r="L29" i="28"/>
  <c r="M29" i="28"/>
  <c r="N29" i="28"/>
  <c r="O29" i="28"/>
  <c r="P29" i="28"/>
  <c r="Q29" i="28"/>
  <c r="R29" i="28"/>
  <c r="S29" i="28"/>
  <c r="T29" i="28"/>
  <c r="I27" i="28"/>
  <c r="H27" i="28"/>
  <c r="G27" i="28"/>
  <c r="F27" i="28"/>
  <c r="E27" i="28"/>
  <c r="D27" i="28"/>
  <c r="C27" i="28"/>
  <c r="B27" i="28"/>
  <c r="J27" i="28"/>
  <c r="O27" i="28"/>
  <c r="P27" i="28"/>
  <c r="Q27" i="28"/>
  <c r="R27" i="28"/>
  <c r="S27" i="28"/>
  <c r="T27" i="28"/>
  <c r="U27" i="28"/>
  <c r="N27" i="28"/>
  <c r="B24" i="28"/>
  <c r="C24" i="28"/>
  <c r="D24" i="28"/>
  <c r="E24" i="28"/>
  <c r="F24" i="28"/>
  <c r="G24" i="28"/>
  <c r="H24" i="28"/>
  <c r="I24" i="28"/>
  <c r="J24" i="28"/>
  <c r="N24" i="28"/>
  <c r="O24" i="28"/>
  <c r="P24" i="28"/>
  <c r="Q24" i="28"/>
  <c r="R24" i="28"/>
  <c r="S24" i="28"/>
  <c r="T24" i="28"/>
  <c r="U24" i="28"/>
  <c r="O22" i="28"/>
  <c r="P22" i="28"/>
  <c r="Q22" i="28"/>
  <c r="R22" i="28"/>
  <c r="S22" i="28"/>
  <c r="T22" i="28"/>
  <c r="U22" i="28"/>
  <c r="N22" i="28"/>
  <c r="C22" i="28"/>
  <c r="D22" i="28"/>
  <c r="E22" i="28"/>
  <c r="F22" i="28"/>
  <c r="G22" i="28"/>
  <c r="H22" i="28"/>
  <c r="I22" i="28"/>
  <c r="J22" i="28"/>
  <c r="B22" i="28"/>
  <c r="B19" i="28"/>
  <c r="C19" i="28"/>
  <c r="D19" i="28"/>
  <c r="E19" i="28"/>
  <c r="F19" i="28"/>
  <c r="G19" i="28"/>
  <c r="H19" i="28"/>
  <c r="I19" i="28"/>
  <c r="J19" i="28"/>
  <c r="K19" i="28"/>
  <c r="L19" i="28"/>
  <c r="M19" i="28"/>
  <c r="N19" i="28"/>
  <c r="O19" i="28"/>
  <c r="P19" i="28"/>
  <c r="Q19" i="28"/>
  <c r="R19" i="28"/>
  <c r="S19" i="28"/>
  <c r="T19" i="28"/>
  <c r="U19" i="28"/>
  <c r="O14" i="28"/>
  <c r="P14" i="28"/>
  <c r="Q14" i="28"/>
  <c r="R14" i="28"/>
  <c r="S14" i="28"/>
  <c r="T14" i="28"/>
  <c r="U14" i="28"/>
  <c r="V14" i="28"/>
  <c r="W14" i="28"/>
  <c r="X14" i="28"/>
  <c r="Y14" i="28"/>
  <c r="N14" i="28"/>
  <c r="C14" i="28"/>
  <c r="D14" i="28"/>
  <c r="E14" i="28"/>
  <c r="F14" i="28"/>
  <c r="G14" i="28"/>
  <c r="H14" i="28"/>
  <c r="I14" i="28"/>
  <c r="J14" i="28"/>
  <c r="B14" i="28"/>
  <c r="O12" i="28"/>
  <c r="P12" i="28"/>
  <c r="Q12" i="28"/>
  <c r="R12" i="28"/>
  <c r="S12" i="28"/>
  <c r="T12" i="28"/>
  <c r="U12" i="28"/>
  <c r="V12" i="28"/>
  <c r="W12" i="28"/>
  <c r="X12" i="28"/>
  <c r="Y12" i="28"/>
  <c r="N12" i="28"/>
  <c r="C12" i="28"/>
  <c r="D12" i="28"/>
  <c r="E12" i="28"/>
  <c r="F12" i="28"/>
  <c r="G12" i="28"/>
  <c r="H12" i="28"/>
  <c r="I12" i="28"/>
  <c r="J12" i="28"/>
  <c r="B12" i="28"/>
  <c r="O10" i="28"/>
  <c r="O65" i="27" s="1"/>
  <c r="P10" i="28"/>
  <c r="P65" i="27" s="1"/>
  <c r="Q10" i="28"/>
  <c r="Q65" i="27" s="1"/>
  <c r="R10" i="28"/>
  <c r="R65" i="27" s="1"/>
  <c r="S10" i="28"/>
  <c r="S65" i="27" s="1"/>
  <c r="T10" i="28"/>
  <c r="T65" i="27" s="1"/>
  <c r="U10" i="28"/>
  <c r="U65" i="27" s="1"/>
  <c r="V10" i="28"/>
  <c r="V65" i="27" s="1"/>
  <c r="W10" i="28"/>
  <c r="W65" i="27" s="1"/>
  <c r="X10" i="28"/>
  <c r="X65" i="27" s="1"/>
  <c r="Y10" i="28"/>
  <c r="Y65" i="27" s="1"/>
  <c r="Y77" i="27" s="1"/>
  <c r="N10" i="28"/>
  <c r="N65" i="27" s="1"/>
  <c r="C10" i="28"/>
  <c r="C65" i="27" s="1"/>
  <c r="D10" i="28"/>
  <c r="D65" i="27" s="1"/>
  <c r="E10" i="28"/>
  <c r="E65" i="27" s="1"/>
  <c r="F10" i="28"/>
  <c r="F65" i="27" s="1"/>
  <c r="G10" i="28"/>
  <c r="G65" i="27" s="1"/>
  <c r="H10" i="28"/>
  <c r="H65" i="27" s="1"/>
  <c r="I10" i="28"/>
  <c r="I65" i="27" s="1"/>
  <c r="J10" i="28"/>
  <c r="J65" i="27" s="1"/>
  <c r="B10" i="28"/>
  <c r="B65" i="27" s="1"/>
  <c r="O8" i="28"/>
  <c r="O61" i="27" s="1"/>
  <c r="P8" i="28"/>
  <c r="P61" i="27" s="1"/>
  <c r="Q8" i="28"/>
  <c r="Q61" i="27" s="1"/>
  <c r="R8" i="28"/>
  <c r="R61" i="27" s="1"/>
  <c r="S8" i="28"/>
  <c r="S61" i="27" s="1"/>
  <c r="T8" i="28"/>
  <c r="T61" i="27" s="1"/>
  <c r="U8" i="28"/>
  <c r="U61" i="27" s="1"/>
  <c r="V8" i="28"/>
  <c r="V61" i="27" s="1"/>
  <c r="W8" i="28"/>
  <c r="W61" i="27" s="1"/>
  <c r="X8" i="28"/>
  <c r="X61" i="27" s="1"/>
  <c r="Y8" i="28"/>
  <c r="Y61" i="27" s="1"/>
  <c r="N8" i="28"/>
  <c r="N61" i="27" s="1"/>
  <c r="C8" i="28"/>
  <c r="C61" i="27" s="1"/>
  <c r="D8" i="28"/>
  <c r="D61" i="27" s="1"/>
  <c r="E8" i="28"/>
  <c r="E61" i="27" s="1"/>
  <c r="F8" i="28"/>
  <c r="F61" i="27" s="1"/>
  <c r="G8" i="28"/>
  <c r="G61" i="27" s="1"/>
  <c r="H8" i="28"/>
  <c r="H61" i="27" s="1"/>
  <c r="I8" i="28"/>
  <c r="I61" i="27" s="1"/>
  <c r="J8" i="28"/>
  <c r="J61" i="27" s="1"/>
  <c r="B8" i="28"/>
  <c r="B61" i="27" s="1"/>
  <c r="V6" i="33" l="1"/>
  <c r="U6" i="33"/>
  <c r="S6" i="33"/>
  <c r="I6" i="33"/>
  <c r="P10" i="33"/>
  <c r="Y10" i="33"/>
  <c r="H6" i="33"/>
  <c r="O10" i="33"/>
  <c r="N10" i="33"/>
  <c r="R6" i="33"/>
  <c r="W6" i="33"/>
  <c r="F20" i="33"/>
  <c r="F75" i="27"/>
  <c r="V75" i="27"/>
  <c r="V20" i="33"/>
  <c r="V69" i="27"/>
  <c r="V14" i="33"/>
  <c r="V81" i="27"/>
  <c r="V26" i="33"/>
  <c r="U75" i="27"/>
  <c r="U20" i="33"/>
  <c r="H75" i="27"/>
  <c r="H20" i="33"/>
  <c r="G6" i="33"/>
  <c r="U81" i="27"/>
  <c r="U26" i="33"/>
  <c r="W26" i="33"/>
  <c r="W81" i="27"/>
  <c r="G75" i="27"/>
  <c r="G20" i="33"/>
  <c r="B26" i="33"/>
  <c r="B81" i="27"/>
  <c r="J26" i="33"/>
  <c r="J81" i="27"/>
  <c r="X14" i="33"/>
  <c r="X69" i="27"/>
  <c r="X26" i="33"/>
  <c r="X81" i="27"/>
  <c r="N20" i="33"/>
  <c r="N75" i="27"/>
  <c r="F6" i="33"/>
  <c r="U10" i="33"/>
  <c r="G10" i="33"/>
  <c r="T20" i="33"/>
  <c r="T75" i="27"/>
  <c r="J14" i="33"/>
  <c r="J69" i="27"/>
  <c r="T26" i="33"/>
  <c r="T81" i="27"/>
  <c r="S75" i="27"/>
  <c r="S20" i="33"/>
  <c r="B10" i="33"/>
  <c r="S81" i="27"/>
  <c r="S26" i="33"/>
  <c r="R20" i="33"/>
  <c r="R75" i="27"/>
  <c r="D6" i="33"/>
  <c r="P75" i="27"/>
  <c r="P20" i="33"/>
  <c r="W10" i="33"/>
  <c r="O75" i="27"/>
  <c r="O20" i="33"/>
  <c r="V10" i="33"/>
  <c r="N6" i="33"/>
  <c r="B75" i="27"/>
  <c r="B20" i="33"/>
  <c r="F10" i="33"/>
  <c r="W14" i="33"/>
  <c r="W69" i="27"/>
  <c r="I75" i="27"/>
  <c r="I20" i="33"/>
  <c r="T14" i="33"/>
  <c r="T69" i="27"/>
  <c r="S14" i="33"/>
  <c r="S69" i="27"/>
  <c r="O14" i="33"/>
  <c r="O69" i="27"/>
  <c r="O81" i="27"/>
  <c r="O26" i="33"/>
  <c r="J75" i="27"/>
  <c r="J20" i="33"/>
  <c r="D14" i="33"/>
  <c r="D69" i="27"/>
  <c r="D81" i="27"/>
  <c r="D26" i="33"/>
  <c r="B6" i="33"/>
  <c r="S10" i="33"/>
  <c r="E10" i="33"/>
  <c r="B14" i="33"/>
  <c r="B69" i="27"/>
  <c r="U14" i="33"/>
  <c r="U69" i="27"/>
  <c r="E6" i="33"/>
  <c r="I14" i="33"/>
  <c r="I69" i="27"/>
  <c r="I81" i="27"/>
  <c r="I26" i="33"/>
  <c r="H69" i="27"/>
  <c r="H14" i="33"/>
  <c r="R14" i="33"/>
  <c r="R69" i="27"/>
  <c r="H81" i="27"/>
  <c r="H26" i="33"/>
  <c r="R81" i="27"/>
  <c r="R26" i="33"/>
  <c r="Q20" i="33"/>
  <c r="Q75" i="27"/>
  <c r="Q6" i="33"/>
  <c r="C6" i="33"/>
  <c r="X10" i="33"/>
  <c r="J10" i="33"/>
  <c r="G69" i="27"/>
  <c r="G14" i="33"/>
  <c r="Q14" i="33"/>
  <c r="Q69" i="27"/>
  <c r="G81" i="27"/>
  <c r="G26" i="33"/>
  <c r="Q81" i="27"/>
  <c r="Q26" i="33"/>
  <c r="P6" i="33"/>
  <c r="I10" i="33"/>
  <c r="F14" i="33"/>
  <c r="F69" i="27"/>
  <c r="P14" i="33"/>
  <c r="P69" i="27"/>
  <c r="F81" i="27"/>
  <c r="F26" i="33"/>
  <c r="P81" i="27"/>
  <c r="P26" i="33"/>
  <c r="O6" i="33"/>
  <c r="H10" i="33"/>
  <c r="E14" i="33"/>
  <c r="E69" i="27"/>
  <c r="E81" i="27"/>
  <c r="E26" i="33"/>
  <c r="T10" i="33"/>
  <c r="C14" i="33"/>
  <c r="C69" i="27"/>
  <c r="C81" i="27"/>
  <c r="C26" i="33"/>
  <c r="C20" i="33"/>
  <c r="C75" i="27"/>
  <c r="N14" i="33"/>
  <c r="N69" i="27"/>
  <c r="N81" i="27"/>
  <c r="N26" i="33"/>
  <c r="D20" i="33"/>
  <c r="D75" i="27"/>
  <c r="Y6" i="33"/>
  <c r="R10" i="33"/>
  <c r="D10" i="33"/>
  <c r="Y14" i="33"/>
  <c r="Y16" i="33" s="1"/>
  <c r="Y69" i="27"/>
  <c r="Y71" i="27" s="1"/>
  <c r="Y81" i="27"/>
  <c r="Y83" i="27" s="1"/>
  <c r="Y26" i="33"/>
  <c r="E75" i="27"/>
  <c r="E20" i="33"/>
  <c r="X6" i="33"/>
  <c r="J6" i="33"/>
  <c r="Q10" i="33"/>
  <c r="C10" i="33"/>
  <c r="Y86" i="27"/>
  <c r="Y31" i="33"/>
  <c r="Y22" i="33"/>
  <c r="Y15" i="33"/>
  <c r="Y21" i="33"/>
  <c r="Y27" i="33"/>
  <c r="Q31" i="31"/>
  <c r="P31" i="31"/>
  <c r="O31" i="31"/>
  <c r="N31" i="31"/>
  <c r="M31" i="31"/>
  <c r="Q16" i="31"/>
  <c r="X32" i="33" l="1"/>
  <c r="X87" i="27"/>
  <c r="W87" i="27"/>
  <c r="W32" i="33"/>
  <c r="V87" i="27"/>
  <c r="V32" i="33"/>
  <c r="B22" i="33"/>
  <c r="Y28" i="33"/>
  <c r="Y32" i="33"/>
  <c r="Y87" i="27"/>
  <c r="G35" i="29"/>
  <c r="H35" i="29"/>
  <c r="I35" i="29"/>
  <c r="C35" i="29"/>
  <c r="D35" i="29"/>
  <c r="E35" i="29"/>
  <c r="F35" i="29"/>
  <c r="B35" i="29"/>
  <c r="B32" i="29"/>
  <c r="C32" i="29"/>
  <c r="D32" i="29"/>
  <c r="E32" i="29"/>
  <c r="F32" i="29"/>
  <c r="G32" i="29"/>
  <c r="H32" i="29"/>
  <c r="I32" i="29"/>
  <c r="B33" i="29"/>
  <c r="C33" i="29"/>
  <c r="D33" i="29"/>
  <c r="E33" i="29"/>
  <c r="F33" i="29"/>
  <c r="G33" i="29"/>
  <c r="H33" i="29"/>
  <c r="I33" i="29"/>
  <c r="L33" i="29"/>
  <c r="B34" i="29"/>
  <c r="C34" i="29"/>
  <c r="D34" i="29"/>
  <c r="E34" i="29"/>
  <c r="F34" i="29"/>
  <c r="G34" i="29"/>
  <c r="H34" i="29"/>
  <c r="I34" i="29"/>
  <c r="Q34" i="29"/>
  <c r="R34" i="29"/>
  <c r="S34" i="29"/>
  <c r="T34" i="29"/>
  <c r="C26" i="29"/>
  <c r="D26" i="29"/>
  <c r="E26" i="29"/>
  <c r="F26" i="29"/>
  <c r="G26" i="29"/>
  <c r="H26" i="29"/>
  <c r="I26" i="29"/>
  <c r="J26" i="29"/>
  <c r="J32" i="29" s="1"/>
  <c r="K26" i="29"/>
  <c r="K32" i="29" s="1"/>
  <c r="L26" i="29"/>
  <c r="L32" i="29" s="1"/>
  <c r="M26" i="29"/>
  <c r="M32" i="29" s="1"/>
  <c r="N26" i="29"/>
  <c r="N32" i="29" s="1"/>
  <c r="O26" i="29"/>
  <c r="O32" i="29" s="1"/>
  <c r="P26" i="29"/>
  <c r="P32" i="29" s="1"/>
  <c r="Q26" i="29"/>
  <c r="Q32" i="29" s="1"/>
  <c r="R26" i="29"/>
  <c r="R32" i="29" s="1"/>
  <c r="S26" i="29"/>
  <c r="S32" i="29" s="1"/>
  <c r="T26" i="29"/>
  <c r="T32" i="29" s="1"/>
  <c r="U26" i="29"/>
  <c r="U32" i="29" s="1"/>
  <c r="V26" i="29"/>
  <c r="V32" i="29" s="1"/>
  <c r="W26" i="29"/>
  <c r="W32" i="29" s="1"/>
  <c r="X26" i="29"/>
  <c r="X32" i="29" s="1"/>
  <c r="Y26" i="29"/>
  <c r="Y32" i="29" s="1"/>
  <c r="C27" i="29"/>
  <c r="D27" i="29"/>
  <c r="E27" i="29"/>
  <c r="F27" i="29"/>
  <c r="G27" i="29"/>
  <c r="H27" i="29"/>
  <c r="I27" i="29"/>
  <c r="J27" i="29"/>
  <c r="J33" i="29" s="1"/>
  <c r="K27" i="29"/>
  <c r="K33" i="29" s="1"/>
  <c r="L27" i="29"/>
  <c r="M27" i="29"/>
  <c r="M33" i="29" s="1"/>
  <c r="N27" i="29"/>
  <c r="N33" i="29" s="1"/>
  <c r="O27" i="29"/>
  <c r="O33" i="29" s="1"/>
  <c r="P27" i="29"/>
  <c r="P33" i="29" s="1"/>
  <c r="Q27" i="29"/>
  <c r="Q33" i="29" s="1"/>
  <c r="R27" i="29"/>
  <c r="R33" i="29" s="1"/>
  <c r="S27" i="29"/>
  <c r="S33" i="29" s="1"/>
  <c r="T27" i="29"/>
  <c r="T33" i="29" s="1"/>
  <c r="U27" i="29"/>
  <c r="U33" i="29" s="1"/>
  <c r="V27" i="29"/>
  <c r="V33" i="29" s="1"/>
  <c r="W27" i="29"/>
  <c r="W33" i="29" s="1"/>
  <c r="X27" i="29"/>
  <c r="X33" i="29" s="1"/>
  <c r="Y27" i="29"/>
  <c r="Y33" i="29" s="1"/>
  <c r="C28" i="29"/>
  <c r="D28" i="29"/>
  <c r="E28" i="29"/>
  <c r="F28" i="29"/>
  <c r="G28" i="29"/>
  <c r="H28" i="29"/>
  <c r="I28" i="29"/>
  <c r="J28" i="29"/>
  <c r="J34" i="29" s="1"/>
  <c r="K28" i="29"/>
  <c r="K34" i="29" s="1"/>
  <c r="L28" i="29"/>
  <c r="L34" i="29" s="1"/>
  <c r="M28" i="29"/>
  <c r="M34" i="29" s="1"/>
  <c r="N28" i="29"/>
  <c r="N34" i="29" s="1"/>
  <c r="O28" i="29"/>
  <c r="O34" i="29" s="1"/>
  <c r="P28" i="29"/>
  <c r="P34" i="29" s="1"/>
  <c r="Q28" i="29"/>
  <c r="R28" i="29"/>
  <c r="S28" i="29"/>
  <c r="T28" i="29"/>
  <c r="U28" i="29"/>
  <c r="U34" i="29" s="1"/>
  <c r="V28" i="29"/>
  <c r="V34" i="29" s="1"/>
  <c r="W28" i="29"/>
  <c r="W34" i="29" s="1"/>
  <c r="X28" i="29"/>
  <c r="X34" i="29" s="1"/>
  <c r="Y28" i="29"/>
  <c r="Y34" i="29" s="1"/>
  <c r="B27" i="29"/>
  <c r="B28" i="29"/>
  <c r="B26" i="29"/>
  <c r="C23" i="29"/>
  <c r="D23" i="29"/>
  <c r="E23" i="29"/>
  <c r="F23" i="29"/>
  <c r="G23" i="29"/>
  <c r="H23" i="29"/>
  <c r="I23" i="29"/>
  <c r="B23" i="29"/>
  <c r="Y29" i="29" l="1"/>
  <c r="X29" i="29"/>
  <c r="X35" i="29" s="1"/>
  <c r="W29" i="29"/>
  <c r="W35" i="29" s="1"/>
  <c r="V29" i="29"/>
  <c r="V35" i="29" s="1"/>
  <c r="U29" i="29"/>
  <c r="U35" i="29" s="1"/>
  <c r="T29" i="29"/>
  <c r="T35" i="29" s="1"/>
  <c r="S29" i="29"/>
  <c r="S35" i="29" s="1"/>
  <c r="R29" i="29"/>
  <c r="R35" i="29" s="1"/>
  <c r="Q29" i="29"/>
  <c r="Q35" i="29" s="1"/>
  <c r="P29" i="29"/>
  <c r="P35" i="29" s="1"/>
  <c r="O29" i="29"/>
  <c r="O35" i="29" s="1"/>
  <c r="N29" i="29"/>
  <c r="M29" i="29"/>
  <c r="L29" i="29"/>
  <c r="K29" i="29"/>
  <c r="J29" i="29"/>
  <c r="J35" i="29" s="1"/>
  <c r="I29" i="29"/>
  <c r="H29" i="29"/>
  <c r="G29" i="29"/>
  <c r="F29" i="29"/>
  <c r="E29" i="29"/>
  <c r="D29" i="29"/>
  <c r="C29" i="29"/>
  <c r="B29" i="29"/>
  <c r="Y17" i="29"/>
  <c r="X17" i="29"/>
  <c r="W17" i="29"/>
  <c r="V17" i="29"/>
  <c r="U17" i="29"/>
  <c r="T17" i="29"/>
  <c r="S17" i="29"/>
  <c r="R17" i="29"/>
  <c r="Q17" i="29"/>
  <c r="P17" i="29"/>
  <c r="O17" i="29"/>
  <c r="N17" i="29"/>
  <c r="M17" i="29"/>
  <c r="L17" i="29"/>
  <c r="K17" i="29"/>
  <c r="J17" i="29"/>
  <c r="I17" i="29"/>
  <c r="H17" i="29"/>
  <c r="G17" i="29"/>
  <c r="F17" i="29"/>
  <c r="E17" i="29"/>
  <c r="D17" i="29"/>
  <c r="C17" i="29"/>
  <c r="B17" i="29"/>
  <c r="Y11" i="29"/>
  <c r="X11" i="29"/>
  <c r="W11" i="29"/>
  <c r="V11" i="29"/>
  <c r="U11" i="29"/>
  <c r="T11" i="29"/>
  <c r="S11" i="29"/>
  <c r="R11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E11" i="29"/>
  <c r="D11" i="29"/>
  <c r="C11" i="29"/>
  <c r="B11" i="29"/>
  <c r="BU70" i="25"/>
  <c r="BU72" i="25" s="1"/>
  <c r="BU69" i="25"/>
  <c r="BU44" i="25"/>
  <c r="BU53" i="25"/>
  <c r="BU47" i="25" s="1"/>
  <c r="BU15" i="25"/>
  <c r="BU22" i="25" s="1"/>
  <c r="BN148" i="24"/>
  <c r="BN147" i="24"/>
  <c r="BN146" i="24"/>
  <c r="BN145" i="24"/>
  <c r="BN130" i="24"/>
  <c r="BN123" i="24"/>
  <c r="BN117" i="24"/>
  <c r="BP110" i="24" s="1"/>
  <c r="BN106" i="24"/>
  <c r="BN105" i="24"/>
  <c r="BN104" i="24"/>
  <c r="BN96" i="24"/>
  <c r="BN99" i="24" s="1"/>
  <c r="BN87" i="24"/>
  <c r="BN72" i="24"/>
  <c r="BN47" i="24"/>
  <c r="BN30" i="24"/>
  <c r="BS72" i="25"/>
  <c r="BS70" i="25"/>
  <c r="BS69" i="25"/>
  <c r="BN101" i="24" l="1"/>
  <c r="BN150" i="24"/>
  <c r="BU38" i="25" s="1"/>
  <c r="BN107" i="24"/>
  <c r="BN49" i="24"/>
  <c r="K35" i="29"/>
  <c r="Y35" i="29"/>
  <c r="L35" i="29"/>
  <c r="M35" i="29"/>
  <c r="N35" i="29"/>
  <c r="BU36" i="25"/>
  <c r="BU37" i="25" s="1"/>
  <c r="BU28" i="25"/>
  <c r="BU33" i="25" s="1"/>
  <c r="BN137" i="24" s="1"/>
  <c r="BI75" i="32"/>
  <c r="BK75" i="32"/>
  <c r="BK78" i="32" l="1"/>
  <c r="BK49" i="32"/>
  <c r="BK38" i="32"/>
  <c r="X37" i="33"/>
  <c r="X31" i="33"/>
  <c r="X8" i="33"/>
  <c r="X12" i="33" s="1"/>
  <c r="X18" i="33" s="1"/>
  <c r="X24" i="33" s="1"/>
  <c r="X30" i="33" s="1"/>
  <c r="X35" i="33" s="1"/>
  <c r="X41" i="33" s="1"/>
  <c r="X97" i="27"/>
  <c r="X91" i="27"/>
  <c r="X92" i="27"/>
  <c r="X86" i="27"/>
  <c r="X63" i="27"/>
  <c r="X67" i="27" s="1"/>
  <c r="X73" i="27" s="1"/>
  <c r="X79" i="27" s="1"/>
  <c r="X85" i="27" s="1"/>
  <c r="X90" i="27" s="1"/>
  <c r="X96" i="27" s="1"/>
  <c r="P16" i="31"/>
  <c r="BS53" i="25"/>
  <c r="BS47" i="25" s="1"/>
  <c r="BM44" i="25"/>
  <c r="BO44" i="25"/>
  <c r="BS44" i="25"/>
  <c r="BQ44" i="25"/>
  <c r="BS36" i="25"/>
  <c r="BS37" i="25" s="1"/>
  <c r="BS33" i="25"/>
  <c r="BL137" i="24" s="1"/>
  <c r="BS28" i="25"/>
  <c r="BS22" i="25"/>
  <c r="BS15" i="25"/>
  <c r="BL148" i="24"/>
  <c r="BL147" i="24"/>
  <c r="BL146" i="24"/>
  <c r="BL145" i="24"/>
  <c r="BL150" i="24" s="1"/>
  <c r="BL117" i="24"/>
  <c r="BN110" i="24" s="1"/>
  <c r="BL116" i="24"/>
  <c r="BL106" i="24"/>
  <c r="BL105" i="24"/>
  <c r="BL104" i="24"/>
  <c r="BL96" i="24"/>
  <c r="BL99" i="24" s="1"/>
  <c r="BL87" i="24"/>
  <c r="BL72" i="24"/>
  <c r="BL47" i="24"/>
  <c r="BL30" i="24"/>
  <c r="BL107" i="24" l="1"/>
  <c r="BS38" i="25"/>
  <c r="X70" i="27"/>
  <c r="X22" i="33"/>
  <c r="X28" i="33"/>
  <c r="X77" i="27"/>
  <c r="X71" i="27"/>
  <c r="X16" i="33"/>
  <c r="X83" i="27"/>
  <c r="BK77" i="32"/>
  <c r="X27" i="33"/>
  <c r="X21" i="33"/>
  <c r="X15" i="33"/>
  <c r="X82" i="27"/>
  <c r="X76" i="27"/>
  <c r="P19" i="31"/>
  <c r="P22" i="31" s="1"/>
  <c r="BL49" i="24"/>
  <c r="BL101" i="24"/>
  <c r="BK81" i="32" l="1"/>
  <c r="BI49" i="32" l="1"/>
  <c r="BI38" i="32"/>
  <c r="W97" i="27"/>
  <c r="W91" i="27"/>
  <c r="W92" i="27"/>
  <c r="K86" i="27"/>
  <c r="L86" i="27"/>
  <c r="M86" i="27"/>
  <c r="N86" i="27"/>
  <c r="O86" i="27"/>
  <c r="P86" i="27"/>
  <c r="Q86" i="27"/>
  <c r="R86" i="27"/>
  <c r="S86" i="27"/>
  <c r="T86" i="27"/>
  <c r="U86" i="27"/>
  <c r="V86" i="27"/>
  <c r="W86" i="27"/>
  <c r="J86" i="27"/>
  <c r="W63" i="27"/>
  <c r="W67" i="27" s="1"/>
  <c r="W73" i="27" s="1"/>
  <c r="W79" i="27" s="1"/>
  <c r="W85" i="27" s="1"/>
  <c r="W90" i="27" s="1"/>
  <c r="W96" i="27" s="1"/>
  <c r="W37" i="33"/>
  <c r="K31" i="33"/>
  <c r="L31" i="33"/>
  <c r="M31" i="33"/>
  <c r="N31" i="33"/>
  <c r="O31" i="33"/>
  <c r="P31" i="33"/>
  <c r="Q31" i="33"/>
  <c r="R31" i="33"/>
  <c r="S31" i="33"/>
  <c r="T31" i="33"/>
  <c r="U31" i="33"/>
  <c r="V31" i="33"/>
  <c r="W31" i="33"/>
  <c r="J31" i="33"/>
  <c r="W8" i="33"/>
  <c r="W12" i="33" s="1"/>
  <c r="W18" i="33" s="1"/>
  <c r="W24" i="33" s="1"/>
  <c r="W30" i="33" s="1"/>
  <c r="W35" i="33" s="1"/>
  <c r="W41" i="33" s="1"/>
  <c r="O22" i="31"/>
  <c r="O19" i="31"/>
  <c r="O16" i="31"/>
  <c r="W70" i="27" l="1"/>
  <c r="W22" i="33"/>
  <c r="W77" i="27"/>
  <c r="W16" i="33"/>
  <c r="W83" i="27"/>
  <c r="W28" i="33"/>
  <c r="W15" i="33"/>
  <c r="W21" i="33"/>
  <c r="W71" i="27"/>
  <c r="BI77" i="32"/>
  <c r="BI81" i="32" s="1"/>
  <c r="W82" i="27"/>
  <c r="W76" i="27"/>
  <c r="W27" i="33"/>
  <c r="BQ72" i="25"/>
  <c r="BQ70" i="25"/>
  <c r="BQ69" i="25"/>
  <c r="BQ53" i="25"/>
  <c r="BQ47" i="25" s="1"/>
  <c r="BQ36" i="25"/>
  <c r="BQ37" i="25" s="1"/>
  <c r="BQ33" i="25"/>
  <c r="BJ137" i="24" s="1"/>
  <c r="BQ28" i="25"/>
  <c r="BQ22" i="25"/>
  <c r="BQ15" i="25"/>
  <c r="BJ148" i="24"/>
  <c r="BJ147" i="24"/>
  <c r="BJ146" i="24"/>
  <c r="BJ145" i="24"/>
  <c r="BJ117" i="24"/>
  <c r="BL110" i="24" s="1"/>
  <c r="BJ116" i="24"/>
  <c r="BJ106" i="24"/>
  <c r="BJ105" i="24"/>
  <c r="BJ104" i="24"/>
  <c r="BJ96" i="24"/>
  <c r="BJ99" i="24" s="1"/>
  <c r="BJ87" i="24"/>
  <c r="BJ72" i="24"/>
  <c r="BJ47" i="24"/>
  <c r="BJ30" i="24"/>
  <c r="BJ49" i="24" s="1"/>
  <c r="BJ107" i="24" l="1"/>
  <c r="BJ150" i="24"/>
  <c r="BJ101" i="24"/>
  <c r="BQ38" i="25"/>
  <c r="BG66" i="32"/>
  <c r="BG16" i="32" l="1"/>
  <c r="BG38" i="32"/>
  <c r="BG75" i="32"/>
  <c r="BG49" i="32"/>
  <c r="BG77" i="32" l="1"/>
  <c r="BG81" i="32" l="1"/>
  <c r="V37" i="33"/>
  <c r="V8" i="33"/>
  <c r="V12" i="33" s="1"/>
  <c r="V18" i="33" s="1"/>
  <c r="V24" i="33" s="1"/>
  <c r="V30" i="33" s="1"/>
  <c r="V35" i="33" s="1"/>
  <c r="V41" i="33" s="1"/>
  <c r="V97" i="27"/>
  <c r="V91" i="27"/>
  <c r="V92" i="27"/>
  <c r="V63" i="27"/>
  <c r="V67" i="27" s="1"/>
  <c r="V73" i="27" s="1"/>
  <c r="V79" i="27" s="1"/>
  <c r="V85" i="27" s="1"/>
  <c r="V90" i="27" s="1"/>
  <c r="V96" i="27" s="1"/>
  <c r="N10" i="31"/>
  <c r="N7" i="31"/>
  <c r="N13" i="31" s="1"/>
  <c r="C20" i="31"/>
  <c r="D20" i="31"/>
  <c r="E20" i="31"/>
  <c r="F20" i="31"/>
  <c r="G20" i="31"/>
  <c r="G19" i="31" s="1"/>
  <c r="G22" i="31" s="1"/>
  <c r="H20" i="31"/>
  <c r="I20" i="31"/>
  <c r="J20" i="31"/>
  <c r="K20" i="31"/>
  <c r="L20" i="31"/>
  <c r="M20" i="31"/>
  <c r="N20" i="31"/>
  <c r="C21" i="31"/>
  <c r="D21" i="31"/>
  <c r="E21" i="31"/>
  <c r="F21" i="31"/>
  <c r="G21" i="31"/>
  <c r="H21" i="31"/>
  <c r="I21" i="31"/>
  <c r="J21" i="31"/>
  <c r="K21" i="31"/>
  <c r="L21" i="31"/>
  <c r="M21" i="31"/>
  <c r="N21" i="31"/>
  <c r="B21" i="31"/>
  <c r="B20" i="31"/>
  <c r="E19" i="31"/>
  <c r="E22" i="31" s="1"/>
  <c r="I19" i="31"/>
  <c r="I22" i="31" s="1"/>
  <c r="J19" i="31"/>
  <c r="J22" i="31" s="1"/>
  <c r="M19" i="31"/>
  <c r="M22" i="31" s="1"/>
  <c r="N16" i="31"/>
  <c r="B16" i="31"/>
  <c r="C16" i="31"/>
  <c r="D16" i="31"/>
  <c r="E16" i="31"/>
  <c r="F16" i="31"/>
  <c r="G16" i="31"/>
  <c r="H16" i="31"/>
  <c r="I16" i="31"/>
  <c r="J16" i="31"/>
  <c r="K16" i="31"/>
  <c r="L16" i="31"/>
  <c r="M16" i="31"/>
  <c r="A17" i="31"/>
  <c r="A19" i="31"/>
  <c r="A20" i="31"/>
  <c r="A21" i="31"/>
  <c r="A16" i="31"/>
  <c r="BO72" i="25"/>
  <c r="BO70" i="25"/>
  <c r="BO69" i="25"/>
  <c r="BO53" i="25"/>
  <c r="BO47" i="25" s="1"/>
  <c r="BO36" i="25"/>
  <c r="BO33" i="25"/>
  <c r="BO28" i="25"/>
  <c r="BO22" i="25"/>
  <c r="BO15" i="25"/>
  <c r="BH148" i="24"/>
  <c r="BH147" i="24"/>
  <c r="BH146" i="24"/>
  <c r="BH145" i="24"/>
  <c r="BH137" i="24"/>
  <c r="BH116" i="24"/>
  <c r="BH117" i="24"/>
  <c r="BJ110" i="24" s="1"/>
  <c r="BH106" i="24"/>
  <c r="BH105" i="24"/>
  <c r="BH104" i="24"/>
  <c r="BH96" i="24"/>
  <c r="BH99" i="24" s="1"/>
  <c r="BH87" i="24"/>
  <c r="BH72" i="24"/>
  <c r="BH47" i="24"/>
  <c r="BH30" i="24"/>
  <c r="BH101" i="24" l="1"/>
  <c r="V70" i="27"/>
  <c r="V22" i="33"/>
  <c r="V77" i="27"/>
  <c r="V83" i="27"/>
  <c r="F19" i="31"/>
  <c r="F22" i="31" s="1"/>
  <c r="H19" i="31"/>
  <c r="H22" i="31" s="1"/>
  <c r="L19" i="31"/>
  <c r="L22" i="31" s="1"/>
  <c r="D19" i="31"/>
  <c r="D22" i="31" s="1"/>
  <c r="N19" i="31"/>
  <c r="N22" i="31" s="1"/>
  <c r="K19" i="31"/>
  <c r="K22" i="31" s="1"/>
  <c r="C19" i="31"/>
  <c r="C22" i="31" s="1"/>
  <c r="V71" i="27"/>
  <c r="V15" i="33"/>
  <c r="V16" i="33"/>
  <c r="V21" i="33"/>
  <c r="V28" i="33"/>
  <c r="BH150" i="24"/>
  <c r="BH49" i="24"/>
  <c r="BH107" i="24"/>
  <c r="V27" i="33"/>
  <c r="V82" i="27"/>
  <c r="V76" i="27"/>
  <c r="B19" i="31"/>
  <c r="B22" i="31" s="1"/>
  <c r="BE66" i="32" l="1"/>
  <c r="BE75" i="32" s="1"/>
  <c r="BE38" i="32" l="1"/>
  <c r="BE49" i="32"/>
  <c r="BE78" i="32"/>
  <c r="BE77" i="32" l="1"/>
  <c r="BE81" i="32" s="1"/>
  <c r="U37" i="33"/>
  <c r="T37" i="33"/>
  <c r="S37" i="33"/>
  <c r="R37" i="33"/>
  <c r="Q37" i="33"/>
  <c r="P37" i="33"/>
  <c r="O37" i="33"/>
  <c r="M28" i="33"/>
  <c r="L28" i="33"/>
  <c r="K28" i="33"/>
  <c r="M27" i="33"/>
  <c r="L27" i="33"/>
  <c r="K27" i="33"/>
  <c r="J27" i="33"/>
  <c r="I27" i="33"/>
  <c r="H27" i="33"/>
  <c r="G27" i="33"/>
  <c r="F27" i="33"/>
  <c r="E27" i="33"/>
  <c r="D27" i="33"/>
  <c r="C27" i="33"/>
  <c r="B27" i="33"/>
  <c r="I28" i="33"/>
  <c r="M22" i="33"/>
  <c r="L22" i="33"/>
  <c r="K22" i="33"/>
  <c r="J22" i="33"/>
  <c r="I22" i="33"/>
  <c r="H22" i="33"/>
  <c r="M21" i="33"/>
  <c r="L21" i="33"/>
  <c r="K21" i="33"/>
  <c r="J21" i="33"/>
  <c r="I21" i="33"/>
  <c r="H21" i="33"/>
  <c r="G21" i="33"/>
  <c r="F21" i="33"/>
  <c r="E21" i="33"/>
  <c r="D21" i="33"/>
  <c r="C21" i="33"/>
  <c r="M16" i="33"/>
  <c r="L16" i="33"/>
  <c r="K16" i="33"/>
  <c r="M15" i="33"/>
  <c r="L15" i="33"/>
  <c r="K15" i="33"/>
  <c r="J15" i="33"/>
  <c r="I15" i="33"/>
  <c r="H15" i="33"/>
  <c r="G15" i="33"/>
  <c r="F15" i="33"/>
  <c r="E15" i="33"/>
  <c r="D15" i="33"/>
  <c r="C15" i="33"/>
  <c r="B15" i="33"/>
  <c r="B16" i="33"/>
  <c r="H28" i="33"/>
  <c r="G22" i="33"/>
  <c r="F28" i="33"/>
  <c r="E16" i="33"/>
  <c r="D16" i="33"/>
  <c r="C16" i="33"/>
  <c r="U8" i="33"/>
  <c r="U12" i="33" s="1"/>
  <c r="U18" i="33" s="1"/>
  <c r="U24" i="33" s="1"/>
  <c r="U30" i="33" s="1"/>
  <c r="U35" i="33" s="1"/>
  <c r="U41" i="33" s="1"/>
  <c r="T8" i="33"/>
  <c r="T12" i="33" s="1"/>
  <c r="T18" i="33" s="1"/>
  <c r="T24" i="33" s="1"/>
  <c r="T30" i="33" s="1"/>
  <c r="T35" i="33" s="1"/>
  <c r="T41" i="33" s="1"/>
  <c r="S8" i="33"/>
  <c r="S12" i="33" s="1"/>
  <c r="S18" i="33" s="1"/>
  <c r="S24" i="33" s="1"/>
  <c r="S30" i="33" s="1"/>
  <c r="S35" i="33" s="1"/>
  <c r="S41" i="33" s="1"/>
  <c r="R8" i="33"/>
  <c r="R12" i="33" s="1"/>
  <c r="R18" i="33" s="1"/>
  <c r="R24" i="33" s="1"/>
  <c r="R30" i="33" s="1"/>
  <c r="R35" i="33" s="1"/>
  <c r="R41" i="33" s="1"/>
  <c r="Q8" i="33"/>
  <c r="Q12" i="33" s="1"/>
  <c r="Q18" i="33" s="1"/>
  <c r="Q24" i="33" s="1"/>
  <c r="Q30" i="33" s="1"/>
  <c r="Q35" i="33" s="1"/>
  <c r="Q41" i="33" s="1"/>
  <c r="P8" i="33"/>
  <c r="P12" i="33" s="1"/>
  <c r="P18" i="33" s="1"/>
  <c r="P24" i="33" s="1"/>
  <c r="P30" i="33" s="1"/>
  <c r="P35" i="33" s="1"/>
  <c r="P41" i="33" s="1"/>
  <c r="O8" i="33"/>
  <c r="O12" i="33" s="1"/>
  <c r="O18" i="33" s="1"/>
  <c r="O24" i="33" s="1"/>
  <c r="O30" i="33" s="1"/>
  <c r="O35" i="33" s="1"/>
  <c r="O41" i="33" s="1"/>
  <c r="N8" i="33"/>
  <c r="N12" i="33" s="1"/>
  <c r="N18" i="33" s="1"/>
  <c r="N24" i="33" s="1"/>
  <c r="N30" i="33" s="1"/>
  <c r="N35" i="33" s="1"/>
  <c r="N41" i="33" s="1"/>
  <c r="M8" i="33"/>
  <c r="M12" i="33" s="1"/>
  <c r="M18" i="33" s="1"/>
  <c r="M24" i="33" s="1"/>
  <c r="M30" i="33" s="1"/>
  <c r="M35" i="33" s="1"/>
  <c r="M41" i="33" s="1"/>
  <c r="L8" i="33"/>
  <c r="L12" i="33" s="1"/>
  <c r="L18" i="33" s="1"/>
  <c r="L24" i="33" s="1"/>
  <c r="L30" i="33" s="1"/>
  <c r="L35" i="33" s="1"/>
  <c r="L41" i="33" s="1"/>
  <c r="K8" i="33"/>
  <c r="K12" i="33" s="1"/>
  <c r="K18" i="33" s="1"/>
  <c r="K24" i="33" s="1"/>
  <c r="K30" i="33" s="1"/>
  <c r="K35" i="33" s="1"/>
  <c r="K41" i="33" s="1"/>
  <c r="J8" i="33"/>
  <c r="J12" i="33" s="1"/>
  <c r="J18" i="33" s="1"/>
  <c r="J24" i="33" s="1"/>
  <c r="J30" i="33" s="1"/>
  <c r="J35" i="33" s="1"/>
  <c r="J41" i="33" s="1"/>
  <c r="I8" i="33"/>
  <c r="I12" i="33" s="1"/>
  <c r="I18" i="33" s="1"/>
  <c r="I24" i="33" s="1"/>
  <c r="I30" i="33" s="1"/>
  <c r="I35" i="33" s="1"/>
  <c r="I41" i="33" s="1"/>
  <c r="H8" i="33"/>
  <c r="H12" i="33" s="1"/>
  <c r="H18" i="33" s="1"/>
  <c r="H24" i="33" s="1"/>
  <c r="H30" i="33" s="1"/>
  <c r="H35" i="33" s="1"/>
  <c r="H41" i="33" s="1"/>
  <c r="G8" i="33"/>
  <c r="G12" i="33" s="1"/>
  <c r="G18" i="33" s="1"/>
  <c r="G24" i="33" s="1"/>
  <c r="G30" i="33" s="1"/>
  <c r="G35" i="33" s="1"/>
  <c r="G41" i="33" s="1"/>
  <c r="F8" i="33"/>
  <c r="F12" i="33" s="1"/>
  <c r="F18" i="33" s="1"/>
  <c r="F24" i="33" s="1"/>
  <c r="F30" i="33" s="1"/>
  <c r="F35" i="33" s="1"/>
  <c r="F41" i="33" s="1"/>
  <c r="E8" i="33"/>
  <c r="E12" i="33" s="1"/>
  <c r="E18" i="33" s="1"/>
  <c r="E24" i="33" s="1"/>
  <c r="E30" i="33" s="1"/>
  <c r="E35" i="33" s="1"/>
  <c r="E41" i="33" s="1"/>
  <c r="D8" i="33"/>
  <c r="D12" i="33" s="1"/>
  <c r="D18" i="33" s="1"/>
  <c r="D24" i="33" s="1"/>
  <c r="D30" i="33" s="1"/>
  <c r="D35" i="33" s="1"/>
  <c r="D41" i="33" s="1"/>
  <c r="C8" i="33"/>
  <c r="C12" i="33" s="1"/>
  <c r="C18" i="33" s="1"/>
  <c r="C24" i="33" s="1"/>
  <c r="C30" i="33" s="1"/>
  <c r="C35" i="33" s="1"/>
  <c r="C41" i="33" s="1"/>
  <c r="B8" i="33"/>
  <c r="B12" i="33" s="1"/>
  <c r="B18" i="33" s="1"/>
  <c r="B24" i="33" s="1"/>
  <c r="B30" i="33" s="1"/>
  <c r="B35" i="33" s="1"/>
  <c r="B41" i="33" s="1"/>
  <c r="U97" i="27"/>
  <c r="T97" i="27"/>
  <c r="S97" i="27"/>
  <c r="R97" i="27"/>
  <c r="Q97" i="27"/>
  <c r="P97" i="27"/>
  <c r="O97" i="27"/>
  <c r="N97" i="27"/>
  <c r="M97" i="27"/>
  <c r="U92" i="27"/>
  <c r="T92" i="27"/>
  <c r="S92" i="27"/>
  <c r="R92" i="27"/>
  <c r="Q92" i="27"/>
  <c r="P92" i="27"/>
  <c r="O92" i="27"/>
  <c r="N92" i="27"/>
  <c r="M92" i="27"/>
  <c r="L92" i="27"/>
  <c r="K92" i="27"/>
  <c r="J92" i="27"/>
  <c r="I92" i="27"/>
  <c r="H92" i="27"/>
  <c r="G92" i="27"/>
  <c r="F92" i="27"/>
  <c r="E92" i="27"/>
  <c r="D92" i="27"/>
  <c r="C92" i="27"/>
  <c r="B92" i="27"/>
  <c r="U91" i="27"/>
  <c r="T91" i="27"/>
  <c r="S91" i="27"/>
  <c r="R91" i="27"/>
  <c r="Q91" i="27"/>
  <c r="P91" i="27"/>
  <c r="O91" i="27"/>
  <c r="N91" i="27"/>
  <c r="M91" i="27"/>
  <c r="L91" i="27"/>
  <c r="K91" i="27"/>
  <c r="J91" i="27"/>
  <c r="I91" i="27"/>
  <c r="H91" i="27"/>
  <c r="G91" i="27"/>
  <c r="F91" i="27"/>
  <c r="E91" i="27"/>
  <c r="D91" i="27"/>
  <c r="C91" i="27"/>
  <c r="B91" i="27"/>
  <c r="M83" i="27"/>
  <c r="L83" i="27"/>
  <c r="K83" i="27"/>
  <c r="M82" i="27"/>
  <c r="L82" i="27"/>
  <c r="K82" i="27"/>
  <c r="J82" i="27"/>
  <c r="I82" i="27"/>
  <c r="H82" i="27"/>
  <c r="G82" i="27"/>
  <c r="F82" i="27"/>
  <c r="E82" i="27"/>
  <c r="D82" i="27"/>
  <c r="C82" i="27"/>
  <c r="B82" i="27"/>
  <c r="I83" i="27"/>
  <c r="E83" i="27"/>
  <c r="D83" i="27"/>
  <c r="M77" i="27"/>
  <c r="L77" i="27"/>
  <c r="K77" i="27"/>
  <c r="M76" i="27"/>
  <c r="L76" i="27"/>
  <c r="K76" i="27"/>
  <c r="J76" i="27"/>
  <c r="I76" i="27"/>
  <c r="H76" i="27"/>
  <c r="G76" i="27"/>
  <c r="F76" i="27"/>
  <c r="E76" i="27"/>
  <c r="D76" i="27"/>
  <c r="C76" i="27"/>
  <c r="B76" i="27"/>
  <c r="I77" i="27"/>
  <c r="M71" i="27"/>
  <c r="L71" i="27"/>
  <c r="K71" i="27"/>
  <c r="M70" i="27"/>
  <c r="L70" i="27"/>
  <c r="K70" i="27"/>
  <c r="J70" i="27"/>
  <c r="I70" i="27"/>
  <c r="H70" i="27"/>
  <c r="G70" i="27"/>
  <c r="F70" i="27"/>
  <c r="E70" i="27"/>
  <c r="D70" i="27"/>
  <c r="C70" i="27"/>
  <c r="B70" i="27"/>
  <c r="G71" i="27"/>
  <c r="F71" i="27"/>
  <c r="U63" i="27"/>
  <c r="U67" i="27" s="1"/>
  <c r="U73" i="27" s="1"/>
  <c r="U79" i="27" s="1"/>
  <c r="U85" i="27" s="1"/>
  <c r="U90" i="27" s="1"/>
  <c r="U96" i="27" s="1"/>
  <c r="T63" i="27"/>
  <c r="T67" i="27" s="1"/>
  <c r="T73" i="27" s="1"/>
  <c r="T79" i="27" s="1"/>
  <c r="T85" i="27" s="1"/>
  <c r="T90" i="27" s="1"/>
  <c r="T96" i="27" s="1"/>
  <c r="S63" i="27"/>
  <c r="S67" i="27" s="1"/>
  <c r="S73" i="27" s="1"/>
  <c r="S79" i="27" s="1"/>
  <c r="S85" i="27" s="1"/>
  <c r="S90" i="27" s="1"/>
  <c r="S96" i="27" s="1"/>
  <c r="R63" i="27"/>
  <c r="R67" i="27" s="1"/>
  <c r="R73" i="27" s="1"/>
  <c r="R79" i="27" s="1"/>
  <c r="R85" i="27" s="1"/>
  <c r="R90" i="27" s="1"/>
  <c r="R96" i="27" s="1"/>
  <c r="Q63" i="27"/>
  <c r="Q67" i="27" s="1"/>
  <c r="Q73" i="27" s="1"/>
  <c r="Q79" i="27" s="1"/>
  <c r="Q85" i="27" s="1"/>
  <c r="Q90" i="27" s="1"/>
  <c r="Q96" i="27" s="1"/>
  <c r="P63" i="27"/>
  <c r="P67" i="27" s="1"/>
  <c r="P73" i="27" s="1"/>
  <c r="P79" i="27" s="1"/>
  <c r="P85" i="27" s="1"/>
  <c r="P90" i="27" s="1"/>
  <c r="P96" i="27" s="1"/>
  <c r="O63" i="27"/>
  <c r="O67" i="27" s="1"/>
  <c r="O73" i="27" s="1"/>
  <c r="O79" i="27" s="1"/>
  <c r="O85" i="27" s="1"/>
  <c r="O90" i="27" s="1"/>
  <c r="O96" i="27" s="1"/>
  <c r="N63" i="27"/>
  <c r="N67" i="27" s="1"/>
  <c r="N73" i="27" s="1"/>
  <c r="N79" i="27" s="1"/>
  <c r="N85" i="27" s="1"/>
  <c r="N90" i="27" s="1"/>
  <c r="N96" i="27" s="1"/>
  <c r="M63" i="27"/>
  <c r="M67" i="27" s="1"/>
  <c r="M73" i="27" s="1"/>
  <c r="M79" i="27" s="1"/>
  <c r="M85" i="27" s="1"/>
  <c r="M90" i="27" s="1"/>
  <c r="M96" i="27" s="1"/>
  <c r="L63" i="27"/>
  <c r="L67" i="27" s="1"/>
  <c r="L73" i="27" s="1"/>
  <c r="L79" i="27" s="1"/>
  <c r="L85" i="27" s="1"/>
  <c r="L90" i="27" s="1"/>
  <c r="L96" i="27" s="1"/>
  <c r="K63" i="27"/>
  <c r="K67" i="27" s="1"/>
  <c r="K73" i="27" s="1"/>
  <c r="K79" i="27" s="1"/>
  <c r="K85" i="27" s="1"/>
  <c r="K90" i="27" s="1"/>
  <c r="K96" i="27" s="1"/>
  <c r="J63" i="27"/>
  <c r="J67" i="27" s="1"/>
  <c r="J73" i="27" s="1"/>
  <c r="J79" i="27" s="1"/>
  <c r="J85" i="27" s="1"/>
  <c r="J90" i="27" s="1"/>
  <c r="J96" i="27" s="1"/>
  <c r="I63" i="27"/>
  <c r="I67" i="27" s="1"/>
  <c r="I73" i="27" s="1"/>
  <c r="I79" i="27" s="1"/>
  <c r="I85" i="27" s="1"/>
  <c r="I90" i="27" s="1"/>
  <c r="I96" i="27" s="1"/>
  <c r="H63" i="27"/>
  <c r="H67" i="27" s="1"/>
  <c r="H73" i="27" s="1"/>
  <c r="H79" i="27" s="1"/>
  <c r="H85" i="27" s="1"/>
  <c r="H90" i="27" s="1"/>
  <c r="H96" i="27" s="1"/>
  <c r="G63" i="27"/>
  <c r="G67" i="27" s="1"/>
  <c r="G73" i="27" s="1"/>
  <c r="G79" i="27" s="1"/>
  <c r="G85" i="27" s="1"/>
  <c r="G90" i="27" s="1"/>
  <c r="G96" i="27" s="1"/>
  <c r="F63" i="27"/>
  <c r="F67" i="27" s="1"/>
  <c r="F73" i="27" s="1"/>
  <c r="F79" i="27" s="1"/>
  <c r="F85" i="27" s="1"/>
  <c r="F90" i="27" s="1"/>
  <c r="F96" i="27" s="1"/>
  <c r="E63" i="27"/>
  <c r="E67" i="27" s="1"/>
  <c r="E73" i="27" s="1"/>
  <c r="E79" i="27" s="1"/>
  <c r="E85" i="27" s="1"/>
  <c r="E90" i="27" s="1"/>
  <c r="E96" i="27" s="1"/>
  <c r="D63" i="27"/>
  <c r="D67" i="27" s="1"/>
  <c r="D73" i="27" s="1"/>
  <c r="D79" i="27" s="1"/>
  <c r="D85" i="27" s="1"/>
  <c r="D90" i="27" s="1"/>
  <c r="D96" i="27" s="1"/>
  <c r="C63" i="27"/>
  <c r="C67" i="27" s="1"/>
  <c r="C73" i="27" s="1"/>
  <c r="C79" i="27" s="1"/>
  <c r="C85" i="27" s="1"/>
  <c r="C90" i="27" s="1"/>
  <c r="C96" i="27" s="1"/>
  <c r="B63" i="27"/>
  <c r="B67" i="27" s="1"/>
  <c r="B73" i="27" s="1"/>
  <c r="B79" i="27" s="1"/>
  <c r="B85" i="27" s="1"/>
  <c r="B90" i="27" s="1"/>
  <c r="B96" i="27" s="1"/>
  <c r="M13" i="31"/>
  <c r="L13" i="31"/>
  <c r="F13" i="31"/>
  <c r="E13" i="31"/>
  <c r="D13" i="31"/>
  <c r="M10" i="31"/>
  <c r="L10" i="31"/>
  <c r="K10" i="31"/>
  <c r="J10" i="31"/>
  <c r="I10" i="31"/>
  <c r="H10" i="31"/>
  <c r="G10" i="31"/>
  <c r="F10" i="31"/>
  <c r="E10" i="31"/>
  <c r="D10" i="31"/>
  <c r="C10" i="31"/>
  <c r="B10" i="31"/>
  <c r="I9" i="31"/>
  <c r="I7" i="31" s="1"/>
  <c r="I13" i="31" s="1"/>
  <c r="H9" i="31"/>
  <c r="H7" i="31" s="1"/>
  <c r="H13" i="31" s="1"/>
  <c r="G9" i="31"/>
  <c r="G7" i="31" s="1"/>
  <c r="G13" i="31" s="1"/>
  <c r="F9" i="31"/>
  <c r="E9" i="31"/>
  <c r="D9" i="31"/>
  <c r="C9" i="31"/>
  <c r="B9" i="31"/>
  <c r="M7" i="31"/>
  <c r="L7" i="31"/>
  <c r="K7" i="31"/>
  <c r="K13" i="31" s="1"/>
  <c r="J7" i="31"/>
  <c r="J13" i="31" s="1"/>
  <c r="F7" i="31"/>
  <c r="E7" i="31"/>
  <c r="D7" i="31"/>
  <c r="C7" i="31"/>
  <c r="C13" i="31" s="1"/>
  <c r="AU79" i="32"/>
  <c r="AS79" i="32"/>
  <c r="AU78" i="32" s="1"/>
  <c r="AQ79" i="32"/>
  <c r="AS78" i="32" s="1"/>
  <c r="AO79" i="32"/>
  <c r="AQ78" i="32" s="1"/>
  <c r="AM79" i="32"/>
  <c r="AO78" i="32" s="1"/>
  <c r="AK79" i="32"/>
  <c r="AM78" i="32" s="1"/>
  <c r="AI79" i="32"/>
  <c r="AK78" i="32" s="1"/>
  <c r="AG79" i="32"/>
  <c r="AI78" i="32" s="1"/>
  <c r="AE79" i="32"/>
  <c r="AG78" i="32" s="1"/>
  <c r="AC79" i="32"/>
  <c r="AE78" i="32" s="1"/>
  <c r="AA79" i="32"/>
  <c r="AC78" i="32" s="1"/>
  <c r="Y79" i="32"/>
  <c r="AA78" i="32" s="1"/>
  <c r="W79" i="32"/>
  <c r="Y78" i="32" s="1"/>
  <c r="U79" i="32"/>
  <c r="W78" i="32" s="1"/>
  <c r="S79" i="32"/>
  <c r="U78" i="32" s="1"/>
  <c r="Q79" i="32"/>
  <c r="S78" i="32" s="1"/>
  <c r="O79" i="32"/>
  <c r="Q78" i="32" s="1"/>
  <c r="M79" i="32"/>
  <c r="O78" i="32" s="1"/>
  <c r="K79" i="32"/>
  <c r="M78" i="32" s="1"/>
  <c r="I79" i="32"/>
  <c r="K78" i="32" s="1"/>
  <c r="G79" i="32"/>
  <c r="I78" i="32" s="1"/>
  <c r="E79" i="32"/>
  <c r="G78" i="32" s="1"/>
  <c r="C79" i="32"/>
  <c r="E78" i="32" s="1"/>
  <c r="BC78" i="32"/>
  <c r="BA78" i="32"/>
  <c r="AY78" i="32"/>
  <c r="BC75" i="32"/>
  <c r="AW75" i="32"/>
  <c r="AU75" i="32"/>
  <c r="AS75" i="32"/>
  <c r="AQ75" i="32"/>
  <c r="S75" i="32"/>
  <c r="Q75" i="32"/>
  <c r="O75" i="32"/>
  <c r="M75" i="32"/>
  <c r="K75" i="32"/>
  <c r="I75" i="32"/>
  <c r="G75" i="32"/>
  <c r="E75" i="32"/>
  <c r="C75" i="32"/>
  <c r="BA71" i="32"/>
  <c r="BA70" i="32"/>
  <c r="AY66" i="32"/>
  <c r="AY75" i="32" s="1"/>
  <c r="BA63" i="32"/>
  <c r="AO63" i="32"/>
  <c r="AO75" i="32" s="1"/>
  <c r="AM63" i="32"/>
  <c r="AM75" i="32" s="1"/>
  <c r="AK63" i="32"/>
  <c r="AK75" i="32" s="1"/>
  <c r="AI63" i="32"/>
  <c r="AI75" i="32" s="1"/>
  <c r="AG63" i="32"/>
  <c r="AG75" i="32" s="1"/>
  <c r="AE63" i="32"/>
  <c r="AE75" i="32" s="1"/>
  <c r="AC63" i="32"/>
  <c r="AC75" i="32" s="1"/>
  <c r="AA63" i="32"/>
  <c r="AA75" i="32" s="1"/>
  <c r="Y63" i="32"/>
  <c r="Y75" i="32" s="1"/>
  <c r="W63" i="32"/>
  <c r="W75" i="32" s="1"/>
  <c r="U63" i="32"/>
  <c r="U75" i="32" s="1"/>
  <c r="BA62" i="32"/>
  <c r="BC49" i="32"/>
  <c r="BA49" i="32"/>
  <c r="AY49" i="32"/>
  <c r="AW49" i="32"/>
  <c r="AU49" i="32"/>
  <c r="AS49" i="32"/>
  <c r="AQ49" i="32"/>
  <c r="AO49" i="32"/>
  <c r="AM49" i="32"/>
  <c r="AK49" i="32"/>
  <c r="AI49" i="32"/>
  <c r="AG49" i="32"/>
  <c r="AE49" i="32"/>
  <c r="AC49" i="32"/>
  <c r="AA49" i="32"/>
  <c r="Y49" i="32"/>
  <c r="W49" i="32"/>
  <c r="U49" i="32"/>
  <c r="S49" i="32"/>
  <c r="Q49" i="32"/>
  <c r="O49" i="32"/>
  <c r="M49" i="32"/>
  <c r="K49" i="32"/>
  <c r="I49" i="32"/>
  <c r="G49" i="32"/>
  <c r="E49" i="32"/>
  <c r="C49" i="32"/>
  <c r="BC38" i="32"/>
  <c r="BA38" i="32"/>
  <c r="AW38" i="32"/>
  <c r="AO38" i="32"/>
  <c r="AM38" i="32"/>
  <c r="AK38" i="32"/>
  <c r="AI38" i="32"/>
  <c r="AG38" i="32"/>
  <c r="AE38" i="32"/>
  <c r="AC38" i="32"/>
  <c r="AA38" i="32"/>
  <c r="Y38" i="32"/>
  <c r="Y77" i="32" s="1"/>
  <c r="W38" i="32"/>
  <c r="U38" i="32"/>
  <c r="S38" i="32"/>
  <c r="Q38" i="32"/>
  <c r="O38" i="32"/>
  <c r="O77" i="32" s="1"/>
  <c r="M38" i="32"/>
  <c r="K38" i="32"/>
  <c r="I38" i="32"/>
  <c r="G38" i="32"/>
  <c r="E38" i="32"/>
  <c r="C38" i="32"/>
  <c r="AY26" i="32"/>
  <c r="AS22" i="32"/>
  <c r="AS21" i="32"/>
  <c r="AY16" i="32"/>
  <c r="AY38" i="32" s="1"/>
  <c r="AQ16" i="32"/>
  <c r="AQ38" i="32" s="1"/>
  <c r="AS15" i="32"/>
  <c r="AS14" i="32"/>
  <c r="AS13" i="32"/>
  <c r="AU8" i="32"/>
  <c r="AU38" i="32" s="1"/>
  <c r="AS8" i="32"/>
  <c r="BM72" i="25"/>
  <c r="BK72" i="25"/>
  <c r="BI72" i="25"/>
  <c r="BG72" i="25"/>
  <c r="BE72" i="25"/>
  <c r="BC72" i="25"/>
  <c r="BA72" i="25"/>
  <c r="AY72" i="25"/>
  <c r="AW72" i="25"/>
  <c r="AU72" i="25"/>
  <c r="AS72" i="25"/>
  <c r="AQ72" i="25"/>
  <c r="AO72" i="25"/>
  <c r="AM72" i="25"/>
  <c r="AK72" i="25"/>
  <c r="AI72" i="25"/>
  <c r="AG72" i="25"/>
  <c r="AE72" i="25"/>
  <c r="AC72" i="25"/>
  <c r="AA72" i="25"/>
  <c r="Y72" i="25"/>
  <c r="W72" i="25"/>
  <c r="U72" i="25"/>
  <c r="S72" i="25"/>
  <c r="Q72" i="25"/>
  <c r="O72" i="25"/>
  <c r="M72" i="25"/>
  <c r="K72" i="25"/>
  <c r="I72" i="25"/>
  <c r="G72" i="25"/>
  <c r="E72" i="25"/>
  <c r="C72" i="25"/>
  <c r="BM70" i="25"/>
  <c r="BK70" i="25"/>
  <c r="BI70" i="25"/>
  <c r="BG70" i="25"/>
  <c r="BE70" i="25"/>
  <c r="BC70" i="25"/>
  <c r="BA70" i="25"/>
  <c r="AY70" i="25"/>
  <c r="AW70" i="25"/>
  <c r="AU70" i="25"/>
  <c r="AS70" i="25"/>
  <c r="AQ70" i="25"/>
  <c r="AO70" i="25"/>
  <c r="AM70" i="25"/>
  <c r="AK70" i="25"/>
  <c r="AI70" i="25"/>
  <c r="AG70" i="25"/>
  <c r="AE70" i="25"/>
  <c r="AC70" i="25"/>
  <c r="AA70" i="25"/>
  <c r="Y70" i="25"/>
  <c r="W70" i="25"/>
  <c r="U70" i="25"/>
  <c r="S70" i="25"/>
  <c r="Q70" i="25"/>
  <c r="O70" i="25"/>
  <c r="M70" i="25"/>
  <c r="K70" i="25"/>
  <c r="I70" i="25"/>
  <c r="G70" i="25"/>
  <c r="E70" i="25"/>
  <c r="C70" i="25"/>
  <c r="BM69" i="25"/>
  <c r="BK69" i="25"/>
  <c r="BI69" i="25"/>
  <c r="BG69" i="25"/>
  <c r="BE69" i="25"/>
  <c r="BC69" i="25"/>
  <c r="BA69" i="25"/>
  <c r="AY69" i="25"/>
  <c r="AW69" i="25"/>
  <c r="AU69" i="25"/>
  <c r="AS69" i="25"/>
  <c r="AQ69" i="25"/>
  <c r="AO69" i="25"/>
  <c r="AM69" i="25"/>
  <c r="AK69" i="25"/>
  <c r="AI69" i="25"/>
  <c r="AG69" i="25"/>
  <c r="AE69" i="25"/>
  <c r="AC69" i="25"/>
  <c r="AA69" i="25"/>
  <c r="Y69" i="25"/>
  <c r="W69" i="25"/>
  <c r="U69" i="25"/>
  <c r="S69" i="25"/>
  <c r="Q69" i="25"/>
  <c r="O69" i="25"/>
  <c r="M69" i="25"/>
  <c r="K69" i="25"/>
  <c r="I69" i="25"/>
  <c r="G69" i="25"/>
  <c r="E69" i="25"/>
  <c r="C69" i="25"/>
  <c r="AU68" i="25"/>
  <c r="AS68" i="25"/>
  <c r="AM68" i="25"/>
  <c r="AK68" i="25"/>
  <c r="AI68" i="25"/>
  <c r="AG68" i="25"/>
  <c r="AE68" i="25"/>
  <c r="AC68" i="25"/>
  <c r="AA68" i="25"/>
  <c r="Y68" i="25"/>
  <c r="Q68" i="25"/>
  <c r="AS67" i="25"/>
  <c r="AK67" i="25"/>
  <c r="AG67" i="25"/>
  <c r="Y67" i="25"/>
  <c r="Q67" i="25"/>
  <c r="AK66" i="25"/>
  <c r="AG66" i="25"/>
  <c r="Y66" i="25"/>
  <c r="Q66" i="25"/>
  <c r="O66" i="25"/>
  <c r="AK65" i="25"/>
  <c r="AG65" i="25"/>
  <c r="Y65" i="25"/>
  <c r="Q65" i="25"/>
  <c r="O65" i="25"/>
  <c r="AU64" i="25"/>
  <c r="AK64" i="25"/>
  <c r="AG64" i="25"/>
  <c r="AE64" i="25"/>
  <c r="AC64" i="25"/>
  <c r="Y64" i="25"/>
  <c r="W64" i="25"/>
  <c r="Q64" i="25"/>
  <c r="AU63" i="25"/>
  <c r="AS63" i="25"/>
  <c r="AM63" i="25"/>
  <c r="AK63" i="25"/>
  <c r="AI63" i="25"/>
  <c r="AG63" i="25"/>
  <c r="AE63" i="25"/>
  <c r="AC63" i="25"/>
  <c r="AA63" i="25"/>
  <c r="Y63" i="25"/>
  <c r="U63" i="25"/>
  <c r="Q63" i="25"/>
  <c r="O63" i="25"/>
  <c r="M63" i="25"/>
  <c r="I63" i="25"/>
  <c r="G63" i="25"/>
  <c r="E63" i="25"/>
  <c r="C63" i="25"/>
  <c r="AK62" i="25"/>
  <c r="AI62" i="25"/>
  <c r="AG62" i="25"/>
  <c r="AE62" i="25"/>
  <c r="AC62" i="25"/>
  <c r="AA62" i="25"/>
  <c r="Y62" i="25"/>
  <c r="W62" i="25"/>
  <c r="U62" i="25"/>
  <c r="AS61" i="25"/>
  <c r="AK61" i="25"/>
  <c r="AI61" i="25"/>
  <c r="AG61" i="25"/>
  <c r="AE61" i="25"/>
  <c r="AC61" i="25"/>
  <c r="AA61" i="25"/>
  <c r="Y61" i="25"/>
  <c r="W61" i="25"/>
  <c r="U61" i="25"/>
  <c r="Q61" i="25"/>
  <c r="O61" i="25"/>
  <c r="M61" i="25"/>
  <c r="K61" i="25"/>
  <c r="G61" i="25"/>
  <c r="E61" i="25"/>
  <c r="C61" i="25"/>
  <c r="AK60" i="25"/>
  <c r="AG60" i="25"/>
  <c r="Y60" i="25"/>
  <c r="Q60" i="25"/>
  <c r="BM53" i="25"/>
  <c r="BK53" i="25"/>
  <c r="BI53" i="25"/>
  <c r="BG53" i="25"/>
  <c r="BE53" i="25"/>
  <c r="BC53" i="25"/>
  <c r="BA53" i="25"/>
  <c r="AY53" i="25"/>
  <c r="AW53" i="25"/>
  <c r="AU53" i="25"/>
  <c r="AS53" i="25"/>
  <c r="AQ53" i="25"/>
  <c r="AO53" i="25"/>
  <c r="AM53" i="25"/>
  <c r="AK53" i="25"/>
  <c r="AI53" i="25"/>
  <c r="AG53" i="25"/>
  <c r="AE53" i="25"/>
  <c r="AC53" i="25"/>
  <c r="AA53" i="25"/>
  <c r="Y53" i="25"/>
  <c r="W53" i="25"/>
  <c r="U53" i="25"/>
  <c r="S53" i="25"/>
  <c r="Q53" i="25"/>
  <c r="O53" i="25"/>
  <c r="M53" i="25"/>
  <c r="K53" i="25"/>
  <c r="I53" i="25"/>
  <c r="G53" i="25"/>
  <c r="E53" i="25"/>
  <c r="C53" i="25"/>
  <c r="AG52" i="25"/>
  <c r="AE52" i="25"/>
  <c r="I51" i="25"/>
  <c r="G51" i="25"/>
  <c r="E51" i="25"/>
  <c r="C51" i="25"/>
  <c r="AG50" i="25"/>
  <c r="AE50" i="25"/>
  <c r="AC50" i="25"/>
  <c r="AA50" i="25"/>
  <c r="Y50" i="25"/>
  <c r="W50" i="25"/>
  <c r="U50" i="25"/>
  <c r="S50" i="25"/>
  <c r="Q50" i="25"/>
  <c r="O50" i="25"/>
  <c r="M50" i="25"/>
  <c r="AG49" i="25"/>
  <c r="AE49" i="25"/>
  <c r="AA49" i="25"/>
  <c r="Y49" i="25"/>
  <c r="W49" i="25"/>
  <c r="U49" i="25"/>
  <c r="S49" i="25"/>
  <c r="Q49" i="25"/>
  <c r="O49" i="25"/>
  <c r="I49" i="25"/>
  <c r="E49" i="25"/>
  <c r="AO48" i="25"/>
  <c r="AG48" i="25"/>
  <c r="AE48" i="25"/>
  <c r="AC48" i="25"/>
  <c r="Y48" i="25"/>
  <c r="W48" i="25"/>
  <c r="U48" i="25"/>
  <c r="Q48" i="25"/>
  <c r="M48" i="25"/>
  <c r="BM47" i="25"/>
  <c r="BK47" i="25"/>
  <c r="BI47" i="25"/>
  <c r="BG47" i="25"/>
  <c r="BE47" i="25"/>
  <c r="BC47" i="25"/>
  <c r="BA47" i="25"/>
  <c r="AY47" i="25"/>
  <c r="AW47" i="25"/>
  <c r="AU47" i="25"/>
  <c r="AS47" i="25"/>
  <c r="AQ47" i="25"/>
  <c r="AO47" i="25"/>
  <c r="AM47" i="25"/>
  <c r="AK47" i="25"/>
  <c r="AI47" i="25"/>
  <c r="AG47" i="25"/>
  <c r="AE47" i="25"/>
  <c r="AC47" i="25"/>
  <c r="AA47" i="25"/>
  <c r="Y47" i="25"/>
  <c r="W47" i="25"/>
  <c r="U47" i="25"/>
  <c r="S47" i="25"/>
  <c r="Q47" i="25"/>
  <c r="O47" i="25"/>
  <c r="M47" i="25"/>
  <c r="K47" i="25"/>
  <c r="I47" i="25"/>
  <c r="G47" i="25"/>
  <c r="E47" i="25"/>
  <c r="C47" i="25"/>
  <c r="BK44" i="25"/>
  <c r="BI44" i="25"/>
  <c r="BG44" i="25"/>
  <c r="BE44" i="25"/>
  <c r="BC44" i="25"/>
  <c r="BA44" i="25"/>
  <c r="AY44" i="25"/>
  <c r="AW44" i="25"/>
  <c r="AU44" i="25"/>
  <c r="AS44" i="25"/>
  <c r="AQ44" i="25"/>
  <c r="AO44" i="25"/>
  <c r="AK44" i="25"/>
  <c r="AI44" i="25"/>
  <c r="AG44" i="25"/>
  <c r="AE44" i="25"/>
  <c r="AC44" i="25"/>
  <c r="AA44" i="25"/>
  <c r="Y44" i="25"/>
  <c r="W44" i="25"/>
  <c r="U44" i="25"/>
  <c r="S44" i="25"/>
  <c r="Q44" i="25"/>
  <c r="O44" i="25"/>
  <c r="M44" i="25"/>
  <c r="K44" i="25"/>
  <c r="I44" i="25"/>
  <c r="G44" i="25"/>
  <c r="E44" i="25"/>
  <c r="C44" i="25"/>
  <c r="AK43" i="25"/>
  <c r="AI43" i="25"/>
  <c r="AG43" i="25"/>
  <c r="AE43" i="25"/>
  <c r="AC43" i="25"/>
  <c r="AA43" i="25"/>
  <c r="Y43" i="25"/>
  <c r="W43" i="25"/>
  <c r="U43" i="25"/>
  <c r="S43" i="25"/>
  <c r="Q43" i="25"/>
  <c r="O43" i="25"/>
  <c r="M43" i="25"/>
  <c r="K43" i="25"/>
  <c r="I43" i="25"/>
  <c r="G43" i="25"/>
  <c r="E43" i="25"/>
  <c r="C43" i="25"/>
  <c r="AQ42" i="25"/>
  <c r="AG42" i="25"/>
  <c r="AE42" i="25"/>
  <c r="AC42" i="25"/>
  <c r="AA42" i="25"/>
  <c r="Y42" i="25"/>
  <c r="W42" i="25"/>
  <c r="U42" i="25"/>
  <c r="S42" i="25"/>
  <c r="Q42" i="25"/>
  <c r="O42" i="25"/>
  <c r="I42" i="25"/>
  <c r="E42" i="25"/>
  <c r="AU41" i="25"/>
  <c r="AQ41" i="25"/>
  <c r="AG41" i="25"/>
  <c r="AE41" i="25"/>
  <c r="AC41" i="25"/>
  <c r="AA41" i="25"/>
  <c r="Y41" i="25"/>
  <c r="W41" i="25"/>
  <c r="U41" i="25"/>
  <c r="Q41" i="25"/>
  <c r="O41" i="25"/>
  <c r="M41" i="25"/>
  <c r="K41" i="25"/>
  <c r="BM37" i="25"/>
  <c r="BI37" i="25"/>
  <c r="BG37" i="25"/>
  <c r="BE37" i="25"/>
  <c r="BC37" i="25"/>
  <c r="BA37" i="25"/>
  <c r="AY37" i="25"/>
  <c r="AW37" i="25"/>
  <c r="AU37" i="25"/>
  <c r="AS37" i="25"/>
  <c r="AQ37" i="25"/>
  <c r="AO37" i="25"/>
  <c r="AM37" i="25"/>
  <c r="AK37" i="25"/>
  <c r="AI37" i="25"/>
  <c r="AG37" i="25"/>
  <c r="AE37" i="25"/>
  <c r="AC37" i="25"/>
  <c r="AA37" i="25"/>
  <c r="Y37" i="25"/>
  <c r="W37" i="25"/>
  <c r="U37" i="25"/>
  <c r="S37" i="25"/>
  <c r="Q37" i="25"/>
  <c r="O37" i="25"/>
  <c r="M37" i="25"/>
  <c r="K37" i="25"/>
  <c r="I37" i="25"/>
  <c r="BM36" i="25"/>
  <c r="BK36" i="25"/>
  <c r="BO37" i="25" s="1"/>
  <c r="BO38" i="25" s="1"/>
  <c r="BI36" i="25"/>
  <c r="BG36" i="25"/>
  <c r="BE36" i="25"/>
  <c r="BC36" i="25"/>
  <c r="BA36" i="25"/>
  <c r="AY36" i="25"/>
  <c r="AW36" i="25"/>
  <c r="AU36" i="25"/>
  <c r="AS36" i="25"/>
  <c r="AQ36" i="25"/>
  <c r="AO36" i="25"/>
  <c r="AM36" i="25"/>
  <c r="AK36" i="25"/>
  <c r="AI36" i="25"/>
  <c r="AG36" i="25"/>
  <c r="AE36" i="25"/>
  <c r="AC36" i="25"/>
  <c r="AA36" i="25"/>
  <c r="Y36" i="25"/>
  <c r="W36" i="25"/>
  <c r="U36" i="25"/>
  <c r="S36" i="25"/>
  <c r="Q36" i="25"/>
  <c r="O36" i="25"/>
  <c r="M36" i="25"/>
  <c r="K36" i="25"/>
  <c r="I36" i="25"/>
  <c r="G36" i="25"/>
  <c r="E36" i="25"/>
  <c r="C36" i="25"/>
  <c r="BM33" i="25"/>
  <c r="BK33" i="25"/>
  <c r="BI33" i="25"/>
  <c r="BG33" i="25"/>
  <c r="BE33" i="25"/>
  <c r="BC33" i="25"/>
  <c r="BA33" i="25"/>
  <c r="AY33" i="25"/>
  <c r="AW33" i="25"/>
  <c r="AU33" i="25"/>
  <c r="AS33" i="25"/>
  <c r="AQ33" i="25"/>
  <c r="AO33" i="25"/>
  <c r="AM33" i="25"/>
  <c r="AK33" i="25"/>
  <c r="AI33" i="25"/>
  <c r="AG33" i="25"/>
  <c r="AE33" i="25"/>
  <c r="AC33" i="25"/>
  <c r="AA33" i="25"/>
  <c r="Y33" i="25"/>
  <c r="W33" i="25"/>
  <c r="U33" i="25"/>
  <c r="S33" i="25"/>
  <c r="Q33" i="25"/>
  <c r="O33" i="25"/>
  <c r="M33" i="25"/>
  <c r="K33" i="25"/>
  <c r="I33" i="25"/>
  <c r="G33" i="25"/>
  <c r="E33" i="25"/>
  <c r="C33" i="25"/>
  <c r="BM31" i="25"/>
  <c r="AO31" i="25"/>
  <c r="AG31" i="25"/>
  <c r="Y31" i="25"/>
  <c r="Q31" i="25"/>
  <c r="I31" i="25"/>
  <c r="BM30" i="25"/>
  <c r="AO30" i="25"/>
  <c r="AG30" i="25"/>
  <c r="Y30" i="25"/>
  <c r="U30" i="25"/>
  <c r="Q30" i="25"/>
  <c r="I30" i="25"/>
  <c r="BM28" i="25"/>
  <c r="BK28" i="25"/>
  <c r="BI28" i="25"/>
  <c r="BG28" i="25"/>
  <c r="BE28" i="25"/>
  <c r="BC28" i="25"/>
  <c r="BA28" i="25"/>
  <c r="AY28" i="25"/>
  <c r="AW28" i="25"/>
  <c r="AU28" i="25"/>
  <c r="AS28" i="25"/>
  <c r="AQ28" i="25"/>
  <c r="AO28" i="25"/>
  <c r="AM28" i="25"/>
  <c r="AK28" i="25"/>
  <c r="AI28" i="25"/>
  <c r="AG28" i="25"/>
  <c r="AE28" i="25"/>
  <c r="AC28" i="25"/>
  <c r="AA28" i="25"/>
  <c r="Y28" i="25"/>
  <c r="W28" i="25"/>
  <c r="U28" i="25"/>
  <c r="S28" i="25"/>
  <c r="Q28" i="25"/>
  <c r="O28" i="25"/>
  <c r="M28" i="25"/>
  <c r="K28" i="25"/>
  <c r="I28" i="25"/>
  <c r="G28" i="25"/>
  <c r="E28" i="25"/>
  <c r="C28" i="25"/>
  <c r="BM26" i="25"/>
  <c r="AO26" i="25"/>
  <c r="AG26" i="25"/>
  <c r="Y26" i="25"/>
  <c r="Q26" i="25"/>
  <c r="I26" i="25"/>
  <c r="BM25" i="25"/>
  <c r="AO25" i="25"/>
  <c r="AG25" i="25"/>
  <c r="Y25" i="25"/>
  <c r="U25" i="25"/>
  <c r="Q25" i="25"/>
  <c r="M25" i="25"/>
  <c r="I25" i="25"/>
  <c r="BM22" i="25"/>
  <c r="BK22" i="25"/>
  <c r="BI22" i="25"/>
  <c r="BG22" i="25"/>
  <c r="BE22" i="25"/>
  <c r="BC22" i="25"/>
  <c r="BA22" i="25"/>
  <c r="AY22" i="25"/>
  <c r="AW22" i="25"/>
  <c r="AU22" i="25"/>
  <c r="AS22" i="25"/>
  <c r="AQ22" i="25"/>
  <c r="AO22" i="25"/>
  <c r="AM22" i="25"/>
  <c r="AK22" i="25"/>
  <c r="AI22" i="25"/>
  <c r="AG22" i="25"/>
  <c r="AE22" i="25"/>
  <c r="AC22" i="25"/>
  <c r="AA22" i="25"/>
  <c r="Y22" i="25"/>
  <c r="W22" i="25"/>
  <c r="U22" i="25"/>
  <c r="S22" i="25"/>
  <c r="Q22" i="25"/>
  <c r="O22" i="25"/>
  <c r="M22" i="25"/>
  <c r="K22" i="25"/>
  <c r="I22" i="25"/>
  <c r="G22" i="25"/>
  <c r="E22" i="25"/>
  <c r="C22" i="25"/>
  <c r="AG20" i="25"/>
  <c r="Y20" i="25"/>
  <c r="U20" i="25"/>
  <c r="Q20" i="25"/>
  <c r="I20" i="25"/>
  <c r="C20" i="25"/>
  <c r="BM18" i="25"/>
  <c r="AO18" i="25"/>
  <c r="AG18" i="25"/>
  <c r="Y18" i="25"/>
  <c r="Q18" i="25"/>
  <c r="K18" i="25"/>
  <c r="I18" i="25"/>
  <c r="C18" i="25"/>
  <c r="BM15" i="25"/>
  <c r="BK15" i="25"/>
  <c r="BI15" i="25"/>
  <c r="BG15" i="25"/>
  <c r="BE15" i="25"/>
  <c r="BC15" i="25"/>
  <c r="BA15" i="25"/>
  <c r="AY15" i="25"/>
  <c r="AW15" i="25"/>
  <c r="AU15" i="25"/>
  <c r="AS15" i="25"/>
  <c r="AQ15" i="25"/>
  <c r="AO15" i="25"/>
  <c r="AM15" i="25"/>
  <c r="AK15" i="25"/>
  <c r="AI15" i="25"/>
  <c r="AG15" i="25"/>
  <c r="AE15" i="25"/>
  <c r="AC15" i="25"/>
  <c r="AA15" i="25"/>
  <c r="Y15" i="25"/>
  <c r="W15" i="25"/>
  <c r="U15" i="25"/>
  <c r="S15" i="25"/>
  <c r="Q15" i="25"/>
  <c r="O15" i="25"/>
  <c r="M15" i="25"/>
  <c r="K15" i="25"/>
  <c r="I15" i="25"/>
  <c r="G15" i="25"/>
  <c r="E15" i="25"/>
  <c r="C15" i="25"/>
  <c r="AO13" i="25"/>
  <c r="AG13" i="25"/>
  <c r="Y13" i="25"/>
  <c r="Q13" i="25"/>
  <c r="I13" i="25"/>
  <c r="AO12" i="25"/>
  <c r="AG12" i="25"/>
  <c r="Y12" i="25"/>
  <c r="Q12" i="25"/>
  <c r="I12" i="25"/>
  <c r="AL149" i="24"/>
  <c r="AJ149" i="24"/>
  <c r="AF149" i="24"/>
  <c r="AD149" i="24"/>
  <c r="AB149" i="24"/>
  <c r="Z149" i="24"/>
  <c r="X149" i="24"/>
  <c r="V149" i="24"/>
  <c r="T149" i="24"/>
  <c r="R149" i="24"/>
  <c r="P149" i="24"/>
  <c r="N149" i="24"/>
  <c r="L149" i="24"/>
  <c r="J149" i="24"/>
  <c r="H149" i="24"/>
  <c r="F149" i="24"/>
  <c r="D149" i="24"/>
  <c r="B149" i="24"/>
  <c r="BF148" i="24"/>
  <c r="BD148" i="24"/>
  <c r="BB148" i="24"/>
  <c r="AZ148" i="24"/>
  <c r="AX148" i="24"/>
  <c r="AV148" i="24"/>
  <c r="AT148" i="24"/>
  <c r="AR148" i="24"/>
  <c r="AP148" i="24"/>
  <c r="AN148" i="24"/>
  <c r="AL148" i="24"/>
  <c r="AJ148" i="24"/>
  <c r="AD148" i="24"/>
  <c r="AB148" i="24"/>
  <c r="Z148" i="24"/>
  <c r="X148" i="24"/>
  <c r="V148" i="24"/>
  <c r="T148" i="24"/>
  <c r="R148" i="24"/>
  <c r="P148" i="24"/>
  <c r="N148" i="24"/>
  <c r="L148" i="24"/>
  <c r="J148" i="24"/>
  <c r="H148" i="24"/>
  <c r="F148" i="24"/>
  <c r="D148" i="24"/>
  <c r="B148" i="24"/>
  <c r="BF147" i="24"/>
  <c r="BD147" i="24"/>
  <c r="BB147" i="24"/>
  <c r="AZ147" i="24"/>
  <c r="AX147" i="24"/>
  <c r="AV147" i="24"/>
  <c r="AT147" i="24"/>
  <c r="AR147" i="24"/>
  <c r="AP147" i="24"/>
  <c r="AN147" i="24"/>
  <c r="AL147" i="24"/>
  <c r="AJ147" i="24"/>
  <c r="AH147" i="24"/>
  <c r="AF147" i="24"/>
  <c r="AD147" i="24"/>
  <c r="AB147" i="24"/>
  <c r="Z147" i="24"/>
  <c r="X147" i="24"/>
  <c r="V147" i="24"/>
  <c r="T147" i="24"/>
  <c r="R147" i="24"/>
  <c r="P147" i="24"/>
  <c r="N147" i="24"/>
  <c r="L147" i="24"/>
  <c r="J147" i="24"/>
  <c r="H147" i="24"/>
  <c r="F147" i="24"/>
  <c r="D147" i="24"/>
  <c r="B147" i="24"/>
  <c r="BF146" i="24"/>
  <c r="BD146" i="24"/>
  <c r="BB146" i="24"/>
  <c r="AZ146" i="24"/>
  <c r="AX146" i="24"/>
  <c r="AV146" i="24"/>
  <c r="AT146" i="24"/>
  <c r="AR146" i="24"/>
  <c r="AP146" i="24"/>
  <c r="AF146" i="24"/>
  <c r="AD146" i="24"/>
  <c r="AB146" i="24"/>
  <c r="Z146" i="24"/>
  <c r="X146" i="24"/>
  <c r="V146" i="24"/>
  <c r="T146" i="24"/>
  <c r="R146" i="24"/>
  <c r="P146" i="24"/>
  <c r="N146" i="24"/>
  <c r="L146" i="24"/>
  <c r="J146" i="24"/>
  <c r="H146" i="24"/>
  <c r="F146" i="24"/>
  <c r="B146" i="24"/>
  <c r="BF145" i="24"/>
  <c r="BD145" i="24"/>
  <c r="BB145" i="24"/>
  <c r="AZ145" i="24"/>
  <c r="AX145" i="24"/>
  <c r="AV145" i="24"/>
  <c r="AT145" i="24"/>
  <c r="AR145" i="24"/>
  <c r="AP145" i="24"/>
  <c r="AN145" i="24"/>
  <c r="AL145" i="24"/>
  <c r="AJ145" i="24"/>
  <c r="AH145" i="24"/>
  <c r="AF145" i="24"/>
  <c r="AD145" i="24"/>
  <c r="AB145" i="24"/>
  <c r="Z145" i="24"/>
  <c r="X145" i="24"/>
  <c r="V145" i="24"/>
  <c r="T145" i="24"/>
  <c r="R145" i="24"/>
  <c r="P145" i="24"/>
  <c r="N145" i="24"/>
  <c r="L145" i="24"/>
  <c r="J145" i="24"/>
  <c r="H145" i="24"/>
  <c r="F145" i="24"/>
  <c r="B145" i="24"/>
  <c r="AH142" i="24"/>
  <c r="AN138" i="24"/>
  <c r="AL138" i="24"/>
  <c r="BF137" i="24"/>
  <c r="BD137" i="24"/>
  <c r="BB137" i="24"/>
  <c r="AZ137" i="24"/>
  <c r="AX137" i="24"/>
  <c r="AV137" i="24"/>
  <c r="AT137" i="24"/>
  <c r="AR137" i="24"/>
  <c r="AP137" i="24"/>
  <c r="AN137" i="24"/>
  <c r="AL137" i="24"/>
  <c r="AJ137" i="24"/>
  <c r="AH137" i="24"/>
  <c r="AF137" i="24"/>
  <c r="AD137" i="24"/>
  <c r="AB137" i="24"/>
  <c r="Z137" i="24"/>
  <c r="X137" i="24"/>
  <c r="V137" i="24"/>
  <c r="T137" i="24"/>
  <c r="R137" i="24"/>
  <c r="P137" i="24"/>
  <c r="N137" i="24"/>
  <c r="L137" i="24"/>
  <c r="J137" i="24"/>
  <c r="H137" i="24"/>
  <c r="F137" i="24"/>
  <c r="D137" i="24"/>
  <c r="X136" i="24"/>
  <c r="Z136" i="24" s="1"/>
  <c r="AH131" i="24"/>
  <c r="AB131" i="24"/>
  <c r="Z131" i="24"/>
  <c r="N126" i="24"/>
  <c r="F125" i="24"/>
  <c r="V123" i="24"/>
  <c r="X121" i="24"/>
  <c r="BF117" i="24"/>
  <c r="BH110" i="24" s="1"/>
  <c r="BD117" i="24"/>
  <c r="BF110" i="24" s="1"/>
  <c r="BB117" i="24"/>
  <c r="BD110" i="24" s="1"/>
  <c r="AZ117" i="24"/>
  <c r="AX117" i="24"/>
  <c r="AZ110" i="24" s="1"/>
  <c r="AV117" i="24"/>
  <c r="AX110" i="24" s="1"/>
  <c r="AT117" i="24"/>
  <c r="AV110" i="24" s="1"/>
  <c r="AR117" i="24"/>
  <c r="AP117" i="24"/>
  <c r="AR110" i="24" s="1"/>
  <c r="AL117" i="24"/>
  <c r="AJ117" i="24"/>
  <c r="AL110" i="24" s="1"/>
  <c r="AH117" i="24"/>
  <c r="AF117" i="24"/>
  <c r="AH110" i="24" s="1"/>
  <c r="AD117" i="24"/>
  <c r="AF110" i="24" s="1"/>
  <c r="AB117" i="24"/>
  <c r="Z117" i="24"/>
  <c r="X117" i="24"/>
  <c r="Z110" i="24" s="1"/>
  <c r="T117" i="24"/>
  <c r="V110" i="24" s="1"/>
  <c r="R117" i="24"/>
  <c r="T110" i="24" s="1"/>
  <c r="P117" i="24"/>
  <c r="R110" i="24" s="1"/>
  <c r="N117" i="24"/>
  <c r="P110" i="24" s="1"/>
  <c r="L117" i="24"/>
  <c r="N110" i="24" s="1"/>
  <c r="J117" i="24"/>
  <c r="H117" i="24"/>
  <c r="F117" i="24"/>
  <c r="H110" i="24" s="1"/>
  <c r="D117" i="24"/>
  <c r="F110" i="24" s="1"/>
  <c r="B117" i="24"/>
  <c r="D110" i="24" s="1"/>
  <c r="BF116" i="24"/>
  <c r="BD116" i="24"/>
  <c r="BC116" i="24"/>
  <c r="BB116" i="24"/>
  <c r="AZ116" i="24"/>
  <c r="AX116" i="24"/>
  <c r="AV116" i="24"/>
  <c r="AT116" i="24"/>
  <c r="AR116" i="24"/>
  <c r="AP116" i="24"/>
  <c r="AN116" i="24"/>
  <c r="AL116" i="24"/>
  <c r="AJ116" i="24"/>
  <c r="AH116" i="24"/>
  <c r="AF116" i="24"/>
  <c r="AD116" i="24"/>
  <c r="AB116" i="24"/>
  <c r="Z116" i="24"/>
  <c r="X116" i="24"/>
  <c r="V116" i="24"/>
  <c r="T116" i="24"/>
  <c r="R116" i="24"/>
  <c r="P116" i="24"/>
  <c r="N116" i="24"/>
  <c r="L116" i="24"/>
  <c r="J116" i="24"/>
  <c r="H116" i="24"/>
  <c r="F116" i="24"/>
  <c r="D116" i="24"/>
  <c r="BF115" i="24"/>
  <c r="AV115" i="24"/>
  <c r="AX115" i="24" s="1"/>
  <c r="BD114" i="24"/>
  <c r="BF114" i="24" s="1"/>
  <c r="AT114" i="24"/>
  <c r="AV114" i="24" s="1"/>
  <c r="AL114" i="24"/>
  <c r="AN114" i="24" s="1"/>
  <c r="AP114" i="24" s="1"/>
  <c r="Z114" i="24"/>
  <c r="P114" i="24"/>
  <c r="R114" i="24" s="1"/>
  <c r="AH113" i="24"/>
  <c r="BF112" i="24"/>
  <c r="AV112" i="24"/>
  <c r="AX112" i="24" s="1"/>
  <c r="AJ112" i="24"/>
  <c r="AL112" i="24" s="1"/>
  <c r="AP112" i="24" s="1"/>
  <c r="Z112" i="24"/>
  <c r="X112" i="24"/>
  <c r="V112" i="24"/>
  <c r="BB110" i="24"/>
  <c r="AT110" i="24"/>
  <c r="AN110" i="24"/>
  <c r="AJ110" i="24"/>
  <c r="AD110" i="24"/>
  <c r="AB110" i="24"/>
  <c r="L110" i="24"/>
  <c r="J110" i="24"/>
  <c r="BF106" i="24"/>
  <c r="BD106" i="24"/>
  <c r="BB106" i="24"/>
  <c r="AZ106" i="24"/>
  <c r="AX106" i="24"/>
  <c r="AV106" i="24"/>
  <c r="AT106" i="24"/>
  <c r="AR106" i="24"/>
  <c r="AP106" i="24"/>
  <c r="AN106" i="24"/>
  <c r="AL106" i="24"/>
  <c r="AJ106" i="24"/>
  <c r="AH106" i="24"/>
  <c r="AF106" i="24"/>
  <c r="AD106" i="24"/>
  <c r="AB106" i="24"/>
  <c r="Z106" i="24"/>
  <c r="X106" i="24"/>
  <c r="V106" i="24"/>
  <c r="T106" i="24"/>
  <c r="R106" i="24"/>
  <c r="P106" i="24"/>
  <c r="N106" i="24"/>
  <c r="L106" i="24"/>
  <c r="J106" i="24"/>
  <c r="H106" i="24"/>
  <c r="F106" i="24"/>
  <c r="D106" i="24"/>
  <c r="B106" i="24"/>
  <c r="BF105" i="24"/>
  <c r="BD105" i="24"/>
  <c r="BB105" i="24"/>
  <c r="AZ105" i="24"/>
  <c r="AX105" i="24"/>
  <c r="AV105" i="24"/>
  <c r="AT105" i="24"/>
  <c r="AR105" i="24"/>
  <c r="AP105" i="24"/>
  <c r="AN105" i="24"/>
  <c r="AL105" i="24"/>
  <c r="AJ105" i="24"/>
  <c r="AH105" i="24"/>
  <c r="AF105" i="24"/>
  <c r="AD105" i="24"/>
  <c r="AB105" i="24"/>
  <c r="Z105" i="24"/>
  <c r="X105" i="24"/>
  <c r="V105" i="24"/>
  <c r="T105" i="24"/>
  <c r="R105" i="24"/>
  <c r="P105" i="24"/>
  <c r="P107" i="24" s="1"/>
  <c r="N105" i="24"/>
  <c r="L105" i="24"/>
  <c r="J105" i="24"/>
  <c r="H105" i="24"/>
  <c r="F105" i="24"/>
  <c r="B105" i="24"/>
  <c r="BF104" i="24"/>
  <c r="BD104" i="24"/>
  <c r="BB104" i="24"/>
  <c r="AZ104" i="24"/>
  <c r="AX104" i="24"/>
  <c r="AV104" i="24"/>
  <c r="AT104" i="24"/>
  <c r="AR104" i="24"/>
  <c r="AP104" i="24"/>
  <c r="AL104" i="24"/>
  <c r="AJ104" i="24"/>
  <c r="AH104" i="24"/>
  <c r="AF104" i="24"/>
  <c r="AD104" i="24"/>
  <c r="AB104" i="24"/>
  <c r="Z104" i="24"/>
  <c r="X104" i="24"/>
  <c r="T104" i="24"/>
  <c r="R104" i="24"/>
  <c r="P104" i="24"/>
  <c r="N104" i="24"/>
  <c r="L104" i="24"/>
  <c r="J104" i="24"/>
  <c r="H104" i="24"/>
  <c r="B104" i="24"/>
  <c r="BF96" i="24"/>
  <c r="BF99" i="24" s="1"/>
  <c r="BD96" i="24"/>
  <c r="BD99" i="24" s="1"/>
  <c r="BB96" i="24"/>
  <c r="BB99" i="24" s="1"/>
  <c r="AZ96" i="24"/>
  <c r="AZ99" i="24" s="1"/>
  <c r="AX96" i="24"/>
  <c r="AX99" i="24" s="1"/>
  <c r="AV96" i="24"/>
  <c r="AV99" i="24" s="1"/>
  <c r="AT96" i="24"/>
  <c r="AT99" i="24" s="1"/>
  <c r="AR96" i="24"/>
  <c r="AR99" i="24" s="1"/>
  <c r="AP96" i="24"/>
  <c r="AP99" i="24" s="1"/>
  <c r="AN96" i="24"/>
  <c r="AN99" i="24" s="1"/>
  <c r="AL96" i="24"/>
  <c r="AL99" i="24" s="1"/>
  <c r="AJ96" i="24"/>
  <c r="AJ99" i="24" s="1"/>
  <c r="AH96" i="24"/>
  <c r="AH99" i="24" s="1"/>
  <c r="AF96" i="24"/>
  <c r="AF99" i="24" s="1"/>
  <c r="AD96" i="24"/>
  <c r="AD99" i="24" s="1"/>
  <c r="AB96" i="24"/>
  <c r="AB99" i="24" s="1"/>
  <c r="Z96" i="24"/>
  <c r="Z99" i="24" s="1"/>
  <c r="R96" i="24"/>
  <c r="R99" i="24" s="1"/>
  <c r="P96" i="24"/>
  <c r="P99" i="24" s="1"/>
  <c r="N96" i="24"/>
  <c r="N99" i="24" s="1"/>
  <c r="L96" i="24"/>
  <c r="L99" i="24" s="1"/>
  <c r="J96" i="24"/>
  <c r="J99" i="24" s="1"/>
  <c r="H96" i="24"/>
  <c r="H99" i="24" s="1"/>
  <c r="F96" i="24"/>
  <c r="F99" i="24" s="1"/>
  <c r="D96" i="24"/>
  <c r="D99" i="24" s="1"/>
  <c r="B96" i="24"/>
  <c r="B99" i="24" s="1"/>
  <c r="X95" i="24"/>
  <c r="X96" i="24" s="1"/>
  <c r="X99" i="24" s="1"/>
  <c r="V95" i="24"/>
  <c r="V96" i="24" s="1"/>
  <c r="V99" i="24" s="1"/>
  <c r="T95" i="24"/>
  <c r="T96" i="24" s="1"/>
  <c r="T99" i="24" s="1"/>
  <c r="BF87" i="24"/>
  <c r="BD87" i="24"/>
  <c r="BB87" i="24"/>
  <c r="AZ87" i="24"/>
  <c r="AX87" i="24"/>
  <c r="AV87" i="24"/>
  <c r="AT87" i="24"/>
  <c r="AR87" i="24"/>
  <c r="AP87" i="24"/>
  <c r="AN87" i="24"/>
  <c r="AL87" i="24"/>
  <c r="AF87" i="24"/>
  <c r="AD87" i="24"/>
  <c r="AB87" i="24"/>
  <c r="Z87" i="24"/>
  <c r="X87" i="24"/>
  <c r="V87" i="24"/>
  <c r="T87" i="24"/>
  <c r="R87" i="24"/>
  <c r="P87" i="24"/>
  <c r="N87" i="24"/>
  <c r="L87" i="24"/>
  <c r="J87" i="24"/>
  <c r="H87" i="24"/>
  <c r="F87" i="24"/>
  <c r="D87" i="24"/>
  <c r="B87" i="24"/>
  <c r="AJ75" i="24"/>
  <c r="AJ87" i="24" s="1"/>
  <c r="AH75" i="24"/>
  <c r="AH87" i="24" s="1"/>
  <c r="BF72" i="24"/>
  <c r="BD72" i="24"/>
  <c r="BB72" i="24"/>
  <c r="AZ72" i="24"/>
  <c r="AX72" i="24"/>
  <c r="AV72" i="24"/>
  <c r="AT72" i="24"/>
  <c r="AR72" i="24"/>
  <c r="AP72" i="24"/>
  <c r="AF72" i="24"/>
  <c r="AD72" i="24"/>
  <c r="AB72" i="24"/>
  <c r="Z72" i="24"/>
  <c r="X72" i="24"/>
  <c r="V72" i="24"/>
  <c r="T72" i="24"/>
  <c r="R72" i="24"/>
  <c r="P72" i="24"/>
  <c r="N72" i="24"/>
  <c r="L72" i="24"/>
  <c r="J72" i="24"/>
  <c r="H72" i="24"/>
  <c r="B72" i="24"/>
  <c r="F71" i="24"/>
  <c r="F72" i="24" s="1"/>
  <c r="D71" i="24"/>
  <c r="AN57" i="24"/>
  <c r="AN146" i="24" s="1"/>
  <c r="AL57" i="24"/>
  <c r="AL146" i="24" s="1"/>
  <c r="AJ57" i="24"/>
  <c r="AH57" i="24"/>
  <c r="D57" i="24"/>
  <c r="D146" i="24" s="1"/>
  <c r="BF47" i="24"/>
  <c r="BD47" i="24"/>
  <c r="BB47" i="24"/>
  <c r="AZ47" i="24"/>
  <c r="AX47" i="24"/>
  <c r="AV47" i="24"/>
  <c r="AT47" i="24"/>
  <c r="AR47" i="24"/>
  <c r="AP47" i="24"/>
  <c r="AL47" i="24"/>
  <c r="AJ47" i="24"/>
  <c r="AH47" i="24"/>
  <c r="AF47" i="24"/>
  <c r="AD47" i="24"/>
  <c r="AB47" i="24"/>
  <c r="Z47" i="24"/>
  <c r="X47" i="24"/>
  <c r="T47" i="24"/>
  <c r="R47" i="24"/>
  <c r="P47" i="24"/>
  <c r="N47" i="24"/>
  <c r="L47" i="24"/>
  <c r="J47" i="24"/>
  <c r="H47" i="24"/>
  <c r="F47" i="24"/>
  <c r="D47" i="24"/>
  <c r="B47" i="24"/>
  <c r="V46" i="24"/>
  <c r="V117" i="24" s="1"/>
  <c r="AN45" i="24"/>
  <c r="AN47" i="24" s="1"/>
  <c r="BF30" i="24"/>
  <c r="BD30" i="24"/>
  <c r="BB30" i="24"/>
  <c r="AZ30" i="24"/>
  <c r="AX30" i="24"/>
  <c r="AV30" i="24"/>
  <c r="AT30" i="24"/>
  <c r="AR30" i="24"/>
  <c r="AP30" i="24"/>
  <c r="AN30" i="24"/>
  <c r="AL30" i="24"/>
  <c r="AJ30" i="24"/>
  <c r="AH30" i="24"/>
  <c r="AF30" i="24"/>
  <c r="AD30" i="24"/>
  <c r="AB30" i="24"/>
  <c r="Z30" i="24"/>
  <c r="X30" i="24"/>
  <c r="V30" i="24"/>
  <c r="T30" i="24"/>
  <c r="R30" i="24"/>
  <c r="P30" i="24"/>
  <c r="N30" i="24"/>
  <c r="L30" i="24"/>
  <c r="J30" i="24"/>
  <c r="H30" i="24"/>
  <c r="B30" i="24"/>
  <c r="F29" i="24"/>
  <c r="F30" i="24" s="1"/>
  <c r="D17" i="24"/>
  <c r="D105" i="24" s="1"/>
  <c r="D15" i="24"/>
  <c r="AZ49" i="24" l="1"/>
  <c r="AV107" i="24"/>
  <c r="AF107" i="24"/>
  <c r="AR150" i="24"/>
  <c r="AY38" i="25" s="1"/>
  <c r="K77" i="32"/>
  <c r="AC77" i="32"/>
  <c r="B77" i="27"/>
  <c r="J77" i="27"/>
  <c r="J83" i="27"/>
  <c r="H71" i="27"/>
  <c r="I71" i="27"/>
  <c r="J71" i="27"/>
  <c r="F16" i="33"/>
  <c r="G16" i="33"/>
  <c r="C22" i="33"/>
  <c r="H16" i="33"/>
  <c r="D22" i="33"/>
  <c r="C28" i="33"/>
  <c r="I16" i="33"/>
  <c r="E22" i="33"/>
  <c r="J28" i="33"/>
  <c r="D28" i="33"/>
  <c r="J16" i="33"/>
  <c r="F22" i="33"/>
  <c r="E28" i="33"/>
  <c r="G28" i="33"/>
  <c r="B28" i="33"/>
  <c r="E77" i="27"/>
  <c r="F77" i="27"/>
  <c r="G77" i="27"/>
  <c r="H77" i="27"/>
  <c r="B83" i="27"/>
  <c r="C83" i="27"/>
  <c r="D77" i="27"/>
  <c r="C71" i="27"/>
  <c r="C77" i="27"/>
  <c r="B71" i="27"/>
  <c r="D71" i="27"/>
  <c r="F83" i="27"/>
  <c r="E71" i="27"/>
  <c r="G83" i="27"/>
  <c r="H83" i="27"/>
  <c r="U70" i="27"/>
  <c r="P27" i="33"/>
  <c r="AB111" i="24"/>
  <c r="Q77" i="32"/>
  <c r="O70" i="27"/>
  <c r="Q82" i="27"/>
  <c r="O15" i="33"/>
  <c r="P15" i="33"/>
  <c r="Q70" i="27"/>
  <c r="T21" i="33"/>
  <c r="S70" i="27"/>
  <c r="S15" i="33"/>
  <c r="O27" i="33"/>
  <c r="Y81" i="32"/>
  <c r="N107" i="24"/>
  <c r="AD107" i="24"/>
  <c r="AT107" i="24"/>
  <c r="AJ49" i="24"/>
  <c r="BB49" i="24"/>
  <c r="BB150" i="24"/>
  <c r="BI38" i="25" s="1"/>
  <c r="AD101" i="24"/>
  <c r="D30" i="24"/>
  <c r="D49" i="24" s="1"/>
  <c r="T49" i="24"/>
  <c r="AL49" i="24"/>
  <c r="BD49" i="24"/>
  <c r="R107" i="24"/>
  <c r="AH107" i="24"/>
  <c r="AX107" i="24"/>
  <c r="AF111" i="24"/>
  <c r="AY77" i="32"/>
  <c r="AY81" i="32" s="1"/>
  <c r="AU77" i="32"/>
  <c r="AU81" i="32" s="1"/>
  <c r="AQ77" i="32"/>
  <c r="AQ81" i="32" s="1"/>
  <c r="AO77" i="32"/>
  <c r="AO81" i="32" s="1"/>
  <c r="M77" i="32"/>
  <c r="M81" i="32" s="1"/>
  <c r="I77" i="32"/>
  <c r="I81" i="32" s="1"/>
  <c r="AW77" i="32"/>
  <c r="AW81" i="32" s="1"/>
  <c r="E77" i="32"/>
  <c r="AG77" i="32"/>
  <c r="AG81" i="32" s="1"/>
  <c r="N22" i="33"/>
  <c r="T22" i="33"/>
  <c r="Q27" i="33"/>
  <c r="R70" i="27"/>
  <c r="Q76" i="27"/>
  <c r="R27" i="33"/>
  <c r="N71" i="27"/>
  <c r="R76" i="27"/>
  <c r="O21" i="33"/>
  <c r="N21" i="33"/>
  <c r="S27" i="33"/>
  <c r="O28" i="33"/>
  <c r="S76" i="27"/>
  <c r="T83" i="27"/>
  <c r="O16" i="33"/>
  <c r="P21" i="33"/>
  <c r="R21" i="33"/>
  <c r="T27" i="33"/>
  <c r="P28" i="33"/>
  <c r="N70" i="27"/>
  <c r="U83" i="27"/>
  <c r="U21" i="33"/>
  <c r="T15" i="33"/>
  <c r="Q21" i="33"/>
  <c r="N82" i="27"/>
  <c r="U15" i="33"/>
  <c r="N27" i="33"/>
  <c r="O82" i="27"/>
  <c r="N15" i="33"/>
  <c r="S21" i="33"/>
  <c r="O76" i="27"/>
  <c r="R150" i="24"/>
  <c r="Y38" i="25" s="1"/>
  <c r="AX150" i="24"/>
  <c r="BE38" i="25" s="1"/>
  <c r="J111" i="24"/>
  <c r="AR49" i="24"/>
  <c r="K81" i="32"/>
  <c r="AJ146" i="24"/>
  <c r="AJ150" i="24" s="1"/>
  <c r="AQ38" i="25" s="1"/>
  <c r="AF49" i="24"/>
  <c r="AP101" i="24"/>
  <c r="BF101" i="24"/>
  <c r="J107" i="24"/>
  <c r="Z107" i="24"/>
  <c r="AP107" i="24"/>
  <c r="BF107" i="24"/>
  <c r="AH49" i="24"/>
  <c r="L107" i="24"/>
  <c r="AB107" i="24"/>
  <c r="AR107" i="24"/>
  <c r="L111" i="24"/>
  <c r="AF150" i="24"/>
  <c r="AM38" i="25" s="1"/>
  <c r="AV150" i="24"/>
  <c r="BC38" i="25" s="1"/>
  <c r="AJ111" i="24"/>
  <c r="J49" i="24"/>
  <c r="AL111" i="24"/>
  <c r="H111" i="24"/>
  <c r="Z111" i="24"/>
  <c r="Q16" i="33"/>
  <c r="Q28" i="33"/>
  <c r="R16" i="33"/>
  <c r="S16" i="33"/>
  <c r="R22" i="33"/>
  <c r="T82" i="27"/>
  <c r="U27" i="33"/>
  <c r="P76" i="27"/>
  <c r="U82" i="27"/>
  <c r="U22" i="33"/>
  <c r="P16" i="33"/>
  <c r="S22" i="33"/>
  <c r="N28" i="33"/>
  <c r="Q15" i="33"/>
  <c r="T70" i="27"/>
  <c r="P82" i="27"/>
  <c r="R15" i="33"/>
  <c r="T76" i="27"/>
  <c r="R77" i="27"/>
  <c r="R82" i="27"/>
  <c r="T16" i="33"/>
  <c r="O22" i="33"/>
  <c r="R28" i="33"/>
  <c r="U76" i="27"/>
  <c r="S82" i="27"/>
  <c r="P22" i="33"/>
  <c r="S28" i="33"/>
  <c r="P70" i="27"/>
  <c r="N76" i="27"/>
  <c r="N16" i="33"/>
  <c r="Q22" i="33"/>
  <c r="T28" i="33"/>
  <c r="BK37" i="25"/>
  <c r="AV49" i="24"/>
  <c r="AR111" i="24"/>
  <c r="AB49" i="24"/>
  <c r="N49" i="24"/>
  <c r="J101" i="24"/>
  <c r="AT49" i="24"/>
  <c r="P49" i="24"/>
  <c r="L150" i="24"/>
  <c r="S38" i="25" s="1"/>
  <c r="AB150" i="24"/>
  <c r="AI38" i="25" s="1"/>
  <c r="D107" i="24"/>
  <c r="X101" i="24"/>
  <c r="P101" i="24"/>
  <c r="BB101" i="24"/>
  <c r="P111" i="24"/>
  <c r="AH111" i="24"/>
  <c r="X49" i="24"/>
  <c r="R101" i="24"/>
  <c r="N111" i="24"/>
  <c r="AD111" i="24"/>
  <c r="P150" i="24"/>
  <c r="W38" i="25" s="1"/>
  <c r="H49" i="24"/>
  <c r="Z49" i="24"/>
  <c r="R111" i="24"/>
  <c r="T101" i="24"/>
  <c r="D111" i="24"/>
  <c r="T111" i="24"/>
  <c r="AT111" i="24"/>
  <c r="AT150" i="24"/>
  <c r="BA38" i="25" s="1"/>
  <c r="T150" i="24"/>
  <c r="AA38" i="25" s="1"/>
  <c r="AZ150" i="24"/>
  <c r="BG38" i="25" s="1"/>
  <c r="E81" i="32"/>
  <c r="AZ101" i="24"/>
  <c r="AN49" i="24"/>
  <c r="AF101" i="24"/>
  <c r="L101" i="24"/>
  <c r="AP49" i="24"/>
  <c r="BF49" i="24"/>
  <c r="L49" i="24"/>
  <c r="AN72" i="24"/>
  <c r="AN101" i="24" s="1"/>
  <c r="V101" i="24"/>
  <c r="N101" i="24"/>
  <c r="F111" i="24"/>
  <c r="B150" i="24"/>
  <c r="I38" i="25" s="1"/>
  <c r="B49" i="24"/>
  <c r="R49" i="24"/>
  <c r="AH146" i="24"/>
  <c r="AH150" i="24" s="1"/>
  <c r="AO38" i="25" s="1"/>
  <c r="Z101" i="24"/>
  <c r="B107" i="24"/>
  <c r="T107" i="24"/>
  <c r="AJ107" i="24"/>
  <c r="AZ107" i="24"/>
  <c r="F150" i="24"/>
  <c r="M38" i="25" s="1"/>
  <c r="V150" i="24"/>
  <c r="AC38" i="25" s="1"/>
  <c r="N150" i="24"/>
  <c r="U38" i="25" s="1"/>
  <c r="AD150" i="24"/>
  <c r="AK38" i="25" s="1"/>
  <c r="AD49" i="24"/>
  <c r="AX49" i="24"/>
  <c r="AV101" i="24"/>
  <c r="F101" i="24"/>
  <c r="F107" i="24"/>
  <c r="V107" i="24"/>
  <c r="AL107" i="24"/>
  <c r="BB107" i="24"/>
  <c r="H150" i="24"/>
  <c r="O38" i="25" s="1"/>
  <c r="X150" i="24"/>
  <c r="AE38" i="25" s="1"/>
  <c r="BD150" i="24"/>
  <c r="BK38" i="25" s="1"/>
  <c r="V47" i="24"/>
  <c r="V49" i="24" s="1"/>
  <c r="H101" i="24"/>
  <c r="H107" i="24"/>
  <c r="X107" i="24"/>
  <c r="AN107" i="24"/>
  <c r="BD107" i="24"/>
  <c r="AX114" i="24"/>
  <c r="AX111" i="24" s="1"/>
  <c r="J150" i="24"/>
  <c r="Q38" i="25" s="1"/>
  <c r="Z150" i="24"/>
  <c r="AG38" i="25" s="1"/>
  <c r="AP150" i="24"/>
  <c r="AW38" i="25" s="1"/>
  <c r="BF150" i="24"/>
  <c r="BM38" i="25" s="1"/>
  <c r="BD101" i="24"/>
  <c r="X110" i="24"/>
  <c r="X111" i="24" s="1"/>
  <c r="V111" i="24"/>
  <c r="AR101" i="24"/>
  <c r="B139" i="24"/>
  <c r="D120" i="24" s="1"/>
  <c r="D139" i="24" s="1"/>
  <c r="B101" i="24"/>
  <c r="AT101" i="24"/>
  <c r="AL150" i="24"/>
  <c r="AS38" i="25" s="1"/>
  <c r="AN150" i="24"/>
  <c r="AU38" i="25" s="1"/>
  <c r="F49" i="24"/>
  <c r="AB101" i="24"/>
  <c r="AX101" i="24"/>
  <c r="AN117" i="24"/>
  <c r="D145" i="24"/>
  <c r="D150" i="24" s="1"/>
  <c r="K38" i="25" s="1"/>
  <c r="D104" i="24"/>
  <c r="AH72" i="24"/>
  <c r="AH101" i="24" s="1"/>
  <c r="F104" i="24"/>
  <c r="V104" i="24"/>
  <c r="D72" i="24"/>
  <c r="D101" i="24" s="1"/>
  <c r="AJ72" i="24"/>
  <c r="AJ101" i="24" s="1"/>
  <c r="AN104" i="24"/>
  <c r="AL72" i="24"/>
  <c r="AL101" i="24" s="1"/>
  <c r="AV111" i="24"/>
  <c r="Q81" i="32"/>
  <c r="AS38" i="32"/>
  <c r="AS77" i="32" s="1"/>
  <c r="AS81" i="32" s="1"/>
  <c r="AC81" i="32"/>
  <c r="O81" i="32"/>
  <c r="AE77" i="32"/>
  <c r="AE81" i="32" s="1"/>
  <c r="C77" i="32"/>
  <c r="C81" i="32" s="1"/>
  <c r="S77" i="32"/>
  <c r="S81" i="32" s="1"/>
  <c r="AI77" i="32"/>
  <c r="AI81" i="32" s="1"/>
  <c r="BC77" i="32"/>
  <c r="BC81" i="32" s="1"/>
  <c r="AA77" i="32"/>
  <c r="AA81" i="32" s="1"/>
  <c r="U77" i="32"/>
  <c r="U81" i="32" s="1"/>
  <c r="AK77" i="32"/>
  <c r="AK81" i="32" s="1"/>
  <c r="G77" i="32"/>
  <c r="G81" i="32" s="1"/>
  <c r="W77" i="32"/>
  <c r="W81" i="32" s="1"/>
  <c r="AM77" i="32"/>
  <c r="AM81" i="32" s="1"/>
  <c r="BA66" i="32"/>
  <c r="BA75" i="32" s="1"/>
  <c r="BA77" i="32" s="1"/>
  <c r="BA81" i="32" s="1"/>
  <c r="O71" i="27"/>
  <c r="Q77" i="27"/>
  <c r="P71" i="27"/>
  <c r="S77" i="27"/>
  <c r="N83" i="27"/>
  <c r="Q71" i="27"/>
  <c r="T77" i="27"/>
  <c r="O83" i="27"/>
  <c r="R71" i="27"/>
  <c r="U77" i="27"/>
  <c r="P83" i="27"/>
  <c r="S71" i="27"/>
  <c r="N77" i="27"/>
  <c r="Q83" i="27"/>
  <c r="T71" i="27"/>
  <c r="O77" i="27"/>
  <c r="R83" i="27"/>
  <c r="U71" i="27"/>
  <c r="P77" i="27"/>
  <c r="S83" i="27"/>
  <c r="B7" i="31"/>
  <c r="B13" i="31" s="1"/>
  <c r="U16" i="33" l="1"/>
  <c r="U28" i="33"/>
  <c r="AP110" i="24"/>
  <c r="AP111" i="24" s="1"/>
  <c r="AN111" i="24"/>
  <c r="F120" i="24"/>
  <c r="F139" i="24" s="1"/>
  <c r="D140" i="24"/>
  <c r="H120" i="24" l="1"/>
  <c r="H139" i="24" s="1"/>
  <c r="F140" i="24"/>
  <c r="J120" i="24" l="1"/>
  <c r="J139" i="24" s="1"/>
  <c r="H140" i="24"/>
  <c r="L120" i="24" l="1"/>
  <c r="L139" i="24" s="1"/>
  <c r="J140" i="24"/>
  <c r="N120" i="24" l="1"/>
  <c r="N139" i="24" s="1"/>
  <c r="L140" i="24"/>
  <c r="N140" i="24" l="1"/>
  <c r="P120" i="24"/>
  <c r="P139" i="24" s="1"/>
  <c r="R120" i="24" l="1"/>
  <c r="R139" i="24" s="1"/>
  <c r="P140" i="24"/>
  <c r="T120" i="24" l="1"/>
  <c r="T139" i="24" s="1"/>
  <c r="R140" i="24"/>
  <c r="V120" i="24" l="1"/>
  <c r="V139" i="24" s="1"/>
  <c r="T140" i="24"/>
  <c r="X120" i="24" l="1"/>
  <c r="X139" i="24" s="1"/>
  <c r="V140" i="24"/>
  <c r="Z120" i="24" l="1"/>
  <c r="Z139" i="24" s="1"/>
  <c r="X140" i="24"/>
  <c r="AB120" i="24" l="1"/>
  <c r="AB139" i="24" s="1"/>
  <c r="Z140" i="24"/>
  <c r="AD120" i="24" l="1"/>
  <c r="AD139" i="24" s="1"/>
  <c r="AB140" i="24"/>
  <c r="AD140" i="24" l="1"/>
  <c r="AF120" i="24"/>
  <c r="AF139" i="24" s="1"/>
  <c r="AH120" i="24" l="1"/>
  <c r="AH139" i="24" s="1"/>
  <c r="AF140" i="24"/>
  <c r="AJ120" i="24" l="1"/>
  <c r="AJ139" i="24" s="1"/>
  <c r="AH140" i="24"/>
  <c r="AL120" i="24" l="1"/>
  <c r="AL139" i="24" s="1"/>
  <c r="AJ140" i="24"/>
  <c r="AN120" i="24" l="1"/>
  <c r="AN139" i="24" s="1"/>
  <c r="AL140" i="24"/>
  <c r="AP120" i="24" l="1"/>
  <c r="AP139" i="24" s="1"/>
  <c r="AN140" i="24"/>
  <c r="AR120" i="24" l="1"/>
  <c r="AR139" i="24" s="1"/>
  <c r="AP140" i="24"/>
  <c r="AT120" i="24" l="1"/>
  <c r="AT139" i="24" s="1"/>
  <c r="AR140" i="24"/>
  <c r="AT140" i="24" l="1"/>
  <c r="AV120" i="24"/>
  <c r="AV139" i="24" s="1"/>
  <c r="AX120" i="24" l="1"/>
  <c r="AX139" i="24" s="1"/>
  <c r="AV140" i="24"/>
  <c r="AZ120" i="24" l="1"/>
  <c r="AZ139" i="24" s="1"/>
  <c r="AX140" i="24"/>
  <c r="BB120" i="24" l="1"/>
  <c r="BB139" i="24" s="1"/>
  <c r="AZ140" i="24"/>
  <c r="BD120" i="24" l="1"/>
  <c r="BD139" i="24" s="1"/>
  <c r="BB140" i="24"/>
  <c r="BF120" i="24" l="1"/>
  <c r="BF139" i="24" s="1"/>
  <c r="BD140" i="24"/>
  <c r="BF140" i="24" l="1"/>
  <c r="BH120" i="24"/>
  <c r="BH139" i="24" s="1"/>
  <c r="BH140" i="24" l="1"/>
  <c r="BJ120" i="24"/>
  <c r="BJ139" i="24" s="1"/>
  <c r="BJ140" i="24" l="1"/>
  <c r="BL120" i="24"/>
  <c r="BL139" i="24" s="1"/>
  <c r="BN120" i="24" s="1"/>
  <c r="BN139" i="24" s="1"/>
  <c r="BN140" i="24" l="1"/>
  <c r="BP120" i="24"/>
  <c r="BP139" i="24" s="1"/>
</calcChain>
</file>

<file path=xl/sharedStrings.xml><?xml version="1.0" encoding="utf-8"?>
<sst xmlns="http://schemas.openxmlformats.org/spreadsheetml/2006/main" count="923" uniqueCount="566">
  <si>
    <t>PRINER SERVIÇOS INDUSTRIAIS S.A.</t>
  </si>
  <si>
    <t xml:space="preserve">(Em milhares de Reais) </t>
  </si>
  <si>
    <t>Ativo</t>
  </si>
  <si>
    <t>Controladora</t>
  </si>
  <si>
    <t>Consolidado</t>
  </si>
  <si>
    <t>Nota explicativa</t>
  </si>
  <si>
    <t>Circulante</t>
  </si>
  <si>
    <t>Caixa e equivalentes de caixa</t>
  </si>
  <si>
    <t>Títulos e valores mobiliários</t>
  </si>
  <si>
    <t>Contas a receber</t>
  </si>
  <si>
    <t>Contas a receber - partes relacionadas</t>
  </si>
  <si>
    <t>Dividendos a receber</t>
  </si>
  <si>
    <t>Estoques</t>
  </si>
  <si>
    <t>Créditos com funcionários</t>
  </si>
  <si>
    <t>Tributos a recuperar</t>
  </si>
  <si>
    <t>Despesas antecipadas</t>
  </si>
  <si>
    <t>Outros ativos circulantes</t>
  </si>
  <si>
    <t>Não circulante</t>
  </si>
  <si>
    <t>Notas promissórias e confissão de dívida a receber</t>
  </si>
  <si>
    <t>Mútuo a receber - partes relacionadas</t>
  </si>
  <si>
    <t>Outros créditos a receber</t>
  </si>
  <si>
    <t>Tributos diferidos</t>
  </si>
  <si>
    <t>Depósitos judiciais</t>
  </si>
  <si>
    <t>Instrumentos financeiros derivativos</t>
  </si>
  <si>
    <t>Outros ativos não circulantes</t>
  </si>
  <si>
    <t xml:space="preserve">Investimentos </t>
  </si>
  <si>
    <t>Intangível</t>
  </si>
  <si>
    <t>Total do ativo</t>
  </si>
  <si>
    <t>Passivo e patrimônio líquido</t>
  </si>
  <si>
    <t>Fornecedores</t>
  </si>
  <si>
    <t>Fornecedores - partes relacionadas</t>
  </si>
  <si>
    <t>Operações de risco sacado</t>
  </si>
  <si>
    <t>Empréstimos e financiamentos</t>
  </si>
  <si>
    <t>Debêntures não conversíveis em ações</t>
  </si>
  <si>
    <t>Salários e Encargos Sociais</t>
  </si>
  <si>
    <t xml:space="preserve">Imposto de renda e contribuição social    </t>
  </si>
  <si>
    <t>Tributos a Recolher</t>
  </si>
  <si>
    <t>Juros sobre capital próprio e dividendos a pagar</t>
  </si>
  <si>
    <t>Contas a pagar por aquisição societária</t>
  </si>
  <si>
    <t>Provisões</t>
  </si>
  <si>
    <t>Outros Passivos</t>
  </si>
  <si>
    <t xml:space="preserve">Empréstimos e financiamentos  </t>
  </si>
  <si>
    <t>Provisão para riscos tributários, cíveis e trabalhistas</t>
  </si>
  <si>
    <t>Outros passivos não circulantes</t>
  </si>
  <si>
    <t xml:space="preserve">Patrimônio líquido  </t>
  </si>
  <si>
    <t>Capital social</t>
  </si>
  <si>
    <t>Reserva de capital</t>
  </si>
  <si>
    <t>(-) Ações em tesouraria</t>
  </si>
  <si>
    <t>Reservas de lucros</t>
  </si>
  <si>
    <t>Dividendos propostos</t>
  </si>
  <si>
    <t>Ajuste avaliação patrimonial</t>
  </si>
  <si>
    <t>Patrimônio líquido atribuível aos proprietários da Controladora</t>
  </si>
  <si>
    <t>Participações não controladores</t>
  </si>
  <si>
    <t>Total do passivo e patrimônio líquido</t>
  </si>
  <si>
    <t xml:space="preserve">(Em milhares de Reais, exceto quando indicado de outra forma) </t>
  </si>
  <si>
    <t>Receita líquida de vendas e serviços</t>
  </si>
  <si>
    <t xml:space="preserve">Lucro bruto                                                                                                                                   </t>
  </si>
  <si>
    <t xml:space="preserve">Gerais e administrativas </t>
  </si>
  <si>
    <t>Lucro operacional antes do resultado financeiro</t>
  </si>
  <si>
    <t xml:space="preserve">Resultado financeiro </t>
  </si>
  <si>
    <t>Receitas financeiras</t>
  </si>
  <si>
    <t>Despesas financeiras</t>
  </si>
  <si>
    <t>Lucro líquido do período</t>
  </si>
  <si>
    <t xml:space="preserve">Resultado atribuível a:  </t>
  </si>
  <si>
    <t>Proprietários da Controladora</t>
  </si>
  <si>
    <t>Básico</t>
  </si>
  <si>
    <t>Diluído</t>
  </si>
  <si>
    <t>Total do resultado abrangente</t>
  </si>
  <si>
    <t>Participações não controladoras</t>
  </si>
  <si>
    <t>Controladora e Consolidado</t>
  </si>
  <si>
    <t>Capital Social</t>
  </si>
  <si>
    <t>Reservas de Lucros</t>
  </si>
  <si>
    <t>Gastos com emissão de ações</t>
  </si>
  <si>
    <t>Legal</t>
  </si>
  <si>
    <t>Estatutária</t>
  </si>
  <si>
    <t>Total atribuído aos controladores</t>
  </si>
  <si>
    <t>Total</t>
  </si>
  <si>
    <t xml:space="preserve">Fluxo de caixa das atividades operacionais </t>
  </si>
  <si>
    <t>Depreciação e amortização</t>
  </si>
  <si>
    <t>Perda (ganho) na baixa de imobilizados e intangíveis</t>
  </si>
  <si>
    <t xml:space="preserve">Equivalência patrimonial </t>
  </si>
  <si>
    <t>Provisão para riscos</t>
  </si>
  <si>
    <t>Outros ativos e despesas antecipadas</t>
  </si>
  <si>
    <t>Salários e encargos sociais</t>
  </si>
  <si>
    <t>IR e CS passivo</t>
  </si>
  <si>
    <t>Tributos a pagar</t>
  </si>
  <si>
    <t>Outros passivos</t>
  </si>
  <si>
    <t>Impostos pagos</t>
  </si>
  <si>
    <t xml:space="preserve">Fluxo de caixa das atividades de investimentos </t>
  </si>
  <si>
    <t>Resgate/(Aplicação) em títulos e valores mobiliários</t>
  </si>
  <si>
    <t>Caixa recebido na venda de imobilizado</t>
  </si>
  <si>
    <t>Fluxo de caixa das atividades de financiamentos</t>
  </si>
  <si>
    <t>Depósitos bancários vinculados</t>
  </si>
  <si>
    <t>Mútuo a pagar - partes relacionadas</t>
  </si>
  <si>
    <t>Captação de empréstimos</t>
  </si>
  <si>
    <t>Pagamento arrendamento mercantil - CPC 06</t>
  </si>
  <si>
    <t>Caixa e equivalente de caixa no inicio do exercício</t>
  </si>
  <si>
    <t>Caixa e equivalente de caixa no fim do exercício</t>
  </si>
  <si>
    <t>Geração do valor adicionado</t>
  </si>
  <si>
    <t>Receitas</t>
  </si>
  <si>
    <t>Insumos adquiridos de terceiros</t>
  </si>
  <si>
    <t>Materiais, energia, serviços de terceiros e outros</t>
  </si>
  <si>
    <t>Valor adicionado bruto</t>
  </si>
  <si>
    <t>Depreciação, amortização e exaustão</t>
  </si>
  <si>
    <t>Valor adicionado líquido produzido pela Companhia</t>
  </si>
  <si>
    <t>Valor adicionado recebido em transferência</t>
  </si>
  <si>
    <t>Resultado de equivalência patrimonial</t>
  </si>
  <si>
    <t>Valor adicionado a distribuir</t>
  </si>
  <si>
    <t>Distribuição do valor adicionado</t>
  </si>
  <si>
    <t>Pessoal e encargos</t>
  </si>
  <si>
    <t>Remuneração direta</t>
  </si>
  <si>
    <t>Benefícios</t>
  </si>
  <si>
    <t>FGTS</t>
  </si>
  <si>
    <t>Impostos, taxas e contribuições</t>
  </si>
  <si>
    <t>Federais</t>
  </si>
  <si>
    <t xml:space="preserve">Estaduais </t>
  </si>
  <si>
    <t xml:space="preserve">Municipais </t>
  </si>
  <si>
    <t>Remuneração sobre o capital de terceiros</t>
  </si>
  <si>
    <t>Juros, variações monetárias passivas e variações cambiais</t>
  </si>
  <si>
    <t>Aluguéis</t>
  </si>
  <si>
    <t>Remuneração sobre o capital próprio</t>
  </si>
  <si>
    <t>Valor adicionado distribuído</t>
  </si>
  <si>
    <t>Balanços patrimoniais Consolidados</t>
  </si>
  <si>
    <t>Posições Trimestrais</t>
  </si>
  <si>
    <t xml:space="preserve">(Em milhares de reais) </t>
  </si>
  <si>
    <t>31/12/2017
(Reclassificado)</t>
  </si>
  <si>
    <t>ATIVO</t>
  </si>
  <si>
    <t>CIRCULANTE</t>
  </si>
  <si>
    <t>Dididendos antecipados</t>
  </si>
  <si>
    <t>Instrumentos Financeiros Derivativos</t>
  </si>
  <si>
    <t>Instrumento derivativo financeiro (Swap)</t>
  </si>
  <si>
    <t>NÃO CIRCULANTE</t>
  </si>
  <si>
    <t>TOTAL DO ATIVO</t>
  </si>
  <si>
    <t>PASSIVO E PATRIMÔNIO LÍQUIDO</t>
  </si>
  <si>
    <t>Arrendamento financeiro a pagar - Direitos de uso CPC 06</t>
  </si>
  <si>
    <t>Instrumento derivativo financeiro - Swap</t>
  </si>
  <si>
    <t>Mútuo a pagar</t>
  </si>
  <si>
    <t>Mutuo a pagar</t>
  </si>
  <si>
    <t>PATRIMÔNIO LÍQUIDO</t>
  </si>
  <si>
    <t>Lucros (Prejuízo) acumulados do período</t>
  </si>
  <si>
    <t>Total do Patrimônio Líquido</t>
  </si>
  <si>
    <t>TOTAL DO PASSIVO E PATRIMÔNIO LÍQUIDO</t>
  </si>
  <si>
    <t>Capital Empregado</t>
  </si>
  <si>
    <t>Contas a Receber (clientes)</t>
  </si>
  <si>
    <t>Contas a Pagar (fornecedores e funcionários)</t>
  </si>
  <si>
    <t>Capital de Giro (clientes, fornecedores e funcionários)</t>
  </si>
  <si>
    <t>Imobilizado + Intangível</t>
  </si>
  <si>
    <t>Saldo Inicial</t>
  </si>
  <si>
    <t>Aquisições, líquidas de baixas</t>
  </si>
  <si>
    <t>Adiçoes por inclusao de controlada R&amp;R/Poliend/BKI/Gmaia na consolidação (inclui outros ágios)</t>
  </si>
  <si>
    <t>Ajuste por aumento de participação na controlada Smartcoat - diluição minoritários</t>
  </si>
  <si>
    <t>Adição Direito de uso - arrendamento CPC 06 - conf NE imobilizado</t>
  </si>
  <si>
    <t>Baixa Direito de uso - arrendamento CPC 06 - conf NE imobilizado</t>
  </si>
  <si>
    <t>Depreciação e Amortização</t>
  </si>
  <si>
    <t>Saldo Final</t>
  </si>
  <si>
    <t>Mutações do PL</t>
  </si>
  <si>
    <t>Saldo inicial</t>
  </si>
  <si>
    <t>Aporte de capital</t>
  </si>
  <si>
    <t>Gastos com emissao de ações - IPO</t>
  </si>
  <si>
    <t>Ajuste adoção inicial CPC 47/48</t>
  </si>
  <si>
    <t>Constituição de dividendos/JCP a pagar, líquido de IRRF</t>
  </si>
  <si>
    <t>IRRF s/ JCP provisionado</t>
  </si>
  <si>
    <t>Remuneração premio de opções</t>
  </si>
  <si>
    <t>Outros resultados abrangentes - instrumento financeiro sobre aquisiçao de controlada</t>
  </si>
  <si>
    <t>Ações em tesouraria</t>
  </si>
  <si>
    <t>Saldo final</t>
  </si>
  <si>
    <t>Checagem</t>
  </si>
  <si>
    <t>Juros sobre capital próprio/dividendos propostos</t>
  </si>
  <si>
    <t>Detalhamento da posição financeira líquida:</t>
  </si>
  <si>
    <t>Caixa, equivalentes e aplicações financeiras</t>
  </si>
  <si>
    <t>Empréstimos e financiamentos bancários</t>
  </si>
  <si>
    <t>Debêntures</t>
  </si>
  <si>
    <t>Empréstimos de mútuos</t>
  </si>
  <si>
    <t>Dívidas referentes a aquisições</t>
  </si>
  <si>
    <t>Posição financeira líquida</t>
  </si>
  <si>
    <t>PRINER SERVIÇOS INDUSTRIAIS S/A</t>
  </si>
  <si>
    <t>DEMONSTRAÇÕES DO RESULTADO CONSOLIDADO</t>
  </si>
  <si>
    <t>TRIMESTRES</t>
  </si>
  <si>
    <t xml:space="preserve">(Em milhares de reais - Exceto quando indicado de outra forma) </t>
  </si>
  <si>
    <t>1T2017</t>
  </si>
  <si>
    <t>2T2017</t>
  </si>
  <si>
    <t>3T2017</t>
  </si>
  <si>
    <t>4T2017</t>
  </si>
  <si>
    <t>1T2018</t>
  </si>
  <si>
    <t>2T2018</t>
  </si>
  <si>
    <t>3T2018</t>
  </si>
  <si>
    <t>4T2018</t>
  </si>
  <si>
    <t>1T2019</t>
  </si>
  <si>
    <t>2T2019</t>
  </si>
  <si>
    <t>3T2019</t>
  </si>
  <si>
    <t>4T2019</t>
  </si>
  <si>
    <t>1T2020</t>
  </si>
  <si>
    <t>2T2020</t>
  </si>
  <si>
    <t>3T2020</t>
  </si>
  <si>
    <t>4T2020</t>
  </si>
  <si>
    <t>1T2021</t>
  </si>
  <si>
    <t>2T2021</t>
  </si>
  <si>
    <t>3T2021</t>
  </si>
  <si>
    <t>4T2021</t>
  </si>
  <si>
    <t>1T2022</t>
  </si>
  <si>
    <t>2T2022</t>
  </si>
  <si>
    <t>3T2022</t>
  </si>
  <si>
    <t xml:space="preserve">  Custo dos produtos vendidos e serviços prestados </t>
  </si>
  <si>
    <t>Despesas operacionais,</t>
  </si>
  <si>
    <t xml:space="preserve">  Gerais e administrativas </t>
  </si>
  <si>
    <t>Resultado Equivalência Patrimônial</t>
  </si>
  <si>
    <t xml:space="preserve">  Receitas financeiras</t>
  </si>
  <si>
    <t xml:space="preserve">  Despesas financeiras</t>
  </si>
  <si>
    <t xml:space="preserve">Lucro antes do imposto de renda e da contribuição social </t>
  </si>
  <si>
    <t xml:space="preserve">  Correntes</t>
  </si>
  <si>
    <t xml:space="preserve">  Diferidos</t>
  </si>
  <si>
    <t>Lucro Líquido do  exercício</t>
  </si>
  <si>
    <t>EBITDA</t>
  </si>
  <si>
    <t>EBITDA LTM</t>
  </si>
  <si>
    <t>Custo dos produtos vendidos</t>
  </si>
  <si>
    <t>Custo de Execução de Obras (incluir provisão para mobilização e desmobilização)</t>
  </si>
  <si>
    <t>Depreciação de Equipamentos Locados</t>
  </si>
  <si>
    <t>Outros Custos</t>
  </si>
  <si>
    <t>Despesas Gerais e Administrativas</t>
  </si>
  <si>
    <t>Despesas Diversas</t>
  </si>
  <si>
    <t>Despesas com Aquisições, Novos Negócios, B3 eCVM - Expansão e desenvolvimento</t>
  </si>
  <si>
    <t>Provisão para Devedores Duvidosos</t>
  </si>
  <si>
    <t>AVJ de opções de compra e venda de adquiridas</t>
  </si>
  <si>
    <t>Reserva de capital (Stock Options)</t>
  </si>
  <si>
    <t>Resultados Financeiros</t>
  </si>
  <si>
    <t>Receitas de aplicações financeiras</t>
  </si>
  <si>
    <t>Juros de financiamentos (incluindo IOF)</t>
  </si>
  <si>
    <t>Juros sobre debêntures e custos da transação</t>
  </si>
  <si>
    <t>Resultado de swap, inclui variação cambial passiva</t>
  </si>
  <si>
    <t>Dívida da aquisição</t>
  </si>
  <si>
    <t>Juros de clientes (inclui atualização monetária de recuperação INSS Smartcoat)</t>
  </si>
  <si>
    <t>Cessão de direitos creditórios/Encargos Duplicatas Descontadas</t>
  </si>
  <si>
    <t>Juros e multas s/ títulos (fornecedores e tributos)</t>
  </si>
  <si>
    <t>Outros, (inclui variação cambial ativa)</t>
  </si>
  <si>
    <t>Fluxo de Caixa Consolidado</t>
  </si>
  <si>
    <t>Caixa Inicial</t>
  </si>
  <si>
    <t>Caixa Final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</si>
  <si>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</si>
  <si>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</si>
  <si>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</si>
  <si>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</si>
  <si>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</si>
  <si>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</si>
  <si>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</si>
  <si>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</si>
  <si>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</si>
  <si>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</si>
  <si>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</si>
  <si>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</si>
  <si>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</si>
  <si>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</si>
  <si>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</si>
  <si>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</si>
  <si>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</si>
  <si>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</si>
  <si>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</si>
  <si>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</si>
  <si>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</si>
  <si>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</si>
  <si>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</si>
  <si>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Receita Líquida contábil</t>
  </si>
  <si>
    <t>Lucro Bruto contábil</t>
  </si>
  <si>
    <t>Lucro Líquido contábil</t>
  </si>
  <si>
    <t>Receita Bruta</t>
  </si>
  <si>
    <t>EBITDA contábil</t>
  </si>
  <si>
    <t>Lucro Operacional Ajustado</t>
  </si>
  <si>
    <t>Quantidade total de colaboradores (final de trimestre)</t>
  </si>
  <si>
    <t>Quantidade total de colaboradores (média mensal do trimestre)</t>
  </si>
  <si>
    <t>Receita Líquida per capita (R$ mil mensal per capita)</t>
  </si>
  <si>
    <t>Receita Líquida per capita ajustada (R$ mil mensal per capita)</t>
  </si>
  <si>
    <t>CPV per capita (R$ mil mensal per capita)</t>
  </si>
  <si>
    <t>CPV per capita ajustado (R$ mil mensal per capita)</t>
  </si>
  <si>
    <t>Lucro Bruto per capita (R$ mil mensal per capita)</t>
  </si>
  <si>
    <t>Lucro Bruto per capita ajustado (R$ mil mensal per capita)</t>
  </si>
  <si>
    <t>Lucro Operacional per capita (R$ mil mensal per capita)</t>
  </si>
  <si>
    <t>Lucro Operacional per capita ajustado (R$ mil mensal per capita)</t>
  </si>
  <si>
    <t># dias de contas a receber (clientes)</t>
  </si>
  <si>
    <t># dias de contas a pagar (fornecedores e funcionários)</t>
  </si>
  <si>
    <t># dias de capital de giro</t>
  </si>
  <si>
    <t>Outros</t>
  </si>
  <si>
    <t>Receita Líquida ajustada</t>
  </si>
  <si>
    <t>CPV Ajustado</t>
  </si>
  <si>
    <t>Lucro Bruto ajustado</t>
  </si>
  <si>
    <t>EBITDA ajustado</t>
  </si>
  <si>
    <t>Quantidade total de colaboradores ajustado (média mensal do trimestre)</t>
  </si>
  <si>
    <t>Tributos a Pagar</t>
  </si>
  <si>
    <t>Receita Bruta contábil</t>
  </si>
  <si>
    <t>Planilhas Dados Históricos - Consolidado</t>
  </si>
  <si>
    <t>Dados para gráficos:</t>
  </si>
  <si>
    <t>Receita Líquida</t>
  </si>
  <si>
    <t>Margem Bruta contábil</t>
  </si>
  <si>
    <t>Margem Bruta ajustada</t>
  </si>
  <si>
    <t>Margem Líquida contábil</t>
  </si>
  <si>
    <t>Margem Líquida ajustada</t>
  </si>
  <si>
    <t>Margem EBITDA contábil</t>
  </si>
  <si>
    <t>Margem EBITDA ajustada</t>
  </si>
  <si>
    <t>ROIC</t>
  </si>
  <si>
    <t>4T2022</t>
  </si>
  <si>
    <t>Balanços patrimoniais individuais e consolidados</t>
  </si>
  <si>
    <t>As notas explicativas são parte integrante das informações contábeis intermediárias individuais e consolidadas.</t>
  </si>
  <si>
    <t>Duplicatas descontadas a pagar</t>
  </si>
  <si>
    <t>Adiantamento de clientes</t>
  </si>
  <si>
    <t>Demonstrações do resultado individuais e consolidadas</t>
  </si>
  <si>
    <t>Outras receitas/Despesas operacionais</t>
  </si>
  <si>
    <t>Resultado operacional antes do resultado financeiro</t>
  </si>
  <si>
    <t>Demonstrações do resultado abrangente individuais e consolidadas</t>
  </si>
  <si>
    <t>Demonstrações das mutações do patrimônio líquido individuais e consolidadas</t>
  </si>
  <si>
    <t>Demonstrações dos fluxos de caixa individuais e consolidadas</t>
  </si>
  <si>
    <t>Ajustes p/ reconciliar o resultado do exercício c/ recursos provenientes de atividades operacionais</t>
  </si>
  <si>
    <t>Baixa de arrendamento mercantil (CPC 06)</t>
  </si>
  <si>
    <t>Aquisição de bens do ativo imobilizado e intangível, líquido das transações não caixa</t>
  </si>
  <si>
    <t>Antecipação de dividendos</t>
  </si>
  <si>
    <t>Operação de duplicatas descontadas</t>
  </si>
  <si>
    <t>Amortização de empréstimos e debêntures - principal</t>
  </si>
  <si>
    <t xml:space="preserve">(Redução)/aumento líquido de caixa e equivalentes de caixa </t>
  </si>
  <si>
    <t>Demonstrações do valor adicionado individuais e consolidadas</t>
  </si>
  <si>
    <t>Juros sobre capital próprio</t>
  </si>
  <si>
    <t>1T2023</t>
  </si>
  <si>
    <t>4T22</t>
  </si>
  <si>
    <t>1T23</t>
  </si>
  <si>
    <t>Lucro Líquido ajustado</t>
  </si>
  <si>
    <t>Lucro Bruto por Unidade de Negócio</t>
  </si>
  <si>
    <t>Custo dos serviços prestados</t>
  </si>
  <si>
    <t>Lucro Bruto contábil consolidado</t>
  </si>
  <si>
    <t>Receita Líquida contábil consolidado</t>
  </si>
  <si>
    <t>Receita Bruta ajustada</t>
  </si>
  <si>
    <t>Lucro Bruto</t>
  </si>
  <si>
    <t>Lucro Líquido</t>
  </si>
  <si>
    <t>Receita Bruta per capita</t>
  </si>
  <si>
    <t>Lucro Bruto per capita</t>
  </si>
  <si>
    <t>Indicadores per capita*</t>
  </si>
  <si>
    <t>*valores ajustados do 2T22 ao 4T22</t>
  </si>
  <si>
    <t>Dívida Líquida/EBITDA contábil LTM</t>
  </si>
  <si>
    <t>Abertura ROIC</t>
  </si>
  <si>
    <t>EBIT (LTM)</t>
  </si>
  <si>
    <t>Capital Investido Médio</t>
  </si>
  <si>
    <t>Capital de Giro (Média LTM)</t>
  </si>
  <si>
    <t>Imob. e Intangível (Média LTM)</t>
  </si>
  <si>
    <t>Dados Operacionais</t>
  </si>
  <si>
    <t xml:space="preserve">FLUXO DE CAIXA CONSOLIDADO  (Em milhares de reais) </t>
  </si>
  <si>
    <t>FLUXOS DE CAIXA DAS ATIVIDADES OPERACIONAIS</t>
  </si>
  <si>
    <t>Lucro (Prejuízo) líquido do período antes dos impostos</t>
  </si>
  <si>
    <t>Ajustes</t>
  </si>
  <si>
    <t>Perda (ganho) na baixa de imobilizado e intangíveis</t>
  </si>
  <si>
    <t>Encargos financeiros - Arrendamento mercantil (CPC 06)</t>
  </si>
  <si>
    <t>Perda de estoque</t>
  </si>
  <si>
    <t>Equivalência patrimonial</t>
  </si>
  <si>
    <t>Juros, variação monetária sobre empréstimos, atualização de derivativos e aquisição societária</t>
  </si>
  <si>
    <t>Ganho por compra vantajosa</t>
  </si>
  <si>
    <t>Perda estimada com créditos de liquidação duvidosa</t>
  </si>
  <si>
    <t>Despesas de stock options</t>
  </si>
  <si>
    <t>Apropriação dos custos da transação - Debêntures</t>
  </si>
  <si>
    <t>Variação nos ativos e passivos</t>
  </si>
  <si>
    <t>Contas a receber - Clientes e partes relacionadas</t>
  </si>
  <si>
    <t>Fornecedores - Externos e partes relacionadas</t>
  </si>
  <si>
    <t>Outros créditos</t>
  </si>
  <si>
    <t>CAIXA CONSUMIDO (GERADO) PROVENIENTE DAS ATIVIDADES OPERACIONAIS</t>
  </si>
  <si>
    <t>FLUXOS DE CAIXA DAS ATIVIDADES DE INVESTIMENTOS</t>
  </si>
  <si>
    <t>Resgate (aplicação) em títulos e valores mobiliários</t>
  </si>
  <si>
    <t>Aquisição de bens do ativo imobilizado e intangível</t>
  </si>
  <si>
    <t>Caixa recebido na venda do imobilizado</t>
  </si>
  <si>
    <t>Saldos iniciais consolidação da controlada R&amp;R</t>
  </si>
  <si>
    <t>Ajuste de participação da controlada Smartcoat devido a ajuste % acionistas minoritários</t>
  </si>
  <si>
    <t>CAIXA CONSUMIDO (GERADO) PROVENIENTE DAS ATIVIDADES DE INVESTIMENTOS</t>
  </si>
  <si>
    <t>FLUXOS DE CAIXA DAS ATIVIDADES DE FINANCIAMENTO</t>
  </si>
  <si>
    <t>Aumento de capital</t>
  </si>
  <si>
    <t>Emissão de debêntures</t>
  </si>
  <si>
    <t>Ajuste adoção CPC 47/48</t>
  </si>
  <si>
    <t>Dividendos recebidos</t>
  </si>
  <si>
    <t>Juros sobre capital próprio e dividendos pagos</t>
  </si>
  <si>
    <t>Mútuo a receber - Partes relacionadas</t>
  </si>
  <si>
    <t>Amortização de contas a pagar por aquisição societária - principal</t>
  </si>
  <si>
    <t>Amortização de debêntures - principal</t>
  </si>
  <si>
    <t>Juros pagos em amortização de empréstimos, debêntures e aquisição por participação societária</t>
  </si>
  <si>
    <t>Pagamento arrendamento mercantil - CPC 06 (R2)</t>
  </si>
  <si>
    <t>Ganho (amortização) de swap</t>
  </si>
  <si>
    <t>Recompra de ações</t>
  </si>
  <si>
    <t>Pagamento custos iniciais obra arrendamento mercantil</t>
  </si>
  <si>
    <t>CAIXA CONSUMIDO (GERADO) PROVENIENTE DAS ATIVIDADES DE FINANCIAMENTO</t>
  </si>
  <si>
    <t xml:space="preserve">Variação no Caixa </t>
  </si>
  <si>
    <r>
      <rPr>
        <b/>
        <u/>
        <sz val="10"/>
        <rFont val="Trebuchet MS"/>
        <family val="2"/>
      </rPr>
      <t>Nota</t>
    </r>
    <r>
      <rPr>
        <sz val="10"/>
        <rFont val="Trebuchet MS"/>
        <family val="2"/>
      </rPr>
      <t>: valores ajustados em 2022 desconsideram contratos pontuais da gmaia.</t>
    </r>
  </si>
  <si>
    <t>Margem Bruta contábil consolidada</t>
  </si>
  <si>
    <t>(R$ milhões)</t>
  </si>
  <si>
    <t>2T2023</t>
  </si>
  <si>
    <t>2T23</t>
  </si>
  <si>
    <t>Imobilizado e ativo de direito de uso</t>
  </si>
  <si>
    <t>Ajuste em investimentos</t>
  </si>
  <si>
    <t>Aporte de não controladores</t>
  </si>
  <si>
    <t>3T2023</t>
  </si>
  <si>
    <t>3T23</t>
  </si>
  <si>
    <t>Outras provisões</t>
  </si>
  <si>
    <t>4T2023</t>
  </si>
  <si>
    <t>4T23</t>
  </si>
  <si>
    <t>Aquisição de controladas, consolidado líquido do caixa adquirido</t>
  </si>
  <si>
    <t>Amortização do contas a pagar da aquisição de controladas - principal</t>
  </si>
  <si>
    <t>Amortização do contas a pagar da aquisição de controladas - juros</t>
  </si>
  <si>
    <t>NOPAT  (LTM)</t>
  </si>
  <si>
    <t>Dívida Líquida/EBITDA LTM</t>
  </si>
  <si>
    <t>*A partir da publicação do 4T23, alteramos o cálculo da Relação Dívida Líquida/EBITDA LTM, retroativamente. No novo conceito, incluímos os resultados gerenciais dos últimos 12 meses das empresas adquiridas (que não transitaram pelos resultados da Companhia), visto o balanço patrimonial (dívida líquida) ser impactado imediatamente (no mês da aquisição). Adicionalmente, o EBITDA é reduzido pelos juros incidentes sobre as antecipações de recebíveis.</t>
  </si>
  <si>
    <t>*A partir da publicação do 4T23, alteramos o cálculo do ROIC, retroativamente. No novo conceito, incluímos os resultados gerenciais dos últimos 12 meses das empresas adquiridas (que não transitaram pelos resultados da Companhia), visto o balanço patrimonial (capital empregado) ser impactado imediatamente (no mês da aquisição).</t>
  </si>
  <si>
    <t>Redução do ágio adquirido com tributos diferidos - Incorporação</t>
  </si>
  <si>
    <t>Financiamento limite cheque especial</t>
  </si>
  <si>
    <t>1T2024</t>
  </si>
  <si>
    <t>1T24</t>
  </si>
  <si>
    <t>Amortização de empréstimos - principal</t>
  </si>
  <si>
    <t>Dividendos</t>
  </si>
  <si>
    <t>2T2024</t>
  </si>
  <si>
    <t>2T24</t>
  </si>
  <si>
    <t>Outras reservas de capital - alienação açoes em tesouraria</t>
  </si>
  <si>
    <t>3T2024 pro forma</t>
  </si>
  <si>
    <t>30/09/2024 pro forma</t>
  </si>
  <si>
    <t>3T24</t>
  </si>
  <si>
    <t>3T24 pro forma</t>
  </si>
  <si>
    <t>Receita Bruta Ajustada</t>
  </si>
  <si>
    <t>Receita Bruta contábil consolidado</t>
  </si>
  <si>
    <t>Contábil</t>
  </si>
  <si>
    <t>3T2024</t>
  </si>
  <si>
    <t>Contas a receber - terceiros</t>
  </si>
  <si>
    <t>Instrumentos financeiros derivativos (Swap)</t>
  </si>
  <si>
    <t>Fornecedores - terceiros</t>
  </si>
  <si>
    <t>Arrendamento a pagar - Direito de uso</t>
  </si>
  <si>
    <t xml:space="preserve">Arrendamento a pagar - Direito de uso </t>
  </si>
  <si>
    <t>Outras contas a pagar por aquisição societária</t>
  </si>
  <si>
    <t>Custo dos serviços prestados e produtos vendidos</t>
  </si>
  <si>
    <t>Tributos correntes</t>
  </si>
  <si>
    <t>Acionistas da Companhia</t>
  </si>
  <si>
    <t>Participações dos não controladores</t>
  </si>
  <si>
    <t>Dividendos mínimos obrigatórios para pagamento no exercicio seguinte</t>
  </si>
  <si>
    <t>Saldos em 31 de dezembro de 2024</t>
  </si>
  <si>
    <t>Perda (ganho) com o valor justo de instrumentos derivativos</t>
  </si>
  <si>
    <t>Variação monetária sobre contas a pagar de aquisição societária</t>
  </si>
  <si>
    <t>Provisão para riscos civeis e trabalhistas</t>
  </si>
  <si>
    <t>Caixa gerado nas operações</t>
  </si>
  <si>
    <t>Imposto de renda e contribuição social pagos</t>
  </si>
  <si>
    <t>Receita de contrato com cliente</t>
  </si>
  <si>
    <t>Custo dos produtos vendidos, das mercadorias e dos serviços vendidos</t>
  </si>
  <si>
    <t>Outras transferências recebidas</t>
  </si>
  <si>
    <t>Dividendos não controladores pagos</t>
  </si>
  <si>
    <t>Dividendos não controladores a pagar</t>
  </si>
  <si>
    <t>4T2024</t>
  </si>
  <si>
    <t>4T24</t>
  </si>
  <si>
    <t>*valores ajustados a partir do 1T20</t>
  </si>
  <si>
    <t>Plano de opções de ações</t>
  </si>
  <si>
    <t>Juros sobre mútuo partes relacionadas</t>
  </si>
  <si>
    <t>(Aumento)/ redução nas contas de ativos</t>
  </si>
  <si>
    <t>Outros ativos</t>
  </si>
  <si>
    <t>Aumento/ (redução) nas contas de passivos</t>
  </si>
  <si>
    <t>Mútuo concedido</t>
  </si>
  <si>
    <t>Juros pagos s/ empréstimos e debêntures</t>
  </si>
  <si>
    <t>Liquidação de instrumentos derivativos</t>
  </si>
  <si>
    <t>Ajuste proforma - aquisição Real (eliminação do efeito no PL do resultado reconhecido em 2024)</t>
  </si>
  <si>
    <t>1T2025</t>
  </si>
  <si>
    <t>1T25</t>
  </si>
  <si>
    <t>IR/CS (alíquota teórica de 35%) (LTM)</t>
  </si>
  <si>
    <t>ROIC LTM (alíquota teórica)</t>
  </si>
  <si>
    <t>IR/CS (alíquota efetiva) (LTM)</t>
  </si>
  <si>
    <t>Empréstimos, financiamentos e debêntures</t>
  </si>
  <si>
    <t>Outras contas a pagar</t>
  </si>
  <si>
    <t>Resultado do período</t>
  </si>
  <si>
    <t>Outros resultados abrangentes - ajuste de Hedge Fluxo de caixa, líquido dos efeitos tributários</t>
  </si>
  <si>
    <t>Resultado do período antes dos impostos</t>
  </si>
  <si>
    <t>Depreciação, amortização de intangíveis e amortização/depreciação de mais valia</t>
  </si>
  <si>
    <t>Provisão para perda de crédito esperada - Reversão/(Constituição)</t>
  </si>
  <si>
    <t>2T2025</t>
  </si>
  <si>
    <t>2T25</t>
  </si>
  <si>
    <t>Aumento de capital em investida</t>
  </si>
  <si>
    <t>Outros resultados abrangentes</t>
  </si>
  <si>
    <t>Ágio na emissão de ações</t>
  </si>
  <si>
    <t>Variação cambial s/ empréstimos</t>
  </si>
  <si>
    <t>Aporte de capital e ágio na emissão de ações, líquido dos gastos com emissão de ações</t>
  </si>
  <si>
    <t>Outros resultados abrangentes - ajuste Hedge Fluxo de caixa</t>
  </si>
  <si>
    <t>Ágio na emissao de ações</t>
  </si>
  <si>
    <t>3T2025</t>
  </si>
  <si>
    <t>3T25</t>
  </si>
  <si>
    <t>4T2025</t>
  </si>
  <si>
    <t>4T25</t>
  </si>
  <si>
    <t>TOTAL</t>
  </si>
  <si>
    <t>Ajuste de preço por aquisição de controlada</t>
  </si>
  <si>
    <t>Receita Operacional líquida</t>
  </si>
  <si>
    <t>Saldos em 31 de dezembro de 2025</t>
  </si>
  <si>
    <t>Participação de não controladores oriundos da aquisição da Semep</t>
  </si>
  <si>
    <t>Resultado do exercício</t>
  </si>
  <si>
    <t>Absorção do prejuízo do exercício</t>
  </si>
  <si>
    <t>Reversao Dividendos minimos obrigatorios reconhecido em 2024, conforme AGOE de 2025</t>
  </si>
  <si>
    <t>Siderurgia&amp;Mineração</t>
  </si>
  <si>
    <t>Óleo&amp;Gás</t>
  </si>
  <si>
    <t>Receita Líquida Contábil</t>
  </si>
  <si>
    <t>Receita Líquida Ajustada</t>
  </si>
  <si>
    <t>CPV Contábil</t>
  </si>
  <si>
    <t>Lucro Bruto Contábil</t>
  </si>
  <si>
    <t>Lucro Bruto Ajustado</t>
  </si>
  <si>
    <t>SG&amp;A</t>
  </si>
  <si>
    <t>SG&amp;A Ajustado</t>
  </si>
  <si>
    <t>Lucro Operacional Contábil</t>
  </si>
  <si>
    <t>Lucro Líquido Contábil</t>
  </si>
  <si>
    <t>Lucro Líquido Ajustado</t>
  </si>
  <si>
    <t>ROIC pro forma</t>
  </si>
  <si>
    <t>ROIC ajustado</t>
  </si>
  <si>
    <t>INDICADORES GERAIS</t>
  </si>
  <si>
    <t>NOPAT Ajustado (LTM)</t>
  </si>
  <si>
    <t>EBIT Ajustado (LTM)</t>
  </si>
  <si>
    <t>IR/CS (LTM)</t>
  </si>
  <si>
    <t>Capital de Giro Ajustado (Média LTM)</t>
  </si>
  <si>
    <t>ROIC Ajustado LTM (alíquota efetiva)</t>
  </si>
  <si>
    <t>ROIC pro forma LTM (alíquota efetiva)</t>
  </si>
  <si>
    <t>ROIC Ajustado</t>
  </si>
  <si>
    <t>1T2026</t>
  </si>
  <si>
    <t>1T26</t>
  </si>
  <si>
    <t>16.3</t>
  </si>
  <si>
    <t>7.2</t>
  </si>
  <si>
    <t>Lucros acumulados do período</t>
  </si>
  <si>
    <t>Lucros líquidos acumulados</t>
  </si>
  <si>
    <t>Adiantamento para futuro aumento de capital</t>
  </si>
  <si>
    <t>Outros ajustes no patrimônio líquido - controladas</t>
  </si>
  <si>
    <t>Juros sobre empréstimos, debêntures e arrendamentos</t>
  </si>
  <si>
    <t>Contas a receber de terceiros e partes relacionadas, consolidado liquido de transações não caixa</t>
  </si>
  <si>
    <t>Fornecedores terceiros e partes relacionadas, líquido de transações não caixa</t>
  </si>
  <si>
    <t>Tributos a pagar, consolidado líquido de transações não caixa</t>
  </si>
  <si>
    <t>Ajuste de preço aquisição societária</t>
  </si>
  <si>
    <t>Participação dos acionistas não controladores da R&amp;R/Smartcoat/BKI/Gmaia/SCP Gmaia/Semep</t>
  </si>
  <si>
    <t>Ajuste de exercícios anteriores</t>
  </si>
  <si>
    <t>Planilha de Dados Financeiros 2T26</t>
  </si>
  <si>
    <t>Planilhas 2T26 - Consolidado</t>
  </si>
  <si>
    <t>2T2026</t>
  </si>
  <si>
    <t>2T26</t>
  </si>
  <si>
    <t>Clawback Real</t>
  </si>
  <si>
    <t>Stock Options</t>
  </si>
  <si>
    <t>Amortização de intangíveis e depreciação de mais valia</t>
  </si>
  <si>
    <t>Atualização monetária da parcela do clawback</t>
  </si>
  <si>
    <t>NOPAT per capita (R$ mil mensal per capita)</t>
  </si>
  <si>
    <t>NOPAT per capita ajustado (R$ mil mensal per capita)</t>
  </si>
  <si>
    <t>NOPAT ajustado per capita</t>
  </si>
  <si>
    <t>Em 30 de junho de 2026 e 31 de dezembro de 2025</t>
  </si>
  <si>
    <t>22.6</t>
  </si>
  <si>
    <t>Efeitos em transação de capital</t>
  </si>
  <si>
    <t>Patrimônio líquido total</t>
  </si>
  <si>
    <t>Períodos findos em 30 de junho de 2026 e 2025</t>
  </si>
  <si>
    <t>Trimestre</t>
  </si>
  <si>
    <t>Acumulado</t>
  </si>
  <si>
    <t xml:space="preserve">Resultado antes do imposto de renda e da contribuição social </t>
  </si>
  <si>
    <t>Lucro (prejuízo) líquido do período</t>
  </si>
  <si>
    <t>Lucro (prejuízo) líquido por lote de mil ações atribuível ao controlador - R$</t>
  </si>
  <si>
    <t>Lucro líquido (prejuízo) do exercício</t>
  </si>
  <si>
    <t>Resultado de Hedge</t>
  </si>
  <si>
    <t>Tributos s/ Hedge</t>
  </si>
  <si>
    <t>Efeitos em transações de capital</t>
  </si>
  <si>
    <t>Saldos em 30 de junho de 2025</t>
  </si>
  <si>
    <t>Outros resultados abrangentes - Hedge Fluxo de caixa, líquido dos efeitos tributários</t>
  </si>
  <si>
    <t>Subscrição de capital</t>
  </si>
  <si>
    <t>Redução de capital SCP construtora gmaia</t>
  </si>
  <si>
    <t>Distribuição de lucros SCP construtora gmaia</t>
  </si>
  <si>
    <t>Aquisição de participação adicional de controlada</t>
  </si>
  <si>
    <t>Reversao Dividendos reconhecido em 2025 após aprovação da AGO de 2026</t>
  </si>
  <si>
    <t>Saldos em 30 de junho de 2026</t>
  </si>
  <si>
    <t xml:space="preserve">Caixa líquido proveniente das atividades operacionais </t>
  </si>
  <si>
    <t>Aporte de capital em controlada, líquido de transação não caixa</t>
  </si>
  <si>
    <t>Incorporacao controlada, caixa liquido adquirido</t>
  </si>
  <si>
    <t>Reversão de ágio adquirido com tributos diferidos s/ mais valia – incorporação</t>
  </si>
  <si>
    <t>Quitação de mútuo concedido - principal, liquido de transação não caixa</t>
  </si>
  <si>
    <t>Quitação de mútuo concedido - juros recebidos, líquido de transação não caixa</t>
  </si>
  <si>
    <t xml:space="preserve">Caixa líquido proveniente das atividades de investimentos </t>
  </si>
  <si>
    <t>Redução de capital pelos não controladores</t>
  </si>
  <si>
    <t>Dividendos pagos</t>
  </si>
  <si>
    <t>Emissao de debêntures</t>
  </si>
  <si>
    <t>Caixa líquido proveniente das atividades de financiamentos</t>
  </si>
  <si>
    <t>Lucro (prejuízo) do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</si>
</sst>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[Black]#,##0_);[Black]\(#,##0\)"/>
    <numFmt numFmtId="166" formatCode="#,##0_ ;\-#,##0\ "/>
    <numFmt numFmtId="167" formatCode="_(&quot;R$&quot;\ * #,##0.00_);_(&quot;R$&quot;\ * \(#,##0.00\);_(&quot;R$&quot;\ * &quot;-&quot;??_);_(@_)"/>
    <numFmt numFmtId="168" formatCode="_(&quot;R$ &quot;* #,##0.00_);_(&quot;R$ &quot;* \(#,##0.00\);_(&quot;R$ &quot;* &quot;-&quot;??_);_(@_)"/>
    <numFmt numFmtId="169" formatCode="_(&quot;$&quot;* #,##0.00_);_(&quot;$&quot;* \(#,##0.00\);_(&quot;$&quot;* &quot;-&quot;??_);_(@_)"/>
    <numFmt numFmtId="170" formatCode="0.0%"/>
    <numFmt numFmtId="171" formatCode="_(* #,##0_);_(* \(#,##0\);_(* &quot;-&quot;_);_(@_)"/>
    <numFmt numFmtId="172" formatCode="#,##0.0_ ;\-#,##0.0\ "/>
    <numFmt numFmtId="173" formatCode="_(* #,##0_);_(* \(#,##0\);_(* &quot;-&quot;??_);_(@_)"/>
    <numFmt numFmtId="174" formatCode="[Black]#,##0.0_);[Black]\(#,##0.0\)"/>
    <numFmt numFmtId="175" formatCode="#,##0;\(#,##0\)"/>
    <numFmt numFmtId="176" formatCode="#,##0.0"/>
    <numFmt numFmtId="177" formatCode="0.0%;\-0.0%;0.0%"/>
    <numFmt numFmtId="178" formatCode="#,##0.00_ ;\-#,##0.00\ "/>
    <numFmt numFmtId="179" formatCode="#,##0;\(#,##0\);\-"/>
    <numFmt numFmtId="180" formatCode="_(* #,##0.00_);_(* \(#,##0.00\);_(* &quot;-&quot;??_);_(@_)"/>
    <numFmt numFmtId="181" formatCode="#,##0.00;\(#,##0.00\);\-"/>
  </numFmts>
  <fonts count="10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Trebuchet MS"/>
      <family val="2"/>
    </font>
    <font>
      <b/>
      <sz val="14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u/>
      <sz val="10"/>
      <name val="Trebuchet MS"/>
      <family val="2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theme="1"/>
      <name val="Trebuchet M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 Light"/>
      <family val="2"/>
    </font>
    <font>
      <sz val="11"/>
      <color rgb="FF9C6500"/>
      <name val="Calibri"/>
      <family val="2"/>
      <scheme val="minor"/>
    </font>
    <font>
      <sz val="8"/>
      <color theme="1"/>
      <name val="Trebuchet MS"/>
      <family val="2"/>
    </font>
    <font>
      <sz val="10"/>
      <name val="Times New Roman"/>
      <family val="1"/>
    </font>
    <font>
      <sz val="10"/>
      <color indexed="8"/>
      <name val="MS Sans Serif"/>
    </font>
    <font>
      <b/>
      <sz val="12"/>
      <color indexed="8"/>
      <name val="Times New Roman"/>
      <family val="1"/>
    </font>
    <font>
      <sz val="10"/>
      <color indexed="8"/>
      <name val="MS Sans Serif"/>
      <family val="2"/>
    </font>
    <font>
      <sz val="11"/>
      <color theme="1"/>
      <name val="Arial"/>
      <family val="2"/>
    </font>
    <font>
      <sz val="9"/>
      <name val="Arial"/>
      <family val="2"/>
    </font>
    <font>
      <sz val="10"/>
      <name val="Arial Narrow"/>
      <family val="2"/>
    </font>
    <font>
      <sz val="11"/>
      <color rgb="FF000000"/>
      <name val="Calibri"/>
      <family val="2"/>
    </font>
    <font>
      <b/>
      <u/>
      <sz val="10"/>
      <name val="Trebuchet MS"/>
      <family val="2"/>
    </font>
    <font>
      <b/>
      <sz val="11"/>
      <color theme="1"/>
      <name val="Calibri"/>
      <family val="2"/>
      <scheme val="minor"/>
    </font>
    <font>
      <b/>
      <sz val="13"/>
      <name val="Trebuchet MS"/>
      <family val="2"/>
    </font>
    <font>
      <sz val="10"/>
      <name val="Verdana"/>
      <family val="2"/>
    </font>
    <font>
      <sz val="10"/>
      <color rgb="FFFFFFFF"/>
      <name val="Trebuchet MS"/>
      <family val="2"/>
    </font>
    <font>
      <sz val="8"/>
      <name val="Trebuchet MS"/>
      <family val="2"/>
    </font>
    <font>
      <sz val="11"/>
      <color theme="1"/>
      <name val="Calibri"/>
      <family val="2"/>
    </font>
    <font>
      <sz val="10"/>
      <color rgb="FFFF0000"/>
      <name val="Trebuchet MS"/>
      <family val="2"/>
    </font>
    <font>
      <b/>
      <sz val="10"/>
      <name val="Verdana"/>
      <family val="2"/>
    </font>
    <font>
      <b/>
      <u/>
      <sz val="14"/>
      <color rgb="FF000000"/>
      <name val="Trebuchet MS"/>
      <family val="2"/>
    </font>
    <font>
      <b/>
      <sz val="14"/>
      <color rgb="FF000000"/>
      <name val="Trebuchet MS"/>
      <family val="2"/>
    </font>
    <font>
      <u/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b/>
      <u/>
      <sz val="10"/>
      <color rgb="FF000000"/>
      <name val="Trebuchet MS"/>
      <family val="2"/>
    </font>
    <font>
      <b/>
      <sz val="10"/>
      <color rgb="FFFFFFFF"/>
      <name val="Trebuchet MS"/>
      <family val="2"/>
    </font>
    <font>
      <b/>
      <u/>
      <sz val="11"/>
      <color rgb="FF000000"/>
      <name val="Trebuchet MS"/>
      <family val="2"/>
    </font>
    <font>
      <sz val="11"/>
      <color rgb="FFE26B0A"/>
      <name val="Calibri"/>
      <family val="2"/>
    </font>
    <font>
      <b/>
      <sz val="11"/>
      <color rgb="FF000000"/>
      <name val="Trebuchet MS"/>
      <family val="2"/>
    </font>
    <font>
      <sz val="11"/>
      <color rgb="FF000000"/>
      <name val="Trebuchet MS"/>
      <family val="2"/>
    </font>
    <font>
      <sz val="10"/>
      <color theme="0" tint="-0.249977111117893"/>
      <name val="Trebuchet MS"/>
      <family val="2"/>
    </font>
    <font>
      <sz val="8"/>
      <color theme="0" tint="-0.249977111117893"/>
      <name val="Trebuchet MS"/>
      <family val="2"/>
    </font>
    <font>
      <sz val="11"/>
      <color theme="0" tint="-0.249977111117893"/>
      <name val="Trebuchet MS"/>
      <family val="2"/>
    </font>
    <font>
      <sz val="11"/>
      <color theme="0" tint="-0.249977111117893"/>
      <name val="Calibri"/>
      <family val="2"/>
    </font>
    <font>
      <b/>
      <u/>
      <sz val="10"/>
      <color theme="1"/>
      <name val="Trebuchet MS"/>
      <family val="2"/>
    </font>
    <font>
      <sz val="8"/>
      <name val="Calibri"/>
      <family val="2"/>
      <scheme val="minor"/>
    </font>
    <font>
      <b/>
      <sz val="13"/>
      <name val="Verdana"/>
      <family val="2"/>
    </font>
    <font>
      <sz val="10"/>
      <color rgb="FF000000"/>
      <name val="Verdana"/>
      <family val="2"/>
    </font>
    <font>
      <u/>
      <sz val="10"/>
      <color rgb="FF000000"/>
      <name val="Verdana"/>
      <family val="2"/>
    </font>
    <font>
      <sz val="11"/>
      <color theme="1"/>
      <name val="Trebuchet MS"/>
      <family val="2"/>
    </font>
    <font>
      <sz val="26"/>
      <color theme="1"/>
      <name val="Trebuchet MS"/>
      <family val="2"/>
    </font>
    <font>
      <b/>
      <sz val="16"/>
      <color theme="1"/>
      <name val="Trebuchet MS"/>
      <family val="2"/>
    </font>
    <font>
      <b/>
      <sz val="14"/>
      <color theme="1"/>
      <name val="Trebuchet MS"/>
      <family val="2"/>
    </font>
    <font>
      <b/>
      <sz val="11"/>
      <color rgb="FF000000"/>
      <name val="Calibri"/>
      <family val="2"/>
    </font>
    <font>
      <sz val="9"/>
      <color theme="1"/>
      <name val="Trebuchet MS"/>
      <family val="2"/>
    </font>
    <font>
      <sz val="11"/>
      <name val="Calibri"/>
      <family val="2"/>
      <scheme val="minor"/>
    </font>
    <font>
      <b/>
      <sz val="9.5"/>
      <name val="Trebuchet MS"/>
      <family val="2"/>
    </font>
    <font>
      <b/>
      <u/>
      <sz val="9.5"/>
      <name val="Trebuchet MS"/>
      <family val="2"/>
    </font>
    <font>
      <sz val="9.5"/>
      <name val="Trebuchet MS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8"/>
      <color theme="3"/>
      <name val="Calibri Light"/>
      <family val="1"/>
      <scheme val="major"/>
    </font>
    <font>
      <u/>
      <sz val="11"/>
      <color theme="10"/>
      <name val="Arial"/>
      <family val="2"/>
    </font>
    <font>
      <b/>
      <sz val="18"/>
      <color theme="3"/>
      <name val="Calibri Light"/>
      <family val="2"/>
      <scheme val="major"/>
    </font>
    <font>
      <sz val="10"/>
      <color theme="1"/>
      <name val="Verdana"/>
      <family val="2"/>
    </font>
    <font>
      <sz val="11"/>
      <color theme="0" tint="-0.14999847407452621"/>
      <name val="Calibri"/>
      <family val="2"/>
      <scheme val="minor"/>
    </font>
    <font>
      <sz val="11"/>
      <name val="Aptos Narrow"/>
      <family val="2"/>
    </font>
    <font>
      <sz val="10"/>
      <name val="Verdana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10"/>
      <name val="Verdana"/>
      <family val="2"/>
    </font>
    <font>
      <sz val="10"/>
      <color rgb="FFFFFFFF"/>
      <name val="Trebuchet MS"/>
      <family val="2"/>
    </font>
    <font>
      <sz val="10"/>
      <color rgb="FF000000"/>
      <name val="Trebuchet MS"/>
      <family val="2"/>
    </font>
    <font>
      <u/>
      <sz val="10"/>
      <color rgb="FF000000"/>
      <name val="Trebuchet MS"/>
      <family val="2"/>
    </font>
    <font>
      <b/>
      <sz val="10"/>
      <color rgb="FFFFFFFF"/>
      <name val="Trebuchet MS"/>
      <family val="2"/>
    </font>
    <font>
      <b/>
      <sz val="10"/>
      <color rgb="FF000000"/>
      <name val="Trebuchet MS"/>
      <family val="2"/>
    </font>
    <font>
      <sz val="11"/>
      <name val="Aptos Narrow"/>
      <family val="2"/>
    </font>
    <font>
      <b/>
      <u/>
      <sz val="10"/>
      <color theme="0" tint="-0.14999847407452621"/>
      <name val="Trebuchet MS"/>
      <family val="2"/>
    </font>
    <font>
      <b/>
      <sz val="10"/>
      <color theme="0" tint="-0.14999847407452621"/>
      <name val="Trebuchet MS"/>
      <family val="2"/>
    </font>
    <font>
      <sz val="10"/>
      <color theme="0" tint="-0.14999847407452621"/>
      <name val="Trebuchet MS"/>
      <family val="2"/>
    </font>
    <font>
      <sz val="8"/>
      <color theme="0" tint="-0.14999847407452621"/>
      <name val="Trebuchet MS"/>
      <family val="2"/>
    </font>
    <font>
      <b/>
      <sz val="14"/>
      <color rgb="FF0B514F"/>
      <name val="Montserrat"/>
    </font>
    <font>
      <b/>
      <sz val="12"/>
      <color rgb="FF0B514F"/>
      <name val="Montserrat"/>
    </font>
    <font>
      <sz val="12"/>
      <color rgb="FF808080"/>
      <name val="Open Sans"/>
      <family val="2"/>
    </font>
    <font>
      <sz val="12"/>
      <color rgb="FF808080"/>
      <name val="Open Sans"/>
    </font>
    <font>
      <b/>
      <sz val="10"/>
      <color rgb="FF0B514F"/>
      <name val="Open Sans"/>
    </font>
    <font>
      <b/>
      <sz val="10"/>
      <color rgb="FFFFFFFF"/>
      <name val="Montserrat"/>
    </font>
    <font>
      <b/>
      <sz val="10"/>
      <color rgb="FF0B514F"/>
      <name val="Montserrat"/>
    </font>
    <font>
      <sz val="10"/>
      <color rgb="FF0B514F"/>
      <name val="Open Sans"/>
    </font>
    <font>
      <b/>
      <sz val="10"/>
      <color rgb="FF0B514F"/>
      <name val="Open Sans"/>
      <family val="2"/>
    </font>
    <font>
      <sz val="10"/>
      <color rgb="FF0B514F"/>
      <name val="Open Sans"/>
      <family val="2"/>
    </font>
  </fonts>
  <fills count="7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B514F"/>
      </patternFill>
    </fill>
    <fill>
      <patternFill patternType="solid">
        <fgColor rgb="FF97D700"/>
      </patternFill>
    </fill>
    <fill>
      <patternFill patternType="solid">
        <fgColor rgb="FFEAF7D1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/>
      <top style="medium">
        <color rgb="FF97D700"/>
      </top>
      <bottom style="medium">
        <color rgb="FF97D700"/>
      </bottom>
      <diagonal/>
    </border>
    <border>
      <left/>
      <right/>
      <top style="medium">
        <color rgb="FF97D70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</borders>
  <cellStyleXfs count="57612">
    <xf numFmtId="0" fontId="0" fillId="0" borderId="0"/>
    <xf numFmtId="0" fontId="1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0" fontId="26" fillId="0" borderId="0"/>
    <xf numFmtId="43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0" borderId="0">
      <alignment horizontal="left"/>
    </xf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0" fillId="0" borderId="0"/>
    <xf numFmtId="9" fontId="31" fillId="0" borderId="0" applyFont="0" applyFill="0" applyBorder="0" applyAlignment="0" applyProtection="0"/>
    <xf numFmtId="0" fontId="32" fillId="0" borderId="0"/>
    <xf numFmtId="168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16" fillId="3" borderId="0" applyNumberFormat="0" applyBorder="0" applyAlignment="0" applyProtection="0"/>
    <xf numFmtId="0" fontId="19" fillId="6" borderId="7" applyNumberFormat="0" applyAlignment="0" applyProtection="0"/>
    <xf numFmtId="0" fontId="21" fillId="7" borderId="10" applyNumberFormat="0" applyAlignment="0" applyProtection="0"/>
    <xf numFmtId="0" fontId="23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7" fillId="5" borderId="7" applyNumberFormat="0" applyAlignment="0" applyProtection="0"/>
    <xf numFmtId="0" fontId="20" fillId="0" borderId="9" applyNumberFormat="0" applyFill="0" applyAlignment="0" applyProtection="0"/>
    <xf numFmtId="0" fontId="27" fillId="4" borderId="0" applyNumberFormat="0" applyBorder="0" applyAlignment="0" applyProtection="0"/>
    <xf numFmtId="0" fontId="7" fillId="8" borderId="11" applyNumberFormat="0" applyFont="0" applyAlignment="0" applyProtection="0"/>
    <xf numFmtId="0" fontId="18" fillId="6" borderId="8" applyNumberFormat="0" applyAlignment="0" applyProtection="0"/>
    <xf numFmtId="0" fontId="1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43" fontId="7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3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6" fillId="0" borderId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0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26" borderId="0" applyNumberFormat="0" applyBorder="0" applyAlignment="0" applyProtection="0"/>
    <xf numFmtId="0" fontId="35" fillId="0" borderId="0" applyFill="0" applyBorder="0">
      <alignment horizontal="left" vertical="top" wrapText="1"/>
    </xf>
    <xf numFmtId="9" fontId="1" fillId="0" borderId="0" applyFont="0" applyFill="0" applyBorder="0" applyAlignment="0" applyProtection="0"/>
    <xf numFmtId="0" fontId="36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45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0" borderId="0" applyNumberFormat="0" applyBorder="0" applyAlignment="0" applyProtection="0"/>
    <xf numFmtId="0" fontId="7" fillId="41" borderId="0" applyNumberFormat="0" applyBorder="0" applyAlignment="0" applyProtection="0"/>
    <xf numFmtId="0" fontId="7" fillId="51" borderId="0" applyNumberFormat="0" applyBorder="0" applyAlignment="0" applyProtection="0"/>
    <xf numFmtId="0" fontId="7" fillId="42" borderId="0" applyNumberFormat="0" applyBorder="0" applyAlignment="0" applyProtection="0"/>
    <xf numFmtId="0" fontId="7" fillId="40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55" borderId="0" applyNumberFormat="0" applyBorder="0" applyAlignment="0" applyProtection="0"/>
    <xf numFmtId="0" fontId="24" fillId="56" borderId="0" applyNumberFormat="0" applyBorder="0" applyAlignment="0" applyProtection="0"/>
    <xf numFmtId="0" fontId="24" fillId="57" borderId="0" applyNumberFormat="0" applyBorder="0" applyAlignment="0" applyProtection="0"/>
    <xf numFmtId="0" fontId="24" fillId="58" borderId="0" applyNumberFormat="0" applyBorder="0" applyAlignment="0" applyProtection="0"/>
    <xf numFmtId="0" fontId="24" fillId="59" borderId="0" applyNumberFormat="0" applyBorder="0" applyAlignment="0" applyProtection="0"/>
    <xf numFmtId="0" fontId="24" fillId="43" borderId="0" applyNumberFormat="0" applyBorder="0" applyAlignment="0" applyProtection="0"/>
    <xf numFmtId="0" fontId="24" fillId="60" borderId="0" applyNumberFormat="0" applyBorder="0" applyAlignment="0" applyProtection="0"/>
    <xf numFmtId="0" fontId="24" fillId="61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0" fontId="24" fillId="44" borderId="0" applyNumberFormat="0" applyBorder="0" applyAlignment="0" applyProtection="0"/>
    <xf numFmtId="0" fontId="16" fillId="64" borderId="0" applyNumberFormat="0" applyBorder="0" applyAlignment="0" applyProtection="0"/>
    <xf numFmtId="0" fontId="19" fillId="65" borderId="7" applyNumberFormat="0" applyAlignment="0" applyProtection="0"/>
    <xf numFmtId="0" fontId="21" fillId="66" borderId="10" applyNumberFormat="0" applyAlignment="0" applyProtection="0"/>
    <xf numFmtId="0" fontId="15" fillId="67" borderId="0" applyNumberFormat="0" applyBorder="0" applyAlignment="0" applyProtection="0"/>
    <xf numFmtId="0" fontId="17" fillId="68" borderId="7" applyNumberFormat="0" applyAlignment="0" applyProtection="0"/>
    <xf numFmtId="0" fontId="27" fillId="69" borderId="0" applyNumberFormat="0" applyBorder="0" applyAlignment="0" applyProtection="0"/>
    <xf numFmtId="0" fontId="7" fillId="39" borderId="11" applyNumberFormat="0" applyFont="0" applyAlignment="0" applyProtection="0"/>
    <xf numFmtId="0" fontId="18" fillId="65" borderId="8" applyNumberFormat="0" applyAlignment="0" applyProtection="0"/>
    <xf numFmtId="0" fontId="77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13" applyBorder="0">
      <alignment horizontal="center" vertical="center"/>
    </xf>
    <xf numFmtId="0" fontId="7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0" fillId="0" borderId="0"/>
    <xf numFmtId="9" fontId="31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8" borderId="11" applyNumberFormat="0" applyFont="0" applyAlignment="0" applyProtection="0"/>
    <xf numFmtId="43" fontId="7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8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8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8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10" borderId="0" applyNumberFormat="0" applyBorder="0" applyAlignment="0" applyProtection="0"/>
    <xf numFmtId="0" fontId="7" fillId="45" borderId="0" applyNumberFormat="0" applyBorder="0" applyAlignment="0" applyProtection="0"/>
    <xf numFmtId="0" fontId="7" fillId="14" borderId="0" applyNumberFormat="0" applyBorder="0" applyAlignment="0" applyProtection="0"/>
    <xf numFmtId="0" fontId="7" fillId="46" borderId="0" applyNumberFormat="0" applyBorder="0" applyAlignment="0" applyProtection="0"/>
    <xf numFmtId="0" fontId="7" fillId="18" borderId="0" applyNumberFormat="0" applyBorder="0" applyAlignment="0" applyProtection="0"/>
    <xf numFmtId="0" fontId="7" fillId="47" borderId="0" applyNumberFormat="0" applyBorder="0" applyAlignment="0" applyProtection="0"/>
    <xf numFmtId="0" fontId="7" fillId="22" borderId="0" applyNumberFormat="0" applyBorder="0" applyAlignment="0" applyProtection="0"/>
    <xf numFmtId="0" fontId="7" fillId="48" borderId="0" applyNumberFormat="0" applyBorder="0" applyAlignment="0" applyProtection="0"/>
    <xf numFmtId="0" fontId="7" fillId="26" borderId="0" applyNumberFormat="0" applyBorder="0" applyAlignment="0" applyProtection="0"/>
    <xf numFmtId="0" fontId="7" fillId="49" borderId="0" applyNumberFormat="0" applyBorder="0" applyAlignment="0" applyProtection="0"/>
    <xf numFmtId="0" fontId="7" fillId="30" borderId="0" applyNumberFormat="0" applyBorder="0" applyAlignment="0" applyProtection="0"/>
    <xf numFmtId="0" fontId="7" fillId="50" borderId="0" applyNumberFormat="0" applyBorder="0" applyAlignment="0" applyProtection="0"/>
    <xf numFmtId="0" fontId="7" fillId="11" borderId="0" applyNumberFormat="0" applyBorder="0" applyAlignment="0" applyProtection="0"/>
    <xf numFmtId="0" fontId="7" fillId="41" borderId="0" applyNumberFormat="0" applyBorder="0" applyAlignment="0" applyProtection="0"/>
    <xf numFmtId="0" fontId="7" fillId="15" borderId="0" applyNumberFormat="0" applyBorder="0" applyAlignment="0" applyProtection="0"/>
    <xf numFmtId="0" fontId="7" fillId="51" borderId="0" applyNumberFormat="0" applyBorder="0" applyAlignment="0" applyProtection="0"/>
    <xf numFmtId="0" fontId="7" fillId="19" borderId="0" applyNumberFormat="0" applyBorder="0" applyAlignment="0" applyProtection="0"/>
    <xf numFmtId="0" fontId="7" fillId="42" borderId="0" applyNumberFormat="0" applyBorder="0" applyAlignment="0" applyProtection="0"/>
    <xf numFmtId="0" fontId="7" fillId="23" borderId="0" applyNumberFormat="0" applyBorder="0" applyAlignment="0" applyProtection="0"/>
    <xf numFmtId="0" fontId="7" fillId="40" borderId="0" applyNumberFormat="0" applyBorder="0" applyAlignment="0" applyProtection="0"/>
    <xf numFmtId="0" fontId="7" fillId="27" borderId="0" applyNumberFormat="0" applyBorder="0" applyAlignment="0" applyProtection="0"/>
    <xf numFmtId="0" fontId="7" fillId="52" borderId="0" applyNumberFormat="0" applyBorder="0" applyAlignment="0" applyProtection="0"/>
    <xf numFmtId="0" fontId="7" fillId="31" borderId="0" applyNumberFormat="0" applyBorder="0" applyAlignment="0" applyProtection="0"/>
    <xf numFmtId="0" fontId="7" fillId="53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1" fillId="0" borderId="0"/>
    <xf numFmtId="0" fontId="7" fillId="8" borderId="11" applyNumberFormat="0" applyFont="0" applyAlignment="0" applyProtection="0"/>
    <xf numFmtId="0" fontId="7" fillId="39" borderId="11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9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7" fillId="0" borderId="0"/>
    <xf numFmtId="0" fontId="7" fillId="10" borderId="0" applyNumberFormat="0" applyBorder="0" applyAlignment="0" applyProtection="0"/>
    <xf numFmtId="0" fontId="7" fillId="45" borderId="0" applyNumberFormat="0" applyBorder="0" applyAlignment="0" applyProtection="0"/>
    <xf numFmtId="0" fontId="7" fillId="14" borderId="0" applyNumberFormat="0" applyBorder="0" applyAlignment="0" applyProtection="0"/>
    <xf numFmtId="0" fontId="7" fillId="46" borderId="0" applyNumberFormat="0" applyBorder="0" applyAlignment="0" applyProtection="0"/>
    <xf numFmtId="0" fontId="7" fillId="18" borderId="0" applyNumberFormat="0" applyBorder="0" applyAlignment="0" applyProtection="0"/>
    <xf numFmtId="0" fontId="7" fillId="47" borderId="0" applyNumberFormat="0" applyBorder="0" applyAlignment="0" applyProtection="0"/>
    <xf numFmtId="0" fontId="7" fillId="22" borderId="0" applyNumberFormat="0" applyBorder="0" applyAlignment="0" applyProtection="0"/>
    <xf numFmtId="0" fontId="7" fillId="48" borderId="0" applyNumberFormat="0" applyBorder="0" applyAlignment="0" applyProtection="0"/>
    <xf numFmtId="0" fontId="7" fillId="26" borderId="0" applyNumberFormat="0" applyBorder="0" applyAlignment="0" applyProtection="0"/>
    <xf numFmtId="0" fontId="7" fillId="49" borderId="0" applyNumberFormat="0" applyBorder="0" applyAlignment="0" applyProtection="0"/>
    <xf numFmtId="0" fontId="7" fillId="30" borderId="0" applyNumberFormat="0" applyBorder="0" applyAlignment="0" applyProtection="0"/>
    <xf numFmtId="0" fontId="7" fillId="50" borderId="0" applyNumberFormat="0" applyBorder="0" applyAlignment="0" applyProtection="0"/>
    <xf numFmtId="0" fontId="7" fillId="11" borderId="0" applyNumberFormat="0" applyBorder="0" applyAlignment="0" applyProtection="0"/>
    <xf numFmtId="0" fontId="7" fillId="41" borderId="0" applyNumberFormat="0" applyBorder="0" applyAlignment="0" applyProtection="0"/>
    <xf numFmtId="0" fontId="7" fillId="15" borderId="0" applyNumberFormat="0" applyBorder="0" applyAlignment="0" applyProtection="0"/>
    <xf numFmtId="0" fontId="7" fillId="51" borderId="0" applyNumberFormat="0" applyBorder="0" applyAlignment="0" applyProtection="0"/>
    <xf numFmtId="0" fontId="7" fillId="19" borderId="0" applyNumberFormat="0" applyBorder="0" applyAlignment="0" applyProtection="0"/>
    <xf numFmtId="0" fontId="7" fillId="42" borderId="0" applyNumberFormat="0" applyBorder="0" applyAlignment="0" applyProtection="0"/>
    <xf numFmtId="0" fontId="7" fillId="23" borderId="0" applyNumberFormat="0" applyBorder="0" applyAlignment="0" applyProtection="0"/>
    <xf numFmtId="0" fontId="7" fillId="40" borderId="0" applyNumberFormat="0" applyBorder="0" applyAlignment="0" applyProtection="0"/>
    <xf numFmtId="0" fontId="7" fillId="27" borderId="0" applyNumberFormat="0" applyBorder="0" applyAlignment="0" applyProtection="0"/>
    <xf numFmtId="0" fontId="7" fillId="52" borderId="0" applyNumberFormat="0" applyBorder="0" applyAlignment="0" applyProtection="0"/>
    <xf numFmtId="0" fontId="7" fillId="31" borderId="0" applyNumberFormat="0" applyBorder="0" applyAlignment="0" applyProtection="0"/>
    <xf numFmtId="0" fontId="7" fillId="53" borderId="0" applyNumberFormat="0" applyBorder="0" applyAlignment="0" applyProtection="0"/>
    <xf numFmtId="0" fontId="23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20" fillId="0" borderId="9" applyNumberFormat="0" applyFill="0" applyAlignment="0" applyProtection="0"/>
    <xf numFmtId="168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1" fillId="0" borderId="0"/>
    <xf numFmtId="0" fontId="7" fillId="8" borderId="11" applyNumberFormat="0" applyFont="0" applyAlignment="0" applyProtection="0"/>
    <xf numFmtId="0" fontId="7" fillId="39" borderId="11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7" fillId="0" borderId="0"/>
    <xf numFmtId="0" fontId="7" fillId="10" borderId="0" applyNumberFormat="0" applyBorder="0" applyAlignment="0" applyProtection="0"/>
    <xf numFmtId="0" fontId="7" fillId="45" borderId="0" applyNumberFormat="0" applyBorder="0" applyAlignment="0" applyProtection="0"/>
    <xf numFmtId="0" fontId="7" fillId="14" borderId="0" applyNumberFormat="0" applyBorder="0" applyAlignment="0" applyProtection="0"/>
    <xf numFmtId="0" fontId="7" fillId="46" borderId="0" applyNumberFormat="0" applyBorder="0" applyAlignment="0" applyProtection="0"/>
    <xf numFmtId="0" fontId="7" fillId="18" borderId="0" applyNumberFormat="0" applyBorder="0" applyAlignment="0" applyProtection="0"/>
    <xf numFmtId="0" fontId="7" fillId="47" borderId="0" applyNumberFormat="0" applyBorder="0" applyAlignment="0" applyProtection="0"/>
    <xf numFmtId="0" fontId="7" fillId="22" borderId="0" applyNumberFormat="0" applyBorder="0" applyAlignment="0" applyProtection="0"/>
    <xf numFmtId="0" fontId="7" fillId="48" borderId="0" applyNumberFormat="0" applyBorder="0" applyAlignment="0" applyProtection="0"/>
    <xf numFmtId="0" fontId="7" fillId="26" borderId="0" applyNumberFormat="0" applyBorder="0" applyAlignment="0" applyProtection="0"/>
    <xf numFmtId="0" fontId="7" fillId="49" borderId="0" applyNumberFormat="0" applyBorder="0" applyAlignment="0" applyProtection="0"/>
    <xf numFmtId="0" fontId="7" fillId="30" borderId="0" applyNumberFormat="0" applyBorder="0" applyAlignment="0" applyProtection="0"/>
    <xf numFmtId="0" fontId="7" fillId="50" borderId="0" applyNumberFormat="0" applyBorder="0" applyAlignment="0" applyProtection="0"/>
    <xf numFmtId="0" fontId="7" fillId="11" borderId="0" applyNumberFormat="0" applyBorder="0" applyAlignment="0" applyProtection="0"/>
    <xf numFmtId="0" fontId="7" fillId="41" borderId="0" applyNumberFormat="0" applyBorder="0" applyAlignment="0" applyProtection="0"/>
    <xf numFmtId="0" fontId="7" fillId="15" borderId="0" applyNumberFormat="0" applyBorder="0" applyAlignment="0" applyProtection="0"/>
    <xf numFmtId="0" fontId="7" fillId="51" borderId="0" applyNumberFormat="0" applyBorder="0" applyAlignment="0" applyProtection="0"/>
    <xf numFmtId="0" fontId="7" fillId="19" borderId="0" applyNumberFormat="0" applyBorder="0" applyAlignment="0" applyProtection="0"/>
    <xf numFmtId="0" fontId="7" fillId="42" borderId="0" applyNumberFormat="0" applyBorder="0" applyAlignment="0" applyProtection="0"/>
    <xf numFmtId="0" fontId="7" fillId="23" borderId="0" applyNumberFormat="0" applyBorder="0" applyAlignment="0" applyProtection="0"/>
    <xf numFmtId="0" fontId="7" fillId="40" borderId="0" applyNumberFormat="0" applyBorder="0" applyAlignment="0" applyProtection="0"/>
    <xf numFmtId="0" fontId="7" fillId="27" borderId="0" applyNumberFormat="0" applyBorder="0" applyAlignment="0" applyProtection="0"/>
    <xf numFmtId="0" fontId="7" fillId="52" borderId="0" applyNumberFormat="0" applyBorder="0" applyAlignment="0" applyProtection="0"/>
    <xf numFmtId="0" fontId="7" fillId="31" borderId="0" applyNumberFormat="0" applyBorder="0" applyAlignment="0" applyProtection="0"/>
    <xf numFmtId="0" fontId="7" fillId="53" borderId="0" applyNumberFormat="0" applyBorder="0" applyAlignment="0" applyProtection="0"/>
    <xf numFmtId="168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8" borderId="11" applyNumberFormat="0" applyFont="0" applyAlignment="0" applyProtection="0"/>
    <xf numFmtId="0" fontId="7" fillId="39" borderId="11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6" fillId="0" borderId="0"/>
    <xf numFmtId="43" fontId="7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2" fillId="0" borderId="0"/>
    <xf numFmtId="9" fontId="7" fillId="0" borderId="0"/>
    <xf numFmtId="180" fontId="7" fillId="0" borderId="0"/>
    <xf numFmtId="169" fontId="7" fillId="0" borderId="0"/>
  </cellStyleXfs>
  <cellXfs count="391">
    <xf numFmtId="0" fontId="0" fillId="0" borderId="0" xfId="0"/>
    <xf numFmtId="0" fontId="8" fillId="0" borderId="0" xfId="0" applyFont="1"/>
    <xf numFmtId="0" fontId="10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 wrapText="1"/>
    </xf>
    <xf numFmtId="171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 wrapText="1"/>
    </xf>
    <xf numFmtId="164" fontId="5" fillId="0" borderId="0" xfId="0" applyNumberFormat="1" applyFont="1"/>
    <xf numFmtId="3" fontId="5" fillId="0" borderId="0" xfId="0" applyNumberFormat="1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wrapText="1"/>
    </xf>
    <xf numFmtId="171" fontId="5" fillId="0" borderId="0" xfId="0" applyNumberFormat="1" applyFont="1"/>
    <xf numFmtId="0" fontId="4" fillId="0" borderId="0" xfId="0" quotePrefix="1" applyFont="1" applyAlignment="1">
      <alignment horizontal="center"/>
    </xf>
    <xf numFmtId="43" fontId="5" fillId="0" borderId="0" xfId="0" applyNumberFormat="1" applyFont="1"/>
    <xf numFmtId="1" fontId="5" fillId="0" borderId="0" xfId="0" applyNumberFormat="1" applyFont="1"/>
    <xf numFmtId="0" fontId="5" fillId="0" borderId="0" xfId="0" applyFont="1" applyAlignment="1">
      <alignment horizontal="left"/>
    </xf>
    <xf numFmtId="37" fontId="2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quotePrefix="1" applyFont="1" applyAlignment="1">
      <alignment horizontal="center" vertical="center"/>
    </xf>
    <xf numFmtId="1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7" fontId="2" fillId="33" borderId="0" xfId="0" applyNumberFormat="1" applyFont="1" applyFill="1"/>
    <xf numFmtId="0" fontId="40" fillId="33" borderId="0" xfId="0" applyFont="1" applyFill="1"/>
    <xf numFmtId="0" fontId="40" fillId="33" borderId="0" xfId="0" applyFont="1" applyFill="1" applyAlignment="1">
      <alignment horizontal="justify" vertical="center"/>
    </xf>
    <xf numFmtId="37" fontId="3" fillId="33" borderId="0" xfId="0" applyNumberFormat="1" applyFont="1" applyFill="1"/>
    <xf numFmtId="37" fontId="3" fillId="33" borderId="1" xfId="0" applyNumberFormat="1" applyFont="1" applyFill="1" applyBorder="1"/>
    <xf numFmtId="0" fontId="5" fillId="33" borderId="0" xfId="0" applyFont="1" applyFill="1" applyAlignment="1">
      <alignment vertical="top"/>
    </xf>
    <xf numFmtId="0" fontId="5" fillId="33" borderId="1" xfId="0" applyFont="1" applyFill="1" applyBorder="1" applyAlignment="1">
      <alignment horizontal="center" vertical="center" wrapText="1"/>
    </xf>
    <xf numFmtId="0" fontId="5" fillId="33" borderId="0" xfId="0" applyFont="1" applyFill="1" applyAlignment="1">
      <alignment horizontal="center" vertical="center" wrapText="1"/>
    </xf>
    <xf numFmtId="0" fontId="5" fillId="33" borderId="0" xfId="0" applyFont="1" applyFill="1" applyAlignment="1">
      <alignment horizontal="left" vertical="top" wrapText="1"/>
    </xf>
    <xf numFmtId="0" fontId="5" fillId="33" borderId="0" xfId="0" applyFont="1" applyFill="1"/>
    <xf numFmtId="0" fontId="41" fillId="33" borderId="0" xfId="0" applyFont="1" applyFill="1"/>
    <xf numFmtId="0" fontId="5" fillId="33" borderId="0" xfId="0" applyFont="1" applyFill="1" applyAlignment="1">
      <alignment vertical="center" wrapText="1"/>
    </xf>
    <xf numFmtId="14" fontId="5" fillId="33" borderId="0" xfId="0" quotePrefix="1" applyNumberFormat="1" applyFont="1" applyFill="1" applyAlignment="1">
      <alignment horizontal="center" vertical="center" wrapText="1"/>
    </xf>
    <xf numFmtId="0" fontId="42" fillId="33" borderId="0" xfId="0" applyFont="1" applyFill="1" applyAlignment="1">
      <alignment vertical="top" wrapText="1"/>
    </xf>
    <xf numFmtId="0" fontId="5" fillId="33" borderId="0" xfId="0" applyFont="1" applyFill="1" applyAlignment="1">
      <alignment horizontal="left" indent="2"/>
    </xf>
    <xf numFmtId="0" fontId="5" fillId="33" borderId="0" xfId="0" applyFont="1" applyFill="1" applyAlignment="1">
      <alignment horizontal="left" vertical="top"/>
    </xf>
    <xf numFmtId="0" fontId="5" fillId="33" borderId="0" xfId="0" applyFont="1" applyFill="1" applyAlignment="1">
      <alignment horizontal="left" vertical="center"/>
    </xf>
    <xf numFmtId="171" fontId="5" fillId="33" borderId="0" xfId="384" applyNumberFormat="1" applyFont="1" applyFill="1" applyBorder="1" applyAlignment="1">
      <alignment horizontal="right" indent="2"/>
    </xf>
    <xf numFmtId="171" fontId="5" fillId="33" borderId="0" xfId="0" applyNumberFormat="1" applyFont="1" applyFill="1" applyAlignment="1">
      <alignment horizontal="right"/>
    </xf>
    <xf numFmtId="171" fontId="5" fillId="33" borderId="0" xfId="0" applyNumberFormat="1" applyFont="1" applyFill="1"/>
    <xf numFmtId="0" fontId="5" fillId="33" borderId="0" xfId="0" applyFont="1" applyFill="1" applyAlignment="1">
      <alignment horizontal="right" wrapText="1"/>
    </xf>
    <xf numFmtId="0" fontId="6" fillId="33" borderId="0" xfId="0" applyFont="1" applyFill="1" applyAlignment="1">
      <alignment horizontal="left" vertical="center"/>
    </xf>
    <xf numFmtId="0" fontId="5" fillId="33" borderId="0" xfId="0" applyFont="1" applyFill="1" applyAlignment="1">
      <alignment horizontal="left"/>
    </xf>
    <xf numFmtId="0" fontId="5" fillId="33" borderId="0" xfId="0" applyFont="1" applyFill="1" applyAlignment="1">
      <alignment horizontal="left" vertical="center" wrapText="1"/>
    </xf>
    <xf numFmtId="0" fontId="43" fillId="0" borderId="0" xfId="0" applyFont="1"/>
    <xf numFmtId="0" fontId="9" fillId="33" borderId="0" xfId="0" applyFont="1" applyFill="1" applyAlignment="1">
      <alignment wrapText="1"/>
    </xf>
    <xf numFmtId="0" fontId="45" fillId="33" borderId="0" xfId="0" applyFont="1" applyFill="1"/>
    <xf numFmtId="171" fontId="40" fillId="33" borderId="0" xfId="0" applyNumberFormat="1" applyFont="1" applyFill="1"/>
    <xf numFmtId="0" fontId="46" fillId="33" borderId="0" xfId="0" applyFont="1" applyFill="1" applyAlignment="1">
      <alignment horizontal="left"/>
    </xf>
    <xf numFmtId="0" fontId="9" fillId="33" borderId="0" xfId="0" applyFont="1" applyFill="1"/>
    <xf numFmtId="0" fontId="44" fillId="33" borderId="0" xfId="0" applyFont="1" applyFill="1"/>
    <xf numFmtId="0" fontId="47" fillId="33" borderId="0" xfId="0" applyFont="1" applyFill="1" applyAlignment="1">
      <alignment vertical="center"/>
    </xf>
    <xf numFmtId="0" fontId="47" fillId="33" borderId="1" xfId="0" applyFont="1" applyFill="1" applyBorder="1" applyAlignment="1">
      <alignment vertical="top"/>
    </xf>
    <xf numFmtId="0" fontId="9" fillId="33" borderId="0" xfId="0" applyFont="1" applyFill="1" applyAlignment="1">
      <alignment vertical="top"/>
    </xf>
    <xf numFmtId="0" fontId="9" fillId="33" borderId="0" xfId="0" applyFont="1" applyFill="1" applyAlignment="1">
      <alignment vertical="center" wrapText="1"/>
    </xf>
    <xf numFmtId="0" fontId="44" fillId="33" borderId="0" xfId="0" applyFont="1" applyFill="1" applyAlignment="1">
      <alignment vertical="center" wrapText="1"/>
    </xf>
    <xf numFmtId="0" fontId="9" fillId="33" borderId="0" xfId="0" applyFont="1" applyFill="1" applyAlignment="1">
      <alignment vertical="center"/>
    </xf>
    <xf numFmtId="0" fontId="9" fillId="33" borderId="0" xfId="0" applyFont="1" applyFill="1" applyAlignment="1">
      <alignment horizontal="justify" vertical="center"/>
    </xf>
    <xf numFmtId="0" fontId="9" fillId="33" borderId="0" xfId="0" applyFont="1" applyFill="1" applyAlignment="1">
      <alignment horizontal="center" vertical="center" wrapText="1"/>
    </xf>
    <xf numFmtId="0" fontId="48" fillId="33" borderId="0" xfId="0" applyFont="1" applyFill="1" applyAlignment="1">
      <alignment horizontal="right" vertical="center"/>
    </xf>
    <xf numFmtId="0" fontId="48" fillId="33" borderId="0" xfId="0" applyFont="1" applyFill="1" applyAlignment="1">
      <alignment horizontal="right" vertical="center" wrapText="1"/>
    </xf>
    <xf numFmtId="14" fontId="48" fillId="33" borderId="0" xfId="0" applyNumberFormat="1" applyFont="1" applyFill="1" applyAlignment="1">
      <alignment horizontal="right" vertical="center"/>
    </xf>
    <xf numFmtId="165" fontId="9" fillId="33" borderId="0" xfId="384" applyNumberFormat="1" applyFont="1" applyFill="1" applyBorder="1" applyAlignment="1">
      <alignment horizontal="right" wrapText="1"/>
    </xf>
    <xf numFmtId="0" fontId="49" fillId="33" borderId="0" xfId="0" applyFont="1" applyFill="1" applyAlignment="1">
      <alignment horizontal="left" vertical="top"/>
    </xf>
    <xf numFmtId="0" fontId="9" fillId="33" borderId="0" xfId="0" applyFont="1" applyFill="1" applyAlignment="1">
      <alignment horizontal="right" wrapText="1"/>
    </xf>
    <xf numFmtId="164" fontId="9" fillId="33" borderId="0" xfId="384" applyNumberFormat="1" applyFont="1" applyFill="1" applyBorder="1" applyAlignment="1">
      <alignment horizontal="right" vertical="center"/>
    </xf>
    <xf numFmtId="164" fontId="9" fillId="0" borderId="0" xfId="384" applyNumberFormat="1" applyFont="1" applyFill="1" applyBorder="1" applyAlignment="1">
      <alignment horizontal="right" vertical="center"/>
    </xf>
    <xf numFmtId="0" fontId="44" fillId="33" borderId="0" xfId="0" applyFont="1" applyFill="1" applyAlignment="1">
      <alignment wrapText="1"/>
    </xf>
    <xf numFmtId="0" fontId="44" fillId="33" borderId="0" xfId="0" applyFont="1" applyFill="1" applyAlignment="1">
      <alignment horizontal="right" wrapText="1"/>
    </xf>
    <xf numFmtId="0" fontId="44" fillId="33" borderId="0" xfId="0" applyFont="1" applyFill="1" applyAlignment="1">
      <alignment horizontal="right"/>
    </xf>
    <xf numFmtId="0" fontId="9" fillId="33" borderId="0" xfId="0" applyFont="1" applyFill="1" applyAlignment="1">
      <alignment horizontal="right"/>
    </xf>
    <xf numFmtId="0" fontId="9" fillId="33" borderId="0" xfId="0" applyFont="1" applyFill="1" applyAlignment="1">
      <alignment horizontal="left" vertical="top"/>
    </xf>
    <xf numFmtId="0" fontId="9" fillId="0" borderId="0" xfId="0" applyFont="1" applyAlignment="1">
      <alignment horizontal="right" wrapText="1"/>
    </xf>
    <xf numFmtId="165" fontId="9" fillId="33" borderId="0" xfId="384" applyNumberFormat="1" applyFont="1" applyFill="1" applyBorder="1" applyAlignment="1">
      <alignment horizontal="right"/>
    </xf>
    <xf numFmtId="165" fontId="9" fillId="33" borderId="0" xfId="0" applyNumberFormat="1" applyFont="1" applyFill="1"/>
    <xf numFmtId="0" fontId="9" fillId="0" borderId="0" xfId="0" applyFont="1"/>
    <xf numFmtId="174" fontId="9" fillId="33" borderId="0" xfId="0" applyNumberFormat="1" applyFont="1" applyFill="1"/>
    <xf numFmtId="0" fontId="50" fillId="33" borderId="0" xfId="0" applyFont="1" applyFill="1"/>
    <xf numFmtId="0" fontId="49" fillId="33" borderId="0" xfId="0" applyFont="1" applyFill="1"/>
    <xf numFmtId="165" fontId="49" fillId="33" borderId="0" xfId="0" applyNumberFormat="1" applyFont="1" applyFill="1"/>
    <xf numFmtId="0" fontId="51" fillId="33" borderId="0" xfId="0" applyFont="1" applyFill="1"/>
    <xf numFmtId="165" fontId="9" fillId="0" borderId="0" xfId="0" applyNumberFormat="1" applyFont="1"/>
    <xf numFmtId="0" fontId="52" fillId="33" borderId="0" xfId="0" applyFont="1" applyFill="1" applyAlignment="1">
      <alignment horizontal="left"/>
    </xf>
    <xf numFmtId="0" fontId="53" fillId="0" borderId="0" xfId="0" applyFont="1"/>
    <xf numFmtId="0" fontId="54" fillId="33" borderId="0" xfId="0" applyFont="1" applyFill="1" applyAlignment="1">
      <alignment vertical="center"/>
    </xf>
    <xf numFmtId="175" fontId="51" fillId="33" borderId="0" xfId="0" applyNumberFormat="1" applyFont="1" applyFill="1" applyAlignment="1">
      <alignment horizontal="left"/>
    </xf>
    <xf numFmtId="0" fontId="55" fillId="0" borderId="0" xfId="0" applyFont="1"/>
    <xf numFmtId="0" fontId="49" fillId="0" borderId="0" xfId="0" applyFont="1"/>
    <xf numFmtId="175" fontId="49" fillId="0" borderId="0" xfId="7" applyNumberFormat="1" applyFont="1" applyFill="1" applyBorder="1" applyAlignment="1">
      <alignment horizontal="right"/>
    </xf>
    <xf numFmtId="175" fontId="9" fillId="0" borderId="0" xfId="7" applyNumberFormat="1" applyFont="1" applyFill="1" applyBorder="1" applyAlignment="1">
      <alignment horizontal="right"/>
    </xf>
    <xf numFmtId="175" fontId="9" fillId="33" borderId="0" xfId="7" applyNumberFormat="1" applyFont="1" applyFill="1" applyBorder="1" applyAlignment="1">
      <alignment horizontal="right"/>
    </xf>
    <xf numFmtId="175" fontId="53" fillId="0" borderId="0" xfId="0" applyNumberFormat="1" applyFont="1"/>
    <xf numFmtId="175" fontId="49" fillId="33" borderId="0" xfId="7" applyNumberFormat="1" applyFont="1" applyFill="1" applyBorder="1" applyAlignment="1">
      <alignment horizontal="right"/>
    </xf>
    <xf numFmtId="3" fontId="55" fillId="0" borderId="0" xfId="0" applyNumberFormat="1" applyFont="1"/>
    <xf numFmtId="3" fontId="53" fillId="0" borderId="0" xfId="0" applyNumberFormat="1" applyFont="1"/>
    <xf numFmtId="175" fontId="55" fillId="0" borderId="0" xfId="0" applyNumberFormat="1" applyFont="1"/>
    <xf numFmtId="14" fontId="4" fillId="0" borderId="2" xfId="0" quotePrefix="1" applyNumberFormat="1" applyFont="1" applyBorder="1" applyAlignment="1">
      <alignment horizontal="center" vertical="center" wrapText="1"/>
    </xf>
    <xf numFmtId="165" fontId="9" fillId="33" borderId="1" xfId="384" applyNumberFormat="1" applyFont="1" applyFill="1" applyBorder="1" applyAlignment="1">
      <alignment horizontal="right" wrapText="1"/>
    </xf>
    <xf numFmtId="0" fontId="49" fillId="33" borderId="0" xfId="0" applyFont="1" applyFill="1" applyAlignment="1">
      <alignment wrapText="1"/>
    </xf>
    <xf numFmtId="165" fontId="49" fillId="33" borderId="0" xfId="384" applyNumberFormat="1" applyFont="1" applyFill="1" applyBorder="1" applyAlignment="1">
      <alignment horizontal="right" wrapText="1"/>
    </xf>
    <xf numFmtId="0" fontId="49" fillId="33" borderId="0" xfId="0" applyFont="1" applyFill="1" applyAlignment="1">
      <alignment horizontal="right" wrapText="1"/>
    </xf>
    <xf numFmtId="0" fontId="49" fillId="33" borderId="0" xfId="0" applyFont="1" applyFill="1" applyAlignment="1">
      <alignment horizontal="right"/>
    </xf>
    <xf numFmtId="165" fontId="49" fillId="0" borderId="12" xfId="384" applyNumberFormat="1" applyFont="1" applyFill="1" applyBorder="1" applyAlignment="1">
      <alignment wrapText="1"/>
    </xf>
    <xf numFmtId="165" fontId="49" fillId="33" borderId="0" xfId="384" applyNumberFormat="1" applyFont="1" applyFill="1" applyBorder="1" applyAlignment="1">
      <alignment horizontal="right"/>
    </xf>
    <xf numFmtId="173" fontId="9" fillId="0" borderId="0" xfId="3" applyNumberFormat="1" applyFont="1" applyFill="1" applyBorder="1"/>
    <xf numFmtId="0" fontId="41" fillId="0" borderId="0" xfId="0" applyFont="1"/>
    <xf numFmtId="37" fontId="9" fillId="0" borderId="0" xfId="0" applyNumberFormat="1" applyFont="1"/>
    <xf numFmtId="4" fontId="9" fillId="0" borderId="0" xfId="0" applyNumberFormat="1" applyFont="1"/>
    <xf numFmtId="0" fontId="5" fillId="33" borderId="0" xfId="0" applyFont="1" applyFill="1" applyAlignment="1">
      <alignment horizontal="center"/>
    </xf>
    <xf numFmtId="0" fontId="6" fillId="33" borderId="0" xfId="0" applyFont="1" applyFill="1" applyAlignment="1">
      <alignment horizontal="left" vertical="top"/>
    </xf>
    <xf numFmtId="0" fontId="36" fillId="0" borderId="0" xfId="0" applyFont="1"/>
    <xf numFmtId="4" fontId="5" fillId="0" borderId="0" xfId="0" applyNumberFormat="1" applyFont="1"/>
    <xf numFmtId="171" fontId="5" fillId="0" borderId="2" xfId="0" applyNumberFormat="1" applyFont="1" applyBorder="1" applyAlignment="1">
      <alignment horizontal="right"/>
    </xf>
    <xf numFmtId="164" fontId="5" fillId="0" borderId="0" xfId="384" applyNumberFormat="1" applyFont="1" applyFill="1" applyBorder="1" applyAlignment="1">
      <alignment horizontal="right" wrapText="1"/>
    </xf>
    <xf numFmtId="176" fontId="5" fillId="0" borderId="0" xfId="0" applyNumberFormat="1" applyFont="1"/>
    <xf numFmtId="171" fontId="5" fillId="0" borderId="1" xfId="0" applyNumberFormat="1" applyFont="1" applyBorder="1" applyAlignment="1">
      <alignment horizontal="right"/>
    </xf>
    <xf numFmtId="0" fontId="4" fillId="33" borderId="0" xfId="0" applyFont="1" applyFill="1" applyAlignment="1">
      <alignment horizontal="left" vertical="center"/>
    </xf>
    <xf numFmtId="171" fontId="4" fillId="0" borderId="12" xfId="0" applyNumberFormat="1" applyFont="1" applyBorder="1" applyAlignment="1">
      <alignment horizontal="right"/>
    </xf>
    <xf numFmtId="171" fontId="4" fillId="0" borderId="0" xfId="0" applyNumberFormat="1" applyFont="1" applyAlignment="1">
      <alignment horizontal="right"/>
    </xf>
    <xf numFmtId="164" fontId="4" fillId="0" borderId="0" xfId="384" applyNumberFormat="1" applyFont="1" applyFill="1" applyBorder="1" applyAlignment="1">
      <alignment horizontal="right" wrapText="1"/>
    </xf>
    <xf numFmtId="0" fontId="4" fillId="33" borderId="0" xfId="0" applyFont="1" applyFill="1"/>
    <xf numFmtId="0" fontId="4" fillId="33" borderId="0" xfId="0" applyFont="1" applyFill="1" applyAlignment="1">
      <alignment horizontal="left"/>
    </xf>
    <xf numFmtId="43" fontId="5" fillId="0" borderId="0" xfId="384" applyFont="1" applyFill="1" applyBorder="1"/>
    <xf numFmtId="171" fontId="5" fillId="0" borderId="2" xfId="384" applyNumberFormat="1" applyFont="1" applyFill="1" applyBorder="1" applyAlignment="1">
      <alignment horizontal="right"/>
    </xf>
    <xf numFmtId="171" fontId="5" fillId="0" borderId="0" xfId="384" applyNumberFormat="1" applyFont="1" applyFill="1" applyBorder="1" applyAlignment="1">
      <alignment horizontal="right"/>
    </xf>
    <xf numFmtId="171" fontId="5" fillId="0" borderId="3" xfId="384" applyNumberFormat="1" applyFont="1" applyFill="1" applyBorder="1" applyAlignment="1">
      <alignment horizontal="right"/>
    </xf>
    <xf numFmtId="171" fontId="5" fillId="0" borderId="12" xfId="384" applyNumberFormat="1" applyFont="1" applyFill="1" applyBorder="1" applyAlignment="1">
      <alignment horizontal="right"/>
    </xf>
    <xf numFmtId="0" fontId="40" fillId="0" borderId="0" xfId="0" applyFont="1"/>
    <xf numFmtId="166" fontId="5" fillId="0" borderId="0" xfId="0" applyNumberFormat="1" applyFont="1"/>
    <xf numFmtId="166" fontId="40" fillId="0" borderId="0" xfId="0" applyNumberFormat="1" applyFont="1"/>
    <xf numFmtId="3" fontId="40" fillId="0" borderId="0" xfId="0" applyNumberFormat="1" applyFont="1"/>
    <xf numFmtId="171" fontId="44" fillId="0" borderId="0" xfId="0" applyNumberFormat="1" applyFont="1"/>
    <xf numFmtId="171" fontId="4" fillId="0" borderId="0" xfId="0" applyNumberFormat="1" applyFont="1"/>
    <xf numFmtId="0" fontId="45" fillId="0" borderId="0" xfId="0" applyFont="1"/>
    <xf numFmtId="0" fontId="37" fillId="33" borderId="0" xfId="0" applyFont="1" applyFill="1" applyAlignment="1">
      <alignment horizontal="left" vertical="center"/>
    </xf>
    <xf numFmtId="0" fontId="50" fillId="0" borderId="0" xfId="0" applyFont="1" applyAlignment="1">
      <alignment horizontal="right" vertical="center" wrapText="1"/>
    </xf>
    <xf numFmtId="0" fontId="50" fillId="33" borderId="0" xfId="0" applyFont="1" applyFill="1" applyAlignment="1">
      <alignment horizontal="right" vertical="center" wrapText="1"/>
    </xf>
    <xf numFmtId="0" fontId="50" fillId="33" borderId="0" xfId="0" applyFont="1" applyFill="1" applyAlignment="1">
      <alignment horizontal="right" vertical="center"/>
    </xf>
    <xf numFmtId="0" fontId="54" fillId="0" borderId="0" xfId="0" applyFont="1"/>
    <xf numFmtId="0" fontId="0" fillId="36" borderId="0" xfId="0" applyFill="1"/>
    <xf numFmtId="0" fontId="56" fillId="0" borderId="0" xfId="0" applyFont="1"/>
    <xf numFmtId="175" fontId="57" fillId="0" borderId="0" xfId="0" applyNumberFormat="1" applyFont="1"/>
    <xf numFmtId="0" fontId="57" fillId="0" borderId="0" xfId="0" applyFont="1"/>
    <xf numFmtId="0" fontId="58" fillId="0" borderId="0" xfId="0" applyFont="1"/>
    <xf numFmtId="0" fontId="59" fillId="0" borderId="0" xfId="0" applyFont="1"/>
    <xf numFmtId="0" fontId="0" fillId="34" borderId="0" xfId="0" applyFill="1"/>
    <xf numFmtId="0" fontId="8" fillId="36" borderId="0" xfId="0" applyFont="1" applyFill="1"/>
    <xf numFmtId="0" fontId="10" fillId="36" borderId="0" xfId="0" applyFont="1" applyFill="1"/>
    <xf numFmtId="0" fontId="60" fillId="36" borderId="0" xfId="0" applyFont="1" applyFill="1"/>
    <xf numFmtId="166" fontId="8" fillId="36" borderId="0" xfId="0" applyNumberFormat="1" applyFont="1" applyFill="1" applyAlignment="1">
      <alignment horizontal="center"/>
    </xf>
    <xf numFmtId="0" fontId="8" fillId="36" borderId="0" xfId="0" applyFont="1" applyFill="1" applyAlignment="1">
      <alignment horizontal="center"/>
    </xf>
    <xf numFmtId="170" fontId="8" fillId="36" borderId="0" xfId="2" applyNumberFormat="1" applyFont="1" applyFill="1" applyBorder="1" applyAlignment="1">
      <alignment horizontal="center"/>
    </xf>
    <xf numFmtId="0" fontId="44" fillId="0" borderId="0" xfId="0" applyFont="1"/>
    <xf numFmtId="0" fontId="9" fillId="0" borderId="0" xfId="0" applyFont="1" applyAlignment="1">
      <alignment wrapText="1"/>
    </xf>
    <xf numFmtId="0" fontId="64" fillId="0" borderId="0" xfId="0" applyFont="1" applyAlignment="1">
      <alignment horizontal="left"/>
    </xf>
    <xf numFmtId="0" fontId="62" fillId="0" borderId="0" xfId="0" applyFont="1" applyAlignment="1">
      <alignment horizontal="center"/>
    </xf>
    <xf numFmtId="0" fontId="63" fillId="0" borderId="0" xfId="0" applyFont="1" applyAlignment="1">
      <alignment vertical="top"/>
    </xf>
    <xf numFmtId="170" fontId="9" fillId="33" borderId="0" xfId="2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 vertical="center" indent="1"/>
    </xf>
    <xf numFmtId="14" fontId="4" fillId="0" borderId="2" xfId="0" quotePrefix="1" applyNumberFormat="1" applyFont="1" applyBorder="1" applyAlignment="1">
      <alignment horizontal="right" vertical="center" wrapText="1"/>
    </xf>
    <xf numFmtId="172" fontId="8" fillId="36" borderId="0" xfId="0" applyNumberFormat="1" applyFont="1" applyFill="1" applyAlignment="1">
      <alignment horizontal="center"/>
    </xf>
    <xf numFmtId="0" fontId="28" fillId="36" borderId="0" xfId="0" applyFont="1" applyFill="1"/>
    <xf numFmtId="170" fontId="8" fillId="36" borderId="0" xfId="2" applyNumberFormat="1" applyFont="1" applyFill="1"/>
    <xf numFmtId="165" fontId="8" fillId="0" borderId="0" xfId="0" applyNumberFormat="1" applyFont="1"/>
    <xf numFmtId="165" fontId="10" fillId="0" borderId="0" xfId="0" applyNumberFormat="1" applyFont="1"/>
    <xf numFmtId="170" fontId="10" fillId="0" borderId="0" xfId="2" applyNumberFormat="1" applyFont="1"/>
    <xf numFmtId="165" fontId="9" fillId="37" borderId="0" xfId="384" applyNumberFormat="1" applyFont="1" applyFill="1" applyBorder="1" applyAlignment="1">
      <alignment horizontal="right" wrapText="1"/>
    </xf>
    <xf numFmtId="0" fontId="0" fillId="38" borderId="0" xfId="0" applyFill="1"/>
    <xf numFmtId="0" fontId="38" fillId="38" borderId="0" xfId="0" applyFont="1" applyFill="1"/>
    <xf numFmtId="0" fontId="0" fillId="35" borderId="0" xfId="0" applyFill="1"/>
    <xf numFmtId="0" fontId="66" fillId="38" borderId="0" xfId="0" applyFont="1" applyFill="1"/>
    <xf numFmtId="0" fontId="65" fillId="38" borderId="0" xfId="0" applyFont="1" applyFill="1"/>
    <xf numFmtId="0" fontId="49" fillId="33" borderId="0" xfId="0" applyFont="1" applyFill="1" applyAlignment="1">
      <alignment horizontal="right" vertical="center" wrapText="1"/>
    </xf>
    <xf numFmtId="0" fontId="49" fillId="33" borderId="0" xfId="0" applyFont="1" applyFill="1" applyAlignment="1">
      <alignment horizontal="right" vertical="center"/>
    </xf>
    <xf numFmtId="3" fontId="54" fillId="0" borderId="0" xfId="0" applyNumberFormat="1" applyFont="1"/>
    <xf numFmtId="3" fontId="49" fillId="33" borderId="0" xfId="0" applyNumberFormat="1" applyFont="1" applyFill="1" applyAlignment="1">
      <alignment horizontal="right" vertical="center"/>
    </xf>
    <xf numFmtId="3" fontId="49" fillId="33" borderId="0" xfId="0" applyNumberFormat="1" applyFont="1" applyFill="1"/>
    <xf numFmtId="3" fontId="49" fillId="33" borderId="0" xfId="0" applyNumberFormat="1" applyFont="1" applyFill="1" applyAlignment="1">
      <alignment horizontal="right" vertical="center" wrapText="1"/>
    </xf>
    <xf numFmtId="0" fontId="69" fillId="0" borderId="0" xfId="0" applyFont="1"/>
    <xf numFmtId="0" fontId="9" fillId="33" borderId="0" xfId="0" applyFont="1" applyFill="1" applyAlignment="1">
      <alignment horizontal="right" vertical="center"/>
    </xf>
    <xf numFmtId="175" fontId="49" fillId="0" borderId="2" xfId="7" applyNumberFormat="1" applyFont="1" applyFill="1" applyBorder="1" applyAlignment="1">
      <alignment horizontal="right"/>
    </xf>
    <xf numFmtId="175" fontId="49" fillId="33" borderId="2" xfId="7" applyNumberFormat="1" applyFont="1" applyFill="1" applyBorder="1" applyAlignment="1">
      <alignment horizontal="right"/>
    </xf>
    <xf numFmtId="170" fontId="49" fillId="33" borderId="0" xfId="2" applyNumberFormat="1" applyFont="1" applyFill="1" applyBorder="1" applyAlignment="1">
      <alignment horizontal="right" wrapText="1"/>
    </xf>
    <xf numFmtId="0" fontId="38" fillId="0" borderId="3" xfId="0" applyFont="1" applyBorder="1" applyAlignment="1">
      <alignment horizontal="left"/>
    </xf>
    <xf numFmtId="0" fontId="70" fillId="36" borderId="0" xfId="0" applyFont="1" applyFill="1"/>
    <xf numFmtId="0" fontId="5" fillId="35" borderId="0" xfId="0" applyFont="1" applyFill="1" applyAlignment="1">
      <alignment horizontal="left" vertical="center"/>
    </xf>
    <xf numFmtId="0" fontId="71" fillId="36" borderId="0" xfId="0" applyFont="1" applyFill="1"/>
    <xf numFmtId="0" fontId="4" fillId="0" borderId="0" xfId="0" applyFont="1" applyAlignment="1">
      <alignment horizontal="right"/>
    </xf>
    <xf numFmtId="0" fontId="73" fillId="0" borderId="0" xfId="0" applyFont="1" applyAlignment="1">
      <alignment horizontal="center" wrapText="1"/>
    </xf>
    <xf numFmtId="0" fontId="72" fillId="0" borderId="0" xfId="0" applyFont="1" applyAlignment="1">
      <alignment horizontal="center" wrapText="1"/>
    </xf>
    <xf numFmtId="0" fontId="72" fillId="0" borderId="0" xfId="0" applyFont="1" applyAlignment="1">
      <alignment wrapText="1"/>
    </xf>
    <xf numFmtId="0" fontId="72" fillId="0" borderId="0" xfId="0" applyFont="1"/>
    <xf numFmtId="171" fontId="5" fillId="35" borderId="0" xfId="0" applyNumberFormat="1" applyFont="1" applyFill="1"/>
    <xf numFmtId="0" fontId="8" fillId="35" borderId="0" xfId="0" applyFont="1" applyFill="1" applyAlignment="1">
      <alignment wrapText="1"/>
    </xf>
    <xf numFmtId="0" fontId="39" fillId="4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0" fillId="0" borderId="0" xfId="0" applyFont="1"/>
    <xf numFmtId="0" fontId="74" fillId="0" borderId="0" xfId="0" applyFont="1"/>
    <xf numFmtId="0" fontId="81" fillId="36" borderId="0" xfId="0" applyFont="1" applyFill="1"/>
    <xf numFmtId="0" fontId="4" fillId="0" borderId="0" xfId="0" applyFont="1" applyAlignment="1">
      <alignment horizontal="center"/>
    </xf>
    <xf numFmtId="0" fontId="8" fillId="35" borderId="0" xfId="0" applyFont="1" applyFill="1"/>
    <xf numFmtId="0" fontId="0" fillId="0" borderId="0" xfId="0" applyAlignment="1">
      <alignment vertical="top"/>
    </xf>
    <xf numFmtId="0" fontId="0" fillId="0" borderId="14" xfId="0" applyBorder="1"/>
    <xf numFmtId="0" fontId="4" fillId="0" borderId="0" xfId="0" applyFont="1" applyAlignment="1">
      <alignment horizontal="left" vertical="center" indent="1"/>
    </xf>
    <xf numFmtId="0" fontId="83" fillId="33" borderId="0" xfId="0" applyFont="1" applyFill="1"/>
    <xf numFmtId="0" fontId="84" fillId="33" borderId="0" xfId="0" applyFont="1" applyFill="1"/>
    <xf numFmtId="14" fontId="85" fillId="0" borderId="2" xfId="0" quotePrefix="1" applyNumberFormat="1" applyFont="1" applyBorder="1" applyAlignment="1">
      <alignment horizontal="center" vertical="center" wrapText="1"/>
    </xf>
    <xf numFmtId="0" fontId="84" fillId="0" borderId="0" xfId="0" applyFont="1"/>
    <xf numFmtId="3" fontId="84" fillId="0" borderId="0" xfId="0" applyNumberFormat="1" applyFont="1"/>
    <xf numFmtId="4" fontId="84" fillId="0" borderId="0" xfId="0" applyNumberFormat="1" applyFont="1"/>
    <xf numFmtId="171" fontId="84" fillId="0" borderId="0" xfId="0" applyNumberFormat="1" applyFont="1"/>
    <xf numFmtId="171" fontId="84" fillId="0" borderId="2" xfId="0" applyNumberFormat="1" applyFont="1" applyBorder="1" applyAlignment="1">
      <alignment horizontal="right"/>
    </xf>
    <xf numFmtId="171" fontId="84" fillId="0" borderId="1" xfId="0" applyNumberFormat="1" applyFont="1" applyBorder="1" applyAlignment="1">
      <alignment horizontal="right"/>
    </xf>
    <xf numFmtId="0" fontId="85" fillId="0" borderId="0" xfId="0" applyFont="1"/>
    <xf numFmtId="171" fontId="85" fillId="0" borderId="12" xfId="0" applyNumberFormat="1" applyFont="1" applyBorder="1" applyAlignment="1">
      <alignment horizontal="right"/>
    </xf>
    <xf numFmtId="171" fontId="84" fillId="0" borderId="0" xfId="0" applyNumberFormat="1" applyFont="1" applyAlignment="1">
      <alignment horizontal="right"/>
    </xf>
    <xf numFmtId="171" fontId="84" fillId="0" borderId="2" xfId="384" applyNumberFormat="1" applyFont="1" applyBorder="1" applyAlignment="1">
      <alignment horizontal="right"/>
    </xf>
    <xf numFmtId="1" fontId="84" fillId="0" borderId="0" xfId="0" applyNumberFormat="1" applyFont="1"/>
    <xf numFmtId="171" fontId="84" fillId="0" borderId="3" xfId="384" applyNumberFormat="1" applyFont="1" applyBorder="1" applyAlignment="1">
      <alignment horizontal="right"/>
    </xf>
    <xf numFmtId="171" fontId="84" fillId="0" borderId="12" xfId="384" applyNumberFormat="1" applyFont="1" applyBorder="1" applyAlignment="1">
      <alignment horizontal="right"/>
    </xf>
    <xf numFmtId="0" fontId="83" fillId="0" borderId="0" xfId="0" applyFont="1"/>
    <xf numFmtId="166" fontId="83" fillId="0" borderId="0" xfId="0" applyNumberFormat="1" applyFont="1"/>
    <xf numFmtId="171" fontId="84" fillId="35" borderId="0" xfId="0" applyNumberFormat="1" applyFont="1" applyFill="1"/>
    <xf numFmtId="3" fontId="83" fillId="0" borderId="0" xfId="0" applyNumberFormat="1" applyFont="1"/>
    <xf numFmtId="0" fontId="86" fillId="0" borderId="0" xfId="0" applyFont="1"/>
    <xf numFmtId="171" fontId="85" fillId="0" borderId="0" xfId="0" applyNumberFormat="1" applyFont="1"/>
    <xf numFmtId="171" fontId="83" fillId="33" borderId="0" xfId="0" applyNumberFormat="1" applyFont="1" applyFill="1"/>
    <xf numFmtId="14" fontId="85" fillId="0" borderId="2" xfId="0" applyNumberFormat="1" applyFont="1" applyBorder="1" applyAlignment="1">
      <alignment horizontal="center" vertical="center" wrapText="1"/>
    </xf>
    <xf numFmtId="0" fontId="87" fillId="33" borderId="0" xfId="0" applyFont="1" applyFill="1"/>
    <xf numFmtId="0" fontId="88" fillId="33" borderId="0" xfId="0" applyFont="1" applyFill="1"/>
    <xf numFmtId="0" fontId="89" fillId="33" borderId="0" xfId="0" applyFont="1" applyFill="1" applyAlignment="1">
      <alignment horizontal="right" vertical="center"/>
    </xf>
    <xf numFmtId="165" fontId="88" fillId="33" borderId="0" xfId="384" applyNumberFormat="1" applyFont="1" applyFill="1" applyAlignment="1">
      <alignment horizontal="right" wrapText="1"/>
    </xf>
    <xf numFmtId="165" fontId="88" fillId="33" borderId="1" xfId="384" applyNumberFormat="1" applyFont="1" applyFill="1" applyBorder="1" applyAlignment="1">
      <alignment horizontal="right" wrapText="1"/>
    </xf>
    <xf numFmtId="0" fontId="88" fillId="33" borderId="0" xfId="0" applyFont="1" applyFill="1" applyAlignment="1">
      <alignment horizontal="right" wrapText="1"/>
    </xf>
    <xf numFmtId="0" fontId="90" fillId="33" borderId="0" xfId="0" applyFont="1" applyFill="1"/>
    <xf numFmtId="165" fontId="91" fillId="33" borderId="0" xfId="384" applyNumberFormat="1" applyFont="1" applyFill="1" applyAlignment="1">
      <alignment horizontal="right" wrapText="1"/>
    </xf>
    <xf numFmtId="0" fontId="88" fillId="33" borderId="0" xfId="0" applyFont="1" applyFill="1" applyAlignment="1">
      <alignment horizontal="right"/>
    </xf>
    <xf numFmtId="165" fontId="91" fillId="0" borderId="12" xfId="384" applyNumberFormat="1" applyFont="1" applyBorder="1" applyAlignment="1">
      <alignment wrapText="1"/>
    </xf>
    <xf numFmtId="165" fontId="88" fillId="33" borderId="0" xfId="0" applyNumberFormat="1" applyFont="1" applyFill="1"/>
    <xf numFmtId="0" fontId="87" fillId="0" borderId="0" xfId="0" applyFont="1"/>
    <xf numFmtId="165" fontId="88" fillId="0" borderId="0" xfId="0" applyNumberFormat="1" applyFont="1"/>
    <xf numFmtId="0" fontId="88" fillId="0" borderId="0" xfId="0" applyFont="1"/>
    <xf numFmtId="37" fontId="88" fillId="0" borderId="0" xfId="0" applyNumberFormat="1" applyFont="1"/>
    <xf numFmtId="165" fontId="91" fillId="33" borderId="0" xfId="0" applyNumberFormat="1" applyFont="1" applyFill="1"/>
    <xf numFmtId="164" fontId="0" fillId="0" borderId="0" xfId="3" applyNumberFormat="1" applyFont="1"/>
    <xf numFmtId="164" fontId="38" fillId="0" borderId="0" xfId="3" applyNumberFormat="1" applyFont="1"/>
    <xf numFmtId="164" fontId="9" fillId="33" borderId="0" xfId="384" applyNumberFormat="1" applyFont="1" applyFill="1" applyBorder="1" applyAlignment="1">
      <alignment horizontal="right" wrapText="1"/>
    </xf>
    <xf numFmtId="164" fontId="0" fillId="0" borderId="0" xfId="0" applyNumberFormat="1"/>
    <xf numFmtId="164" fontId="49" fillId="33" borderId="0" xfId="384" applyNumberFormat="1" applyFont="1" applyFill="1" applyBorder="1" applyAlignment="1">
      <alignment horizontal="right" wrapText="1"/>
    </xf>
    <xf numFmtId="177" fontId="82" fillId="0" borderId="0" xfId="57608" applyNumberFormat="1"/>
    <xf numFmtId="177" fontId="92" fillId="0" borderId="0" xfId="57608" applyNumberFormat="1" applyFont="1"/>
    <xf numFmtId="170" fontId="91" fillId="33" borderId="0" xfId="2" applyNumberFormat="1" applyFont="1" applyFill="1" applyAlignment="1">
      <alignment horizontal="right" wrapText="1"/>
    </xf>
    <xf numFmtId="170" fontId="0" fillId="0" borderId="0" xfId="2" applyNumberFormat="1" applyFont="1"/>
    <xf numFmtId="170" fontId="0" fillId="70" borderId="0" xfId="2" applyNumberFormat="1" applyFont="1" applyFill="1"/>
    <xf numFmtId="170" fontId="0" fillId="0" borderId="0" xfId="0" applyNumberFormat="1"/>
    <xf numFmtId="0" fontId="5" fillId="36" borderId="0" xfId="0" applyFont="1" applyFill="1"/>
    <xf numFmtId="0" fontId="0" fillId="70" borderId="0" xfId="0" applyFill="1"/>
    <xf numFmtId="170" fontId="0" fillId="70" borderId="0" xfId="0" applyNumberFormat="1" applyFill="1"/>
    <xf numFmtId="0" fontId="8" fillId="70" borderId="0" xfId="0" applyFont="1" applyFill="1"/>
    <xf numFmtId="178" fontId="8" fillId="36" borderId="0" xfId="0" applyNumberFormat="1" applyFont="1" applyFill="1" applyAlignment="1">
      <alignment horizontal="center"/>
    </xf>
    <xf numFmtId="0" fontId="9" fillId="0" borderId="0" xfId="0" applyFont="1" applyAlignment="1">
      <alignment horizontal="left" vertical="center"/>
    </xf>
    <xf numFmtId="0" fontId="50" fillId="0" borderId="0" xfId="0" applyFont="1" applyAlignment="1">
      <alignment horizontal="right" vertical="center"/>
    </xf>
    <xf numFmtId="0" fontId="48" fillId="0" borderId="0" xfId="0" applyFont="1" applyAlignment="1">
      <alignment horizontal="right" vertical="center"/>
    </xf>
    <xf numFmtId="0" fontId="93" fillId="36" borderId="0" xfId="0" applyFont="1" applyFill="1"/>
    <xf numFmtId="0" fontId="94" fillId="36" borderId="0" xfId="0" applyFont="1" applyFill="1"/>
    <xf numFmtId="0" fontId="95" fillId="36" borderId="0" xfId="0" applyFont="1" applyFill="1" applyAlignment="1">
      <alignment horizontal="center"/>
    </xf>
    <xf numFmtId="0" fontId="95" fillId="36" borderId="0" xfId="0" applyFont="1" applyFill="1"/>
    <xf numFmtId="166" fontId="95" fillId="36" borderId="0" xfId="0" applyNumberFormat="1" applyFont="1" applyFill="1" applyAlignment="1">
      <alignment horizontal="center"/>
    </xf>
    <xf numFmtId="170" fontId="95" fillId="36" borderId="0" xfId="2" applyNumberFormat="1" applyFont="1" applyFill="1"/>
    <xf numFmtId="0" fontId="81" fillId="34" borderId="0" xfId="0" applyFont="1" applyFill="1"/>
    <xf numFmtId="170" fontId="95" fillId="36" borderId="0" xfId="2" applyNumberFormat="1" applyFont="1" applyFill="1" applyBorder="1" applyAlignment="1">
      <alignment horizontal="center"/>
    </xf>
    <xf numFmtId="0" fontId="96" fillId="36" borderId="0" xfId="0" applyFont="1" applyFill="1"/>
    <xf numFmtId="178" fontId="95" fillId="36" borderId="0" xfId="0" applyNumberFormat="1" applyFont="1" applyFill="1" applyAlignment="1">
      <alignment horizontal="center"/>
    </xf>
    <xf numFmtId="172" fontId="95" fillId="36" borderId="0" xfId="0" applyNumberFormat="1" applyFont="1" applyFill="1" applyAlignment="1">
      <alignment horizontal="center"/>
    </xf>
    <xf numFmtId="37" fontId="97" fillId="0" borderId="0" xfId="0" applyNumberFormat="1" applyFont="1" applyAlignment="1">
      <alignment horizontal="left" vertical="center"/>
    </xf>
    <xf numFmtId="0" fontId="97" fillId="0" borderId="0" xfId="0" applyFont="1" applyAlignment="1">
      <alignment horizontal="left" vertical="center"/>
    </xf>
    <xf numFmtId="37" fontId="98" fillId="0" borderId="0" xfId="0" applyNumberFormat="1" applyFont="1" applyAlignment="1">
      <alignment horizontal="left" vertical="center"/>
    </xf>
    <xf numFmtId="0" fontId="98" fillId="0" borderId="0" xfId="0" applyFont="1" applyAlignment="1">
      <alignment horizontal="left" vertical="center"/>
    </xf>
    <xf numFmtId="37" fontId="99" fillId="0" borderId="0" xfId="0" applyNumberFormat="1" applyFont="1" applyAlignment="1">
      <alignment horizontal="left" vertical="center"/>
    </xf>
    <xf numFmtId="37" fontId="100" fillId="0" borderId="0" xfId="0" applyNumberFormat="1" applyFont="1" applyAlignment="1">
      <alignment horizontal="left" vertical="center"/>
    </xf>
    <xf numFmtId="37" fontId="100" fillId="0" borderId="1" xfId="0" applyNumberFormat="1" applyFont="1" applyBorder="1" applyAlignment="1">
      <alignment horizontal="left" vertical="center"/>
    </xf>
    <xf numFmtId="0" fontId="100" fillId="0" borderId="1" xfId="0" applyFont="1" applyBorder="1" applyAlignment="1">
      <alignment horizontal="left" vertical="center"/>
    </xf>
    <xf numFmtId="9" fontId="100" fillId="0" borderId="1" xfId="57609" applyFont="1" applyBorder="1" applyAlignment="1">
      <alignment horizontal="left" vertical="center"/>
    </xf>
    <xf numFmtId="171" fontId="100" fillId="0" borderId="1" xfId="0" applyNumberFormat="1" applyFont="1" applyBorder="1" applyAlignment="1">
      <alignment horizontal="left" vertical="center"/>
    </xf>
    <xf numFmtId="0" fontId="101" fillId="0" borderId="0" xfId="0" applyFont="1"/>
    <xf numFmtId="9" fontId="101" fillId="0" borderId="0" xfId="57609" applyFont="1"/>
    <xf numFmtId="0" fontId="102" fillId="71" borderId="15" xfId="0" applyFont="1" applyFill="1" applyBorder="1" applyAlignment="1">
      <alignment horizontal="center" vertical="center" wrapText="1"/>
    </xf>
    <xf numFmtId="0" fontId="102" fillId="71" borderId="0" xfId="0" applyFont="1" applyFill="1" applyAlignment="1">
      <alignment horizontal="center" vertical="center" wrapText="1"/>
    </xf>
    <xf numFmtId="0" fontId="102" fillId="71" borderId="16" xfId="0" applyFont="1" applyFill="1" applyBorder="1" applyAlignment="1">
      <alignment horizontal="center" vertical="center" wrapText="1"/>
    </xf>
    <xf numFmtId="0" fontId="103" fillId="72" borderId="17" xfId="0" applyFont="1" applyFill="1" applyBorder="1" applyAlignment="1">
      <alignment horizontal="center" vertical="center" wrapText="1"/>
    </xf>
    <xf numFmtId="14" fontId="103" fillId="72" borderId="17" xfId="0" quotePrefix="1" applyNumberFormat="1" applyFont="1" applyFill="1" applyBorder="1" applyAlignment="1">
      <alignment horizontal="center" vertical="center" wrapText="1"/>
    </xf>
    <xf numFmtId="14" fontId="103" fillId="72" borderId="18" xfId="0" quotePrefix="1" applyNumberFormat="1" applyFont="1" applyFill="1" applyBorder="1" applyAlignment="1">
      <alignment horizontal="center" vertical="center" wrapText="1"/>
    </xf>
    <xf numFmtId="14" fontId="103" fillId="72" borderId="19" xfId="0" quotePrefix="1" applyNumberFormat="1" applyFont="1" applyFill="1" applyBorder="1" applyAlignment="1">
      <alignment horizontal="center" vertical="center" wrapText="1"/>
    </xf>
    <xf numFmtId="0" fontId="104" fillId="0" borderId="0" xfId="0" applyFont="1" applyAlignment="1">
      <alignment horizontal="left" vertical="center" wrapText="1"/>
    </xf>
    <xf numFmtId="179" fontId="104" fillId="0" borderId="0" xfId="0" applyNumberFormat="1" applyFont="1" applyAlignment="1">
      <alignment horizontal="right" vertical="center" wrapText="1"/>
    </xf>
    <xf numFmtId="0" fontId="101" fillId="0" borderId="0" xfId="0" applyFont="1" applyAlignment="1">
      <alignment horizontal="left" vertical="center" wrapText="1"/>
    </xf>
    <xf numFmtId="179" fontId="101" fillId="0" borderId="0" xfId="0" applyNumberFormat="1" applyFont="1" applyAlignment="1">
      <alignment horizontal="right" vertical="center" wrapText="1"/>
    </xf>
    <xf numFmtId="179" fontId="101" fillId="0" borderId="0" xfId="57610" applyNumberFormat="1" applyFont="1" applyAlignment="1">
      <alignment horizontal="right" vertical="center" wrapText="1"/>
    </xf>
    <xf numFmtId="0" fontId="101" fillId="73" borderId="20" xfId="0" applyFont="1" applyFill="1" applyBorder="1" applyAlignment="1">
      <alignment horizontal="left" vertical="center" wrapText="1"/>
    </xf>
    <xf numFmtId="179" fontId="101" fillId="73" borderId="20" xfId="0" applyNumberFormat="1" applyFont="1" applyFill="1" applyBorder="1" applyAlignment="1">
      <alignment horizontal="right" vertical="center" wrapText="1"/>
    </xf>
    <xf numFmtId="179" fontId="101" fillId="73" borderId="20" xfId="57610" applyNumberFormat="1" applyFont="1" applyFill="1" applyBorder="1" applyAlignment="1">
      <alignment horizontal="right" vertical="center" wrapText="1"/>
    </xf>
    <xf numFmtId="179" fontId="104" fillId="0" borderId="0" xfId="0" quotePrefix="1" applyNumberFormat="1" applyFont="1" applyAlignment="1">
      <alignment horizontal="right" vertical="center" wrapText="1"/>
    </xf>
    <xf numFmtId="37" fontId="101" fillId="0" borderId="0" xfId="0" applyNumberFormat="1" applyFont="1" applyAlignment="1">
      <alignment horizontal="left" vertical="center"/>
    </xf>
    <xf numFmtId="171" fontId="101" fillId="0" borderId="0" xfId="0" applyNumberFormat="1" applyFont="1"/>
    <xf numFmtId="179" fontId="104" fillId="0" borderId="0" xfId="57610" applyNumberFormat="1" applyFont="1" applyAlignment="1">
      <alignment horizontal="right" vertical="center" wrapText="1"/>
    </xf>
    <xf numFmtId="0" fontId="10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65" fontId="8" fillId="0" borderId="0" xfId="57610" applyNumberFormat="1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14" fontId="103" fillId="72" borderId="18" xfId="0" applyNumberFormat="1" applyFont="1" applyFill="1" applyBorder="1" applyAlignment="1">
      <alignment horizontal="center" vertical="center" wrapText="1"/>
    </xf>
    <xf numFmtId="14" fontId="103" fillId="0" borderId="0" xfId="0" applyNumberFormat="1" applyFont="1" applyAlignment="1">
      <alignment horizontal="center" vertical="center" wrapText="1"/>
    </xf>
    <xf numFmtId="0" fontId="103" fillId="72" borderId="19" xfId="0" applyFont="1" applyFill="1" applyBorder="1" applyAlignment="1">
      <alignment horizontal="center" vertical="center" wrapText="1"/>
    </xf>
    <xf numFmtId="14" fontId="103" fillId="72" borderId="17" xfId="0" applyNumberFormat="1" applyFont="1" applyFill="1" applyBorder="1" applyAlignment="1">
      <alignment horizontal="center" vertical="center" wrapText="1"/>
    </xf>
    <xf numFmtId="0" fontId="101" fillId="73" borderId="20" xfId="0" applyFont="1" applyFill="1" applyBorder="1" applyAlignment="1">
      <alignment horizontal="left" vertical="center"/>
    </xf>
    <xf numFmtId="0" fontId="101" fillId="73" borderId="21" xfId="0" applyFont="1" applyFill="1" applyBorder="1" applyAlignment="1">
      <alignment horizontal="left" vertical="center"/>
    </xf>
    <xf numFmtId="179" fontId="101" fillId="73" borderId="21" xfId="0" applyNumberFormat="1" applyFont="1" applyFill="1" applyBorder="1" applyAlignment="1">
      <alignment horizontal="right" vertical="center" wrapText="1"/>
    </xf>
    <xf numFmtId="179" fontId="101" fillId="73" borderId="21" xfId="57610" applyNumberFormat="1" applyFont="1" applyFill="1" applyBorder="1" applyAlignment="1">
      <alignment horizontal="right" vertical="center" wrapText="1"/>
    </xf>
    <xf numFmtId="181" fontId="104" fillId="0" borderId="0" xfId="57610" applyNumberFormat="1" applyFont="1" applyAlignment="1">
      <alignment horizontal="right" vertical="center" wrapText="1"/>
    </xf>
    <xf numFmtId="4" fontId="104" fillId="0" borderId="0" xfId="57610" applyNumberFormat="1" applyFont="1" applyAlignment="1">
      <alignment horizontal="right" vertical="center" wrapText="1"/>
    </xf>
    <xf numFmtId="181" fontId="104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0" fontId="103" fillId="72" borderId="23" xfId="0" applyFont="1" applyFill="1" applyBorder="1" applyAlignment="1">
      <alignment horizontal="center" vertical="center" wrapText="1"/>
    </xf>
    <xf numFmtId="14" fontId="103" fillId="72" borderId="23" xfId="0" applyNumberFormat="1" applyFont="1" applyFill="1" applyBorder="1" applyAlignment="1">
      <alignment horizontal="center" vertical="center" wrapText="1"/>
    </xf>
    <xf numFmtId="0" fontId="103" fillId="72" borderId="15" xfId="0" applyFont="1" applyFill="1" applyBorder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03" fillId="72" borderId="24" xfId="0" applyFont="1" applyFill="1" applyBorder="1" applyAlignment="1">
      <alignment horizontal="center" vertical="center" wrapText="1"/>
    </xf>
    <xf numFmtId="179" fontId="104" fillId="0" borderId="1" xfId="57610" applyNumberFormat="1" applyFont="1" applyBorder="1" applyAlignment="1">
      <alignment horizontal="right" vertical="center" wrapText="1"/>
    </xf>
    <xf numFmtId="14" fontId="100" fillId="0" borderId="0" xfId="0" applyNumberFormat="1" applyFont="1" applyAlignment="1">
      <alignment horizontal="left" vertical="center"/>
    </xf>
    <xf numFmtId="0" fontId="102" fillId="71" borderId="23" xfId="0" applyFont="1" applyFill="1" applyBorder="1" applyAlignment="1">
      <alignment horizontal="center" vertical="center" wrapText="1"/>
    </xf>
    <xf numFmtId="0" fontId="101" fillId="0" borderId="0" xfId="0" applyFont="1" applyAlignment="1">
      <alignment vertical="center"/>
    </xf>
    <xf numFmtId="173" fontId="103" fillId="72" borderId="23" xfId="57610" applyNumberFormat="1" applyFont="1" applyFill="1" applyBorder="1" applyAlignment="1">
      <alignment horizontal="center" vertical="center" wrapText="1"/>
    </xf>
    <xf numFmtId="0" fontId="105" fillId="0" borderId="0" xfId="0" applyFont="1" applyAlignment="1">
      <alignment vertical="center"/>
    </xf>
    <xf numFmtId="165" fontId="105" fillId="0" borderId="0" xfId="57610" applyNumberFormat="1" applyFont="1" applyAlignment="1">
      <alignment horizontal="right" vertical="center" wrapText="1"/>
    </xf>
    <xf numFmtId="0" fontId="101" fillId="0" borderId="23" xfId="0" applyFont="1" applyBorder="1" applyAlignment="1">
      <alignment horizontal="left" vertical="center" wrapText="1"/>
    </xf>
    <xf numFmtId="179" fontId="101" fillId="0" borderId="23" xfId="0" applyNumberFormat="1" applyFont="1" applyBorder="1" applyAlignment="1">
      <alignment horizontal="right" vertical="center" wrapText="1"/>
    </xf>
    <xf numFmtId="179" fontId="101" fillId="0" borderId="23" xfId="57610" applyNumberFormat="1" applyFont="1" applyBorder="1" applyAlignment="1">
      <alignment horizontal="right" vertical="center" wrapText="1"/>
    </xf>
    <xf numFmtId="173" fontId="103" fillId="72" borderId="0" xfId="57610" applyNumberFormat="1" applyFont="1" applyFill="1" applyAlignment="1">
      <alignment horizontal="center" vertical="center" wrapText="1"/>
    </xf>
    <xf numFmtId="0" fontId="105" fillId="0" borderId="23" xfId="0" applyFont="1" applyBorder="1" applyAlignment="1">
      <alignment horizontal="left" vertical="center" wrapText="1"/>
    </xf>
    <xf numFmtId="179" fontId="101" fillId="0" borderId="0" xfId="1" applyNumberFormat="1" applyFont="1" applyAlignment="1">
      <alignment horizontal="right" vertical="center" wrapText="1"/>
    </xf>
    <xf numFmtId="14" fontId="103" fillId="72" borderId="23" xfId="0" quotePrefix="1" applyNumberFormat="1" applyFont="1" applyFill="1" applyBorder="1" applyAlignment="1">
      <alignment horizontal="center" vertical="center" wrapText="1"/>
    </xf>
    <xf numFmtId="49" fontId="101" fillId="0" borderId="0" xfId="57610" applyNumberFormat="1" applyFont="1" applyAlignment="1">
      <alignment horizontal="left" vertical="center" wrapText="1"/>
    </xf>
    <xf numFmtId="3" fontId="101" fillId="0" borderId="0" xfId="0" applyNumberFormat="1" applyFont="1" applyAlignment="1" applyProtection="1">
      <alignment horizontal="left" vertical="center"/>
      <protection locked="0"/>
    </xf>
    <xf numFmtId="0" fontId="105" fillId="0" borderId="0" xfId="0" applyFont="1" applyAlignment="1">
      <alignment horizontal="left" vertical="center" wrapText="1"/>
    </xf>
    <xf numFmtId="179" fontId="105" fillId="0" borderId="0" xfId="0" applyNumberFormat="1" applyFont="1" applyAlignment="1">
      <alignment horizontal="right" vertical="center" wrapText="1"/>
    </xf>
    <xf numFmtId="179" fontId="105" fillId="0" borderId="0" xfId="57610" applyNumberFormat="1" applyFont="1" applyAlignment="1">
      <alignment horizontal="right" vertical="center" wrapText="1"/>
    </xf>
    <xf numFmtId="3" fontId="101" fillId="0" borderId="0" xfId="0" applyNumberFormat="1" applyFont="1" applyAlignment="1" applyProtection="1">
      <alignment horizontal="left" vertical="center" wrapText="1"/>
      <protection locked="0"/>
    </xf>
    <xf numFmtId="0" fontId="106" fillId="0" borderId="0" xfId="0" applyFont="1" applyAlignment="1">
      <alignment horizontal="left" vertical="center" wrapText="1"/>
    </xf>
    <xf numFmtId="179" fontId="104" fillId="0" borderId="0" xfId="57611" applyNumberFormat="1" applyFont="1" applyAlignment="1">
      <alignment horizontal="right" vertical="center" wrapText="1"/>
    </xf>
    <xf numFmtId="49" fontId="105" fillId="0" borderId="0" xfId="57610" applyNumberFormat="1" applyFont="1" applyAlignment="1" applyProtection="1">
      <alignment horizontal="left" vertical="center" wrapText="1"/>
      <protection locked="0"/>
    </xf>
    <xf numFmtId="49" fontId="104" fillId="0" borderId="0" xfId="57610" applyNumberFormat="1" applyFont="1" applyAlignment="1">
      <alignment horizontal="left" vertical="center" wrapText="1"/>
    </xf>
    <xf numFmtId="44" fontId="104" fillId="0" borderId="0" xfId="57611" applyNumberFormat="1" applyFont="1" applyAlignment="1">
      <alignment horizontal="left" vertical="center" wrapText="1"/>
    </xf>
    <xf numFmtId="44" fontId="5" fillId="0" borderId="0" xfId="57611" applyNumberFormat="1" applyFont="1"/>
    <xf numFmtId="0" fontId="68" fillId="38" borderId="0" xfId="0" applyFont="1" applyFill="1" applyAlignment="1">
      <alignment horizontal="center"/>
    </xf>
    <xf numFmtId="0" fontId="67" fillId="38" borderId="0" xfId="0" applyFont="1" applyFill="1" applyAlignment="1">
      <alignment horizontal="center"/>
    </xf>
    <xf numFmtId="0" fontId="3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wrapText="1"/>
    </xf>
    <xf numFmtId="0" fontId="102" fillId="71" borderId="0" xfId="0" applyFont="1" applyFill="1" applyAlignment="1">
      <alignment horizontal="center" vertical="center" wrapText="1"/>
    </xf>
    <xf numFmtId="0" fontId="0" fillId="0" borderId="0" xfId="0"/>
    <xf numFmtId="14" fontId="102" fillId="71" borderId="0" xfId="0" applyNumberFormat="1" applyFont="1" applyFill="1" applyAlignment="1">
      <alignment horizontal="center" vertical="center" wrapText="1"/>
    </xf>
    <xf numFmtId="0" fontId="102" fillId="71" borderId="22" xfId="0" applyFont="1" applyFill="1" applyBorder="1" applyAlignment="1">
      <alignment horizontal="center" vertical="center" wrapText="1"/>
    </xf>
    <xf numFmtId="0" fontId="0" fillId="0" borderId="1" xfId="0" applyBorder="1"/>
    <xf numFmtId="14" fontId="102" fillId="71" borderId="17" xfId="0" applyNumberFormat="1" applyFont="1" applyFill="1" applyBorder="1" applyAlignment="1">
      <alignment horizontal="center" vertical="center" wrapText="1"/>
    </xf>
    <xf numFmtId="37" fontId="98" fillId="0" borderId="0" xfId="0" applyNumberFormat="1" applyFont="1" applyAlignment="1">
      <alignment horizontal="left" vertical="center"/>
    </xf>
    <xf numFmtId="0" fontId="102" fillId="71" borderId="23" xfId="0" applyFont="1" applyFill="1" applyBorder="1" applyAlignment="1">
      <alignment horizontal="center" vertical="center" wrapText="1"/>
    </xf>
    <xf numFmtId="0" fontId="98" fillId="0" borderId="0" xfId="0" applyFont="1" applyAlignment="1">
      <alignment horizontal="left" vertical="center"/>
    </xf>
    <xf numFmtId="0" fontId="103" fillId="72" borderId="25" xfId="0" applyFont="1" applyFill="1" applyBorder="1" applyAlignment="1">
      <alignment horizontal="left" vertical="center" wrapText="1"/>
    </xf>
    <xf numFmtId="0" fontId="103" fillId="72" borderId="0" xfId="0" applyFont="1" applyFill="1" applyAlignment="1">
      <alignment horizontal="left" vertical="center" wrapText="1"/>
    </xf>
    <xf numFmtId="0" fontId="9" fillId="33" borderId="0" xfId="0" applyFont="1" applyFill="1" applyAlignment="1">
      <alignment horizontal="center" vertical="center" wrapText="1"/>
    </xf>
    <xf numFmtId="14" fontId="9" fillId="33" borderId="0" xfId="0" applyNumberFormat="1" applyFont="1" applyFill="1" applyAlignment="1">
      <alignment horizontal="center" vertical="center" wrapText="1"/>
    </xf>
  </cellXfs>
  <cellStyles count="57612">
    <cellStyle name="20% - Accent1" xfId="63" xr:uid="{0A735EE6-D98A-42E2-AE7F-485DDC94C415}"/>
    <cellStyle name="20% - Accent1 2" xfId="5170" xr:uid="{E7971841-3D2D-4A96-9922-559ACAAB1F50}"/>
    <cellStyle name="20% - Accent1 2 2" xfId="47698" xr:uid="{A0E1C5FC-60F2-417D-BE96-76C894A2B277}"/>
    <cellStyle name="20% - Accent1 2 3" xfId="49360" xr:uid="{CEE87BE3-ED5B-4596-8DFB-AA74F8D6E4D5}"/>
    <cellStyle name="20% - Accent1 2 4" xfId="52662" xr:uid="{997CFD5A-2D45-423C-A6DD-7B12EA990F45}"/>
    <cellStyle name="20% - Accent1 2 5" xfId="25502" xr:uid="{DF8F2AF1-1F1D-4D64-8181-4E03EAF02BF6}"/>
    <cellStyle name="20% - Accent1 3" xfId="47295" xr:uid="{67DB9353-2FDA-4E03-853B-9FE7F3237584}"/>
    <cellStyle name="20% - Accent1 4" xfId="47421" xr:uid="{63C5B01B-F681-44F0-9785-4CBFE42D1F72}"/>
    <cellStyle name="20% - Accent1 5" xfId="47547" xr:uid="{05F92D77-A67F-4E41-B6CD-3726ADC85670}"/>
    <cellStyle name="20% - Accent1 6" xfId="47697" xr:uid="{0B1B7BFC-4379-4A29-A4D3-5BEDBE6DDD33}"/>
    <cellStyle name="20% - Accent1 7" xfId="49359" xr:uid="{FF27F737-7743-4B98-869E-503F91B03A0C}"/>
    <cellStyle name="20% - Accent1 8" xfId="52661" xr:uid="{ACEE7E03-6708-41DC-825D-DB8BBE9BF6EF}"/>
    <cellStyle name="20% - Accent2" xfId="64" xr:uid="{232ECDA9-BD74-4D98-A0EF-712A4E146A3D}"/>
    <cellStyle name="20% - Accent2 2" xfId="5171" xr:uid="{1A0115CF-8489-4EFD-A609-F32C05AAF855}"/>
    <cellStyle name="20% - Accent2 2 2" xfId="47700" xr:uid="{5EC76FD1-0CB7-488E-8011-296E9553E20F}"/>
    <cellStyle name="20% - Accent2 2 3" xfId="49362" xr:uid="{923E4F16-C43A-46F5-871E-6A2A77D670D3}"/>
    <cellStyle name="20% - Accent2 2 4" xfId="52664" xr:uid="{5B8D589D-9A45-4DF6-9E31-1CC05A495F99}"/>
    <cellStyle name="20% - Accent2 2 5" xfId="25503" xr:uid="{DEF09443-DDA1-4895-A332-483C6F4BAFAD}"/>
    <cellStyle name="20% - Accent2 3" xfId="47296" xr:uid="{AD17BC14-BD41-401E-BA67-90D5F0AF933D}"/>
    <cellStyle name="20% - Accent2 4" xfId="47422" xr:uid="{28670FBE-4894-4121-88FA-0FF10D6EACBD}"/>
    <cellStyle name="20% - Accent2 5" xfId="47548" xr:uid="{2ED8BF0E-A564-4319-8101-6C8A5E2FDD6B}"/>
    <cellStyle name="20% - Accent2 6" xfId="47699" xr:uid="{75F2F997-29D1-423C-A3CB-1BA35CF97BC1}"/>
    <cellStyle name="20% - Accent2 7" xfId="49361" xr:uid="{1C800E2B-D7F1-4BFB-8E50-42BB502E6760}"/>
    <cellStyle name="20% - Accent2 8" xfId="52663" xr:uid="{AD6045E8-0C3A-4997-8B6B-C327FD181A0A}"/>
    <cellStyle name="20% - Accent3" xfId="65" xr:uid="{724E2BE3-0200-4AD4-805E-1AD68544EF07}"/>
    <cellStyle name="20% - Accent3 2" xfId="5172" xr:uid="{0C217B96-62B3-4537-BB0E-6FB1D199C8BC}"/>
    <cellStyle name="20% - Accent3 2 2" xfId="47702" xr:uid="{2A7B79D4-D617-436D-9F50-366A057D5299}"/>
    <cellStyle name="20% - Accent3 2 3" xfId="49364" xr:uid="{51ABCF37-642B-4F0C-AE3A-0DB09CC4D47A}"/>
    <cellStyle name="20% - Accent3 2 4" xfId="52666" xr:uid="{692C11D7-12D0-4A17-92AF-D0C57A758737}"/>
    <cellStyle name="20% - Accent3 2 5" xfId="25504" xr:uid="{01ED6DC7-6CDC-4C5B-9618-FB102B204234}"/>
    <cellStyle name="20% - Accent3 3" xfId="47297" xr:uid="{47A98E33-C4B8-4486-8D0D-7587EF36D44B}"/>
    <cellStyle name="20% - Accent3 4" xfId="47423" xr:uid="{F7B2417A-5A9F-44EC-BC4C-BB8D79A547CF}"/>
    <cellStyle name="20% - Accent3 5" xfId="47549" xr:uid="{FCEAB7C5-7773-40AC-9C25-6CF884DA4489}"/>
    <cellStyle name="20% - Accent3 6" xfId="47701" xr:uid="{EF18CCF0-9CB9-4364-9B92-663E227D991C}"/>
    <cellStyle name="20% - Accent3 7" xfId="49363" xr:uid="{2137F6F7-669C-4AB5-8DB2-D50B44650143}"/>
    <cellStyle name="20% - Accent3 8" xfId="52665" xr:uid="{2ADAEBE0-C37A-49F7-88B3-8F4B24DAD28B}"/>
    <cellStyle name="20% - Accent4" xfId="66" xr:uid="{E3F8CC34-C83F-4B36-9709-5526478CFB32}"/>
    <cellStyle name="20% - Accent4 2" xfId="5173" xr:uid="{1809FBB7-1F4E-4C28-9BDB-5819C30CF958}"/>
    <cellStyle name="20% - Accent4 2 2" xfId="47704" xr:uid="{AA8D8987-06E4-4E14-AF27-D2B226CDDB2D}"/>
    <cellStyle name="20% - Accent4 2 3" xfId="49366" xr:uid="{F93087B3-393C-47ED-B741-1299A7694BE8}"/>
    <cellStyle name="20% - Accent4 2 4" xfId="52668" xr:uid="{6738526A-F9A5-4280-8CB6-32FE9CB68820}"/>
    <cellStyle name="20% - Accent4 2 5" xfId="25505" xr:uid="{5979354E-9236-4417-A60E-B6B6B79B9EC3}"/>
    <cellStyle name="20% - Accent4 3" xfId="47298" xr:uid="{C70F9439-04A6-441C-9E8E-F1B720E75FA7}"/>
    <cellStyle name="20% - Accent4 4" xfId="47424" xr:uid="{1C9DD397-31F3-44B1-AE00-EA56F6DA50EF}"/>
    <cellStyle name="20% - Accent4 5" xfId="47550" xr:uid="{C0818E5C-B552-4E98-B7F4-FC90003C55A8}"/>
    <cellStyle name="20% - Accent4 6" xfId="47703" xr:uid="{0F64D366-5803-42D6-9419-5DD313F0C516}"/>
    <cellStyle name="20% - Accent4 7" xfId="49365" xr:uid="{0EE1FE53-D970-4E79-A339-91C86EDE100E}"/>
    <cellStyle name="20% - Accent4 8" xfId="52667" xr:uid="{92B4A885-61AC-44B5-9C74-6E483276DD78}"/>
    <cellStyle name="20% - Accent5" xfId="67" xr:uid="{1F471AB2-2883-4BC0-A5D9-CA700571E42E}"/>
    <cellStyle name="20% - Accent5 2" xfId="5174" xr:uid="{5E320E2D-7E52-4F87-969D-3CAB369A78DB}"/>
    <cellStyle name="20% - Accent5 2 2" xfId="47706" xr:uid="{392DD0BE-0761-481E-9772-C15B59DCC0C9}"/>
    <cellStyle name="20% - Accent5 2 3" xfId="49368" xr:uid="{4B28679B-5C27-47D8-B372-A9C0CF174678}"/>
    <cellStyle name="20% - Accent5 2 4" xfId="52670" xr:uid="{8D6951F9-8584-412F-9FC1-B7618CD6F78F}"/>
    <cellStyle name="20% - Accent5 2 5" xfId="25506" xr:uid="{8D646570-8E54-414A-AE31-6025A16FCE0F}"/>
    <cellStyle name="20% - Accent5 3" xfId="47299" xr:uid="{97CE81D1-793F-479E-B151-388FB360F5DA}"/>
    <cellStyle name="20% - Accent5 4" xfId="47425" xr:uid="{A73554AF-FE30-49C9-BADD-7D78CC7F25A4}"/>
    <cellStyle name="20% - Accent5 5" xfId="47551" xr:uid="{4DDFDA8B-B834-4CAB-A163-4E5617411F6F}"/>
    <cellStyle name="20% - Accent5 6" xfId="47705" xr:uid="{01CAE137-8849-41BB-B96A-EB4276A58762}"/>
    <cellStyle name="20% - Accent5 7" xfId="49367" xr:uid="{3AD3CCB0-9C7A-4159-9499-2D34B2C73850}"/>
    <cellStyle name="20% - Accent5 8" xfId="52669" xr:uid="{CA39D45E-9BF6-4756-A5F7-B22346F447E5}"/>
    <cellStyle name="20% - Accent6" xfId="68" xr:uid="{DE599E2B-A802-4507-99EE-E553C84E8EDC}"/>
    <cellStyle name="20% - Accent6 2" xfId="5175" xr:uid="{D92D0781-B257-4FA2-91CB-FCCA8DB8ADDE}"/>
    <cellStyle name="20% - Accent6 2 2" xfId="47708" xr:uid="{1456050E-89D8-422A-8B09-1AA83545C6E4}"/>
    <cellStyle name="20% - Accent6 2 3" xfId="49370" xr:uid="{43DFB6B4-FAC0-452E-BD49-7E3422AC22B3}"/>
    <cellStyle name="20% - Accent6 2 4" xfId="52672" xr:uid="{D9F32A0C-74EB-4B84-AFF1-1DC27B98DD10}"/>
    <cellStyle name="20% - Accent6 2 5" xfId="25507" xr:uid="{32E49674-9DC2-406E-8411-B840DB2636F1}"/>
    <cellStyle name="20% - Accent6 3" xfId="47300" xr:uid="{524598E8-C069-41B4-9D45-A6131598F104}"/>
    <cellStyle name="20% - Accent6 4" xfId="47426" xr:uid="{7078C287-DFA0-4F7A-BB19-EBEE3EAD8AA1}"/>
    <cellStyle name="20% - Accent6 5" xfId="47552" xr:uid="{20392C7C-FEC5-45CF-A006-F9F1A61509F9}"/>
    <cellStyle name="20% - Accent6 6" xfId="47707" xr:uid="{FF006FAF-2384-40F4-BDC2-461188DF1147}"/>
    <cellStyle name="20% - Accent6 7" xfId="49369" xr:uid="{4BB42FC6-2C6E-4FFC-8BDF-ED750E3147B8}"/>
    <cellStyle name="20% - Accent6 8" xfId="52671" xr:uid="{CAB52CA9-8CDF-45BA-B1CE-24B541FBFF9A}"/>
    <cellStyle name="20% - Ênfase5 23 2" xfId="4356" xr:uid="{AABE1EC6-0D49-4FA7-8B10-8B62395162A7}"/>
    <cellStyle name="40% - Accent1" xfId="69" xr:uid="{C3DE0723-2B82-4D81-A4D5-1F0A3B9B8F5F}"/>
    <cellStyle name="40% - Accent1 2" xfId="5176" xr:uid="{EAA21CD2-ADE2-48AB-A14E-C11D3648D7C1}"/>
    <cellStyle name="40% - Accent1 2 2" xfId="47710" xr:uid="{0391D9EC-385F-4BD1-9F7F-35FECA696788}"/>
    <cellStyle name="40% - Accent1 2 3" xfId="49372" xr:uid="{B23650C7-4685-4E90-9C79-46225E20B9C8}"/>
    <cellStyle name="40% - Accent1 2 4" xfId="52674" xr:uid="{CBE91607-6032-4CAB-99C5-2028367D6A43}"/>
    <cellStyle name="40% - Accent1 2 5" xfId="25508" xr:uid="{E619379F-3841-43F6-B0CF-F5CABB708116}"/>
    <cellStyle name="40% - Accent1 3" xfId="47301" xr:uid="{BBEFD0E6-D9CC-4903-9E2C-9795FF5E226C}"/>
    <cellStyle name="40% - Accent1 4" xfId="47427" xr:uid="{3941D9B5-633B-490A-9C51-709144AB267E}"/>
    <cellStyle name="40% - Accent1 5" xfId="47553" xr:uid="{8FD7A78C-3DB4-4197-B757-F0A715E7EF7F}"/>
    <cellStyle name="40% - Accent1 6" xfId="47709" xr:uid="{D0413AD8-4161-4BEB-A2FE-AB5BB03B786B}"/>
    <cellStyle name="40% - Accent1 7" xfId="49371" xr:uid="{3594C63F-4B71-4A37-828E-38B2E4975F34}"/>
    <cellStyle name="40% - Accent1 8" xfId="52673" xr:uid="{7EE23888-B788-4608-A87A-635CA6BB0995}"/>
    <cellStyle name="40% - Accent2" xfId="70" xr:uid="{F929B2D4-3EEE-4E89-B361-8AC67E4D8E86}"/>
    <cellStyle name="40% - Accent2 2" xfId="5177" xr:uid="{90174CE1-E8FA-4F26-ADCD-852B22D4E67E}"/>
    <cellStyle name="40% - Accent2 2 2" xfId="47712" xr:uid="{DC4EA8D7-8F2C-472F-B311-24F18FB329F1}"/>
    <cellStyle name="40% - Accent2 2 3" xfId="49374" xr:uid="{D92666F7-B67E-43F2-A8CE-5F5A9059FBF4}"/>
    <cellStyle name="40% - Accent2 2 4" xfId="52676" xr:uid="{1DA110B5-096C-4C33-B81B-937EB87F0E7D}"/>
    <cellStyle name="40% - Accent2 2 5" xfId="25509" xr:uid="{5EF51831-AE18-4307-ADE9-083260D707D1}"/>
    <cellStyle name="40% - Accent2 3" xfId="47302" xr:uid="{B9FF4BD6-25A1-4491-ADD4-8AB3853F4A57}"/>
    <cellStyle name="40% - Accent2 4" xfId="47428" xr:uid="{DC32B482-67F6-46CD-AF29-E3B557FAF192}"/>
    <cellStyle name="40% - Accent2 5" xfId="47554" xr:uid="{EE674F32-CB5F-4DCF-88C9-6F9AC97727B5}"/>
    <cellStyle name="40% - Accent2 6" xfId="47711" xr:uid="{D2F2D6A5-DCA3-4EE1-8582-DB608B2854CF}"/>
    <cellStyle name="40% - Accent2 7" xfId="49373" xr:uid="{6F79976B-9A5D-4ACE-AEFD-68ECD8FF63BC}"/>
    <cellStyle name="40% - Accent2 8" xfId="52675" xr:uid="{0110E797-0D3B-4AA6-A8C2-1A8F64B7E300}"/>
    <cellStyle name="40% - Accent3" xfId="71" xr:uid="{04C57764-1659-4155-93AA-90705E163B6E}"/>
    <cellStyle name="40% - Accent3 2" xfId="5178" xr:uid="{0D93A68E-5402-4456-9159-AE0752896C8D}"/>
    <cellStyle name="40% - Accent3 2 2" xfId="47714" xr:uid="{25432911-6C5B-41AE-90E4-E97BDFBA0196}"/>
    <cellStyle name="40% - Accent3 2 3" xfId="49376" xr:uid="{04BCC25D-24F1-4AC2-AAE4-7211EA989275}"/>
    <cellStyle name="40% - Accent3 2 4" xfId="52678" xr:uid="{558DED73-9DF0-45DC-A11F-FE48E41E4CBB}"/>
    <cellStyle name="40% - Accent3 2 5" xfId="25510" xr:uid="{708FB3D4-DE5A-45DF-9A11-8C3EC0DB5D73}"/>
    <cellStyle name="40% - Accent3 3" xfId="47303" xr:uid="{D1FFFBF6-86F7-4B99-9E3C-87CBFC55ACEB}"/>
    <cellStyle name="40% - Accent3 4" xfId="47429" xr:uid="{47B48668-4C93-4E76-80DC-E2246E22E8B9}"/>
    <cellStyle name="40% - Accent3 5" xfId="47555" xr:uid="{47AB71E8-6EB2-4F9B-B4EA-9ACFA0107BF8}"/>
    <cellStyle name="40% - Accent3 6" xfId="47713" xr:uid="{54637875-A3E9-4C90-B3C9-D18AD2F0A3D4}"/>
    <cellStyle name="40% - Accent3 7" xfId="49375" xr:uid="{DD47E453-7743-4930-8CF2-206A6691B0CB}"/>
    <cellStyle name="40% - Accent3 8" xfId="52677" xr:uid="{6D58661C-35A8-4320-839A-808E42C8A87A}"/>
    <cellStyle name="40% - Accent4" xfId="72" xr:uid="{CB64C184-D08B-4417-9916-52A26A732569}"/>
    <cellStyle name="40% - Accent4 2" xfId="5179" xr:uid="{D28EC9EE-9C13-444C-AEA3-69EF97694FA1}"/>
    <cellStyle name="40% - Accent4 2 2" xfId="47716" xr:uid="{9CBC7346-FC8F-4274-971F-3B05AABCDD30}"/>
    <cellStyle name="40% - Accent4 2 3" xfId="49378" xr:uid="{2CBFAAC3-D016-4029-A842-9EA1E47457CE}"/>
    <cellStyle name="40% - Accent4 2 4" xfId="52680" xr:uid="{2619888D-9676-4111-A8F3-F8473C7A671E}"/>
    <cellStyle name="40% - Accent4 2 5" xfId="25511" xr:uid="{8E2277B8-B094-49B7-AAF8-3F073F3D7822}"/>
    <cellStyle name="40% - Accent4 3" xfId="47304" xr:uid="{D8EEB10F-61E4-4845-9B08-154925F9BBD6}"/>
    <cellStyle name="40% - Accent4 4" xfId="47430" xr:uid="{FEFA2A13-B37E-42E2-B175-2CE8DFE6AF95}"/>
    <cellStyle name="40% - Accent4 5" xfId="47556" xr:uid="{0641B156-3E6E-49F9-BE70-BDF59E23C167}"/>
    <cellStyle name="40% - Accent4 6" xfId="47715" xr:uid="{F37533E9-50C6-43AF-B4A2-4E56BBF9CFC4}"/>
    <cellStyle name="40% - Accent4 7" xfId="49377" xr:uid="{B6380D4A-B3EA-4FA3-8392-EEAD7B52F03A}"/>
    <cellStyle name="40% - Accent4 8" xfId="52679" xr:uid="{CD516841-C668-4AC9-A76C-3E22F003071C}"/>
    <cellStyle name="40% - Accent5" xfId="73" xr:uid="{9AE4A63F-7C99-4FC6-AF02-52B745BA5B6B}"/>
    <cellStyle name="40% - Accent5 2" xfId="5180" xr:uid="{3431E270-39F8-4C2F-87F5-861CBE5A9895}"/>
    <cellStyle name="40% - Accent5 2 2" xfId="47718" xr:uid="{FAB80A62-C47E-418A-B330-CB656CEE779D}"/>
    <cellStyle name="40% - Accent5 2 3" xfId="49380" xr:uid="{ACB2CDFE-2E4C-4488-B16A-D828623311FC}"/>
    <cellStyle name="40% - Accent5 2 4" xfId="52682" xr:uid="{0E1FE9E7-B56A-404A-8730-3D4F1AFFC166}"/>
    <cellStyle name="40% - Accent5 2 5" xfId="25512" xr:uid="{68996A8D-E95A-4208-8B86-158239E1047A}"/>
    <cellStyle name="40% - Accent5 3" xfId="47305" xr:uid="{B263A88E-0FF5-4CE7-B227-3778D332C042}"/>
    <cellStyle name="40% - Accent5 4" xfId="47431" xr:uid="{850DD973-4606-4D46-A5AE-07D895D30026}"/>
    <cellStyle name="40% - Accent5 5" xfId="47557" xr:uid="{063F8483-0EF2-4830-AA4F-E526E81BFD18}"/>
    <cellStyle name="40% - Accent5 6" xfId="47717" xr:uid="{C29944A7-FFAB-4543-9C26-E821AC8A6BB6}"/>
    <cellStyle name="40% - Accent5 7" xfId="49379" xr:uid="{49D630D0-9BDD-4298-B66A-7959BAEDC9A6}"/>
    <cellStyle name="40% - Accent5 8" xfId="52681" xr:uid="{95B7667D-03E9-41EA-BA88-11DE55B422FA}"/>
    <cellStyle name="40% - Accent6" xfId="74" xr:uid="{C78CF7B8-54E7-4715-9661-C0510F26E5ED}"/>
    <cellStyle name="40% - Accent6 2" xfId="5181" xr:uid="{6222C39D-ECE2-46B6-8296-22BFDB07B3FD}"/>
    <cellStyle name="40% - Accent6 2 2" xfId="47720" xr:uid="{7135E148-D290-433D-BB3A-6BE6F7E140E6}"/>
    <cellStyle name="40% - Accent6 2 3" xfId="49382" xr:uid="{836AAC1D-BCB2-438A-87F3-2D4ACB9B7CB0}"/>
    <cellStyle name="40% - Accent6 2 4" xfId="52684" xr:uid="{5446AD5C-CDDE-44CB-8E7F-24CFDBA9D9CB}"/>
    <cellStyle name="40% - Accent6 2 5" xfId="25513" xr:uid="{DFE561CA-7367-4CE4-BC04-A3B7B697C836}"/>
    <cellStyle name="40% - Accent6 3" xfId="47306" xr:uid="{015A2F75-676A-4B1F-8E32-248560303CF3}"/>
    <cellStyle name="40% - Accent6 4" xfId="47432" xr:uid="{6E7C16F6-5681-4708-B6A4-0AAF763D695D}"/>
    <cellStyle name="40% - Accent6 5" xfId="47558" xr:uid="{D677BE58-2F83-4C5F-A7F3-78CF67EDA95E}"/>
    <cellStyle name="40% - Accent6 6" xfId="47719" xr:uid="{6E750488-85C6-4C3B-A702-9D3E47BF3173}"/>
    <cellStyle name="40% - Accent6 7" xfId="49381" xr:uid="{F4DA574C-7148-4237-B93E-87EAA3D0FA67}"/>
    <cellStyle name="40% - Accent6 8" xfId="52683" xr:uid="{BE3050CF-E116-43EB-A595-4186A7F4595F}"/>
    <cellStyle name="60% - Accent1" xfId="75" xr:uid="{A8ABC506-1626-493D-954E-27EDA1E3CFEB}"/>
    <cellStyle name="60% - Accent1 2" xfId="5182" xr:uid="{36E95B59-F7D4-4F92-B0C4-8BAB7E8F2C9D}"/>
    <cellStyle name="60% - Accent2" xfId="76" xr:uid="{1B214C2D-2BBB-446A-B5C2-5F63DDF3F0A1}"/>
    <cellStyle name="60% - Accent2 2" xfId="5183" xr:uid="{BB658D11-5EFB-435F-A47E-87BB497E39DE}"/>
    <cellStyle name="60% - Accent3" xfId="77" xr:uid="{ED08CB8E-AF4B-4BB6-A93F-5B7A132442D8}"/>
    <cellStyle name="60% - Accent3 2" xfId="5184" xr:uid="{1015ACF2-9EF2-4F29-8F46-1C33043D6865}"/>
    <cellStyle name="60% - Accent4" xfId="78" xr:uid="{939EA0D2-4279-4E62-BFEE-4A032A56ED97}"/>
    <cellStyle name="60% - Accent4 2" xfId="5185" xr:uid="{8511404C-85C5-41A4-9FDE-B232B19ECBB6}"/>
    <cellStyle name="60% - Accent5" xfId="79" xr:uid="{E2583131-1D46-4472-B22F-CD2285144399}"/>
    <cellStyle name="60% - Accent5 2" xfId="5186" xr:uid="{C15B3A0B-4E44-4688-9C21-37B29C124987}"/>
    <cellStyle name="60% - Accent6" xfId="80" xr:uid="{FA3B01FE-53E9-42A3-9AA9-88C0FEBE287C}"/>
    <cellStyle name="60% - Accent6 2" xfId="5187" xr:uid="{4ADA9F3A-99C1-4196-8F0A-8202209F45A1}"/>
    <cellStyle name="Accent1" xfId="81" xr:uid="{CE3E049B-5DFB-4174-A9BB-ACF7FA39EBE6}"/>
    <cellStyle name="Accent1 2" xfId="5188" xr:uid="{D30B4ADD-A231-4BE7-BD19-345C7F0F608B}"/>
    <cellStyle name="Accent2" xfId="82" xr:uid="{0A7C5728-B4FB-4594-8AF2-EBABD7B812BD}"/>
    <cellStyle name="Accent2 2" xfId="5189" xr:uid="{302543FD-7A1D-4DDD-8D6E-56F5405AF56E}"/>
    <cellStyle name="Accent3" xfId="83" xr:uid="{0DD204FE-A64C-4D1E-96D9-70A4F67F1B13}"/>
    <cellStyle name="Accent3 2" xfId="5190" xr:uid="{B7D0B5AA-DEAA-455F-AE40-1571C7A4D638}"/>
    <cellStyle name="Accent4" xfId="84" xr:uid="{41E16482-9FC1-44F2-B4D1-CE74931F7599}"/>
    <cellStyle name="Accent4 2" xfId="5191" xr:uid="{AE7E2230-2F20-4A3C-98A4-D0CFBA1A991B}"/>
    <cellStyle name="Accent5" xfId="85" xr:uid="{84AD233E-2DA5-4B98-A8B3-3C031CBBE20D}"/>
    <cellStyle name="Accent5 2" xfId="5192" xr:uid="{AA92D43A-A12D-4AEC-A9E7-2EA9493803E5}"/>
    <cellStyle name="Accent6" xfId="86" xr:uid="{F780CDB0-1CD7-4F37-A25A-8F2ACFD958A0}"/>
    <cellStyle name="Accent6 2" xfId="5193" xr:uid="{DF499CB7-6BC5-4735-8DDE-447F6B592533}"/>
    <cellStyle name="Bad" xfId="87" xr:uid="{E96E0ABE-6426-4F60-86F4-32CC42FEE2D6}"/>
    <cellStyle name="Bad 2" xfId="5194" xr:uid="{5D53B1B4-CC05-4EC1-A950-67D2F3C2703D}"/>
    <cellStyle name="Calculation" xfId="88" xr:uid="{17835252-D2B2-4B16-8B94-67DDA71D72F0}"/>
    <cellStyle name="Calculation 2" xfId="5195" xr:uid="{FC73ED04-0C31-4417-817B-98CF2DEE9E85}"/>
    <cellStyle name="Check Cell" xfId="89" xr:uid="{76F2C32B-C544-477F-9B55-E862305D8D07}"/>
    <cellStyle name="Check Cell 2" xfId="5196" xr:uid="{D63F6068-D031-4413-A7DF-05FCA0632702}"/>
    <cellStyle name="EST1" xfId="5264" xr:uid="{EDAEE4F9-D668-45DE-9E22-603DCC4F724F}"/>
    <cellStyle name="Explanatory Text" xfId="90" xr:uid="{8B009BD0-6540-44FB-924D-C6E350B922AC}"/>
    <cellStyle name="Explanatory Text 2" xfId="49383" xr:uid="{58310F62-094B-4618-A41C-43C9BFD4F680}"/>
    <cellStyle name="EYtext 2" xfId="4357" xr:uid="{FDC2F8B0-9C2A-458F-9368-A47206B3C0EC}"/>
    <cellStyle name="Good" xfId="91" xr:uid="{F33F3609-38A5-4701-B579-2A4EBF1AC9B1}"/>
    <cellStyle name="Good 2" xfId="5197" xr:uid="{4737E411-CBC0-45FE-8ABA-1312F4686B16}"/>
    <cellStyle name="Heading 1" xfId="92" xr:uid="{591067DE-7BA7-4A30-A20B-1234B058B429}"/>
    <cellStyle name="Heading 1 2" xfId="49384" xr:uid="{DA3347F4-A23A-412E-9882-908B9C008F2C}"/>
    <cellStyle name="Heading 2" xfId="93" xr:uid="{1B4DD677-993B-4B32-B620-CC47E4DD58A2}"/>
    <cellStyle name="Heading 2 2" xfId="49385" xr:uid="{39AC6F53-D463-4C88-8DFF-B5145D0E5AB8}"/>
    <cellStyle name="Heading 3" xfId="94" xr:uid="{75C581B7-9622-4DDC-9384-E26F5AA37707}"/>
    <cellStyle name="Heading 3 2" xfId="49386" xr:uid="{B958E6A0-1DE9-4886-8A83-A4C3D9118025}"/>
    <cellStyle name="Heading 4" xfId="95" xr:uid="{888435E7-0FDE-476D-AF1C-659516101202}"/>
    <cellStyle name="Heading 4 2" xfId="49387" xr:uid="{F41DA36D-F54D-4561-9FFC-9528AE9C9C95}"/>
    <cellStyle name="Hiperlink 2" xfId="5265" xr:uid="{0C3B3516-8B4F-4175-8FD5-DAF10B294F4A}"/>
    <cellStyle name="Input" xfId="96" xr:uid="{B03A09E6-314F-48A0-898F-72F2CED9C0A8}"/>
    <cellStyle name="Input 2" xfId="5198" xr:uid="{D7435CC7-28E4-4402-A412-E6E7A7FF2A9B}"/>
    <cellStyle name="Linked Cell" xfId="97" xr:uid="{4D952F87-FF7D-45CB-94D0-C1B0E049D101}"/>
    <cellStyle name="Linked Cell 2" xfId="49388" xr:uid="{59728BC9-245C-423C-B29A-2685B53B71C5}"/>
    <cellStyle name="Moeda 10" xfId="1844" xr:uid="{72C23EBE-ABDA-43FA-BD00-5D7B729941C6}"/>
    <cellStyle name="Moeda 10 2" xfId="3495" xr:uid="{1A9BA3BC-717B-46A6-872D-F6E44558473D}"/>
    <cellStyle name="Moeda 10 2 2" xfId="4079" xr:uid="{CE843334-7A10-4502-B0F8-20D39FB27908}"/>
    <cellStyle name="Moeda 10 2 3" xfId="4251" xr:uid="{61111352-27D8-4BFD-B9B1-C84C0EED352A}"/>
    <cellStyle name="Moeda 10 2 4" xfId="3908" xr:uid="{6462B358-8B2A-4155-8D5E-E723CFE1C707}"/>
    <cellStyle name="Moeda 10 3" xfId="3980" xr:uid="{917DB706-9626-44A2-A0A9-B4BE04CE242F}"/>
    <cellStyle name="Moeda 10 3 2" xfId="4152" xr:uid="{D905B656-40FF-4A38-AF62-E6E6128CBECD}"/>
    <cellStyle name="Moeda 10 3 3" xfId="4324" xr:uid="{B98CF8A7-09FF-495D-84C9-5BE1055F8B85}"/>
    <cellStyle name="Moeda 10 4" xfId="4039" xr:uid="{2366D05E-0DCE-4120-A372-D6A30E644CF2}"/>
    <cellStyle name="Moeda 10 5" xfId="4211" xr:uid="{D00DDEC2-747D-4289-B1A1-49AD6EDE54C2}"/>
    <cellStyle name="Moeda 10 6" xfId="3868" xr:uid="{1F32A9C6-D312-470F-A5B3-DAE657CFF6CE}"/>
    <cellStyle name="Moeda 10 7" xfId="47317" xr:uid="{6F62B257-10FA-45A4-986B-EEB94B272889}"/>
    <cellStyle name="Moeda 11" xfId="3870" xr:uid="{7151DBA3-3863-47E5-A9EE-B691741C2174}"/>
    <cellStyle name="Moeda 11 2" xfId="3910" xr:uid="{94B698F4-B9D4-4AD1-9EDE-B4613FB1AEAB}"/>
    <cellStyle name="Moeda 11 2 2" xfId="4081" xr:uid="{B8AA556D-C346-4D9E-AA51-5897FA298AA5}"/>
    <cellStyle name="Moeda 11 2 3" xfId="4253" xr:uid="{57CE09EE-EB76-4B0F-A183-79B2FC4E12CE}"/>
    <cellStyle name="Moeda 11 3" xfId="3982" xr:uid="{4806C7E9-27A3-4485-9E75-015C6444179E}"/>
    <cellStyle name="Moeda 11 3 2" xfId="4154" xr:uid="{8250F939-5456-4AB9-AA05-C78EFBC729EC}"/>
    <cellStyle name="Moeda 11 3 3" xfId="4326" xr:uid="{D021BB46-77A4-4B99-9804-5D8D824BC3ED}"/>
    <cellStyle name="Moeda 11 4" xfId="4041" xr:uid="{B9219121-F62C-4018-A278-9FE387611752}"/>
    <cellStyle name="Moeda 11 5" xfId="4213" xr:uid="{57636683-59AB-46C6-BF8C-AFAE417C25A8}"/>
    <cellStyle name="Moeda 11 6" xfId="47443" xr:uid="{D97546E8-FBA8-4E54-A1B3-F6AA932FD76E}"/>
    <cellStyle name="Moeda 12" xfId="3912" xr:uid="{B70C01A7-1F57-492C-A2DD-E228331E67EC}"/>
    <cellStyle name="Moeda 12 2" xfId="4083" xr:uid="{FB080C50-9C00-4D78-AB8B-45BE1941162E}"/>
    <cellStyle name="Moeda 12 3" xfId="4255" xr:uid="{4868C895-D4C4-4CE4-9471-1891B30B34F6}"/>
    <cellStyle name="Moeda 12 4" xfId="47569" xr:uid="{F3EE1C02-7D25-43CF-A63F-78EF4B778342}"/>
    <cellStyle name="Moeda 13" xfId="3914" xr:uid="{13A5BBD6-08FB-4506-8473-CC0FDFAA3407}"/>
    <cellStyle name="Moeda 13 2" xfId="4085" xr:uid="{948ED1F0-AFFE-4FED-93C9-986D60CFAD39}"/>
    <cellStyle name="Moeda 13 3" xfId="4257" xr:uid="{0578BE02-04E4-4DE2-8427-48050258E8D8}"/>
    <cellStyle name="Moeda 13 4" xfId="47678" xr:uid="{E387CBAF-0419-4CDB-B0EF-FD5042F36A3A}"/>
    <cellStyle name="Moeda 14" xfId="3918" xr:uid="{18C96E4D-BF0F-45A2-B88B-4B487E4E2C41}"/>
    <cellStyle name="Moeda 14 2" xfId="4089" xr:uid="{6A113DA0-F6BF-46EC-A822-ABABC217022D}"/>
    <cellStyle name="Moeda 14 3" xfId="4261" xr:uid="{04E04BB9-781C-4BA6-8B00-263DB4092CBA}"/>
    <cellStyle name="Moeda 14 4" xfId="47686" xr:uid="{05443D14-E1EA-4684-BDE8-522955E2BF57}"/>
    <cellStyle name="Moeda 15" xfId="3920" xr:uid="{30CB40CE-5B3B-4E20-9849-C4EEED4BEB55}"/>
    <cellStyle name="Moeda 15 2" xfId="4091" xr:uid="{A22F9F06-82BB-440D-ABA4-D9C221C3C39D}"/>
    <cellStyle name="Moeda 15 3" xfId="4263" xr:uid="{E5699DE6-DF8C-435B-A8E1-C599143983B2}"/>
    <cellStyle name="Moeda 15 4" xfId="57587" xr:uid="{6AB13DC7-3A19-4D5B-97D5-6F95D2345B64}"/>
    <cellStyle name="Moeda 16" xfId="3922" xr:uid="{DD10253A-2C8F-4356-AC98-A0C428FF6203}"/>
    <cellStyle name="Moeda 16 2" xfId="4093" xr:uid="{D70494C9-8D0E-4148-BE11-EACE1007279C}"/>
    <cellStyle name="Moeda 16 3" xfId="4265" xr:uid="{12CF1F3C-D5AD-495D-AEDF-44BC426559F7}"/>
    <cellStyle name="Moeda 17" xfId="1716" xr:uid="{A7567B3C-B409-47ED-A703-D4D94A3A9282}"/>
    <cellStyle name="Moeda 18" xfId="4334" xr:uid="{41333B28-2823-4C8E-B756-6BE87EE01036}"/>
    <cellStyle name="Moeda 19" xfId="4351" xr:uid="{E1EF5B23-C916-41EB-8F32-6F08E89C0DE5}"/>
    <cellStyle name="Moeda 2" xfId="4" xr:uid="{B9E5C46D-C8D1-4B68-AE48-CB157BF6EFD2}"/>
    <cellStyle name="Moeda 2 10" xfId="36" xr:uid="{6B935243-6EE0-44DD-9DC6-8B108F7D8C14}"/>
    <cellStyle name="Moeda 2 11" xfId="2055" xr:uid="{F7D50473-B797-40D4-933E-4075528443C4}"/>
    <cellStyle name="Moeda 2 11 2" xfId="49389" xr:uid="{6380CCF1-9920-4C7C-A4DE-06DC794D682E}"/>
    <cellStyle name="Moeda 2 12" xfId="3378" xr:uid="{19A1C247-C877-453E-97EE-E932299388AC}"/>
    <cellStyle name="Moeda 2 12 2" xfId="52685" xr:uid="{1E6D5BC4-CDBC-4A4C-8CBB-37616C320A24}"/>
    <cellStyle name="Moeda 2 13" xfId="3815" xr:uid="{4A79D2FC-DBDE-40F0-AB67-CC27773FC3A5}"/>
    <cellStyle name="Moeda 2 13 2" xfId="12530" xr:uid="{3BA59D21-0CA9-40FD-80DF-910FFE29D1B4}"/>
    <cellStyle name="Moeda 2 14" xfId="1721" xr:uid="{E8ADB9F5-E88C-412D-ABCB-28D808EF818D}"/>
    <cellStyle name="Moeda 2 14 2" xfId="57589" xr:uid="{E223F33E-66E9-4280-91C4-BA4129C89DD2}"/>
    <cellStyle name="Moeda 2 15" xfId="4336" xr:uid="{08DEA04B-9F30-484E-A483-112C57D30714}"/>
    <cellStyle name="Moeda 2 16" xfId="19" xr:uid="{FBA5A95C-B33F-45A3-ABAD-1EBABEAA3C6F}"/>
    <cellStyle name="Moeda 2 17" xfId="4362" xr:uid="{910AA447-3A4E-4ABE-8480-166192EF3030}"/>
    <cellStyle name="Moeda 2 18" xfId="57594" xr:uid="{3C10DE9D-E3E6-4137-A601-949F73DE6A17}"/>
    <cellStyle name="Moeda 2 2" xfId="8" xr:uid="{DD89F8F0-B82D-47C1-9B4F-10417C77CD7A}"/>
    <cellStyle name="Moeda 2 2 10" xfId="532" xr:uid="{5F9FD013-4933-492C-91C6-6B98B05CB847}"/>
    <cellStyle name="Moeda 2 2 10 2" xfId="2248" xr:uid="{5A022937-9E75-4BF2-80E7-76AF58E6E3F3}"/>
    <cellStyle name="Moeda 2 2 10 2 2" xfId="54324" xr:uid="{75D1368F-2C87-47E2-BCCF-1DCFEF23F4CA}"/>
    <cellStyle name="Moeda 2 2 10 2 3" xfId="51030" xr:uid="{75409B77-5DF7-41A8-8EB8-1DF7AAAB194A}"/>
    <cellStyle name="Moeda 2 2 10 3" xfId="49391" xr:uid="{B0ADA80B-A268-4CB2-B918-A53310814C3F}"/>
    <cellStyle name="Moeda 2 2 10 3 2" xfId="56403" xr:uid="{310CF81F-6F7F-46F2-B7EB-DDDF3F89A1EE}"/>
    <cellStyle name="Moeda 2 2 10 4" xfId="52687" xr:uid="{2BC61A55-125D-4E02-A328-EC48FAD22CF2}"/>
    <cellStyle name="Moeda 2 2 10 5" xfId="47722" xr:uid="{5AACDABE-E6B1-4737-9B15-82590A370FE8}"/>
    <cellStyle name="Moeda 2 2 11" xfId="3384" xr:uid="{EC5FD36E-07C1-4719-B67C-19FD105DC915}"/>
    <cellStyle name="Moeda 2 2 11 2" xfId="51029" xr:uid="{815189D8-D8E0-4D9A-8488-5B0F243B2053}"/>
    <cellStyle name="Moeda 2 2 11 3" xfId="54323" xr:uid="{F0458263-B870-4FF3-9648-3FFA836CF362}"/>
    <cellStyle name="Moeda 2 2 11 4" xfId="47721" xr:uid="{AFB3EEBD-90A1-4720-A156-865EED50F238}"/>
    <cellStyle name="Moeda 2 2 12" xfId="1732" xr:uid="{0F08DC11-D85C-43BF-B0F7-696806423971}"/>
    <cellStyle name="Moeda 2 2 12 2" xfId="55994" xr:uid="{CC377B4E-5B33-45AC-BF5F-C1993A9039FA}"/>
    <cellStyle name="Moeda 2 2 12 3" xfId="49390" xr:uid="{077531FF-C910-4F60-BDB0-336A82747F2A}"/>
    <cellStyle name="Moeda 2 2 13" xfId="123" xr:uid="{BCEF3822-1F45-48D5-B640-24D4AB4D2712}"/>
    <cellStyle name="Moeda 2 2 13 2" xfId="52686" xr:uid="{32C9469E-66BE-47A4-AB79-E19709F9434F}"/>
    <cellStyle name="Moeda 2 2 14" xfId="4366" xr:uid="{DF5CC007-12F5-42B2-A199-B66120260AE7}"/>
    <cellStyle name="Moeda 2 2 14 2" xfId="12536" xr:uid="{B83A7BB7-7F72-4DD8-8A78-0CC6C41E3154}"/>
    <cellStyle name="Moeda 2 2 15" xfId="4404" xr:uid="{0AF538C3-AD82-4F6D-B831-2C2E28899B90}"/>
    <cellStyle name="Moeda 2 2 16" xfId="57598" xr:uid="{16EF4EBE-7609-472C-9267-EE7BFC2FEA2E}"/>
    <cellStyle name="Moeda 2 2 2" xfId="137" xr:uid="{A28B0736-DBA4-44D7-B135-179D9589290A}"/>
    <cellStyle name="Moeda 2 2 2 10" xfId="3396" xr:uid="{AD26C856-CB4F-4ED2-A317-0DCDC11C2AE9}"/>
    <cellStyle name="Moeda 2 2 2 10 2" xfId="51031" xr:uid="{B154CF67-7FF0-4483-B758-725143735511}"/>
    <cellStyle name="Moeda 2 2 2 10 3" xfId="54325" xr:uid="{EA4FC6A4-E36C-436C-88D6-5D9D38B3E882}"/>
    <cellStyle name="Moeda 2 2 2 10 4" xfId="47723" xr:uid="{CF65A6F3-3E0C-4C8D-B973-3477E08A7D8A}"/>
    <cellStyle name="Moeda 2 2 2 11" xfId="1744" xr:uid="{6C77BEEE-8FAA-446F-8AB9-F66D715A81AB}"/>
    <cellStyle name="Moeda 2 2 2 11 2" xfId="56008" xr:uid="{537AE7A0-CAAB-49C0-AF25-2345EF51AAF3}"/>
    <cellStyle name="Moeda 2 2 2 11 3" xfId="49392" xr:uid="{02A9EE97-A84E-4D76-BDDF-0EB3B85527BB}"/>
    <cellStyle name="Moeda 2 2 2 12" xfId="52688" xr:uid="{54F279A5-E86E-43E3-84D3-AABAF3BAB16F}"/>
    <cellStyle name="Moeda 2 2 2 13" xfId="12549" xr:uid="{594AC539-DBF8-4BE9-9E9E-2DCD1CA79574}"/>
    <cellStyle name="Moeda 2 2 2 14" xfId="4418" xr:uid="{80C5FCE8-7F27-4CD0-AF70-B49817B98188}"/>
    <cellStyle name="Moeda 2 2 2 15" xfId="57606" xr:uid="{70A475BB-FD8D-4EB5-B489-7B9881A984B0}"/>
    <cellStyle name="Moeda 2 2 2 2" xfId="166" xr:uid="{3F7983EC-0B16-49C2-979A-994C9FED53A4}"/>
    <cellStyle name="Moeda 2 2 2 2 10" xfId="52689" xr:uid="{691BA3CD-D10F-40B6-90B3-1A0A03CC7DFB}"/>
    <cellStyle name="Moeda 2 2 2 2 11" xfId="12575" xr:uid="{2AEAA03E-2537-46A6-A031-C1F0C34A77A1}"/>
    <cellStyle name="Moeda 2 2 2 2 12" xfId="4447" xr:uid="{E94B3642-D9A0-4B28-BCF1-0DE05CF44520}"/>
    <cellStyle name="Moeda 2 2 2 2 2" xfId="244" xr:uid="{F20CDCA7-2AF0-44A9-831B-E59C9F904916}"/>
    <cellStyle name="Moeda 2 2 2 2 2 10" xfId="4525" xr:uid="{E832636F-A2E8-4196-AA44-8CA0AFE25E89}"/>
    <cellStyle name="Moeda 2 2 2 2 2 2" xfId="433" xr:uid="{62E02752-76D4-41D4-B550-F6EC04F600A8}"/>
    <cellStyle name="Moeda 2 2 2 2 2 2 2" xfId="1249" xr:uid="{ECC82B8C-FFB1-4929-A952-ABD531D65963}"/>
    <cellStyle name="Moeda 2 2 2 2 2 2 2 2" xfId="2910" xr:uid="{F04EC747-DAED-4235-A5E3-DC9298564177}"/>
    <cellStyle name="Moeda 2 2 2 2 2 2 2 2 2" xfId="54329" xr:uid="{95B98BDA-1395-42D5-93F8-AA3BE8DC1219}"/>
    <cellStyle name="Moeda 2 2 2 2 2 2 2 2 3" xfId="51035" xr:uid="{C94A1E55-5727-450A-B55E-6BAE26715912}"/>
    <cellStyle name="Moeda 2 2 2 2 2 2 2 3" xfId="49396" xr:uid="{2DE13D31-CE7C-4F4E-A45B-51C9B210B8F0}"/>
    <cellStyle name="Moeda 2 2 2 2 2 2 2 3 2" xfId="57120" xr:uid="{9E6D057B-515D-467B-94C6-ECC51BBAA8AA}"/>
    <cellStyle name="Moeda 2 2 2 2 2 2 2 4" xfId="52692" xr:uid="{19469D31-7C3F-45F1-B85C-1739ED0BCB11}"/>
    <cellStyle name="Moeda 2 2 2 2 2 2 2 5" xfId="47727" xr:uid="{20836E52-318B-42AE-AAD6-2B372EA87BF9}"/>
    <cellStyle name="Moeda 2 2 2 2 2 2 3" xfId="1655" xr:uid="{A6DB821F-5348-42BB-9B18-D1F3C524F5F2}"/>
    <cellStyle name="Moeda 2 2 2 2 2 2 3 2" xfId="3315" xr:uid="{E08949B5-FA02-4BD0-AEED-528431702F8B}"/>
    <cellStyle name="Moeda 2 2 2 2 2 2 3 2 2" xfId="54330" xr:uid="{C1F90250-2CD9-4EFF-A339-9248BD296B05}"/>
    <cellStyle name="Moeda 2 2 2 2 2 2 3 2 3" xfId="51036" xr:uid="{3382DF83-DA05-4B9A-B5AD-E65C03903301}"/>
    <cellStyle name="Moeda 2 2 2 2 2 2 3 3" xfId="49397" xr:uid="{B7F36511-48A2-4881-87F1-0C383DCDEBF4}"/>
    <cellStyle name="Moeda 2 2 2 2 2 2 3 3 2" xfId="57526" xr:uid="{D07962CD-E20A-476C-80FA-779417E39B16}"/>
    <cellStyle name="Moeda 2 2 2 2 2 2 3 4" xfId="52693" xr:uid="{6F925866-A739-44A3-847E-23A8B81FDCFC}"/>
    <cellStyle name="Moeda 2 2 2 2 2 2 3 5" xfId="47728" xr:uid="{8C7D42C6-C4D2-45EB-8062-6CD6F3316221}"/>
    <cellStyle name="Moeda 2 2 2 2 2 2 4" xfId="842" xr:uid="{90521ED0-218F-4CB2-BEF7-C028B1223271}"/>
    <cellStyle name="Moeda 2 2 2 2 2 2 4 2" xfId="2558" xr:uid="{70FC4670-5998-43B8-B809-7C12C3CD1247}"/>
    <cellStyle name="Moeda 2 2 2 2 2 2 4 2 2" xfId="54331" xr:uid="{466DC9E8-63CA-4378-9265-F13AB63EED1A}"/>
    <cellStyle name="Moeda 2 2 2 2 2 2 4 2 3" xfId="51037" xr:uid="{4EC56E81-489C-47B2-AE37-F2B170E64533}"/>
    <cellStyle name="Moeda 2 2 2 2 2 2 4 3" xfId="49398" xr:uid="{651D7FBD-7B36-4A39-B50B-DC3654CD4506}"/>
    <cellStyle name="Moeda 2 2 2 2 2 2 4 3 2" xfId="56713" xr:uid="{B5CFB760-65EF-4DD7-B6F4-5F6F0E615935}"/>
    <cellStyle name="Moeda 2 2 2 2 2 2 4 4" xfId="52694" xr:uid="{35178CDB-6870-4EAB-AEA8-7BA0A5A03AE1}"/>
    <cellStyle name="Moeda 2 2 2 2 2 2 4 5" xfId="47729" xr:uid="{1A75E44B-8E77-4C8D-8736-C332D1661E1F}"/>
    <cellStyle name="Moeda 2 2 2 2 2 2 5" xfId="3696" xr:uid="{A2FB93AA-E008-4237-8A07-E6DFCB582CDA}"/>
    <cellStyle name="Moeda 2 2 2 2 2 2 5 2" xfId="51034" xr:uid="{7931F371-DC35-43D2-93F2-AFBA9003A7F3}"/>
    <cellStyle name="Moeda 2 2 2 2 2 2 5 3" xfId="54328" xr:uid="{02970972-D55F-403F-AD60-0156C07856BF}"/>
    <cellStyle name="Moeda 2 2 2 2 2 2 5 4" xfId="47726" xr:uid="{85B6A1FA-1F5C-4D81-B209-46874BDBF7AB}"/>
    <cellStyle name="Moeda 2 2 2 2 2 2 6" xfId="2045" xr:uid="{726CF2DB-F73C-4103-828E-C33909CA3878}"/>
    <cellStyle name="Moeda 2 2 2 2 2 2 6 2" xfId="56304" xr:uid="{62C3399E-B32C-46AD-A357-8D403E6F64BC}"/>
    <cellStyle name="Moeda 2 2 2 2 2 2 6 3" xfId="49395" xr:uid="{011CAC12-A11D-4D12-8318-4058058E5CF1}"/>
    <cellStyle name="Moeda 2 2 2 2 2 2 7" xfId="52691" xr:uid="{4FFE6A21-FDD1-4EAB-8667-686DB3B89FBF}"/>
    <cellStyle name="Moeda 2 2 2 2 2 2 8" xfId="47410" xr:uid="{8A1624E6-1BE4-4DDD-BF5B-97D0411B4ABA}"/>
    <cellStyle name="Moeda 2 2 2 2 2 2 9" xfId="4714" xr:uid="{488A4F08-AF91-4EAC-97F7-CDF46C04FEA1}"/>
    <cellStyle name="Moeda 2 2 2 2 2 3" xfId="1060" xr:uid="{AFBE0CCF-2428-4161-ACA1-713894725B07}"/>
    <cellStyle name="Moeda 2 2 2 2 2 3 2" xfId="3587" xr:uid="{A08B5A52-7785-46A0-964B-DBD3C1C36DA4}"/>
    <cellStyle name="Moeda 2 2 2 2 2 3 2 2" xfId="51038" xr:uid="{2F51688F-EF6B-4ED5-9BBE-889541464D87}"/>
    <cellStyle name="Moeda 2 2 2 2 2 3 2 3" xfId="54332" xr:uid="{1F24096D-5B15-4846-B60B-4FF1708259CB}"/>
    <cellStyle name="Moeda 2 2 2 2 2 3 2 4" xfId="47730" xr:uid="{DBF8107D-87EE-4009-BF9D-BCAFBD4D3753}"/>
    <cellStyle name="Moeda 2 2 2 2 2 3 3" xfId="1936" xr:uid="{4672E2F0-4557-44C2-99F5-9B07E7AC8EE7}"/>
    <cellStyle name="Moeda 2 2 2 2 2 3 3 2" xfId="56931" xr:uid="{8CD562A5-288A-4642-9A2C-18FB50479C98}"/>
    <cellStyle name="Moeda 2 2 2 2 2 3 3 3" xfId="49399" xr:uid="{E18F0C03-10EA-455B-AA35-C76B5674647A}"/>
    <cellStyle name="Moeda 2 2 2 2 2 3 4" xfId="52695" xr:uid="{CBDE33F7-B79E-40D5-83A6-9F0C9B6454B7}"/>
    <cellStyle name="Moeda 2 2 2 2 2 3 5" xfId="47536" xr:uid="{28444431-2B67-4610-A684-7568A24670CE}"/>
    <cellStyle name="Moeda 2 2 2 2 2 4" xfId="1466" xr:uid="{50F04A73-48FB-4881-8C55-EB03B082402C}"/>
    <cellStyle name="Moeda 2 2 2 2 2 4 2" xfId="3805" xr:uid="{F786B2D2-B6FA-4594-87F8-A084205C8207}"/>
    <cellStyle name="Moeda 2 2 2 2 2 4 2 2" xfId="51039" xr:uid="{8C739D39-CA7C-4250-8537-2E64F739DB7B}"/>
    <cellStyle name="Moeda 2 2 2 2 2 4 2 3" xfId="54333" xr:uid="{A1005B9E-A82A-4AD8-875B-545534CC481F}"/>
    <cellStyle name="Moeda 2 2 2 2 2 4 2 4" xfId="47731" xr:uid="{588C2A4D-56A6-422D-9FB7-3291062505BA}"/>
    <cellStyle name="Moeda 2 2 2 2 2 4 3" xfId="3127" xr:uid="{FDB9AD52-DFF1-452E-898F-5B28D0741CC0}"/>
    <cellStyle name="Moeda 2 2 2 2 2 4 3 2" xfId="57337" xr:uid="{60874B01-5CF4-4D7E-950D-6EEE9B9EF203}"/>
    <cellStyle name="Moeda 2 2 2 2 2 4 3 3" xfId="49400" xr:uid="{51137641-F518-4358-B270-94B4AD65B6C0}"/>
    <cellStyle name="Moeda 2 2 2 2 2 4 4" xfId="52696" xr:uid="{F28F1820-16E3-47C2-83C3-E966C8B1C2AB}"/>
    <cellStyle name="Moeda 2 2 2 2 2 4 5" xfId="47662" xr:uid="{7EF02C7E-18DE-4300-A195-0EC13E332C25}"/>
    <cellStyle name="Moeda 2 2 2 2 2 5" xfId="653" xr:uid="{4D2400EB-CFDA-468E-B90D-BF691C752E5A}"/>
    <cellStyle name="Moeda 2 2 2 2 2 5 2" xfId="2369" xr:uid="{33C714CD-19FA-43E2-BAF2-92CBB38BAD9E}"/>
    <cellStyle name="Moeda 2 2 2 2 2 5 2 2" xfId="54334" xr:uid="{9C86AE67-039E-499C-92DA-6C41DD322DD2}"/>
    <cellStyle name="Moeda 2 2 2 2 2 5 2 3" xfId="51040" xr:uid="{72AB05CB-D1CF-43E7-AC54-2DBFBFF3638C}"/>
    <cellStyle name="Moeda 2 2 2 2 2 5 3" xfId="49401" xr:uid="{BC00AFB8-3C46-438D-BF5E-7F0C4261F25A}"/>
    <cellStyle name="Moeda 2 2 2 2 2 5 3 2" xfId="56524" xr:uid="{F2124D94-6007-4CE7-9C07-BA9715189FC9}"/>
    <cellStyle name="Moeda 2 2 2 2 2 5 4" xfId="52697" xr:uid="{019EE5E4-9188-4017-AAB5-7E88651C8FE6}"/>
    <cellStyle name="Moeda 2 2 2 2 2 5 5" xfId="47732" xr:uid="{D1ADD589-0DAD-4B97-A1FA-08CAD5C17628}"/>
    <cellStyle name="Moeda 2 2 2 2 2 6" xfId="3477" xr:uid="{198E22AA-4A9C-43DB-A2B0-A8E463F0D378}"/>
    <cellStyle name="Moeda 2 2 2 2 2 6 2" xfId="51033" xr:uid="{E7C35379-3E5A-4A11-A564-C2F0D45177B1}"/>
    <cellStyle name="Moeda 2 2 2 2 2 6 3" xfId="54327" xr:uid="{E244C880-E23B-450C-81AC-79C07A7C9466}"/>
    <cellStyle name="Moeda 2 2 2 2 2 6 4" xfId="47725" xr:uid="{DB9757E0-CEA3-4B8E-BCE2-396DF67A2E7E}"/>
    <cellStyle name="Moeda 2 2 2 2 2 7" xfId="1826" xr:uid="{0BAA97A7-F2A1-4F26-B17F-ADFCB2EE1EA5}"/>
    <cellStyle name="Moeda 2 2 2 2 2 7 2" xfId="56115" xr:uid="{A2B9DB09-40FC-4CB8-80EB-B11178DC58F7}"/>
    <cellStyle name="Moeda 2 2 2 2 2 7 3" xfId="49394" xr:uid="{DDC6DB0B-6024-4857-AAE5-5AF7CBCD8E19}"/>
    <cellStyle name="Moeda 2 2 2 2 2 8" xfId="52690" xr:uid="{5AC27E7B-AC31-4507-AC0B-44E7B38AC206}"/>
    <cellStyle name="Moeda 2 2 2 2 2 9" xfId="32916" xr:uid="{A6F4861C-25CF-4B17-92B5-93EEB311CFD7}"/>
    <cellStyle name="Moeda 2 2 2 2 3" xfId="296" xr:uid="{B7FD6734-0354-4ECB-A31A-EF1E77A48B2D}"/>
    <cellStyle name="Moeda 2 2 2 2 3 10" xfId="4577" xr:uid="{30B3E2CA-8D56-4C9D-AF38-301D507E843E}"/>
    <cellStyle name="Moeda 2 2 2 2 3 2" xfId="485" xr:uid="{1649C82C-17F4-4720-BA74-947636069972}"/>
    <cellStyle name="Moeda 2 2 2 2 3 2 2" xfId="1301" xr:uid="{04877A60-7DDA-45B1-AE2A-D01E3FBC3A34}"/>
    <cellStyle name="Moeda 2 2 2 2 3 2 2 2" xfId="2962" xr:uid="{219AAF77-52BD-494D-85C7-DF428D05A4B3}"/>
    <cellStyle name="Moeda 2 2 2 2 3 2 2 2 2" xfId="54337" xr:uid="{5BD5183F-B846-48FE-AFEA-DE6871E65C91}"/>
    <cellStyle name="Moeda 2 2 2 2 3 2 2 2 3" xfId="51043" xr:uid="{A157D835-4DA9-4ECA-B4AC-C5543E957549}"/>
    <cellStyle name="Moeda 2 2 2 2 3 2 2 3" xfId="49404" xr:uid="{442098B3-FD2C-46E3-A4D2-76C9D6B5D629}"/>
    <cellStyle name="Moeda 2 2 2 2 3 2 2 3 2" xfId="57172" xr:uid="{E815FEFE-435E-4548-83BD-8C423452A479}"/>
    <cellStyle name="Moeda 2 2 2 2 3 2 2 4" xfId="52700" xr:uid="{E2AECA6B-5140-4C49-848C-D51FB3DF1FDB}"/>
    <cellStyle name="Moeda 2 2 2 2 3 2 2 5" xfId="47735" xr:uid="{F01AD54F-9E96-45CA-AA7A-B6E83C0EFA54}"/>
    <cellStyle name="Moeda 2 2 2 2 3 2 3" xfId="1707" xr:uid="{060CF8E7-B7F0-4E06-884B-141FE53A9667}"/>
    <cellStyle name="Moeda 2 2 2 2 3 2 3 2" xfId="3367" xr:uid="{A552472C-30A0-407D-8B57-ECE34EAC6D14}"/>
    <cellStyle name="Moeda 2 2 2 2 3 2 3 2 2" xfId="54338" xr:uid="{414223CC-9197-41C5-9EBE-4D33910F8553}"/>
    <cellStyle name="Moeda 2 2 2 2 3 2 3 2 3" xfId="51044" xr:uid="{9F06F087-92F1-4D5E-AB89-756D0FB69FDE}"/>
    <cellStyle name="Moeda 2 2 2 2 3 2 3 3" xfId="49405" xr:uid="{EFB08AA8-88BC-48EC-B49F-D4BF707BD5EE}"/>
    <cellStyle name="Moeda 2 2 2 2 3 2 3 3 2" xfId="57578" xr:uid="{8859FCC2-B3BA-4CB8-BDB1-8BB8E73042BB}"/>
    <cellStyle name="Moeda 2 2 2 2 3 2 3 4" xfId="52701" xr:uid="{82400A72-9D1C-4E26-9A22-EA40F98156F9}"/>
    <cellStyle name="Moeda 2 2 2 2 3 2 3 5" xfId="47736" xr:uid="{631C1FBD-3872-4F58-AC8D-1CD13534AE4C}"/>
    <cellStyle name="Moeda 2 2 2 2 3 2 4" xfId="894" xr:uid="{B2677A35-6F2F-40C6-8395-0AC2EA62C2F3}"/>
    <cellStyle name="Moeda 2 2 2 2 3 2 4 2" xfId="2610" xr:uid="{9E874AB1-3963-4B67-BA43-D0CC360EA31F}"/>
    <cellStyle name="Moeda 2 2 2 2 3 2 4 2 2" xfId="54339" xr:uid="{CDA318D1-A556-4C7C-ABB0-51EDDB161CD9}"/>
    <cellStyle name="Moeda 2 2 2 2 3 2 4 2 3" xfId="51045" xr:uid="{96E0BC1C-1664-4062-AAB2-BFE2F9B6CB14}"/>
    <cellStyle name="Moeda 2 2 2 2 3 2 4 3" xfId="49406" xr:uid="{6561B80C-17EC-4E5E-9759-8E50DDA86377}"/>
    <cellStyle name="Moeda 2 2 2 2 3 2 4 3 2" xfId="56765" xr:uid="{C182ED33-4D8C-48E6-92E7-21C8E2108380}"/>
    <cellStyle name="Moeda 2 2 2 2 3 2 4 4" xfId="52702" xr:uid="{DD275F73-A954-41D0-BA91-C1E78AF057C0}"/>
    <cellStyle name="Moeda 2 2 2 2 3 2 4 5" xfId="47737" xr:uid="{87473498-8DAE-467D-BD1F-F50E0ABAF6A7}"/>
    <cellStyle name="Moeda 2 2 2 2 3 2 5" xfId="2202" xr:uid="{B2E6DADD-AAF9-4754-958D-98C4C2FAA966}"/>
    <cellStyle name="Moeda 2 2 2 2 3 2 5 2" xfId="54336" xr:uid="{1218E93E-FC67-49A9-8CAF-6448AE8E6850}"/>
    <cellStyle name="Moeda 2 2 2 2 3 2 5 3" xfId="51042" xr:uid="{DB321C26-DFA5-484F-A9D4-02AE85DA6F9A}"/>
    <cellStyle name="Moeda 2 2 2 2 3 2 6" xfId="49403" xr:uid="{D860119D-E9CE-441E-9218-22004FDB38D3}"/>
    <cellStyle name="Moeda 2 2 2 2 3 2 6 2" xfId="56356" xr:uid="{78917C6E-C675-408D-B054-3088D307F1C4}"/>
    <cellStyle name="Moeda 2 2 2 2 3 2 7" xfId="52699" xr:uid="{8EAD59A3-8BA5-4611-832A-0CE2F60D1B01}"/>
    <cellStyle name="Moeda 2 2 2 2 3 2 8" xfId="47734" xr:uid="{71EDEE01-6E7C-45D2-BD87-DE15D0D2D245}"/>
    <cellStyle name="Moeda 2 2 2 2 3 2 9" xfId="4766" xr:uid="{D5841596-2E39-4C95-9DB5-D25F8150BF88}"/>
    <cellStyle name="Moeda 2 2 2 2 3 3" xfId="1112" xr:uid="{837F0BDF-2FE5-4B78-837F-D555B05A93E8}"/>
    <cellStyle name="Moeda 2 2 2 2 3 3 2" xfId="2775" xr:uid="{B1F6216D-A0F0-4A1E-A01C-A2DD6676BCE4}"/>
    <cellStyle name="Moeda 2 2 2 2 3 3 2 2" xfId="54340" xr:uid="{080907E7-6137-467A-BA81-FE9C80463E19}"/>
    <cellStyle name="Moeda 2 2 2 2 3 3 2 3" xfId="51046" xr:uid="{F7CC2721-D562-4711-99C0-AD7C325E8A27}"/>
    <cellStyle name="Moeda 2 2 2 2 3 3 3" xfId="49407" xr:uid="{B2B99C62-4358-4BD3-8B7A-4601087E3200}"/>
    <cellStyle name="Moeda 2 2 2 2 3 3 3 2" xfId="56983" xr:uid="{7060ED08-BBDD-4FA1-8E22-EBE6DD1C3A9A}"/>
    <cellStyle name="Moeda 2 2 2 2 3 3 4" xfId="52703" xr:uid="{1DD2C2AB-7867-46C9-88AE-20534D677F2E}"/>
    <cellStyle name="Moeda 2 2 2 2 3 3 5" xfId="47738" xr:uid="{F69A467A-A79B-493F-A24B-F3D5D1D9BA14}"/>
    <cellStyle name="Moeda 2 2 2 2 3 4" xfId="1518" xr:uid="{6A2D31FD-E1F0-49FC-BDAB-64AFD1F5F911}"/>
    <cellStyle name="Moeda 2 2 2 2 3 4 2" xfId="3179" xr:uid="{BF0BD7DB-FD0C-4624-84B0-B4222AC45D5B}"/>
    <cellStyle name="Moeda 2 2 2 2 3 4 2 2" xfId="54341" xr:uid="{5DCBBEB3-D658-4D28-A7B4-8CE22ECC0E54}"/>
    <cellStyle name="Moeda 2 2 2 2 3 4 2 3" xfId="51047" xr:uid="{D114FBF0-61EF-4444-A4F9-06678878CCDD}"/>
    <cellStyle name="Moeda 2 2 2 2 3 4 3" xfId="49408" xr:uid="{71AA5400-2BB0-43EE-85AF-151C993EF2DA}"/>
    <cellStyle name="Moeda 2 2 2 2 3 4 3 2" xfId="57389" xr:uid="{423A3625-35F4-4351-9958-EFD0B0B230D1}"/>
    <cellStyle name="Moeda 2 2 2 2 3 4 4" xfId="52704" xr:uid="{37D405E2-EA51-4C72-A934-092A9985649E}"/>
    <cellStyle name="Moeda 2 2 2 2 3 4 5" xfId="47739" xr:uid="{0F2A3040-7F3E-4A0D-8D87-374561506389}"/>
    <cellStyle name="Moeda 2 2 2 2 3 5" xfId="705" xr:uid="{9C12BB5B-DCDA-4DDB-BCB3-A4102F9881C0}"/>
    <cellStyle name="Moeda 2 2 2 2 3 5 2" xfId="2421" xr:uid="{0ACFE813-EB81-4292-A108-A5BF62E530EF}"/>
    <cellStyle name="Moeda 2 2 2 2 3 5 2 2" xfId="54342" xr:uid="{434A4E35-A201-4532-BB55-C3990DB19F50}"/>
    <cellStyle name="Moeda 2 2 2 2 3 5 2 3" xfId="51048" xr:uid="{4EF91CA4-70D7-486D-A7F1-3A8398813BCC}"/>
    <cellStyle name="Moeda 2 2 2 2 3 5 3" xfId="49409" xr:uid="{A8E26F3D-F04D-46AA-BF6E-564D1487FD2F}"/>
    <cellStyle name="Moeda 2 2 2 2 3 5 3 2" xfId="56576" xr:uid="{9AA9476C-3114-4029-ADB3-4366056BC303}"/>
    <cellStyle name="Moeda 2 2 2 2 3 5 4" xfId="52705" xr:uid="{3AD703DD-6E10-4DD2-BE5F-1E4353670FE9}"/>
    <cellStyle name="Moeda 2 2 2 2 3 5 5" xfId="47740" xr:uid="{F5E5D400-80BB-4785-8058-93D0B6A6BCD4}"/>
    <cellStyle name="Moeda 2 2 2 2 3 6" xfId="3641" xr:uid="{CC8B8A62-AD50-4A09-B944-8D53E85A0EC0}"/>
    <cellStyle name="Moeda 2 2 2 2 3 6 2" xfId="51041" xr:uid="{A4A56135-8841-400E-84B3-D7005CC0FE3F}"/>
    <cellStyle name="Moeda 2 2 2 2 3 6 3" xfId="54335" xr:uid="{91AB0916-0C5C-41E7-A8A1-7DDE8506D6D3}"/>
    <cellStyle name="Moeda 2 2 2 2 3 6 4" xfId="47733" xr:uid="{17054CE2-37E4-4D60-A041-BF4A4B2E5975}"/>
    <cellStyle name="Moeda 2 2 2 2 3 7" xfId="1990" xr:uid="{E4B25CA3-E605-4039-9FD8-46E1B52B436F}"/>
    <cellStyle name="Moeda 2 2 2 2 3 7 2" xfId="56167" xr:uid="{EDAB172C-0CEE-4356-98EC-97D85212103D}"/>
    <cellStyle name="Moeda 2 2 2 2 3 7 3" xfId="49402" xr:uid="{04AA2F38-63BA-4AF9-B95F-8F841D9D5047}"/>
    <cellStyle name="Moeda 2 2 2 2 3 8" xfId="52698" xr:uid="{2B02265A-E4A1-4AE0-A3EB-2D199356E814}"/>
    <cellStyle name="Moeda 2 2 2 2 3 9" xfId="47354" xr:uid="{B8082536-9DF2-492D-B688-16F28A1ACFE4}"/>
    <cellStyle name="Moeda 2 2 2 2 4" xfId="355" xr:uid="{04FA53BB-C527-45C9-9FF2-105EDBBC9F92}"/>
    <cellStyle name="Moeda 2 2 2 2 4 2" xfId="1171" xr:uid="{18D4DD10-2C87-45DA-B697-AD81903B64A9}"/>
    <cellStyle name="Moeda 2 2 2 2 4 2 2" xfId="2832" xr:uid="{9B3F5099-FC45-48C2-82A6-2E7AD3D757FF}"/>
    <cellStyle name="Moeda 2 2 2 2 4 2 2 2" xfId="54344" xr:uid="{C0C4EDD8-E85B-4C50-8E6C-ADA66FE87859}"/>
    <cellStyle name="Moeda 2 2 2 2 4 2 2 3" xfId="51050" xr:uid="{B02DA688-7F38-4A07-A3AE-0D26AE41FE6F}"/>
    <cellStyle name="Moeda 2 2 2 2 4 2 3" xfId="49411" xr:uid="{15D8204D-9538-4EF3-BDE9-1C14B5AD649D}"/>
    <cellStyle name="Moeda 2 2 2 2 4 2 3 2" xfId="57042" xr:uid="{01456001-2842-4851-BDBE-8BC33B83FD24}"/>
    <cellStyle name="Moeda 2 2 2 2 4 2 4" xfId="52707" xr:uid="{4094AA6C-E21D-4AE9-9BB2-8E3943F0ACB1}"/>
    <cellStyle name="Moeda 2 2 2 2 4 2 5" xfId="47742" xr:uid="{55A396AF-6E0E-4F90-99BD-7A071D2C4325}"/>
    <cellStyle name="Moeda 2 2 2 2 4 3" xfId="1577" xr:uid="{33A46E17-5C59-4809-BDEA-5711F571AE62}"/>
    <cellStyle name="Moeda 2 2 2 2 4 3 2" xfId="3237" xr:uid="{4D1D3D47-CBCC-4BC4-92BC-F36FD683B901}"/>
    <cellStyle name="Moeda 2 2 2 2 4 3 2 2" xfId="54345" xr:uid="{E7EC752A-B526-4B60-A456-DEAA8D4A4D41}"/>
    <cellStyle name="Moeda 2 2 2 2 4 3 2 3" xfId="51051" xr:uid="{D67A60A0-F64E-45D2-91EA-A2E633A44CB6}"/>
    <cellStyle name="Moeda 2 2 2 2 4 3 3" xfId="49412" xr:uid="{5D27BDFF-5D4B-43EA-8D90-34370F0A1B20}"/>
    <cellStyle name="Moeda 2 2 2 2 4 3 3 2" xfId="57448" xr:uid="{9595BBF2-C1A6-4752-A433-058352116CD9}"/>
    <cellStyle name="Moeda 2 2 2 2 4 3 4" xfId="52708" xr:uid="{E07F5CA7-ADA2-42BF-8E05-00418E050A68}"/>
    <cellStyle name="Moeda 2 2 2 2 4 3 5" xfId="47743" xr:uid="{3003EE45-F872-4F57-A8BC-074293F36985}"/>
    <cellStyle name="Moeda 2 2 2 2 4 4" xfId="764" xr:uid="{29301016-7520-4149-A40E-6C00CD0DAA84}"/>
    <cellStyle name="Moeda 2 2 2 2 4 4 2" xfId="2480" xr:uid="{5A7BB292-A7B8-4499-9B89-4BFDF19BC7BE}"/>
    <cellStyle name="Moeda 2 2 2 2 4 4 2 2" xfId="54346" xr:uid="{B4C749F1-69AC-414D-AA78-A66D6F6C9ED0}"/>
    <cellStyle name="Moeda 2 2 2 2 4 4 2 3" xfId="51052" xr:uid="{2DB9EC9D-D314-49E1-A8A3-8B46FFDF79C6}"/>
    <cellStyle name="Moeda 2 2 2 2 4 4 3" xfId="49413" xr:uid="{774CEAE9-38C8-4536-B012-8D9987A8850C}"/>
    <cellStyle name="Moeda 2 2 2 2 4 4 3 2" xfId="56635" xr:uid="{0EE5262F-11B2-4458-BC65-9B3345B6A2DB}"/>
    <cellStyle name="Moeda 2 2 2 2 4 4 4" xfId="52709" xr:uid="{3B369E05-3CB9-4519-881C-7E439541D4D0}"/>
    <cellStyle name="Moeda 2 2 2 2 4 4 5" xfId="47744" xr:uid="{10BEAAC3-5999-496F-A74E-6F40466CDA29}"/>
    <cellStyle name="Moeda 2 2 2 2 4 5" xfId="3532" xr:uid="{983C708D-05E1-4AB3-B587-82E13174532D}"/>
    <cellStyle name="Moeda 2 2 2 2 4 5 2" xfId="51049" xr:uid="{BFF6E55D-3EE2-4DFE-89C9-8E6EE689870E}"/>
    <cellStyle name="Moeda 2 2 2 2 4 5 3" xfId="54343" xr:uid="{D7889389-5F74-4972-BD5D-5FDB65068424}"/>
    <cellStyle name="Moeda 2 2 2 2 4 5 4" xfId="47741" xr:uid="{DE947289-1083-46B6-BEBA-77A5526FAD9B}"/>
    <cellStyle name="Moeda 2 2 2 2 4 6" xfId="1881" xr:uid="{510338B9-764F-45DD-AD34-84304144729A}"/>
    <cellStyle name="Moeda 2 2 2 2 4 6 2" xfId="56226" xr:uid="{171A4E54-7FBD-4DB1-A1DB-0D190F9F471E}"/>
    <cellStyle name="Moeda 2 2 2 2 4 6 3" xfId="49410" xr:uid="{6EB4E736-3E8F-4565-9CB1-BC44D4E6A486}"/>
    <cellStyle name="Moeda 2 2 2 2 4 7" xfId="52706" xr:uid="{AC0F85FB-67F1-46EE-8C82-736FDB4B5189}"/>
    <cellStyle name="Moeda 2 2 2 2 4 8" xfId="47480" xr:uid="{1ABBAEE4-8B5D-4FBA-A5B9-DA2C4BAA67C2}"/>
    <cellStyle name="Moeda 2 2 2 2 4 9" xfId="4636" xr:uid="{A4006F03-A005-443A-BF33-E379CDD4D7F8}"/>
    <cellStyle name="Moeda 2 2 2 2 5" xfId="982" xr:uid="{B2FE2E98-1EC1-4109-9FB6-089E5B0AFEEA}"/>
    <cellStyle name="Moeda 2 2 2 2 5 2" xfId="3750" xr:uid="{410EBB5E-0D50-4E9C-A5CA-097F8F3A5350}"/>
    <cellStyle name="Moeda 2 2 2 2 5 2 2" xfId="51053" xr:uid="{A1C4F97C-4968-4535-9CB5-65CAE60813D5}"/>
    <cellStyle name="Moeda 2 2 2 2 5 2 3" xfId="54347" xr:uid="{5CA73C53-88C1-4D9E-87E0-5365BD278196}"/>
    <cellStyle name="Moeda 2 2 2 2 5 2 4" xfId="47745" xr:uid="{87BBB20C-E2DA-4BD8-AF06-2831FF5DA205}"/>
    <cellStyle name="Moeda 2 2 2 2 5 3" xfId="2696" xr:uid="{DD72B0A4-6255-4E98-B9D5-17DC79B49FEC}"/>
    <cellStyle name="Moeda 2 2 2 2 5 3 2" xfId="56853" xr:uid="{0FB58FF7-854C-48A9-97AB-D8EFB022C3C8}"/>
    <cellStyle name="Moeda 2 2 2 2 5 3 3" xfId="49414" xr:uid="{CC6699AF-4414-4483-AF5A-82A1AD7CCCCE}"/>
    <cellStyle name="Moeda 2 2 2 2 5 4" xfId="52710" xr:uid="{AB5BCC10-CD84-4EFE-B071-7B752D90FFB1}"/>
    <cellStyle name="Moeda 2 2 2 2 5 5" xfId="47606" xr:uid="{2E4B5BB8-9EF5-44CE-96A4-EE5530F23366}"/>
    <cellStyle name="Moeda 2 2 2 2 6" xfId="1388" xr:uid="{D4EC54BC-B44B-4827-964F-264A27CF01EC}"/>
    <cellStyle name="Moeda 2 2 2 2 6 2" xfId="3049" xr:uid="{401BC5B4-9E88-480E-891A-EF9A84ADB544}"/>
    <cellStyle name="Moeda 2 2 2 2 6 2 2" xfId="54348" xr:uid="{AC9AF1E8-21A2-413C-8675-1627F3E52BA1}"/>
    <cellStyle name="Moeda 2 2 2 2 6 2 3" xfId="51054" xr:uid="{0AF01846-5266-4700-BA1E-93B437537DB7}"/>
    <cellStyle name="Moeda 2 2 2 2 6 3" xfId="49415" xr:uid="{FE2619CE-8299-4B0E-A13F-71A6F77FE1D2}"/>
    <cellStyle name="Moeda 2 2 2 2 6 3 2" xfId="57259" xr:uid="{8DA841D1-271F-4520-85A3-41DFD98BAF5E}"/>
    <cellStyle name="Moeda 2 2 2 2 6 4" xfId="52711" xr:uid="{1F34165E-64CE-4F10-B2B4-4BDCB8F0A88F}"/>
    <cellStyle name="Moeda 2 2 2 2 6 5" xfId="47746" xr:uid="{57B07F26-2468-4C1E-AAD3-ACD04D4D20BD}"/>
    <cellStyle name="Moeda 2 2 2 2 7" xfId="575" xr:uid="{3A3DF53D-D831-452F-B51C-385F26A9BB28}"/>
    <cellStyle name="Moeda 2 2 2 2 7 2" xfId="2291" xr:uid="{2BF7A729-EEAE-425F-89FE-CFED7CFC0317}"/>
    <cellStyle name="Moeda 2 2 2 2 7 2 2" xfId="54349" xr:uid="{A7A14D9C-71D4-4FF7-9A60-61233A7C8AE4}"/>
    <cellStyle name="Moeda 2 2 2 2 7 2 3" xfId="51055" xr:uid="{00A8B7B9-D3A0-484D-8678-76794F0708A9}"/>
    <cellStyle name="Moeda 2 2 2 2 7 3" xfId="49416" xr:uid="{2DCA1972-8F2B-402F-B08F-477066B4ED71}"/>
    <cellStyle name="Moeda 2 2 2 2 7 3 2" xfId="56446" xr:uid="{A6428733-CFD0-4440-A771-D7B90C825297}"/>
    <cellStyle name="Moeda 2 2 2 2 7 4" xfId="52712" xr:uid="{BE4BF006-99B9-441E-A2ED-AF0025F1F98D}"/>
    <cellStyle name="Moeda 2 2 2 2 7 5" xfId="47747" xr:uid="{010853E1-0333-4CE9-8DEF-5FEA445A9B74}"/>
    <cellStyle name="Moeda 2 2 2 2 8" xfId="3422" xr:uid="{0D571E7B-DB49-46FD-982D-7C8DE36618CB}"/>
    <cellStyle name="Moeda 2 2 2 2 8 2" xfId="51032" xr:uid="{72EBFB56-D900-4011-A845-DC2943A37EDB}"/>
    <cellStyle name="Moeda 2 2 2 2 8 3" xfId="54326" xr:uid="{9B137361-7AFD-4037-BAA2-17A0D5613D24}"/>
    <cellStyle name="Moeda 2 2 2 2 8 4" xfId="47724" xr:uid="{802238E5-6163-4C90-A83B-2977B4F6FB1E}"/>
    <cellStyle name="Moeda 2 2 2 2 9" xfId="1770" xr:uid="{7F52F9D8-F547-47B3-A445-129C7509E2F5}"/>
    <cellStyle name="Moeda 2 2 2 2 9 2" xfId="56037" xr:uid="{BF19FF6E-AFB3-40A9-ACEC-008B133C3B2A}"/>
    <cellStyle name="Moeda 2 2 2 2 9 3" xfId="49393" xr:uid="{A3DA78EF-AFA7-472B-A425-767E0D52192D}"/>
    <cellStyle name="Moeda 2 2 2 3" xfId="192" xr:uid="{2B5E8848-FFC1-4FAA-8C79-09C4AB3C0586}"/>
    <cellStyle name="Moeda 2 2 2 3 10" xfId="4473" xr:uid="{87B10E1A-E98B-41FA-A47B-2B96BA5337D7}"/>
    <cellStyle name="Moeda 2 2 2 3 2" xfId="381" xr:uid="{A6143612-87DF-4B96-A4DA-F4BB349390E2}"/>
    <cellStyle name="Moeda 2 2 2 3 2 2" xfId="1197" xr:uid="{47EF832A-8061-4F8E-A686-22E85BFD76CC}"/>
    <cellStyle name="Moeda 2 2 2 3 2 2 2" xfId="2858" xr:uid="{643C12BF-729C-4832-A1C6-8BD970BDCF0D}"/>
    <cellStyle name="Moeda 2 2 2 3 2 2 2 2" xfId="54352" xr:uid="{362259AE-4005-4DBC-91B4-B4BC0F765EDF}"/>
    <cellStyle name="Moeda 2 2 2 3 2 2 2 3" xfId="51058" xr:uid="{CA9AA646-8A18-4B95-A49E-AEC50EFA5B77}"/>
    <cellStyle name="Moeda 2 2 2 3 2 2 3" xfId="49419" xr:uid="{5DB4DCEE-318D-41A4-A6F2-6E8B577C446C}"/>
    <cellStyle name="Moeda 2 2 2 3 2 2 3 2" xfId="57068" xr:uid="{6AA5A959-1E49-4340-B0E6-9599C194B747}"/>
    <cellStyle name="Moeda 2 2 2 3 2 2 4" xfId="52715" xr:uid="{7413835A-EFE4-43D6-9DD6-416818E6CD7B}"/>
    <cellStyle name="Moeda 2 2 2 3 2 2 5" xfId="47750" xr:uid="{1AB72525-7F77-4FB2-A5D5-3ED38E925757}"/>
    <cellStyle name="Moeda 2 2 2 3 2 3" xfId="1603" xr:uid="{63F3A3C6-1040-4E88-94D8-E04DFC47317B}"/>
    <cellStyle name="Moeda 2 2 2 3 2 3 2" xfId="3263" xr:uid="{4E322867-48CB-4B17-8D5C-A679393B5D39}"/>
    <cellStyle name="Moeda 2 2 2 3 2 3 2 2" xfId="54353" xr:uid="{04703756-8A20-466E-ABD0-7493A5E5D8AB}"/>
    <cellStyle name="Moeda 2 2 2 3 2 3 2 3" xfId="51059" xr:uid="{1C4E1186-6562-475D-8641-F7E8B0861F93}"/>
    <cellStyle name="Moeda 2 2 2 3 2 3 3" xfId="49420" xr:uid="{FF373B76-6C3D-46E3-AE75-19F6DEC60E4F}"/>
    <cellStyle name="Moeda 2 2 2 3 2 3 3 2" xfId="57474" xr:uid="{CF91DE4F-253F-4210-A31A-1878957136FD}"/>
    <cellStyle name="Moeda 2 2 2 3 2 3 4" xfId="52716" xr:uid="{CB0A106B-D149-43FC-B160-EC3B695E710E}"/>
    <cellStyle name="Moeda 2 2 2 3 2 3 5" xfId="47751" xr:uid="{9DAE09A6-EE30-475A-97B1-2F7C5594893B}"/>
    <cellStyle name="Moeda 2 2 2 3 2 4" xfId="790" xr:uid="{28BA36EB-7F3A-4F6D-BD24-2728ED8C956E}"/>
    <cellStyle name="Moeda 2 2 2 3 2 4 2" xfId="2506" xr:uid="{525E3B71-3591-4D2C-990F-DAFB54961746}"/>
    <cellStyle name="Moeda 2 2 2 3 2 4 2 2" xfId="54354" xr:uid="{B3A3CE0A-0647-46D8-9E43-1B80CADDAE8F}"/>
    <cellStyle name="Moeda 2 2 2 3 2 4 2 3" xfId="51060" xr:uid="{835C3F33-0A62-4CFB-A883-9B6A78720EC4}"/>
    <cellStyle name="Moeda 2 2 2 3 2 4 3" xfId="49421" xr:uid="{8547007C-5801-47D6-8349-05A00876B332}"/>
    <cellStyle name="Moeda 2 2 2 3 2 4 3 2" xfId="56661" xr:uid="{30CBCF8C-EA8F-4298-B748-B230AD1BB3EB}"/>
    <cellStyle name="Moeda 2 2 2 3 2 4 4" xfId="52717" xr:uid="{F1984024-8491-42A3-9C13-4D01CD89BA82}"/>
    <cellStyle name="Moeda 2 2 2 3 2 4 5" xfId="47752" xr:uid="{3257048E-76DD-4EEB-9877-1EDB0C3FBC08}"/>
    <cellStyle name="Moeda 2 2 2 3 2 5" xfId="3670" xr:uid="{6FF5D99C-46BC-445D-9402-99406F2C8360}"/>
    <cellStyle name="Moeda 2 2 2 3 2 5 2" xfId="51057" xr:uid="{41A2C8C3-91C7-4571-8346-12578DC7DD41}"/>
    <cellStyle name="Moeda 2 2 2 3 2 5 3" xfId="54351" xr:uid="{D0D2B27A-A81A-4002-9401-A92025261D88}"/>
    <cellStyle name="Moeda 2 2 2 3 2 5 4" xfId="47749" xr:uid="{F1F07490-4BDA-4FCD-B6E9-40209FC61E13}"/>
    <cellStyle name="Moeda 2 2 2 3 2 6" xfId="2019" xr:uid="{001524A5-21DE-49A4-B4A6-B70698C6C67F}"/>
    <cellStyle name="Moeda 2 2 2 3 2 6 2" xfId="56252" xr:uid="{480E913A-4995-4E54-BA61-DBC3089D86E3}"/>
    <cellStyle name="Moeda 2 2 2 3 2 6 3" xfId="49418" xr:uid="{01B420A6-7592-45A4-887F-F7F2F1EB84B3}"/>
    <cellStyle name="Moeda 2 2 2 3 2 7" xfId="52714" xr:uid="{20DAD1AD-DC68-4A97-91D3-168179AC3B77}"/>
    <cellStyle name="Moeda 2 2 2 3 2 8" xfId="47384" xr:uid="{F92DA0F6-96B6-4AC1-AE05-14C0C8964AED}"/>
    <cellStyle name="Moeda 2 2 2 3 2 9" xfId="4662" xr:uid="{E86B66EC-6A19-4C1A-A6A2-1FC655F1950C}"/>
    <cellStyle name="Moeda 2 2 2 3 3" xfId="1008" xr:uid="{41F3AF7D-31C1-499A-95DF-0C33D589461B}"/>
    <cellStyle name="Moeda 2 2 2 3 3 2" xfId="3561" xr:uid="{9364EB91-3C5B-4730-95E1-C000405F1C82}"/>
    <cellStyle name="Moeda 2 2 2 3 3 2 2" xfId="51061" xr:uid="{6ABA5FA6-9D0F-4D4D-830A-5ED8D65F15DB}"/>
    <cellStyle name="Moeda 2 2 2 3 3 2 3" xfId="54355" xr:uid="{7D25728C-98A7-4418-8768-34D4CAE11AD2}"/>
    <cellStyle name="Moeda 2 2 2 3 3 2 4" xfId="47753" xr:uid="{42B73922-1B0C-42FE-8A1C-A5874E26793C}"/>
    <cellStyle name="Moeda 2 2 2 3 3 3" xfId="1910" xr:uid="{7481B842-7AB6-4B21-8CB7-B5CFF1E932B2}"/>
    <cellStyle name="Moeda 2 2 2 3 3 3 2" xfId="56879" xr:uid="{E2F9DB2D-97B0-4700-9565-995C41DADF80}"/>
    <cellStyle name="Moeda 2 2 2 3 3 3 3" xfId="49422" xr:uid="{2910D4FB-1294-40CC-B3C1-B63CE4B0A301}"/>
    <cellStyle name="Moeda 2 2 2 3 3 4" xfId="52718" xr:uid="{3B93B7AB-25B3-4B33-A9B2-268B821B7A96}"/>
    <cellStyle name="Moeda 2 2 2 3 3 5" xfId="47510" xr:uid="{E32CB0A6-B86E-43A9-979D-60484D78B29F}"/>
    <cellStyle name="Moeda 2 2 2 3 4" xfId="1414" xr:uid="{FD3EBCCE-36A5-46E9-92D6-AFFE41D1D6C1}"/>
    <cellStyle name="Moeda 2 2 2 3 4 2" xfId="3779" xr:uid="{6F2A3037-947D-41C7-86C9-F61B6864C008}"/>
    <cellStyle name="Moeda 2 2 2 3 4 2 2" xfId="51062" xr:uid="{8BB9DB07-8DF4-4A7E-9D80-27454BBE05A6}"/>
    <cellStyle name="Moeda 2 2 2 3 4 2 3" xfId="54356" xr:uid="{13ECD638-7B8A-4DD3-B3BD-467D225B07FA}"/>
    <cellStyle name="Moeda 2 2 2 3 4 2 4" xfId="47754" xr:uid="{7A62A09F-0FEC-4432-B844-4C32AA8E8DA3}"/>
    <cellStyle name="Moeda 2 2 2 3 4 3" xfId="3075" xr:uid="{E03AA165-4BF1-48DE-814B-1FBBA6BC410F}"/>
    <cellStyle name="Moeda 2 2 2 3 4 3 2" xfId="57285" xr:uid="{B923ABB3-CEA9-40D2-86EE-0FCF9B2E97FE}"/>
    <cellStyle name="Moeda 2 2 2 3 4 3 3" xfId="49423" xr:uid="{FD2DD415-6E95-4E57-8E89-99BC25A61B75}"/>
    <cellStyle name="Moeda 2 2 2 3 4 4" xfId="52719" xr:uid="{84F1117A-D051-47A0-8BED-F7A47FF56338}"/>
    <cellStyle name="Moeda 2 2 2 3 4 5" xfId="47636" xr:uid="{B17AE062-2014-4DDB-AE3F-B46EC967EB61}"/>
    <cellStyle name="Moeda 2 2 2 3 5" xfId="601" xr:uid="{B35AE31B-89B3-48E6-A1AC-7247697F235D}"/>
    <cellStyle name="Moeda 2 2 2 3 5 2" xfId="2317" xr:uid="{0ABD6CF1-B155-429D-AA68-BF83FC907A55}"/>
    <cellStyle name="Moeda 2 2 2 3 5 2 2" xfId="54357" xr:uid="{C2CD6C8F-A715-4835-AC8C-EFEE26075BCA}"/>
    <cellStyle name="Moeda 2 2 2 3 5 2 3" xfId="51063" xr:uid="{92A93386-398F-4BC1-9A83-7958D757818E}"/>
    <cellStyle name="Moeda 2 2 2 3 5 3" xfId="49424" xr:uid="{FCB21A1A-77AF-4BA3-BEF0-E8A0F61E5FA7}"/>
    <cellStyle name="Moeda 2 2 2 3 5 3 2" xfId="56472" xr:uid="{3EEFFC72-BEF4-4EB6-BE26-F33CCCE98574}"/>
    <cellStyle name="Moeda 2 2 2 3 5 4" xfId="52720" xr:uid="{A4DD2640-21EC-491E-A6C9-B9A3BEC4FE70}"/>
    <cellStyle name="Moeda 2 2 2 3 5 5" xfId="47755" xr:uid="{D3D6C3E8-5D16-4C3E-865F-D946207EEA3F}"/>
    <cellStyle name="Moeda 2 2 2 3 6" xfId="3451" xr:uid="{A3EDCC92-DE70-4036-81F3-6E5D3CE60378}"/>
    <cellStyle name="Moeda 2 2 2 3 6 2" xfId="51056" xr:uid="{4CB56494-57D9-4E60-B3A7-A61141D2CA47}"/>
    <cellStyle name="Moeda 2 2 2 3 6 3" xfId="54350" xr:uid="{03250207-1345-47A7-A9DD-3B7437442E29}"/>
    <cellStyle name="Moeda 2 2 2 3 6 4" xfId="47748" xr:uid="{E246DD58-0426-46E3-9C50-06AB57934E1E}"/>
    <cellStyle name="Moeda 2 2 2 3 7" xfId="1800" xr:uid="{2E761751-099E-47D9-A899-ED15272C9DDD}"/>
    <cellStyle name="Moeda 2 2 2 3 7 2" xfId="56063" xr:uid="{48B7DAD2-1C89-4BF6-A3AA-4008EA9E8236}"/>
    <cellStyle name="Moeda 2 2 2 3 7 3" xfId="49417" xr:uid="{BB1BA136-9363-42A0-99ED-9EA3423F43F1}"/>
    <cellStyle name="Moeda 2 2 2 3 8" xfId="52713" xr:uid="{A3B14309-77D2-40D9-BBB5-4175EE194B12}"/>
    <cellStyle name="Moeda 2 2 2 3 9" xfId="32890" xr:uid="{2FC73CA4-E91C-4003-8201-EDADE9C86007}"/>
    <cellStyle name="Moeda 2 2 2 4" xfId="218" xr:uid="{323F3315-0A91-4E92-8A4E-826301783D78}"/>
    <cellStyle name="Moeda 2 2 2 4 10" xfId="4499" xr:uid="{781FA95B-A55C-4366-857F-FCBA078DA456}"/>
    <cellStyle name="Moeda 2 2 2 4 2" xfId="407" xr:uid="{114360FD-B7AB-4224-A2B5-DE145D2A5913}"/>
    <cellStyle name="Moeda 2 2 2 4 2 2" xfId="1223" xr:uid="{4BA45659-64B8-42EC-91A8-8409FB302B68}"/>
    <cellStyle name="Moeda 2 2 2 4 2 2 2" xfId="2884" xr:uid="{F5E9C8CE-B8E2-4032-9080-05EB557D49AF}"/>
    <cellStyle name="Moeda 2 2 2 4 2 2 2 2" xfId="54360" xr:uid="{3992E364-21C5-4EE8-BB37-F23D2CE4932B}"/>
    <cellStyle name="Moeda 2 2 2 4 2 2 2 3" xfId="51066" xr:uid="{85604FF4-1D6E-4C85-9077-B264A9D96CA1}"/>
    <cellStyle name="Moeda 2 2 2 4 2 2 3" xfId="49427" xr:uid="{21D65A4A-E230-42B6-8CE4-7C54509B78A6}"/>
    <cellStyle name="Moeda 2 2 2 4 2 2 3 2" xfId="57094" xr:uid="{D1BEB4EA-F14D-4E68-8C29-48FC6EC36D08}"/>
    <cellStyle name="Moeda 2 2 2 4 2 2 4" xfId="52723" xr:uid="{23305ECA-C73D-464F-B8B9-7A6DCB16568D}"/>
    <cellStyle name="Moeda 2 2 2 4 2 2 5" xfId="47758" xr:uid="{B5B92874-B6E8-43A4-B3F5-F903B2F3092F}"/>
    <cellStyle name="Moeda 2 2 2 4 2 3" xfId="1629" xr:uid="{D2C34202-40A4-440A-A0A7-2928306F7370}"/>
    <cellStyle name="Moeda 2 2 2 4 2 3 2" xfId="3289" xr:uid="{498A0412-652C-4ECD-84B2-23D308959711}"/>
    <cellStyle name="Moeda 2 2 2 4 2 3 2 2" xfId="54361" xr:uid="{49EFEFBD-3391-4721-8373-71C66528AB42}"/>
    <cellStyle name="Moeda 2 2 2 4 2 3 2 3" xfId="51067" xr:uid="{FEEB385F-AB50-44E4-9FF1-4F4B38EE0D62}"/>
    <cellStyle name="Moeda 2 2 2 4 2 3 3" xfId="49428" xr:uid="{8E169F77-FCD5-4855-AB03-88AE8145D329}"/>
    <cellStyle name="Moeda 2 2 2 4 2 3 3 2" xfId="57500" xr:uid="{AD9445EA-9224-4F92-AED5-A778446C7198}"/>
    <cellStyle name="Moeda 2 2 2 4 2 3 4" xfId="52724" xr:uid="{67E55216-E119-4879-AFB0-01484CAAFC03}"/>
    <cellStyle name="Moeda 2 2 2 4 2 3 5" xfId="47759" xr:uid="{AF89886B-1FEF-4AC3-AE75-FA6BCC71D070}"/>
    <cellStyle name="Moeda 2 2 2 4 2 4" xfId="816" xr:uid="{3F14AF64-6D36-4579-B285-6F7259A36DCC}"/>
    <cellStyle name="Moeda 2 2 2 4 2 4 2" xfId="2532" xr:uid="{75973B04-9B67-4672-8800-32CBA461627B}"/>
    <cellStyle name="Moeda 2 2 2 4 2 4 2 2" xfId="54362" xr:uid="{24FE1C38-236A-460D-93B0-229E75567D69}"/>
    <cellStyle name="Moeda 2 2 2 4 2 4 2 3" xfId="51068" xr:uid="{69E78FF8-8813-4C09-8378-6652D704F51C}"/>
    <cellStyle name="Moeda 2 2 2 4 2 4 3" xfId="49429" xr:uid="{88637038-56B4-410C-88CB-39EA8867BD8F}"/>
    <cellStyle name="Moeda 2 2 2 4 2 4 3 2" xfId="56687" xr:uid="{932ECE8D-93A7-435E-B023-72677B6C8640}"/>
    <cellStyle name="Moeda 2 2 2 4 2 4 4" xfId="52725" xr:uid="{007484F0-0244-41D2-918E-EE393BBF8D9B}"/>
    <cellStyle name="Moeda 2 2 2 4 2 4 5" xfId="47760" xr:uid="{D847EA6A-C15E-48EB-ABC1-E697F29714CB}"/>
    <cellStyle name="Moeda 2 2 2 4 2 5" xfId="2150" xr:uid="{75CCCDE4-8D9D-4D17-852B-D3C7D9A91B8B}"/>
    <cellStyle name="Moeda 2 2 2 4 2 5 2" xfId="54359" xr:uid="{9070AF3F-457B-4AA4-8516-1DF41EB2490B}"/>
    <cellStyle name="Moeda 2 2 2 4 2 5 3" xfId="51065" xr:uid="{35C66E80-9FD1-44AB-B510-3C2AEF0EA467}"/>
    <cellStyle name="Moeda 2 2 2 4 2 6" xfId="49426" xr:uid="{8FC2AE40-37A1-44E7-83A2-F3BD2685E6B0}"/>
    <cellStyle name="Moeda 2 2 2 4 2 6 2" xfId="56278" xr:uid="{48EFE677-570B-490D-9DB3-EF1CDC6C4DFD}"/>
    <cellStyle name="Moeda 2 2 2 4 2 7" xfId="52722" xr:uid="{5D3736AF-28B0-419B-9DF0-EFFD535F2B5A}"/>
    <cellStyle name="Moeda 2 2 2 4 2 8" xfId="47757" xr:uid="{1381D201-3AE4-4281-BEC9-5EDF42141FFF}"/>
    <cellStyle name="Moeda 2 2 2 4 2 9" xfId="4688" xr:uid="{48DD0B1B-0D81-4CD8-92AF-76CB8749FC22}"/>
    <cellStyle name="Moeda 2 2 2 4 3" xfId="1034" xr:uid="{B3892DF5-DDC8-4D4C-B215-0546588B1D46}"/>
    <cellStyle name="Moeda 2 2 2 4 3 2" xfId="2722" xr:uid="{7B80F388-1641-4C51-A0BB-83CE6F0A9010}"/>
    <cellStyle name="Moeda 2 2 2 4 3 2 2" xfId="54363" xr:uid="{9F8452A5-A133-434F-ADFF-56B85D0D178B}"/>
    <cellStyle name="Moeda 2 2 2 4 3 2 3" xfId="51069" xr:uid="{27B38850-498C-4AC9-B27E-8BFB301A0373}"/>
    <cellStyle name="Moeda 2 2 2 4 3 3" xfId="49430" xr:uid="{BA2F489B-EC0C-40A9-AFA7-FF735B84F51C}"/>
    <cellStyle name="Moeda 2 2 2 4 3 3 2" xfId="56905" xr:uid="{8DF8AB9A-6E0F-4592-BEDF-4E73A6083663}"/>
    <cellStyle name="Moeda 2 2 2 4 3 4" xfId="52726" xr:uid="{97134B4D-D550-462C-AFE7-91F83C551854}"/>
    <cellStyle name="Moeda 2 2 2 4 3 5" xfId="47761" xr:uid="{2055A541-81C3-4E0E-AAC7-05A347A0ED80}"/>
    <cellStyle name="Moeda 2 2 2 4 4" xfId="1440" xr:uid="{F5170A87-AE3B-4E4D-B39B-BD374F84BFFA}"/>
    <cellStyle name="Moeda 2 2 2 4 4 2" xfId="3101" xr:uid="{51E2A504-66F8-4BA4-8658-172F952708D1}"/>
    <cellStyle name="Moeda 2 2 2 4 4 2 2" xfId="54364" xr:uid="{6D733B87-B901-4504-9E71-965120BFCE4B}"/>
    <cellStyle name="Moeda 2 2 2 4 4 2 3" xfId="51070" xr:uid="{88549D8D-77BE-4E34-BEB4-94B8E34BF0CA}"/>
    <cellStyle name="Moeda 2 2 2 4 4 3" xfId="49431" xr:uid="{AF63DB3F-46FC-4A1A-B3F9-A79584176B8F}"/>
    <cellStyle name="Moeda 2 2 2 4 4 3 2" xfId="57311" xr:uid="{770FB024-7827-483A-9AF7-FAE0618F66E4}"/>
    <cellStyle name="Moeda 2 2 2 4 4 4" xfId="52727" xr:uid="{49F7FE0F-8F38-4EA2-838D-1B94C84BD25B}"/>
    <cellStyle name="Moeda 2 2 2 4 4 5" xfId="47762" xr:uid="{4EAD7605-16C3-411C-9260-071B8DDC898E}"/>
    <cellStyle name="Moeda 2 2 2 4 5" xfId="627" xr:uid="{682DBEA7-0B7D-462C-A57F-B14DEEB336AC}"/>
    <cellStyle name="Moeda 2 2 2 4 5 2" xfId="2343" xr:uid="{E2133128-7D43-48B8-B1C4-100BF8A3A2FC}"/>
    <cellStyle name="Moeda 2 2 2 4 5 2 2" xfId="54365" xr:uid="{2B6A7033-ED17-4203-91B3-5D305AC9A03A}"/>
    <cellStyle name="Moeda 2 2 2 4 5 2 3" xfId="51071" xr:uid="{6A23F491-5243-4CCC-8073-A15619047866}"/>
    <cellStyle name="Moeda 2 2 2 4 5 3" xfId="49432" xr:uid="{6EA24308-63C2-4EC2-BBE0-606D8488D232}"/>
    <cellStyle name="Moeda 2 2 2 4 5 3 2" xfId="56498" xr:uid="{D1479184-BBFC-4E6D-AAA7-B74C27BDB73D}"/>
    <cellStyle name="Moeda 2 2 2 4 5 4" xfId="52728" xr:uid="{8C0D064D-4824-41DC-B46F-7598A044DD1B}"/>
    <cellStyle name="Moeda 2 2 2 4 5 5" xfId="47763" xr:uid="{3C303928-9065-4624-8268-F2AB526C162E}"/>
    <cellStyle name="Moeda 2 2 2 4 6" xfId="3615" xr:uid="{D268C715-3E04-4AF2-82C1-B74A385DCF66}"/>
    <cellStyle name="Moeda 2 2 2 4 6 2" xfId="51064" xr:uid="{C04E6F39-6DD0-4271-9AF9-F53B1C70137D}"/>
    <cellStyle name="Moeda 2 2 2 4 6 3" xfId="54358" xr:uid="{B0B1305B-0B7F-49D9-83EF-D07F48975BD3}"/>
    <cellStyle name="Moeda 2 2 2 4 6 4" xfId="47756" xr:uid="{11A4707F-5797-4C0A-A788-47368F588DDC}"/>
    <cellStyle name="Moeda 2 2 2 4 7" xfId="1964" xr:uid="{9AEC2875-D69B-4673-BF2B-AF1362C8433C}"/>
    <cellStyle name="Moeda 2 2 2 4 7 2" xfId="56089" xr:uid="{ADF2F01D-D77E-4266-8C18-99D696642E70}"/>
    <cellStyle name="Moeda 2 2 2 4 7 3" xfId="49425" xr:uid="{59234B13-171D-4A5D-A235-CB464846A959}"/>
    <cellStyle name="Moeda 2 2 2 4 8" xfId="52721" xr:uid="{71620079-AE79-408B-AA57-76D030673BCA}"/>
    <cellStyle name="Moeda 2 2 2 4 9" xfId="47328" xr:uid="{4CB3628F-68EB-40ED-8FE7-3E1198C7BB98}"/>
    <cellStyle name="Moeda 2 2 2 5" xfId="270" xr:uid="{A46D3D34-C789-4B95-A1A5-7D508CDC3E3E}"/>
    <cellStyle name="Moeda 2 2 2 5 10" xfId="4551" xr:uid="{0BCDE75B-CA18-43EC-B734-4E1842649261}"/>
    <cellStyle name="Moeda 2 2 2 5 2" xfId="459" xr:uid="{39411124-3889-4937-A27F-14349511D5F3}"/>
    <cellStyle name="Moeda 2 2 2 5 2 2" xfId="1275" xr:uid="{BB104913-8867-4900-8467-FB511045ACD6}"/>
    <cellStyle name="Moeda 2 2 2 5 2 2 2" xfId="2936" xr:uid="{32426DD2-7C13-4CA1-A13C-08BF6A14DCB2}"/>
    <cellStyle name="Moeda 2 2 2 5 2 2 2 2" xfId="54368" xr:uid="{A3B8B81F-6DA2-4621-83D4-C6FD49EA6CB7}"/>
    <cellStyle name="Moeda 2 2 2 5 2 2 2 3" xfId="51074" xr:uid="{789A9D10-C89E-44C1-AEA9-E75FBC35E157}"/>
    <cellStyle name="Moeda 2 2 2 5 2 2 3" xfId="49435" xr:uid="{96798409-9AC6-44FB-A621-1F40A0F80CD6}"/>
    <cellStyle name="Moeda 2 2 2 5 2 2 3 2" xfId="57146" xr:uid="{E057F457-8A43-46A4-8194-85ED715EA3CA}"/>
    <cellStyle name="Moeda 2 2 2 5 2 2 4" xfId="52731" xr:uid="{D0CD9D40-3F28-4FB1-B0B6-22E2F477F425}"/>
    <cellStyle name="Moeda 2 2 2 5 2 2 5" xfId="47766" xr:uid="{57355FA8-F4D2-4AD0-8D0A-F5858006C624}"/>
    <cellStyle name="Moeda 2 2 2 5 2 3" xfId="1681" xr:uid="{15344752-081B-42A5-84F2-E46CF6F2B526}"/>
    <cellStyle name="Moeda 2 2 2 5 2 3 2" xfId="3341" xr:uid="{877FDBA3-100E-4C2E-A283-58F34C6C8AE8}"/>
    <cellStyle name="Moeda 2 2 2 5 2 3 2 2" xfId="54369" xr:uid="{D96CBF3B-11C5-41AE-8029-E451FEBA31FA}"/>
    <cellStyle name="Moeda 2 2 2 5 2 3 2 3" xfId="51075" xr:uid="{FF12EF2A-AB0D-4A6B-A004-E1738E96AD46}"/>
    <cellStyle name="Moeda 2 2 2 5 2 3 3" xfId="49436" xr:uid="{B5EB99E8-C657-4FDE-92CC-7D4E030B2769}"/>
    <cellStyle name="Moeda 2 2 2 5 2 3 3 2" xfId="57552" xr:uid="{40D53EDC-31A3-4C4D-8E49-892E3C0E3BA4}"/>
    <cellStyle name="Moeda 2 2 2 5 2 3 4" xfId="52732" xr:uid="{D59D791C-E8FA-4C6F-8DED-824309E1CC88}"/>
    <cellStyle name="Moeda 2 2 2 5 2 3 5" xfId="47767" xr:uid="{0559FFED-08B4-4D43-8DCB-64D07D3F55E1}"/>
    <cellStyle name="Moeda 2 2 2 5 2 4" xfId="868" xr:uid="{C78CC5DC-B593-47A8-A57B-B49A9A39BF3D}"/>
    <cellStyle name="Moeda 2 2 2 5 2 4 2" xfId="2584" xr:uid="{A45B2767-2501-4D31-9079-03308F98BE10}"/>
    <cellStyle name="Moeda 2 2 2 5 2 4 2 2" xfId="54370" xr:uid="{18D05B2A-1C74-4F87-A09B-5786562FEF07}"/>
    <cellStyle name="Moeda 2 2 2 5 2 4 2 3" xfId="51076" xr:uid="{4E17DDEC-904F-4F12-993F-93A3B6E0A318}"/>
    <cellStyle name="Moeda 2 2 2 5 2 4 3" xfId="49437" xr:uid="{8B23BDFE-CC68-4D54-A310-05377F10D0B1}"/>
    <cellStyle name="Moeda 2 2 2 5 2 4 3 2" xfId="56739" xr:uid="{F377BE8A-E0A8-491A-83B9-1BF02FE4A44E}"/>
    <cellStyle name="Moeda 2 2 2 5 2 4 4" xfId="52733" xr:uid="{20506810-97F9-4F95-9CD3-BF23A2EA3D04}"/>
    <cellStyle name="Moeda 2 2 2 5 2 4 5" xfId="47768" xr:uid="{75D47824-0AB1-4500-811B-09C4EF08A400}"/>
    <cellStyle name="Moeda 2 2 2 5 2 5" xfId="2176" xr:uid="{66F53725-A0B9-4DCC-95DD-16FB37019F4C}"/>
    <cellStyle name="Moeda 2 2 2 5 2 5 2" xfId="54367" xr:uid="{5062FDB3-23A3-4C3A-8DBA-8BB49E014A55}"/>
    <cellStyle name="Moeda 2 2 2 5 2 5 3" xfId="51073" xr:uid="{8B4F74EC-1947-4A74-9C3E-701BD2CA0040}"/>
    <cellStyle name="Moeda 2 2 2 5 2 6" xfId="49434" xr:uid="{999F4DFB-07B5-40F0-A90A-A4438637D4B9}"/>
    <cellStyle name="Moeda 2 2 2 5 2 6 2" xfId="56330" xr:uid="{0103F842-F449-4BE5-951D-F3EF44D92D81}"/>
    <cellStyle name="Moeda 2 2 2 5 2 7" xfId="52730" xr:uid="{352B1A4D-8532-4E29-8F7C-569617A20D6B}"/>
    <cellStyle name="Moeda 2 2 2 5 2 8" xfId="47765" xr:uid="{B9888BC2-48C9-4E86-B9B1-F7899DABBF9C}"/>
    <cellStyle name="Moeda 2 2 2 5 2 9" xfId="4740" xr:uid="{73E95C86-7437-4E87-B7E3-66BEDA3EB793}"/>
    <cellStyle name="Moeda 2 2 2 5 3" xfId="1086" xr:uid="{D1D4BC3E-F9FD-4BD9-AEC9-E2B7EFE0EAC3}"/>
    <cellStyle name="Moeda 2 2 2 5 3 2" xfId="2749" xr:uid="{DD7FEC7A-CDBD-40B3-9A50-689B448D919A}"/>
    <cellStyle name="Moeda 2 2 2 5 3 2 2" xfId="54371" xr:uid="{D7E183AB-88EF-4560-9E59-743274AEFA48}"/>
    <cellStyle name="Moeda 2 2 2 5 3 2 3" xfId="51077" xr:uid="{C19DB834-CCFC-42C2-B91D-366A184B1303}"/>
    <cellStyle name="Moeda 2 2 2 5 3 3" xfId="49438" xr:uid="{1B9383F8-D4B4-4024-B37E-866936BB08B4}"/>
    <cellStyle name="Moeda 2 2 2 5 3 3 2" xfId="56957" xr:uid="{66D0857E-4F33-4139-B774-807346FE4DD1}"/>
    <cellStyle name="Moeda 2 2 2 5 3 4" xfId="52734" xr:uid="{EBF1ABFE-4F65-4E39-8C0E-D4A6CB08F838}"/>
    <cellStyle name="Moeda 2 2 2 5 3 5" xfId="47769" xr:uid="{C6D5632F-63F4-474C-9F7C-7C7ECC6472E8}"/>
    <cellStyle name="Moeda 2 2 2 5 4" xfId="1492" xr:uid="{3D67B13C-F034-4F8E-B310-CADEA3CF210E}"/>
    <cellStyle name="Moeda 2 2 2 5 4 2" xfId="3153" xr:uid="{B2CAB78C-E752-45C0-9F7A-F1FE877F84DE}"/>
    <cellStyle name="Moeda 2 2 2 5 4 2 2" xfId="54372" xr:uid="{1F49D552-2518-4762-B005-4463E581033E}"/>
    <cellStyle name="Moeda 2 2 2 5 4 2 3" xfId="51078" xr:uid="{5DADFB5D-7C00-4D90-B486-0637344087C6}"/>
    <cellStyle name="Moeda 2 2 2 5 4 3" xfId="49439" xr:uid="{AB5963E0-5410-4326-AFB7-0084D510386D}"/>
    <cellStyle name="Moeda 2 2 2 5 4 3 2" xfId="57363" xr:uid="{3A25B4A7-D22A-48D6-8DDE-3B990561F83C}"/>
    <cellStyle name="Moeda 2 2 2 5 4 4" xfId="52735" xr:uid="{F52AB0FD-CD38-4D5E-BD0D-571C5B2E3BAE}"/>
    <cellStyle name="Moeda 2 2 2 5 4 5" xfId="47770" xr:uid="{611896C3-5760-42CC-8B38-01EA327ED8A6}"/>
    <cellStyle name="Moeda 2 2 2 5 5" xfId="679" xr:uid="{86EB8E2D-0D2E-4A3D-AE65-4EC89708A307}"/>
    <cellStyle name="Moeda 2 2 2 5 5 2" xfId="2395" xr:uid="{E15B6F40-804A-4EA3-ADF5-254A86CE220A}"/>
    <cellStyle name="Moeda 2 2 2 5 5 2 2" xfId="54373" xr:uid="{8A416C88-3CD5-4F19-8C2D-CE2D5ED33916}"/>
    <cellStyle name="Moeda 2 2 2 5 5 2 3" xfId="51079" xr:uid="{73B12714-C968-4645-9FA4-70F7EBF6ACDE}"/>
    <cellStyle name="Moeda 2 2 2 5 5 3" xfId="49440" xr:uid="{9AFE713A-F132-4B58-AF00-56B6714E5685}"/>
    <cellStyle name="Moeda 2 2 2 5 5 3 2" xfId="56550" xr:uid="{6310037C-F212-4C5F-AB2F-0D3CBC76792C}"/>
    <cellStyle name="Moeda 2 2 2 5 5 4" xfId="52736" xr:uid="{9B386962-6C0F-4172-B06D-3BFC560F6CC5}"/>
    <cellStyle name="Moeda 2 2 2 5 5 5" xfId="47771" xr:uid="{A85DBC73-D6E7-4E3E-A289-2F7A800C97D6}"/>
    <cellStyle name="Moeda 2 2 2 5 6" xfId="3506" xr:uid="{BE938821-8752-43D0-8C1B-CFB9897EA1AC}"/>
    <cellStyle name="Moeda 2 2 2 5 6 2" xfId="51072" xr:uid="{EFB3E1D5-C680-4198-ACDA-49D692D16781}"/>
    <cellStyle name="Moeda 2 2 2 5 6 3" xfId="54366" xr:uid="{933A298D-DCE3-4168-91B9-ED90E5BB9CDA}"/>
    <cellStyle name="Moeda 2 2 2 5 6 4" xfId="47764" xr:uid="{DBF905C0-71E4-4117-8F03-80A54F38DF64}"/>
    <cellStyle name="Moeda 2 2 2 5 7" xfId="1855" xr:uid="{104EDB9D-42FF-42A2-B89C-F67C7DAF26CD}"/>
    <cellStyle name="Moeda 2 2 2 5 7 2" xfId="56141" xr:uid="{855C1AD2-6F36-4D48-A630-783E120A9BF2}"/>
    <cellStyle name="Moeda 2 2 2 5 7 3" xfId="49433" xr:uid="{F25D4F49-9779-42D9-A448-E8B8FA748DA1}"/>
    <cellStyle name="Moeda 2 2 2 5 8" xfId="52729" xr:uid="{4299EFDA-72B5-4DB1-87EE-8383AB1233CF}"/>
    <cellStyle name="Moeda 2 2 2 5 9" xfId="47454" xr:uid="{669B7715-F133-482A-AAD7-4649B46943F6}"/>
    <cellStyle name="Moeda 2 2 2 6" xfId="326" xr:uid="{E3CFBF0E-54C5-48E8-A5D6-E2EA7B158E92}"/>
    <cellStyle name="Moeda 2 2 2 6 2" xfId="1142" xr:uid="{08AEF212-3E8D-40C5-A5BC-94BB6211A122}"/>
    <cellStyle name="Moeda 2 2 2 6 2 2" xfId="2804" xr:uid="{D378DB79-F758-4C5A-8F20-687800513E68}"/>
    <cellStyle name="Moeda 2 2 2 6 2 2 2" xfId="54375" xr:uid="{37480D23-A112-4BD4-8B63-B71050C56883}"/>
    <cellStyle name="Moeda 2 2 2 6 2 2 3" xfId="51081" xr:uid="{C9D299E4-487B-4FC2-A059-C6F35216F679}"/>
    <cellStyle name="Moeda 2 2 2 6 2 3" xfId="49442" xr:uid="{F66499F8-DE82-4EFC-9378-33CA5B6E1051}"/>
    <cellStyle name="Moeda 2 2 2 6 2 3 2" xfId="57013" xr:uid="{BEA1F3E8-2901-45C3-A16F-F4BDFDDF4C22}"/>
    <cellStyle name="Moeda 2 2 2 6 2 4" xfId="52738" xr:uid="{F3D5DBF2-362C-4782-968A-02ACFA62D476}"/>
    <cellStyle name="Moeda 2 2 2 6 2 5" xfId="47773" xr:uid="{C2A67BCF-20BD-41DD-B32C-B370110918C2}"/>
    <cellStyle name="Moeda 2 2 2 6 3" xfId="1548" xr:uid="{C0401DE1-F560-4803-A1C9-47CF1DF6DBA9}"/>
    <cellStyle name="Moeda 2 2 2 6 3 2" xfId="3209" xr:uid="{3FF542BD-AB80-4DAF-9367-CE3CD502182C}"/>
    <cellStyle name="Moeda 2 2 2 6 3 2 2" xfId="54376" xr:uid="{91C2BA54-4D49-4CEE-B02F-78E09B8AC801}"/>
    <cellStyle name="Moeda 2 2 2 6 3 2 3" xfId="51082" xr:uid="{EDFCE891-E72A-4235-BE11-34B8EE8A7315}"/>
    <cellStyle name="Moeda 2 2 2 6 3 3" xfId="49443" xr:uid="{9CBF04EF-EB3B-48EF-8838-3EF8C25F7AB4}"/>
    <cellStyle name="Moeda 2 2 2 6 3 3 2" xfId="57419" xr:uid="{1FE43880-1708-4683-AE60-38B688CA68DE}"/>
    <cellStyle name="Moeda 2 2 2 6 3 4" xfId="52739" xr:uid="{E68917C3-E97F-4429-ADEF-94368A097984}"/>
    <cellStyle name="Moeda 2 2 2 6 3 5" xfId="47774" xr:uid="{D86A2591-B40B-47EB-82CF-0D57A74CCEFE}"/>
    <cellStyle name="Moeda 2 2 2 6 4" xfId="735" xr:uid="{22D81BC0-F74C-43B1-B0FC-A83DD5F65556}"/>
    <cellStyle name="Moeda 2 2 2 6 4 2" xfId="2451" xr:uid="{BDEE1D7C-218D-4B78-BEA6-BA0E4F1DF161}"/>
    <cellStyle name="Moeda 2 2 2 6 4 2 2" xfId="54377" xr:uid="{A05933A8-0DCD-4D16-AF57-E92993121D39}"/>
    <cellStyle name="Moeda 2 2 2 6 4 2 3" xfId="51083" xr:uid="{0385A67F-4862-4E32-824A-F33C4675D83B}"/>
    <cellStyle name="Moeda 2 2 2 6 4 3" xfId="49444" xr:uid="{A41A1E64-974A-498E-82C1-3AC1E77679C0}"/>
    <cellStyle name="Moeda 2 2 2 6 4 3 2" xfId="56606" xr:uid="{8E057131-7275-44F9-826A-5734D5997AAB}"/>
    <cellStyle name="Moeda 2 2 2 6 4 4" xfId="52740" xr:uid="{7D001179-09CD-4056-9954-2DFC5844A77C}"/>
    <cellStyle name="Moeda 2 2 2 6 4 5" xfId="47775" xr:uid="{BDB1748D-50C6-4467-9129-D0AEB11666DD}"/>
    <cellStyle name="Moeda 2 2 2 6 5" xfId="3724" xr:uid="{C50ACC36-3D5F-4A63-B5C7-A51827ECE132}"/>
    <cellStyle name="Moeda 2 2 2 6 5 2" xfId="51080" xr:uid="{AF859086-34D4-4E36-81C7-495089F50CB0}"/>
    <cellStyle name="Moeda 2 2 2 6 5 3" xfId="54374" xr:uid="{AA67F2B6-7769-46C3-A0A5-730BBD265F74}"/>
    <cellStyle name="Moeda 2 2 2 6 5 4" xfId="47772" xr:uid="{DAF40F17-3A89-4D4E-AD43-DD25AD97F683}"/>
    <cellStyle name="Moeda 2 2 2 6 6" xfId="2127" xr:uid="{DD39FA59-6C9B-41D3-AD74-DFE62E24E33F}"/>
    <cellStyle name="Moeda 2 2 2 6 6 2" xfId="56197" xr:uid="{4CEFACA6-C77D-4B67-AEB1-0F34E5688D88}"/>
    <cellStyle name="Moeda 2 2 2 6 6 3" xfId="49441" xr:uid="{0AEBC431-BFEE-450E-8D1D-A344875051F0}"/>
    <cellStyle name="Moeda 2 2 2 6 7" xfId="52737" xr:uid="{8397551B-1028-43E4-A87C-CEF4E53C6264}"/>
    <cellStyle name="Moeda 2 2 2 6 8" xfId="47580" xr:uid="{4ABE575B-4630-4C7A-A676-7F649D1E9245}"/>
    <cellStyle name="Moeda 2 2 2 6 9" xfId="4607" xr:uid="{2CA5F145-E82C-480B-86BF-84237F4C4666}"/>
    <cellStyle name="Moeda 2 2 2 7" xfId="953" xr:uid="{9150347E-6989-4C00-BF07-49353F204DE4}"/>
    <cellStyle name="Moeda 2 2 2 7 2" xfId="2668" xr:uid="{C2C34D8A-9016-4295-B0A9-795234421032}"/>
    <cellStyle name="Moeda 2 2 2 7 2 2" xfId="54378" xr:uid="{BC7B60A3-08EE-4C13-89FC-DE4D86F46DB3}"/>
    <cellStyle name="Moeda 2 2 2 7 2 3" xfId="51084" xr:uid="{D20F1178-9F8F-4150-9B01-91C93546653B}"/>
    <cellStyle name="Moeda 2 2 2 7 3" xfId="49445" xr:uid="{B6C7475A-CDC9-4210-BC59-0FCFAC1A935C}"/>
    <cellStyle name="Moeda 2 2 2 7 3 2" xfId="56824" xr:uid="{2CCD9A34-861D-4895-B786-63735EAF3B39}"/>
    <cellStyle name="Moeda 2 2 2 7 4" xfId="52741" xr:uid="{967BB262-D374-4F5F-8C45-F737E8FA701E}"/>
    <cellStyle name="Moeda 2 2 2 7 5" xfId="47776" xr:uid="{06D65585-A88A-4D1A-BEE0-A1D2A8CAF3E9}"/>
    <cellStyle name="Moeda 2 2 2 8" xfId="1359" xr:uid="{D74933C9-073E-4811-8E13-D1E249336B6B}"/>
    <cellStyle name="Moeda 2 2 2 8 2" xfId="3020" xr:uid="{699F0E1B-37FD-49D3-9CDF-0446885392F4}"/>
    <cellStyle name="Moeda 2 2 2 8 2 2" xfId="54379" xr:uid="{CA0D5934-561A-4012-A4CC-F00827A4F169}"/>
    <cellStyle name="Moeda 2 2 2 8 2 3" xfId="51085" xr:uid="{2550D9EB-EF4B-4370-A7E8-1B1451F0EC92}"/>
    <cellStyle name="Moeda 2 2 2 8 3" xfId="49446" xr:uid="{4A97CA58-61DF-47D0-8C07-8A1DA3FC3ADF}"/>
    <cellStyle name="Moeda 2 2 2 8 3 2" xfId="57230" xr:uid="{B6F88CEE-0BE7-4F4B-AF86-0D2403F66B20}"/>
    <cellStyle name="Moeda 2 2 2 8 4" xfId="52742" xr:uid="{73343125-2E27-461A-B192-BC8D1AC12432}"/>
    <cellStyle name="Moeda 2 2 2 8 5" xfId="47777" xr:uid="{7D8CA20D-C75A-4A78-8601-8458C0F9C527}"/>
    <cellStyle name="Moeda 2 2 2 9" xfId="546" xr:uid="{EDD7DD64-8445-4E11-9BC3-00B34DA679BF}"/>
    <cellStyle name="Moeda 2 2 2 9 2" xfId="2262" xr:uid="{A568D820-56D9-41E2-8405-87E4EF1204F8}"/>
    <cellStyle name="Moeda 2 2 2 9 2 2" xfId="54380" xr:uid="{4F9B228A-D391-4E40-8E4D-CEF32E95C0FA}"/>
    <cellStyle name="Moeda 2 2 2 9 2 3" xfId="51086" xr:uid="{8011D8B4-333F-4FE6-8FC5-7EBB5761B85B}"/>
    <cellStyle name="Moeda 2 2 2 9 3" xfId="49447" xr:uid="{36A367BD-E953-4736-84B8-25FBC417CB6D}"/>
    <cellStyle name="Moeda 2 2 2 9 3 2" xfId="56417" xr:uid="{3973F484-4FA5-4192-B916-BC0194BBC682}"/>
    <cellStyle name="Moeda 2 2 2 9 4" xfId="52743" xr:uid="{F0D086A8-104C-419A-AD99-8FC1BF574506}"/>
    <cellStyle name="Moeda 2 2 2 9 5" xfId="47778" xr:uid="{4900F5A6-2BC7-4CC0-A38C-73C1EE367B5C}"/>
    <cellStyle name="Moeda 2 2 3" xfId="152" xr:uid="{B7F918F0-AACF-415D-A0E3-3A14E42C6768}"/>
    <cellStyle name="Moeda 2 2 3 10" xfId="52744" xr:uid="{C9FB7AAE-800C-44B0-9233-5A6BFB16B666}"/>
    <cellStyle name="Moeda 2 2 3 11" xfId="12562" xr:uid="{19A35FFA-3AC6-44EB-8A21-8BBF9E08B4C2}"/>
    <cellStyle name="Moeda 2 2 3 12" xfId="4433" xr:uid="{39789693-24DB-4A00-9F49-C52B2246248F}"/>
    <cellStyle name="Moeda 2 2 3 2" xfId="231" xr:uid="{2D533915-23FC-4285-9613-CDD9EC590B3E}"/>
    <cellStyle name="Moeda 2 2 3 2 10" xfId="4512" xr:uid="{BC900E0B-DCC7-4661-A7E3-EB6AC055168E}"/>
    <cellStyle name="Moeda 2 2 3 2 2" xfId="420" xr:uid="{2E3B0EC2-A8EC-438C-927C-3BF7130B83B6}"/>
    <cellStyle name="Moeda 2 2 3 2 2 2" xfId="1236" xr:uid="{5D78C437-356D-49C9-B310-2F617967C3D0}"/>
    <cellStyle name="Moeda 2 2 3 2 2 2 2" xfId="2897" xr:uid="{A7137E69-F4AF-43E5-80E1-21B3C810F396}"/>
    <cellStyle name="Moeda 2 2 3 2 2 2 2 2" xfId="54384" xr:uid="{BA7EA3CB-4E62-4816-AC2A-641FFA5C6E40}"/>
    <cellStyle name="Moeda 2 2 3 2 2 2 2 3" xfId="51090" xr:uid="{E2A9AFD6-1389-4343-A6B8-0F843F3604CF}"/>
    <cellStyle name="Moeda 2 2 3 2 2 2 3" xfId="49451" xr:uid="{FD7670D2-4609-4F77-A3DB-A8DEBFBECE71}"/>
    <cellStyle name="Moeda 2 2 3 2 2 2 3 2" xfId="57107" xr:uid="{53131A6F-26D4-42E0-AB7D-72A41C66ACB7}"/>
    <cellStyle name="Moeda 2 2 3 2 2 2 4" xfId="52747" xr:uid="{A4870CC5-9F3D-4B42-BE72-EA400B5E90B7}"/>
    <cellStyle name="Moeda 2 2 3 2 2 2 5" xfId="47782" xr:uid="{6825B2A1-4678-4468-9C4E-4DCA62DFD36B}"/>
    <cellStyle name="Moeda 2 2 3 2 2 3" xfId="1642" xr:uid="{079967A9-AC73-4F95-8F7B-1744FFD3CA0D}"/>
    <cellStyle name="Moeda 2 2 3 2 2 3 2" xfId="3302" xr:uid="{5AF1BE46-B089-43A9-B75F-D5A678D96F13}"/>
    <cellStyle name="Moeda 2 2 3 2 2 3 2 2" xfId="54385" xr:uid="{E4D52D78-937E-4814-A5CC-B16F39418E7F}"/>
    <cellStyle name="Moeda 2 2 3 2 2 3 2 3" xfId="51091" xr:uid="{322CFE0F-A5A8-40E8-A72E-3706539178CB}"/>
    <cellStyle name="Moeda 2 2 3 2 2 3 3" xfId="49452" xr:uid="{D28D27F6-FAD8-4960-8688-F25443D0FF97}"/>
    <cellStyle name="Moeda 2 2 3 2 2 3 3 2" xfId="57513" xr:uid="{7BF86211-7BA8-43E9-A1A4-2D81DE3191B2}"/>
    <cellStyle name="Moeda 2 2 3 2 2 3 4" xfId="52748" xr:uid="{D5895C7E-15A6-40A2-B0CA-8F3861F795F1}"/>
    <cellStyle name="Moeda 2 2 3 2 2 3 5" xfId="47783" xr:uid="{98D09A73-2A85-460E-B901-7815A0B6F654}"/>
    <cellStyle name="Moeda 2 2 3 2 2 4" xfId="829" xr:uid="{08BA5842-780C-484A-A3D3-8983441A819F}"/>
    <cellStyle name="Moeda 2 2 3 2 2 4 2" xfId="2545" xr:uid="{00F25430-FE15-4797-B950-727997D022F5}"/>
    <cellStyle name="Moeda 2 2 3 2 2 4 2 2" xfId="54386" xr:uid="{A35B4426-B21C-4B92-AF86-186AA3316921}"/>
    <cellStyle name="Moeda 2 2 3 2 2 4 2 3" xfId="51092" xr:uid="{E5A0CC7C-2AC8-401E-87B7-34E6FD52B52C}"/>
    <cellStyle name="Moeda 2 2 3 2 2 4 3" xfId="49453" xr:uid="{3A6A5740-B638-4584-BE1B-0E059822B9B9}"/>
    <cellStyle name="Moeda 2 2 3 2 2 4 3 2" xfId="56700" xr:uid="{17876794-B5B5-4954-8A63-D114813AEC03}"/>
    <cellStyle name="Moeda 2 2 3 2 2 4 4" xfId="52749" xr:uid="{4D424FD3-F465-40AA-8700-9EA0B920419B}"/>
    <cellStyle name="Moeda 2 2 3 2 2 4 5" xfId="47784" xr:uid="{E167B544-48C8-410F-97B5-E10736B6EEEC}"/>
    <cellStyle name="Moeda 2 2 3 2 2 5" xfId="3683" xr:uid="{6412E0AB-983B-4C8B-A7A0-69C04DCD3CC3}"/>
    <cellStyle name="Moeda 2 2 3 2 2 5 2" xfId="51089" xr:uid="{0E4FE167-D2C4-4D7E-8D0E-15B0985C5146}"/>
    <cellStyle name="Moeda 2 2 3 2 2 5 3" xfId="54383" xr:uid="{C3B88AFB-06E0-4670-BC9E-672471BFC0C2}"/>
    <cellStyle name="Moeda 2 2 3 2 2 5 4" xfId="47781" xr:uid="{0E665F0E-97D0-4F2A-8B18-D79F01627680}"/>
    <cellStyle name="Moeda 2 2 3 2 2 6" xfId="2032" xr:uid="{E5F459A7-FE5C-4FD6-ADDE-3BA9FF292DD2}"/>
    <cellStyle name="Moeda 2 2 3 2 2 6 2" xfId="56291" xr:uid="{7B29356A-A6A6-4D0F-A64E-32B8C60C272E}"/>
    <cellStyle name="Moeda 2 2 3 2 2 6 3" xfId="49450" xr:uid="{41EFFFF6-3F60-45EE-8DB4-40ABDAF3D2AA}"/>
    <cellStyle name="Moeda 2 2 3 2 2 7" xfId="52746" xr:uid="{D91547EF-B514-41C2-A3DF-71AD74838F2E}"/>
    <cellStyle name="Moeda 2 2 3 2 2 8" xfId="47397" xr:uid="{CD72B57D-53CC-4E74-B256-2E6E47708C7B}"/>
    <cellStyle name="Moeda 2 2 3 2 2 9" xfId="4701" xr:uid="{9154972F-476B-4B39-8E89-50F689122F48}"/>
    <cellStyle name="Moeda 2 2 3 2 3" xfId="1047" xr:uid="{A9005431-D508-4E52-BDDA-12CC8EF4D1E7}"/>
    <cellStyle name="Moeda 2 2 3 2 3 2" xfId="3574" xr:uid="{EE5B5C8E-F8B1-453F-9816-2F8AB4C2630B}"/>
    <cellStyle name="Moeda 2 2 3 2 3 2 2" xfId="51093" xr:uid="{7AB8829B-80DE-4C53-9C5E-8B21D8C355DD}"/>
    <cellStyle name="Moeda 2 2 3 2 3 2 3" xfId="54387" xr:uid="{A6395C65-F302-44CA-947F-4514F84230DF}"/>
    <cellStyle name="Moeda 2 2 3 2 3 2 4" xfId="47785" xr:uid="{22F40E57-C93D-4102-A44F-8C725C55BA72}"/>
    <cellStyle name="Moeda 2 2 3 2 3 3" xfId="1923" xr:uid="{8D26AB9E-1A50-4C2E-A284-F21C6BC63B77}"/>
    <cellStyle name="Moeda 2 2 3 2 3 3 2" xfId="56918" xr:uid="{7AE054D1-1C18-4A41-BA90-B0BA03F90FD3}"/>
    <cellStyle name="Moeda 2 2 3 2 3 3 3" xfId="49454" xr:uid="{A379D610-8988-4E9A-91F7-B22E84E26834}"/>
    <cellStyle name="Moeda 2 2 3 2 3 4" xfId="52750" xr:uid="{3A4DAB43-B816-4EC0-AF1B-9324C19CA9DA}"/>
    <cellStyle name="Moeda 2 2 3 2 3 5" xfId="47523" xr:uid="{3A18BC05-C9D0-4FA9-8985-2B190611760E}"/>
    <cellStyle name="Moeda 2 2 3 2 4" xfId="1453" xr:uid="{E808FAFA-C6BA-4014-8B35-E0592C0E6D9E}"/>
    <cellStyle name="Moeda 2 2 3 2 4 2" xfId="3792" xr:uid="{AF4E65E5-C858-4666-BF48-6D57088B301A}"/>
    <cellStyle name="Moeda 2 2 3 2 4 2 2" xfId="51094" xr:uid="{2782030E-A98A-46AF-A4E4-FB6EF7F1898A}"/>
    <cellStyle name="Moeda 2 2 3 2 4 2 3" xfId="54388" xr:uid="{71F0C4F6-8F42-4D7A-80C4-FAF7B402515D}"/>
    <cellStyle name="Moeda 2 2 3 2 4 2 4" xfId="47786" xr:uid="{05D637A1-0536-434B-A4BD-D708306B574E}"/>
    <cellStyle name="Moeda 2 2 3 2 4 3" xfId="3114" xr:uid="{EA0E34E6-EB92-49E7-8E5A-3994AAA47C2F}"/>
    <cellStyle name="Moeda 2 2 3 2 4 3 2" xfId="57324" xr:uid="{8C2905DA-FD4A-4594-A223-4EFA749E2D3F}"/>
    <cellStyle name="Moeda 2 2 3 2 4 3 3" xfId="49455" xr:uid="{3E3AF6A1-06E0-4581-A74F-38A80A2ACBE4}"/>
    <cellStyle name="Moeda 2 2 3 2 4 4" xfId="52751" xr:uid="{150BEC16-01F2-482C-A209-C3B7B6A758B2}"/>
    <cellStyle name="Moeda 2 2 3 2 4 5" xfId="47649" xr:uid="{E64594BC-4323-4B4D-A814-FCB7C5588C09}"/>
    <cellStyle name="Moeda 2 2 3 2 5" xfId="640" xr:uid="{A373FAAC-8DD7-4675-863A-6F744209671A}"/>
    <cellStyle name="Moeda 2 2 3 2 5 2" xfId="2356" xr:uid="{42E51EFE-4DA9-4E0B-B4B2-5853A8F33E44}"/>
    <cellStyle name="Moeda 2 2 3 2 5 2 2" xfId="54389" xr:uid="{2F3EF86C-B08D-4961-945F-FF69169785D5}"/>
    <cellStyle name="Moeda 2 2 3 2 5 2 3" xfId="51095" xr:uid="{5274B79D-DE05-418E-B542-F02670263E39}"/>
    <cellStyle name="Moeda 2 2 3 2 5 3" xfId="49456" xr:uid="{3F8C026F-B10D-4DDF-8669-D2E62FA48463}"/>
    <cellStyle name="Moeda 2 2 3 2 5 3 2" xfId="56511" xr:uid="{447E5501-05FF-478C-B264-B70CFF979A92}"/>
    <cellStyle name="Moeda 2 2 3 2 5 4" xfId="52752" xr:uid="{0E1DEDBC-EF3D-4582-B31A-B2DAEFF368D3}"/>
    <cellStyle name="Moeda 2 2 3 2 5 5" xfId="47787" xr:uid="{9AF7479F-241A-4AF9-9D6D-A7BA0BCF2B7A}"/>
    <cellStyle name="Moeda 2 2 3 2 6" xfId="3464" xr:uid="{78DB68EB-45B4-44D6-832F-627EACCB696A}"/>
    <cellStyle name="Moeda 2 2 3 2 6 2" xfId="51088" xr:uid="{3C023BF2-4DA4-454C-9663-7CC56ED44773}"/>
    <cellStyle name="Moeda 2 2 3 2 6 3" xfId="54382" xr:uid="{CE01D727-68D3-443E-94E5-53F4A725080D}"/>
    <cellStyle name="Moeda 2 2 3 2 6 4" xfId="47780" xr:uid="{F8E0C5DE-B25C-4E37-BF58-39088B9D2FAB}"/>
    <cellStyle name="Moeda 2 2 3 2 7" xfId="1813" xr:uid="{9D3B9AD2-DD9C-45E1-AE3B-3DA65C151ACA}"/>
    <cellStyle name="Moeda 2 2 3 2 7 2" xfId="56102" xr:uid="{B5077058-383F-41F1-BCB4-CA4816F79792}"/>
    <cellStyle name="Moeda 2 2 3 2 7 3" xfId="49449" xr:uid="{5842A456-3CD9-4931-B6D3-70B6379AE8E1}"/>
    <cellStyle name="Moeda 2 2 3 2 8" xfId="52745" xr:uid="{22AD4206-196E-452D-9A4F-C1159BBD9E48}"/>
    <cellStyle name="Moeda 2 2 3 2 9" xfId="32903" xr:uid="{975185A2-B458-45B7-99C4-08860D6C1D5E}"/>
    <cellStyle name="Moeda 2 2 3 3" xfId="283" xr:uid="{C0C713A7-1504-42BD-B806-102490E1B369}"/>
    <cellStyle name="Moeda 2 2 3 3 10" xfId="4564" xr:uid="{5E5D60F7-F904-478B-BE56-2F1396EEB4A5}"/>
    <cellStyle name="Moeda 2 2 3 3 2" xfId="472" xr:uid="{6506775F-CB7E-49A1-A224-AF4DDEF213ED}"/>
    <cellStyle name="Moeda 2 2 3 3 2 2" xfId="1288" xr:uid="{6879044B-6348-41F2-B5CC-B2019DC2F514}"/>
    <cellStyle name="Moeda 2 2 3 3 2 2 2" xfId="2949" xr:uid="{B9E0DB21-5F85-4A87-9B5C-031278F7E5F1}"/>
    <cellStyle name="Moeda 2 2 3 3 2 2 2 2" xfId="54392" xr:uid="{ED673B17-E7CF-49FF-A1E0-88686BDA90CA}"/>
    <cellStyle name="Moeda 2 2 3 3 2 2 2 3" xfId="51098" xr:uid="{F3125819-4BCC-4AB7-BA64-04FF5449B134}"/>
    <cellStyle name="Moeda 2 2 3 3 2 2 3" xfId="49459" xr:uid="{4BCDC1FF-17A8-43D0-9F6B-97ADD956B9D1}"/>
    <cellStyle name="Moeda 2 2 3 3 2 2 3 2" xfId="57159" xr:uid="{92991E74-D990-4719-A342-95E4B735566B}"/>
    <cellStyle name="Moeda 2 2 3 3 2 2 4" xfId="52755" xr:uid="{C23E4E93-C136-4C2B-BAD2-7D80DCF24A77}"/>
    <cellStyle name="Moeda 2 2 3 3 2 2 5" xfId="47790" xr:uid="{9EC046EB-C3E3-46B8-B190-6CEB0C6E3224}"/>
    <cellStyle name="Moeda 2 2 3 3 2 3" xfId="1694" xr:uid="{325677AA-1C31-4DBE-878E-B15164584B40}"/>
    <cellStyle name="Moeda 2 2 3 3 2 3 2" xfId="3354" xr:uid="{F1A9D700-39EA-48D4-AA7A-8002A02E1482}"/>
    <cellStyle name="Moeda 2 2 3 3 2 3 2 2" xfId="54393" xr:uid="{158BFB8B-8CB2-402E-9598-82DAB0BC7341}"/>
    <cellStyle name="Moeda 2 2 3 3 2 3 2 3" xfId="51099" xr:uid="{0933B5A6-8322-4B49-BBCC-6F1C5FB52D23}"/>
    <cellStyle name="Moeda 2 2 3 3 2 3 3" xfId="49460" xr:uid="{08BED452-CEC8-4688-8D34-A6C94F344D21}"/>
    <cellStyle name="Moeda 2 2 3 3 2 3 3 2" xfId="57565" xr:uid="{9B632520-4188-4B44-B6E4-FA67A54D5324}"/>
    <cellStyle name="Moeda 2 2 3 3 2 3 4" xfId="52756" xr:uid="{9264390F-AAD0-4E1B-A8AB-998D322323A3}"/>
    <cellStyle name="Moeda 2 2 3 3 2 3 5" xfId="47791" xr:uid="{2D8BC043-3110-4175-860A-7658FF163B88}"/>
    <cellStyle name="Moeda 2 2 3 3 2 4" xfId="881" xr:uid="{06C60461-249C-44F8-8215-983C8AC3A3B9}"/>
    <cellStyle name="Moeda 2 2 3 3 2 4 2" xfId="2597" xr:uid="{A34C5C7A-E6D9-4DFB-A13B-5F3BF42471AB}"/>
    <cellStyle name="Moeda 2 2 3 3 2 4 2 2" xfId="54394" xr:uid="{C7AF6288-D066-4D64-94EB-98B034654C39}"/>
    <cellStyle name="Moeda 2 2 3 3 2 4 2 3" xfId="51100" xr:uid="{050AAEF4-7A71-4065-824D-BD351E57D713}"/>
    <cellStyle name="Moeda 2 2 3 3 2 4 3" xfId="49461" xr:uid="{2345ECC5-9630-4587-A308-B5E591F3117E}"/>
    <cellStyle name="Moeda 2 2 3 3 2 4 3 2" xfId="56752" xr:uid="{EEFE5F3C-FF1D-488A-8CD2-312F325F4089}"/>
    <cellStyle name="Moeda 2 2 3 3 2 4 4" xfId="52757" xr:uid="{295981A2-943A-438A-A55E-3F32B989CCCA}"/>
    <cellStyle name="Moeda 2 2 3 3 2 4 5" xfId="47792" xr:uid="{4557CAA9-B3EC-4F0B-BB14-FB808436828E}"/>
    <cellStyle name="Moeda 2 2 3 3 2 5" xfId="2189" xr:uid="{842A2B58-C63E-43E9-BE88-4810244F98F8}"/>
    <cellStyle name="Moeda 2 2 3 3 2 5 2" xfId="54391" xr:uid="{58B9DAC2-651F-471F-B93D-1271C67ACC32}"/>
    <cellStyle name="Moeda 2 2 3 3 2 5 3" xfId="51097" xr:uid="{6985A675-F140-4E59-A30F-3D97A233C428}"/>
    <cellStyle name="Moeda 2 2 3 3 2 6" xfId="49458" xr:uid="{5584CC2B-51F8-45CE-92C2-0A2E2F1BEDF6}"/>
    <cellStyle name="Moeda 2 2 3 3 2 6 2" xfId="56343" xr:uid="{F613C259-C5F3-4961-9884-6197D418B844}"/>
    <cellStyle name="Moeda 2 2 3 3 2 7" xfId="52754" xr:uid="{75FF66AC-70D6-4017-AFF4-15F558FD64E9}"/>
    <cellStyle name="Moeda 2 2 3 3 2 8" xfId="47789" xr:uid="{93C3C85A-574E-4DB4-ABCC-650E882F2D56}"/>
    <cellStyle name="Moeda 2 2 3 3 2 9" xfId="4753" xr:uid="{59DF14C8-49E6-4C9D-A65D-BF4BDBA516A3}"/>
    <cellStyle name="Moeda 2 2 3 3 3" xfId="1099" xr:uid="{C161A066-A601-42A5-A467-536206710E4D}"/>
    <cellStyle name="Moeda 2 2 3 3 3 2" xfId="2762" xr:uid="{3D1D5926-DCF0-4797-A52F-78919ACD4751}"/>
    <cellStyle name="Moeda 2 2 3 3 3 2 2" xfId="54395" xr:uid="{D16D993F-AF70-4585-996B-40B07FC97165}"/>
    <cellStyle name="Moeda 2 2 3 3 3 2 3" xfId="51101" xr:uid="{9CB3A42E-18F1-4C83-A507-B79B9AE6F0BD}"/>
    <cellStyle name="Moeda 2 2 3 3 3 3" xfId="49462" xr:uid="{DE842314-02E2-4917-8C5E-D01881726C84}"/>
    <cellStyle name="Moeda 2 2 3 3 3 3 2" xfId="56970" xr:uid="{DA650B86-4A23-4CAF-ACD0-5154F1FE25F5}"/>
    <cellStyle name="Moeda 2 2 3 3 3 4" xfId="52758" xr:uid="{A18DA698-33A3-443A-8016-BF349EB3F9D4}"/>
    <cellStyle name="Moeda 2 2 3 3 3 5" xfId="47793" xr:uid="{D69DBDA1-AFBA-46B3-BCEC-6777F3882D4F}"/>
    <cellStyle name="Moeda 2 2 3 3 4" xfId="1505" xr:uid="{98A56EA2-15BB-4705-9E37-E60130B6B09A}"/>
    <cellStyle name="Moeda 2 2 3 3 4 2" xfId="3166" xr:uid="{B435CAED-3744-4CF7-9343-2991FB20C7EC}"/>
    <cellStyle name="Moeda 2 2 3 3 4 2 2" xfId="54396" xr:uid="{AE85DD2C-CC54-46FF-9B37-0333CA6A16A8}"/>
    <cellStyle name="Moeda 2 2 3 3 4 2 3" xfId="51102" xr:uid="{0E52D9C7-3AE4-411B-A495-3D2CFC92534D}"/>
    <cellStyle name="Moeda 2 2 3 3 4 3" xfId="49463" xr:uid="{F590AD73-6804-4B7A-9301-0299CEBDBD2B}"/>
    <cellStyle name="Moeda 2 2 3 3 4 3 2" xfId="57376" xr:uid="{88304D0D-54A6-4561-ABC4-80173707914B}"/>
    <cellStyle name="Moeda 2 2 3 3 4 4" xfId="52759" xr:uid="{F8D323FC-EC9C-4547-B9F1-A595005F8AAD}"/>
    <cellStyle name="Moeda 2 2 3 3 4 5" xfId="47794" xr:uid="{B65F9981-5FEB-426A-B026-80DD5407BA68}"/>
    <cellStyle name="Moeda 2 2 3 3 5" xfId="692" xr:uid="{3F5D7B57-54EA-4889-8BAE-63BD19BD2270}"/>
    <cellStyle name="Moeda 2 2 3 3 5 2" xfId="2408" xr:uid="{45BABB22-E256-41A8-BA87-494C3BE08159}"/>
    <cellStyle name="Moeda 2 2 3 3 5 2 2" xfId="54397" xr:uid="{CA5D60DD-13A9-4B73-A1EF-9F945052753E}"/>
    <cellStyle name="Moeda 2 2 3 3 5 2 3" xfId="51103" xr:uid="{B3C32F0E-A3E4-40EA-A42A-2ACC4722E809}"/>
    <cellStyle name="Moeda 2 2 3 3 5 3" xfId="49464" xr:uid="{7EAA0843-F5F5-4D1E-8547-4AF8EB6554F4}"/>
    <cellStyle name="Moeda 2 2 3 3 5 3 2" xfId="56563" xr:uid="{A33439F8-14CD-41A4-AD4F-E7D90BD2B183}"/>
    <cellStyle name="Moeda 2 2 3 3 5 4" xfId="52760" xr:uid="{D94A0D5D-E51C-4110-924F-F95B4D48FCE6}"/>
    <cellStyle name="Moeda 2 2 3 3 5 5" xfId="47795" xr:uid="{A4F03E72-C7E9-4826-BF0F-FED45DA19B0B}"/>
    <cellStyle name="Moeda 2 2 3 3 6" xfId="3628" xr:uid="{BC5EE25E-E93A-4D8B-A188-C06A58140E06}"/>
    <cellStyle name="Moeda 2 2 3 3 6 2" xfId="51096" xr:uid="{B3C93815-7A0D-4C35-97B8-0C2A7B9AF289}"/>
    <cellStyle name="Moeda 2 2 3 3 6 3" xfId="54390" xr:uid="{AB03DD19-D308-4B7B-90EA-46676A8EF833}"/>
    <cellStyle name="Moeda 2 2 3 3 6 4" xfId="47788" xr:uid="{71B1FB6E-D4C9-4D06-8131-D295B14A1892}"/>
    <cellStyle name="Moeda 2 2 3 3 7" xfId="1977" xr:uid="{DBE1279F-3951-4774-AF7B-EAEEEB96CCC0}"/>
    <cellStyle name="Moeda 2 2 3 3 7 2" xfId="56154" xr:uid="{A3F1CC01-1329-4565-A349-A58C27ED43B7}"/>
    <cellStyle name="Moeda 2 2 3 3 7 3" xfId="49457" xr:uid="{99F3D2E3-CFA7-46AE-B369-9B10DD372752}"/>
    <cellStyle name="Moeda 2 2 3 3 8" xfId="52753" xr:uid="{6FE49508-63D7-49CB-98FD-9F351B6F6FE6}"/>
    <cellStyle name="Moeda 2 2 3 3 9" xfId="47341" xr:uid="{0CC1BF22-CF7C-4C42-BB6F-20E5EAE00EEC}"/>
    <cellStyle name="Moeda 2 2 3 4" xfId="341" xr:uid="{2EA1DFC2-8D25-49C2-943A-B159AEAC7EEC}"/>
    <cellStyle name="Moeda 2 2 3 4 2" xfId="1157" xr:uid="{E2482D23-10D9-469A-A671-70339E72D23A}"/>
    <cellStyle name="Moeda 2 2 3 4 2 2" xfId="2818" xr:uid="{2A5D27ED-C02C-475B-B2F1-D297C0F024DA}"/>
    <cellStyle name="Moeda 2 2 3 4 2 2 2" xfId="54399" xr:uid="{AB5FDD89-07F7-4557-BA7B-16A482A43400}"/>
    <cellStyle name="Moeda 2 2 3 4 2 2 3" xfId="51105" xr:uid="{FC9D6D87-FF1E-450C-8BE8-360D90BF5321}"/>
    <cellStyle name="Moeda 2 2 3 4 2 3" xfId="49466" xr:uid="{86E24D5C-F219-4F7D-905C-5D7FDF91975E}"/>
    <cellStyle name="Moeda 2 2 3 4 2 3 2" xfId="57028" xr:uid="{E08A240A-62F7-4B37-8FE7-5B49A0CA48D0}"/>
    <cellStyle name="Moeda 2 2 3 4 2 4" xfId="52762" xr:uid="{1A504DA1-EB2A-47CA-BCBA-1C886F5CE87F}"/>
    <cellStyle name="Moeda 2 2 3 4 2 5" xfId="47797" xr:uid="{26903BAB-706F-4232-8F1A-F13F02F47545}"/>
    <cellStyle name="Moeda 2 2 3 4 3" xfId="1563" xr:uid="{29C80177-FC42-4761-B4C0-CC2BCC90A264}"/>
    <cellStyle name="Moeda 2 2 3 4 3 2" xfId="3223" xr:uid="{3F0D8DA4-D27D-4BA2-912A-8BC35B3C9EF1}"/>
    <cellStyle name="Moeda 2 2 3 4 3 2 2" xfId="54400" xr:uid="{896A1594-C106-4115-A7DD-4B21EDF1FD68}"/>
    <cellStyle name="Moeda 2 2 3 4 3 2 3" xfId="51106" xr:uid="{CA279ECC-2693-47E6-907A-B643D8F9F318}"/>
    <cellStyle name="Moeda 2 2 3 4 3 3" xfId="49467" xr:uid="{1D20C895-D6B6-4E87-9DC9-B541307D14FE}"/>
    <cellStyle name="Moeda 2 2 3 4 3 3 2" xfId="57434" xr:uid="{817B7F00-565B-45BD-8152-6F7D6E314FC9}"/>
    <cellStyle name="Moeda 2 2 3 4 3 4" xfId="52763" xr:uid="{422847DE-4744-45CD-A84D-976EDBA2660F}"/>
    <cellStyle name="Moeda 2 2 3 4 3 5" xfId="47798" xr:uid="{D449227B-B1E7-42CA-ADD8-62325A4E3CD6}"/>
    <cellStyle name="Moeda 2 2 3 4 4" xfId="750" xr:uid="{48D95C78-82D2-42DB-BDC0-B03621337D4A}"/>
    <cellStyle name="Moeda 2 2 3 4 4 2" xfId="2466" xr:uid="{A67749F9-89F9-4252-8582-318D407AA969}"/>
    <cellStyle name="Moeda 2 2 3 4 4 2 2" xfId="54401" xr:uid="{86F43CE7-D0F4-4EB7-AD91-D7EDFB99A285}"/>
    <cellStyle name="Moeda 2 2 3 4 4 2 3" xfId="51107" xr:uid="{6C75ACB7-2F78-441B-83BE-0535900CFF77}"/>
    <cellStyle name="Moeda 2 2 3 4 4 3" xfId="49468" xr:uid="{C8B3856B-68E5-4ED1-890F-C2946483EF7D}"/>
    <cellStyle name="Moeda 2 2 3 4 4 3 2" xfId="56621" xr:uid="{17236589-3779-46E9-B11D-4FACB3F3FE33}"/>
    <cellStyle name="Moeda 2 2 3 4 4 4" xfId="52764" xr:uid="{CEA944B6-D1B7-45E4-B2F6-DD24D90E2C52}"/>
    <cellStyle name="Moeda 2 2 3 4 4 5" xfId="47799" xr:uid="{69537B56-5BCE-4AF9-A8BC-90277717B8BB}"/>
    <cellStyle name="Moeda 2 2 3 4 5" xfId="3519" xr:uid="{45D0B761-9BCE-4F48-8F79-0A67B516E73F}"/>
    <cellStyle name="Moeda 2 2 3 4 5 2" xfId="51104" xr:uid="{68B2FBEE-EA4A-4928-AAEF-D8694A6A16B0}"/>
    <cellStyle name="Moeda 2 2 3 4 5 3" xfId="54398" xr:uid="{B15888A7-20FB-4A7B-8B71-FFD59F5CD4CC}"/>
    <cellStyle name="Moeda 2 2 3 4 5 4" xfId="47796" xr:uid="{5BDAA8F6-C96E-4181-B3A6-956610F4A726}"/>
    <cellStyle name="Moeda 2 2 3 4 6" xfId="1868" xr:uid="{5F7219E0-FAF3-4FAA-9830-53218DC85256}"/>
    <cellStyle name="Moeda 2 2 3 4 6 2" xfId="56212" xr:uid="{0FA49AAA-972F-46C7-B8F1-80DCB3B29A53}"/>
    <cellStyle name="Moeda 2 2 3 4 6 3" xfId="49465" xr:uid="{CEC7744D-27B6-4F11-8B44-9938BA40587F}"/>
    <cellStyle name="Moeda 2 2 3 4 7" xfId="52761" xr:uid="{C6DB5AB8-C5FB-4AF2-B4C9-E898B3A47E87}"/>
    <cellStyle name="Moeda 2 2 3 4 8" xfId="47467" xr:uid="{AAD9E277-8320-48D7-AD6D-F8329897582F}"/>
    <cellStyle name="Moeda 2 2 3 4 9" xfId="4622" xr:uid="{D5722737-1AED-409B-A1CB-485970C86069}"/>
    <cellStyle name="Moeda 2 2 3 5" xfId="968" xr:uid="{0E2DCDDF-182C-4D25-856F-90648EE74B7F}"/>
    <cellStyle name="Moeda 2 2 3 5 2" xfId="3737" xr:uid="{CBAE9F78-C26D-4621-91D1-137AFE07A48D}"/>
    <cellStyle name="Moeda 2 2 3 5 2 2" xfId="51108" xr:uid="{6B043DB3-E9C7-4DE9-A924-E2941C27D723}"/>
    <cellStyle name="Moeda 2 2 3 5 2 3" xfId="54402" xr:uid="{85AD9437-BEEE-41C3-B600-A10A065A3C0C}"/>
    <cellStyle name="Moeda 2 2 3 5 2 4" xfId="47800" xr:uid="{9CD5FCD3-78F0-4AF2-9D6E-7F19AAE8F1EB}"/>
    <cellStyle name="Moeda 2 2 3 5 3" xfId="2683" xr:uid="{605C0B48-C443-4D26-939B-821CB4A63AB5}"/>
    <cellStyle name="Moeda 2 2 3 5 3 2" xfId="56839" xr:uid="{D6FBF063-3B37-49AB-B6AB-EA8460986B9F}"/>
    <cellStyle name="Moeda 2 2 3 5 3 3" xfId="49469" xr:uid="{D1B93E3C-808C-480C-9A21-5F8A9002B6B9}"/>
    <cellStyle name="Moeda 2 2 3 5 4" xfId="52765" xr:uid="{6BA49A0B-7A02-4593-9FA2-87D5D483FC7D}"/>
    <cellStyle name="Moeda 2 2 3 5 5" xfId="47593" xr:uid="{3EF66B4E-D656-4EC5-A94F-7F196CE3B6EB}"/>
    <cellStyle name="Moeda 2 2 3 6" xfId="1374" xr:uid="{D6BACD4C-D064-4CDE-AE84-41D9E502B28B}"/>
    <cellStyle name="Moeda 2 2 3 6 2" xfId="3035" xr:uid="{0DE08EBD-C4A4-4376-AD5D-E6AB0DA44CDD}"/>
    <cellStyle name="Moeda 2 2 3 6 2 2" xfId="54403" xr:uid="{D33E8E65-5660-46F5-85BB-4E09C2C99293}"/>
    <cellStyle name="Moeda 2 2 3 6 2 3" xfId="51109" xr:uid="{5AAA8E94-30B0-48AC-A12F-EF4712A82EB5}"/>
    <cellStyle name="Moeda 2 2 3 6 3" xfId="49470" xr:uid="{17CA0AF6-17A0-4112-9A2B-36DE278BAC81}"/>
    <cellStyle name="Moeda 2 2 3 6 3 2" xfId="57245" xr:uid="{591EED72-3B41-4650-99D5-9581C8EB4A25}"/>
    <cellStyle name="Moeda 2 2 3 6 4" xfId="52766" xr:uid="{9D640BB0-048E-49EF-8E0B-FAD80A149993}"/>
    <cellStyle name="Moeda 2 2 3 6 5" xfId="47801" xr:uid="{FBB2E77B-FAAA-490A-B845-245E36ADD041}"/>
    <cellStyle name="Moeda 2 2 3 7" xfId="561" xr:uid="{243B6223-FB10-434C-96F0-577B41545CE1}"/>
    <cellStyle name="Moeda 2 2 3 7 2" xfId="2277" xr:uid="{31F1190A-DAF0-44A2-8E96-8756F00F5240}"/>
    <cellStyle name="Moeda 2 2 3 7 2 2" xfId="54404" xr:uid="{FDDB9875-ABC1-4B8F-8409-64B01A2679FA}"/>
    <cellStyle name="Moeda 2 2 3 7 2 3" xfId="51110" xr:uid="{3DBD1566-CF85-4361-A2F5-0A99C64DBBD2}"/>
    <cellStyle name="Moeda 2 2 3 7 3" xfId="49471" xr:uid="{59C2C2EB-DAAA-4805-8923-605393B73D03}"/>
    <cellStyle name="Moeda 2 2 3 7 3 2" xfId="56432" xr:uid="{66BF1981-285C-41CA-9C76-D523FE760C91}"/>
    <cellStyle name="Moeda 2 2 3 7 4" xfId="52767" xr:uid="{3C86F929-FC94-469D-83F4-67499B872BBC}"/>
    <cellStyle name="Moeda 2 2 3 7 5" xfId="47802" xr:uid="{91C64C6C-6A5C-44C2-B519-17DFD2C1F7BA}"/>
    <cellStyle name="Moeda 2 2 3 8" xfId="3409" xr:uid="{91E2022E-BEF8-4089-821E-3907DD01823C}"/>
    <cellStyle name="Moeda 2 2 3 8 2" xfId="51087" xr:uid="{B1F49FC2-E9EA-46C0-85DA-409C3DAD6F5B}"/>
    <cellStyle name="Moeda 2 2 3 8 3" xfId="54381" xr:uid="{D43D5F88-601C-4176-9EDD-BE3728B7A711}"/>
    <cellStyle name="Moeda 2 2 3 8 4" xfId="47779" xr:uid="{402C6547-96BF-4585-AE28-1488CD3189A5}"/>
    <cellStyle name="Moeda 2 2 3 9" xfId="1757" xr:uid="{568FBE0B-A1B6-4EE6-B53D-B4C9A44932D1}"/>
    <cellStyle name="Moeda 2 2 3 9 2" xfId="56023" xr:uid="{7B1FE458-3ECC-42B9-89EB-DF769F266885}"/>
    <cellStyle name="Moeda 2 2 3 9 3" xfId="49448" xr:uid="{FBF192D1-B2FB-4F7F-8B95-BEF7FEDC3DF5}"/>
    <cellStyle name="Moeda 2 2 4" xfId="179" xr:uid="{2DD6D76D-A1BF-47D1-AE13-8CE169357DB5}"/>
    <cellStyle name="Moeda 2 2 4 10" xfId="4460" xr:uid="{434328BF-D5A0-4CD5-AAD1-965760379792}"/>
    <cellStyle name="Moeda 2 2 4 2" xfId="368" xr:uid="{ABAC3387-5955-40C9-9FCD-093734863F19}"/>
    <cellStyle name="Moeda 2 2 4 2 2" xfId="1184" xr:uid="{5DAB3D45-7AD3-4C97-8AEC-4A34DF62CAD8}"/>
    <cellStyle name="Moeda 2 2 4 2 2 2" xfId="2845" xr:uid="{E56F3F5F-3A4F-4482-9028-B9FA2FD537DA}"/>
    <cellStyle name="Moeda 2 2 4 2 2 2 2" xfId="54407" xr:uid="{6E18CE1D-41E6-478D-B75E-2269B9FBD120}"/>
    <cellStyle name="Moeda 2 2 4 2 2 2 3" xfId="51113" xr:uid="{F1A3FAD9-2CC7-4A61-B4A2-7292D9445C64}"/>
    <cellStyle name="Moeda 2 2 4 2 2 3" xfId="49474" xr:uid="{74C1071E-B424-4145-8281-782585AB76B4}"/>
    <cellStyle name="Moeda 2 2 4 2 2 3 2" xfId="57055" xr:uid="{BF94EDC2-CB28-4CB2-9464-B5A9B74A3F55}"/>
    <cellStyle name="Moeda 2 2 4 2 2 4" xfId="52770" xr:uid="{8035B208-8A6B-4538-A5B0-09B6F29B1E0E}"/>
    <cellStyle name="Moeda 2 2 4 2 2 5" xfId="47805" xr:uid="{63C8964C-9201-4FB5-8FFF-40C2AD2A4A26}"/>
    <cellStyle name="Moeda 2 2 4 2 3" xfId="1590" xr:uid="{0DCC82EE-5E94-47B8-8B2F-DE4A3B2A4FFF}"/>
    <cellStyle name="Moeda 2 2 4 2 3 2" xfId="3250" xr:uid="{942874A3-D430-426E-940C-EBD9D407FF4D}"/>
    <cellStyle name="Moeda 2 2 4 2 3 2 2" xfId="54408" xr:uid="{619EBE26-B7A7-472B-A695-6C1A6017622B}"/>
    <cellStyle name="Moeda 2 2 4 2 3 2 3" xfId="51114" xr:uid="{9F2F47BB-A6DA-4E8C-81BE-9EF52F534540}"/>
    <cellStyle name="Moeda 2 2 4 2 3 3" xfId="49475" xr:uid="{68438A80-0627-462A-92B6-A417D20857CC}"/>
    <cellStyle name="Moeda 2 2 4 2 3 3 2" xfId="57461" xr:uid="{CEDF075F-7A80-4334-987E-587966BFD406}"/>
    <cellStyle name="Moeda 2 2 4 2 3 4" xfId="52771" xr:uid="{949D4253-2DBE-4B97-BDFC-918E6E3407E4}"/>
    <cellStyle name="Moeda 2 2 4 2 3 5" xfId="47806" xr:uid="{1DC01DA9-9175-4055-99D3-99D2D0A36147}"/>
    <cellStyle name="Moeda 2 2 4 2 4" xfId="777" xr:uid="{C7B3EC4B-2D80-4E89-A617-8B12825E85E8}"/>
    <cellStyle name="Moeda 2 2 4 2 4 2" xfId="2493" xr:uid="{6EADCAE7-C655-4D0A-BF8A-F463B0D45841}"/>
    <cellStyle name="Moeda 2 2 4 2 4 2 2" xfId="54409" xr:uid="{EFB53871-12D5-42EE-8759-C2B7DBD437CD}"/>
    <cellStyle name="Moeda 2 2 4 2 4 2 3" xfId="51115" xr:uid="{25603D4B-763A-425F-A264-9C1DF61A02FD}"/>
    <cellStyle name="Moeda 2 2 4 2 4 3" xfId="49476" xr:uid="{335FD39B-C8B3-4D72-AE6C-20F5AE2E4038}"/>
    <cellStyle name="Moeda 2 2 4 2 4 3 2" xfId="56648" xr:uid="{932C5D3D-6B19-4C8E-A742-D078E1E15468}"/>
    <cellStyle name="Moeda 2 2 4 2 4 4" xfId="52772" xr:uid="{C40B0DA4-7CAA-4C2E-940B-397A6DC62A28}"/>
    <cellStyle name="Moeda 2 2 4 2 4 5" xfId="47807" xr:uid="{90928B92-9C5F-42A4-B7CF-4EFB144C8193}"/>
    <cellStyle name="Moeda 2 2 4 2 5" xfId="3657" xr:uid="{17DDAC16-4430-44AC-9819-5A4E717C4469}"/>
    <cellStyle name="Moeda 2 2 4 2 5 2" xfId="51112" xr:uid="{B56ECF0A-6A9C-45E7-AFF5-41DD3F0C0A83}"/>
    <cellStyle name="Moeda 2 2 4 2 5 3" xfId="54406" xr:uid="{ACAF268A-F471-44D5-AFBA-BDD81A7DFB57}"/>
    <cellStyle name="Moeda 2 2 4 2 5 4" xfId="47804" xr:uid="{AF29D8C1-95FF-4468-9055-574716655BB8}"/>
    <cellStyle name="Moeda 2 2 4 2 6" xfId="2006" xr:uid="{E64A18C3-F031-441C-84FC-DC4B7DD3858B}"/>
    <cellStyle name="Moeda 2 2 4 2 6 2" xfId="56239" xr:uid="{171B3039-9E88-4BCF-85EE-1A45E538E261}"/>
    <cellStyle name="Moeda 2 2 4 2 6 3" xfId="49473" xr:uid="{A874C23D-E090-4043-A545-4F58BE720DA1}"/>
    <cellStyle name="Moeda 2 2 4 2 7" xfId="52769" xr:uid="{DB6B0ECB-328C-4143-809E-8D7193BEE106}"/>
    <cellStyle name="Moeda 2 2 4 2 8" xfId="47371" xr:uid="{E2F62B76-ABFD-4703-BAEF-710EB1470492}"/>
    <cellStyle name="Moeda 2 2 4 2 9" xfId="4649" xr:uid="{C43C4394-C0B7-4318-857D-3AF4A58232F3}"/>
    <cellStyle name="Moeda 2 2 4 3" xfId="995" xr:uid="{6919BA0C-F266-4F1E-9204-EA33665C878B}"/>
    <cellStyle name="Moeda 2 2 4 3 2" xfId="3548" xr:uid="{545CB35F-22B2-4354-876A-E73A96891D1B}"/>
    <cellStyle name="Moeda 2 2 4 3 2 2" xfId="51116" xr:uid="{E393B118-1F18-4036-8F9D-7881A22965A1}"/>
    <cellStyle name="Moeda 2 2 4 3 2 3" xfId="54410" xr:uid="{9BC8F314-C040-4494-A14B-225CB793C7EB}"/>
    <cellStyle name="Moeda 2 2 4 3 2 4" xfId="47808" xr:uid="{FA852F6C-D85B-4632-9181-B77958194BD1}"/>
    <cellStyle name="Moeda 2 2 4 3 3" xfId="1897" xr:uid="{3F668D74-C8A2-4C1F-8291-4164D1083F09}"/>
    <cellStyle name="Moeda 2 2 4 3 3 2" xfId="56866" xr:uid="{B820E1D0-CA07-4A4F-8B6A-A3CD085099FF}"/>
    <cellStyle name="Moeda 2 2 4 3 3 3" xfId="49477" xr:uid="{4B673772-2CBA-46CF-B23F-163E380083B0}"/>
    <cellStyle name="Moeda 2 2 4 3 4" xfId="52773" xr:uid="{EEDA6041-01F0-46BF-A550-C2A6EA057341}"/>
    <cellStyle name="Moeda 2 2 4 3 5" xfId="47497" xr:uid="{08EB0E20-57DE-4001-B847-7C1E5C560256}"/>
    <cellStyle name="Moeda 2 2 4 4" xfId="1401" xr:uid="{3F78B4DA-0C57-4B44-B28C-1274380D7996}"/>
    <cellStyle name="Moeda 2 2 4 4 2" xfId="3766" xr:uid="{5515F72B-F71D-41AC-9AB0-C699C170B281}"/>
    <cellStyle name="Moeda 2 2 4 4 2 2" xfId="51117" xr:uid="{9C4FCDB7-ABD2-4B4D-8E15-216A3B49915A}"/>
    <cellStyle name="Moeda 2 2 4 4 2 3" xfId="54411" xr:uid="{8B935728-95D0-403B-876C-3BBE5C78690F}"/>
    <cellStyle name="Moeda 2 2 4 4 2 4" xfId="47809" xr:uid="{05AA6A79-62A8-41CA-B2B8-5EF394579674}"/>
    <cellStyle name="Moeda 2 2 4 4 3" xfId="3062" xr:uid="{756EEFD8-3D8D-408F-A9BE-38CA3092AAF0}"/>
    <cellStyle name="Moeda 2 2 4 4 3 2" xfId="57272" xr:uid="{9C0C39A6-7296-4F99-8078-37E2C88DAE03}"/>
    <cellStyle name="Moeda 2 2 4 4 3 3" xfId="49478" xr:uid="{3881641B-21EB-490B-9370-0BFAE86C0022}"/>
    <cellStyle name="Moeda 2 2 4 4 4" xfId="52774" xr:uid="{C9D9A6D3-8B1A-4DA7-AB40-D64CC67BD190}"/>
    <cellStyle name="Moeda 2 2 4 4 5" xfId="47623" xr:uid="{54547D96-685F-4DBF-9CA9-0ABB0F016581}"/>
    <cellStyle name="Moeda 2 2 4 5" xfId="588" xr:uid="{22B4538E-0827-48EE-B144-E0C1F6937634}"/>
    <cellStyle name="Moeda 2 2 4 5 2" xfId="2304" xr:uid="{35DA1A36-2925-4496-91FF-B5575271D576}"/>
    <cellStyle name="Moeda 2 2 4 5 2 2" xfId="54412" xr:uid="{F0862540-9291-43A5-A7B6-2636CC9CD4C4}"/>
    <cellStyle name="Moeda 2 2 4 5 2 3" xfId="51118" xr:uid="{84E0676D-3FC5-4091-B0CE-A19481D9DEF7}"/>
    <cellStyle name="Moeda 2 2 4 5 3" xfId="49479" xr:uid="{5A45D368-8294-45D3-87FC-BDDC32FCBE83}"/>
    <cellStyle name="Moeda 2 2 4 5 3 2" xfId="56459" xr:uid="{770D7AAF-6DDD-499D-A391-E9EA0470FE11}"/>
    <cellStyle name="Moeda 2 2 4 5 4" xfId="52775" xr:uid="{810E2ED2-D228-4B88-9E12-7EE4DEE12BE1}"/>
    <cellStyle name="Moeda 2 2 4 5 5" xfId="47810" xr:uid="{BA80AE5C-44E3-48FF-9AA6-5F4C327E6BD3}"/>
    <cellStyle name="Moeda 2 2 4 6" xfId="3438" xr:uid="{D1DEC499-D6FD-492F-AE87-A83181D2B6E0}"/>
    <cellStyle name="Moeda 2 2 4 6 2" xfId="51111" xr:uid="{6B01AC91-F594-40A9-85CD-97A2642C7D4C}"/>
    <cellStyle name="Moeda 2 2 4 6 3" xfId="54405" xr:uid="{E961B415-0C59-4A72-91D5-953B70D15022}"/>
    <cellStyle name="Moeda 2 2 4 6 4" xfId="47803" xr:uid="{9160D7C9-8AA6-483D-9F7D-351A238AD771}"/>
    <cellStyle name="Moeda 2 2 4 7" xfId="1787" xr:uid="{65177A4D-9039-437B-BCC9-A0C784A6B3A3}"/>
    <cellStyle name="Moeda 2 2 4 7 2" xfId="56050" xr:uid="{78FA2E43-FD2E-4E6B-AFB3-B7C4AD94B76D}"/>
    <cellStyle name="Moeda 2 2 4 7 3" xfId="49472" xr:uid="{2F297FCA-66BC-4E0D-9797-F151EB24BF84}"/>
    <cellStyle name="Moeda 2 2 4 8" xfId="52768" xr:uid="{A3AC953C-C38F-4944-BA53-9E76CCE4D601}"/>
    <cellStyle name="Moeda 2 2 4 9" xfId="32877" xr:uid="{CBFDDC12-F22F-4D1A-B162-52A6BCCA2CD5}"/>
    <cellStyle name="Moeda 2 2 5" xfId="205" xr:uid="{B31CAE9A-62E9-42BE-B36A-D2E0E6E367CA}"/>
    <cellStyle name="Moeda 2 2 5 10" xfId="4486" xr:uid="{9F4D98AE-D85B-4BD9-BB29-F141B5BA5A9A}"/>
    <cellStyle name="Moeda 2 2 5 2" xfId="394" xr:uid="{1FEFBE14-C5DB-4B96-940F-5CCB020B5C60}"/>
    <cellStyle name="Moeda 2 2 5 2 2" xfId="1210" xr:uid="{4EBDF0A3-20E6-45DC-A9F5-434E52331916}"/>
    <cellStyle name="Moeda 2 2 5 2 2 2" xfId="2871" xr:uid="{04F10E0D-FB02-49AC-AFAD-299FB2A3786D}"/>
    <cellStyle name="Moeda 2 2 5 2 2 2 2" xfId="54415" xr:uid="{63885528-5AFB-48BC-A90D-3518107E1F79}"/>
    <cellStyle name="Moeda 2 2 5 2 2 2 3" xfId="51121" xr:uid="{3C3A96B8-7EE6-4374-B9B0-34B5FDC12C63}"/>
    <cellStyle name="Moeda 2 2 5 2 2 3" xfId="49482" xr:uid="{A8EB4CB3-D67D-438F-9C3E-879FA7145D4D}"/>
    <cellStyle name="Moeda 2 2 5 2 2 3 2" xfId="57081" xr:uid="{331B914E-42F6-4F7F-9000-AB619D7DB884}"/>
    <cellStyle name="Moeda 2 2 5 2 2 4" xfId="52778" xr:uid="{CDA816FE-C22A-4631-A1F7-BBE3D6201F7F}"/>
    <cellStyle name="Moeda 2 2 5 2 2 5" xfId="47813" xr:uid="{28201DBA-EAA2-41DA-9A01-DF02D17DEB2D}"/>
    <cellStyle name="Moeda 2 2 5 2 3" xfId="1616" xr:uid="{A37C4E46-27F5-421D-8971-F9E2E2ED1E9A}"/>
    <cellStyle name="Moeda 2 2 5 2 3 2" xfId="3276" xr:uid="{D0B97928-9CA0-46BF-9AA9-56CB4D621444}"/>
    <cellStyle name="Moeda 2 2 5 2 3 2 2" xfId="54416" xr:uid="{8C7F7CB3-91D1-46DB-8BC6-94147138BF7D}"/>
    <cellStyle name="Moeda 2 2 5 2 3 2 3" xfId="51122" xr:uid="{CF2C9B15-F0FD-4FD0-AA39-F9E600CC6CDC}"/>
    <cellStyle name="Moeda 2 2 5 2 3 3" xfId="49483" xr:uid="{101FC272-445A-4EA9-A75A-19F54D5786F7}"/>
    <cellStyle name="Moeda 2 2 5 2 3 3 2" xfId="57487" xr:uid="{5D0E947D-9EED-4683-A454-43581BE4FF19}"/>
    <cellStyle name="Moeda 2 2 5 2 3 4" xfId="52779" xr:uid="{9BB5EFE0-974C-46E2-AF19-8268A1BE4F2C}"/>
    <cellStyle name="Moeda 2 2 5 2 3 5" xfId="47814" xr:uid="{18206305-27C5-48E8-A47F-A5ABAD1B8036}"/>
    <cellStyle name="Moeda 2 2 5 2 4" xfId="803" xr:uid="{F27C2A86-669D-4588-A72D-F18D216C78DA}"/>
    <cellStyle name="Moeda 2 2 5 2 4 2" xfId="2519" xr:uid="{55D30F59-1C5C-41ED-9434-21A3241D64E4}"/>
    <cellStyle name="Moeda 2 2 5 2 4 2 2" xfId="54417" xr:uid="{1491B991-BEFC-4BAD-9AA3-B28EE8986E3F}"/>
    <cellStyle name="Moeda 2 2 5 2 4 2 3" xfId="51123" xr:uid="{28B6C10D-128F-4892-9A23-174670A1837F}"/>
    <cellStyle name="Moeda 2 2 5 2 4 3" xfId="49484" xr:uid="{9C0BCB8B-E162-42D6-92EB-164015240B7A}"/>
    <cellStyle name="Moeda 2 2 5 2 4 3 2" xfId="56674" xr:uid="{90CF73F4-C43D-4F3D-B2E0-3C0A2F4A23FD}"/>
    <cellStyle name="Moeda 2 2 5 2 4 4" xfId="52780" xr:uid="{EAA3B469-AE1D-43A0-BDF1-FE997E7C9376}"/>
    <cellStyle name="Moeda 2 2 5 2 4 5" xfId="47815" xr:uid="{4793DD4C-BE62-46BD-BA5E-B81BBC89B979}"/>
    <cellStyle name="Moeda 2 2 5 2 5" xfId="2138" xr:uid="{8EE68773-5027-4DE9-A5A9-B72A520E7755}"/>
    <cellStyle name="Moeda 2 2 5 2 5 2" xfId="54414" xr:uid="{2464EA66-57D1-42DE-BC97-F566F20C0EE9}"/>
    <cellStyle name="Moeda 2 2 5 2 5 3" xfId="51120" xr:uid="{5D9BDCFE-D075-47A3-940B-F5CBC3395ADA}"/>
    <cellStyle name="Moeda 2 2 5 2 6" xfId="49481" xr:uid="{0C05FB79-AFD4-4653-BBCA-DCF1CB8F6131}"/>
    <cellStyle name="Moeda 2 2 5 2 6 2" xfId="56265" xr:uid="{D6D76916-0CDD-472B-B350-4D79EBA40352}"/>
    <cellStyle name="Moeda 2 2 5 2 7" xfId="52777" xr:uid="{974C0EC2-C5CE-41F7-AFF2-2ED81D537D9C}"/>
    <cellStyle name="Moeda 2 2 5 2 8" xfId="47812" xr:uid="{B006C713-A6F1-40FD-BBE9-E1D33714BB34}"/>
    <cellStyle name="Moeda 2 2 5 2 9" xfId="4675" xr:uid="{353B066D-037D-4297-AF5E-D744997F9114}"/>
    <cellStyle name="Moeda 2 2 5 3" xfId="1021" xr:uid="{73B176FE-272E-403C-BC49-F4E2F20F4EB6}"/>
    <cellStyle name="Moeda 2 2 5 3 2" xfId="2710" xr:uid="{B00AF203-4219-4327-B2ED-030E30B9E121}"/>
    <cellStyle name="Moeda 2 2 5 3 2 2" xfId="54418" xr:uid="{B2E896FF-569A-4711-8E84-6AA4A2D859EA}"/>
    <cellStyle name="Moeda 2 2 5 3 2 3" xfId="51124" xr:uid="{BD957318-1492-486C-AA43-C5212BCC89CD}"/>
    <cellStyle name="Moeda 2 2 5 3 3" xfId="49485" xr:uid="{8EE109D3-F715-4D74-83C5-9248B11AEB43}"/>
    <cellStyle name="Moeda 2 2 5 3 3 2" xfId="56892" xr:uid="{36B19787-E38F-4CB6-88FB-D1486E9B1EC3}"/>
    <cellStyle name="Moeda 2 2 5 3 4" xfId="52781" xr:uid="{8DE121AC-FED0-46B9-8898-75547D06BB74}"/>
    <cellStyle name="Moeda 2 2 5 3 5" xfId="47816" xr:uid="{EE4A9A47-1A2D-4D4F-9F4E-3D56FFD5A1B7}"/>
    <cellStyle name="Moeda 2 2 5 4" xfId="1427" xr:uid="{8AA2BCF0-9A81-4482-8414-5CBAA2A018D7}"/>
    <cellStyle name="Moeda 2 2 5 4 2" xfId="3088" xr:uid="{9886A605-5FD3-4D47-80A7-28B4F23C4DD8}"/>
    <cellStyle name="Moeda 2 2 5 4 2 2" xfId="54419" xr:uid="{BCC3757F-9AFB-4944-9003-83D587B4EE1B}"/>
    <cellStyle name="Moeda 2 2 5 4 2 3" xfId="51125" xr:uid="{859B46DC-97CF-4ECB-BD48-E9E979DB2330}"/>
    <cellStyle name="Moeda 2 2 5 4 3" xfId="49486" xr:uid="{FADC6690-AAA6-4FDF-839B-245A32151448}"/>
    <cellStyle name="Moeda 2 2 5 4 3 2" xfId="57298" xr:uid="{AED32FD4-DC0A-4987-82F6-3B41A4384267}"/>
    <cellStyle name="Moeda 2 2 5 4 4" xfId="52782" xr:uid="{3432F70B-87B6-452A-88B5-CF80C7A3FE26}"/>
    <cellStyle name="Moeda 2 2 5 4 5" xfId="47817" xr:uid="{A2052D7C-EE1A-4A3E-B0F5-2BF69176F370}"/>
    <cellStyle name="Moeda 2 2 5 5" xfId="614" xr:uid="{8238A443-926E-480B-AF9F-10FCC681E78C}"/>
    <cellStyle name="Moeda 2 2 5 5 2" xfId="2330" xr:uid="{C2F6F95F-9EB4-4E73-9DE7-422904ED1F14}"/>
    <cellStyle name="Moeda 2 2 5 5 2 2" xfId="54420" xr:uid="{F6339DF3-8FFB-4FF7-953C-9ACC1B33AAD1}"/>
    <cellStyle name="Moeda 2 2 5 5 2 3" xfId="51126" xr:uid="{6298F227-A2FC-4684-8386-55D6FDF17086}"/>
    <cellStyle name="Moeda 2 2 5 5 3" xfId="49487" xr:uid="{FC681B69-5DC6-4093-A124-76EAD248AC73}"/>
    <cellStyle name="Moeda 2 2 5 5 3 2" xfId="56485" xr:uid="{53AD21FA-FFC8-4ED0-97B4-FD8E7FFB4625}"/>
    <cellStyle name="Moeda 2 2 5 5 4" xfId="52783" xr:uid="{6EBF5EF9-444A-4C68-9074-851A71225964}"/>
    <cellStyle name="Moeda 2 2 5 5 5" xfId="47818" xr:uid="{2A145E3E-E345-414E-B8C4-2B7B47C6825E}"/>
    <cellStyle name="Moeda 2 2 5 6" xfId="3603" xr:uid="{77C6C8EB-E29D-47FA-A345-6DB677AB5E35}"/>
    <cellStyle name="Moeda 2 2 5 6 2" xfId="51119" xr:uid="{608C2556-0E70-4A4D-A2C6-48856A918F4D}"/>
    <cellStyle name="Moeda 2 2 5 6 3" xfId="54413" xr:uid="{880D57AC-8B1C-4F04-9E57-A86C43ED5A53}"/>
    <cellStyle name="Moeda 2 2 5 6 4" xfId="47811" xr:uid="{BDBC3639-09FD-4D4F-9404-07F64765C6CA}"/>
    <cellStyle name="Moeda 2 2 5 7" xfId="1952" xr:uid="{F28B5729-920B-4E1E-A3B5-1018D05194B1}"/>
    <cellStyle name="Moeda 2 2 5 7 2" xfId="56076" xr:uid="{F6F3C6C5-1FA4-4DC0-A4A8-46CB9624DCCB}"/>
    <cellStyle name="Moeda 2 2 5 7 3" xfId="49480" xr:uid="{44C97FC3-1FDB-42A5-8F42-3A902767AEB5}"/>
    <cellStyle name="Moeda 2 2 5 8" xfId="52776" xr:uid="{262744AE-B121-4E25-A2B6-6E35C5915ABB}"/>
    <cellStyle name="Moeda 2 2 5 9" xfId="47315" xr:uid="{B6DAEE46-7F82-4E80-BCCE-075F3B88E3AF}"/>
    <cellStyle name="Moeda 2 2 6" xfId="257" xr:uid="{51481F0E-C9B7-40A7-BA9B-D9CEBE0D43F7}"/>
    <cellStyle name="Moeda 2 2 6 10" xfId="4538" xr:uid="{D5BD59E6-6BC5-44A8-A46A-15C8C580CF89}"/>
    <cellStyle name="Moeda 2 2 6 2" xfId="446" xr:uid="{4DCEF4AD-29A9-4BAC-ACCC-2FEBA4AE6D02}"/>
    <cellStyle name="Moeda 2 2 6 2 2" xfId="1262" xr:uid="{81C68D8F-1290-49FB-8978-269607014A09}"/>
    <cellStyle name="Moeda 2 2 6 2 2 2" xfId="2923" xr:uid="{6B18436F-CE2E-47FD-92AA-FA3EEBC799EE}"/>
    <cellStyle name="Moeda 2 2 6 2 2 2 2" xfId="54423" xr:uid="{8CEA59BD-9CF1-4716-9CF7-CE854A521707}"/>
    <cellStyle name="Moeda 2 2 6 2 2 2 3" xfId="51129" xr:uid="{7DB5380F-9F5C-4F2F-9AFE-FC28ADF6CC0D}"/>
    <cellStyle name="Moeda 2 2 6 2 2 3" xfId="49490" xr:uid="{69EE77F6-4720-4EBA-A240-B9D8B41D6263}"/>
    <cellStyle name="Moeda 2 2 6 2 2 3 2" xfId="57133" xr:uid="{17AFC725-6B00-4586-BE94-3C146ABD2F4C}"/>
    <cellStyle name="Moeda 2 2 6 2 2 4" xfId="52786" xr:uid="{60D75171-1B9D-4290-8FAF-1AFAB5011AF7}"/>
    <cellStyle name="Moeda 2 2 6 2 2 5" xfId="47821" xr:uid="{449328E5-0145-4892-92A6-A306A5AEDF55}"/>
    <cellStyle name="Moeda 2 2 6 2 3" xfId="1668" xr:uid="{CE298D88-3FEC-4605-8B17-49D1E026FCFD}"/>
    <cellStyle name="Moeda 2 2 6 2 3 2" xfId="3328" xr:uid="{0148D3A1-71AB-4359-BF9E-07C28EE0DD19}"/>
    <cellStyle name="Moeda 2 2 6 2 3 2 2" xfId="54424" xr:uid="{BDB4424F-6A58-4622-9011-BCD3A09755B4}"/>
    <cellStyle name="Moeda 2 2 6 2 3 2 3" xfId="51130" xr:uid="{93A8624C-4C9E-4E64-9ACF-66FB9B24EDF2}"/>
    <cellStyle name="Moeda 2 2 6 2 3 3" xfId="49491" xr:uid="{F72B754D-0459-4B14-A869-D650CA970AA9}"/>
    <cellStyle name="Moeda 2 2 6 2 3 3 2" xfId="57539" xr:uid="{26702F0C-3A90-4DD4-803E-5C3A9B41E977}"/>
    <cellStyle name="Moeda 2 2 6 2 3 4" xfId="52787" xr:uid="{8BD9B929-7D2A-4C26-9D7B-7FF76322729D}"/>
    <cellStyle name="Moeda 2 2 6 2 3 5" xfId="47822" xr:uid="{E1FF5562-3E95-482C-9529-33C3C0B50FA6}"/>
    <cellStyle name="Moeda 2 2 6 2 4" xfId="855" xr:uid="{EE431C65-08BF-401A-8026-F9358A2A43C9}"/>
    <cellStyle name="Moeda 2 2 6 2 4 2" xfId="2571" xr:uid="{814F57EE-510F-4343-BCF6-FF57642A7B57}"/>
    <cellStyle name="Moeda 2 2 6 2 4 2 2" xfId="54425" xr:uid="{E3951301-36A2-47FC-B6E6-8EC7CD676172}"/>
    <cellStyle name="Moeda 2 2 6 2 4 2 3" xfId="51131" xr:uid="{72A18392-3A94-4E0F-BA69-1C2998D71A68}"/>
    <cellStyle name="Moeda 2 2 6 2 4 3" xfId="49492" xr:uid="{4B7A1D05-0685-4BA9-A831-91D1BCCA546E}"/>
    <cellStyle name="Moeda 2 2 6 2 4 3 2" xfId="56726" xr:uid="{5DBA87A7-2EB4-4519-BC0E-2CA5655C9ED8}"/>
    <cellStyle name="Moeda 2 2 6 2 4 4" xfId="52788" xr:uid="{A385C007-F819-4FB6-9EA7-76002F58F962}"/>
    <cellStyle name="Moeda 2 2 6 2 4 5" xfId="47823" xr:uid="{321F23B7-9A69-4117-8BA2-93DF3CAB0C1C}"/>
    <cellStyle name="Moeda 2 2 6 2 5" xfId="2164" xr:uid="{57C2238A-029A-4FDB-8037-FE02523ACC90}"/>
    <cellStyle name="Moeda 2 2 6 2 5 2" xfId="54422" xr:uid="{4464E169-3655-44D0-A3CA-AD913904C4D0}"/>
    <cellStyle name="Moeda 2 2 6 2 5 3" xfId="51128" xr:uid="{0B4DA8D0-DF77-42BA-85EE-3A9C27D7685D}"/>
    <cellStyle name="Moeda 2 2 6 2 6" xfId="49489" xr:uid="{937E6E2D-2B8C-4F37-BAD7-9842C2CC39DD}"/>
    <cellStyle name="Moeda 2 2 6 2 6 2" xfId="56317" xr:uid="{102A40B1-E971-441A-9136-754577322434}"/>
    <cellStyle name="Moeda 2 2 6 2 7" xfId="52785" xr:uid="{429F7929-7F03-4D8D-9307-D5CAB1B3080F}"/>
    <cellStyle name="Moeda 2 2 6 2 8" xfId="47820" xr:uid="{8861B76B-6E05-44A4-A022-4FB45C6E073E}"/>
    <cellStyle name="Moeda 2 2 6 2 9" xfId="4727" xr:uid="{D157C501-1E33-4D19-AB25-B6587DB46EDF}"/>
    <cellStyle name="Moeda 2 2 6 3" xfId="1073" xr:uid="{8C7ABAE4-321B-4025-90FD-1D8B8F0BC471}"/>
    <cellStyle name="Moeda 2 2 6 3 2" xfId="2737" xr:uid="{0884599B-D15B-4920-A676-D639FA1718A2}"/>
    <cellStyle name="Moeda 2 2 6 3 2 2" xfId="54426" xr:uid="{015D25EB-9B07-4983-A64D-43543C42A2D5}"/>
    <cellStyle name="Moeda 2 2 6 3 2 3" xfId="51132" xr:uid="{B0E05D9B-EF96-44CB-93F8-A4A230DE75D7}"/>
    <cellStyle name="Moeda 2 2 6 3 3" xfId="49493" xr:uid="{6D94CBF2-56F8-406C-965B-629CCE6BD968}"/>
    <cellStyle name="Moeda 2 2 6 3 3 2" xfId="56944" xr:uid="{7629FEB1-7AED-418F-A019-2FCADA9CCEEB}"/>
    <cellStyle name="Moeda 2 2 6 3 4" xfId="52789" xr:uid="{3EC1E457-CEA4-43E5-8579-9C86CFB420A3}"/>
    <cellStyle name="Moeda 2 2 6 3 5" xfId="47824" xr:uid="{817E71E6-10E5-41A7-A41E-CF3632AA07F3}"/>
    <cellStyle name="Moeda 2 2 6 4" xfId="1479" xr:uid="{843396C0-E2DB-4910-95F6-DB2706871CB8}"/>
    <cellStyle name="Moeda 2 2 6 4 2" xfId="3140" xr:uid="{B7CD3070-05DC-47CA-999D-58FF12D9575E}"/>
    <cellStyle name="Moeda 2 2 6 4 2 2" xfId="54427" xr:uid="{19B04C86-C7D8-4AA3-A55D-81A396BF5569}"/>
    <cellStyle name="Moeda 2 2 6 4 2 3" xfId="51133" xr:uid="{391BA08F-74D0-451C-A6C4-AA13EE9AD6E3}"/>
    <cellStyle name="Moeda 2 2 6 4 3" xfId="49494" xr:uid="{A468A4B4-8B70-4906-9964-42B3371141C2}"/>
    <cellStyle name="Moeda 2 2 6 4 3 2" xfId="57350" xr:uid="{23F61189-6E9B-44C8-BA2F-D8D389006E0C}"/>
    <cellStyle name="Moeda 2 2 6 4 4" xfId="52790" xr:uid="{D3D83411-EBED-466F-8641-11AD6105C76A}"/>
    <cellStyle name="Moeda 2 2 6 4 5" xfId="47825" xr:uid="{E8F26A1F-61ED-41D2-A259-666AC6882B4D}"/>
    <cellStyle name="Moeda 2 2 6 5" xfId="666" xr:uid="{7241B70D-EA9F-4CB0-B20D-734260F01510}"/>
    <cellStyle name="Moeda 2 2 6 5 2" xfId="2382" xr:uid="{02230900-64FF-452F-8CBB-19B06B02C3FA}"/>
    <cellStyle name="Moeda 2 2 6 5 2 2" xfId="54428" xr:uid="{A920EC6D-2DF2-4B5F-BAC1-0C81A54192C4}"/>
    <cellStyle name="Moeda 2 2 6 5 2 3" xfId="51134" xr:uid="{99F89B55-F772-4F15-8219-069855ABFCDD}"/>
    <cellStyle name="Moeda 2 2 6 5 3" xfId="49495" xr:uid="{68984CDA-D2F3-4363-B761-2531B96E4C47}"/>
    <cellStyle name="Moeda 2 2 6 5 3 2" xfId="56537" xr:uid="{4E4E019D-2FF8-4A44-B8F5-48B48EB800AC}"/>
    <cellStyle name="Moeda 2 2 6 5 4" xfId="52791" xr:uid="{02E10665-E1A4-4FD1-A4CC-E3F686694D8D}"/>
    <cellStyle name="Moeda 2 2 6 5 5" xfId="47826" xr:uid="{17882514-4180-4E1B-8E2D-75F928840638}"/>
    <cellStyle name="Moeda 2 2 6 6" xfId="3493" xr:uid="{F2C2E46F-F583-432B-8D08-4FBC477B586D}"/>
    <cellStyle name="Moeda 2 2 6 6 2" xfId="51127" xr:uid="{A6C86490-9C73-4C56-BE4F-2F2AE5CF466C}"/>
    <cellStyle name="Moeda 2 2 6 6 3" xfId="54421" xr:uid="{7F6812E0-070F-48BE-97D8-C3E2DD9DE6DF}"/>
    <cellStyle name="Moeda 2 2 6 6 4" xfId="47819" xr:uid="{8272FD23-9632-427A-9018-3770E1BDB37C}"/>
    <cellStyle name="Moeda 2 2 6 7" xfId="1842" xr:uid="{F0D52057-E316-4AEA-B2EF-FB37A6FB7008}"/>
    <cellStyle name="Moeda 2 2 6 7 2" xfId="56128" xr:uid="{9897A2DC-74FD-4FA5-84A5-6AD02C79BA46}"/>
    <cellStyle name="Moeda 2 2 6 7 3" xfId="49488" xr:uid="{656B812C-E6B2-463B-89EA-14150D3D9F0F}"/>
    <cellStyle name="Moeda 2 2 6 8" xfId="52784" xr:uid="{D193DE84-0227-4A26-93D5-30FC60DE44B7}"/>
    <cellStyle name="Moeda 2 2 6 9" xfId="47441" xr:uid="{39506889-0BF9-4F2A-A040-2D7837A5C2EC}"/>
    <cellStyle name="Moeda 2 2 7" xfId="312" xr:uid="{0F246B2C-47DE-45A7-ACDF-57130BC4B264}"/>
    <cellStyle name="Moeda 2 2 7 2" xfId="1128" xr:uid="{C6E53653-D689-4E0E-B720-3D5033A63761}"/>
    <cellStyle name="Moeda 2 2 7 2 2" xfId="2790" xr:uid="{D153DEFE-1CFC-4BAF-A8DE-C83804615F93}"/>
    <cellStyle name="Moeda 2 2 7 2 2 2" xfId="54430" xr:uid="{2E8F0B07-03D4-4C6F-81C5-947F02221E03}"/>
    <cellStyle name="Moeda 2 2 7 2 2 3" xfId="51136" xr:uid="{A8FE4947-E2E1-46EB-99AE-2349A2942EE1}"/>
    <cellStyle name="Moeda 2 2 7 2 3" xfId="49497" xr:uid="{D70893B8-74BB-44BA-83B4-D2A280822E3C}"/>
    <cellStyle name="Moeda 2 2 7 2 3 2" xfId="56999" xr:uid="{91C0B4DE-C626-40F1-A8F2-FB428024EEB5}"/>
    <cellStyle name="Moeda 2 2 7 2 4" xfId="52793" xr:uid="{6211FE8A-E00C-4B76-AF57-B052919E8166}"/>
    <cellStyle name="Moeda 2 2 7 2 5" xfId="47828" xr:uid="{690EB515-9ABD-43DB-B12E-933A449F2B6F}"/>
    <cellStyle name="Moeda 2 2 7 3" xfId="1534" xr:uid="{EBDEC8FB-4D88-46A2-B271-3B46B98F56DD}"/>
    <cellStyle name="Moeda 2 2 7 3 2" xfId="3195" xr:uid="{005CA7F8-95DC-4DB8-8347-84B4A9FC096D}"/>
    <cellStyle name="Moeda 2 2 7 3 2 2" xfId="54431" xr:uid="{53D6C5C2-2FFE-4BE6-B1F1-A37C1542FC35}"/>
    <cellStyle name="Moeda 2 2 7 3 2 3" xfId="51137" xr:uid="{16532151-A377-4AA7-9D13-3423C93C81EB}"/>
    <cellStyle name="Moeda 2 2 7 3 3" xfId="49498" xr:uid="{923A6DCE-3B7D-4A17-8ADB-B1C2A5457A0F}"/>
    <cellStyle name="Moeda 2 2 7 3 3 2" xfId="57405" xr:uid="{6EF21EEF-0005-4CD0-A491-F185A9188EEA}"/>
    <cellStyle name="Moeda 2 2 7 3 4" xfId="52794" xr:uid="{D409E86B-5E59-469A-B2A8-B7DEC842F9CA}"/>
    <cellStyle name="Moeda 2 2 7 3 5" xfId="47829" xr:uid="{F4F81A81-1CFC-4155-8560-975286B5A542}"/>
    <cellStyle name="Moeda 2 2 7 4" xfId="721" xr:uid="{9C13F987-125B-4A11-A96A-9DC63602D812}"/>
    <cellStyle name="Moeda 2 2 7 4 2" xfId="2437" xr:uid="{BD6218E4-C260-4CA5-960A-028C3545E809}"/>
    <cellStyle name="Moeda 2 2 7 4 2 2" xfId="54432" xr:uid="{D248B6FD-FD6A-4D08-8255-51170E8BBADD}"/>
    <cellStyle name="Moeda 2 2 7 4 2 3" xfId="51138" xr:uid="{A6FAFEAA-CCA0-4C4E-84BD-1FC258351B79}"/>
    <cellStyle name="Moeda 2 2 7 4 3" xfId="49499" xr:uid="{F98F2B87-4B9D-4A11-B776-C617512ABE8F}"/>
    <cellStyle name="Moeda 2 2 7 4 3 2" xfId="56592" xr:uid="{31F047E8-FEAF-44D4-BE0A-6DD11367B161}"/>
    <cellStyle name="Moeda 2 2 7 4 4" xfId="52795" xr:uid="{FFC525CF-F8E5-4652-B5C9-5A619E526DD5}"/>
    <cellStyle name="Moeda 2 2 7 4 5" xfId="47830" xr:uid="{49A7926C-8750-4D23-8B8E-81B3C003647B}"/>
    <cellStyle name="Moeda 2 2 7 5" xfId="3712" xr:uid="{273D36F7-246D-466E-A6AD-7B4BD501FF46}"/>
    <cellStyle name="Moeda 2 2 7 5 2" xfId="51135" xr:uid="{4382EBFE-F6A4-4AD5-AC48-2C0E561BDAAB}"/>
    <cellStyle name="Moeda 2 2 7 5 3" xfId="54429" xr:uid="{4BD68AC9-2218-40F8-9381-9DC665AF6E86}"/>
    <cellStyle name="Moeda 2 2 7 5 4" xfId="47827" xr:uid="{CC94515E-90AE-4A8B-A3C5-4FF95A1E162B}"/>
    <cellStyle name="Moeda 2 2 7 6" xfId="2113" xr:uid="{D28C9B7B-EC1F-4212-A60E-CBD22578E1D5}"/>
    <cellStyle name="Moeda 2 2 7 6 2" xfId="56183" xr:uid="{4FD137AA-7455-4CCE-B09B-F175C6F202F6}"/>
    <cellStyle name="Moeda 2 2 7 6 3" xfId="49496" xr:uid="{FE33AA77-A826-40C1-90A3-C0A091192B8F}"/>
    <cellStyle name="Moeda 2 2 7 7" xfId="52792" xr:uid="{0EFEE8EF-3EC9-4A7A-B514-8C84F6598B21}"/>
    <cellStyle name="Moeda 2 2 7 8" xfId="47567" xr:uid="{16AB363D-CAB5-44AA-A446-4D4B24CFD3EA}"/>
    <cellStyle name="Moeda 2 2 7 9" xfId="4593" xr:uid="{D0095A97-CCCA-466F-8AA9-190C331095B8}"/>
    <cellStyle name="Moeda 2 2 8" xfId="939" xr:uid="{6F615678-D82D-41FD-BB3F-A760E4FF90DC}"/>
    <cellStyle name="Moeda 2 2 8 2" xfId="2654" xr:uid="{19CF374A-7007-48A5-A0AE-9310D5C827A0}"/>
    <cellStyle name="Moeda 2 2 8 2 2" xfId="54433" xr:uid="{87431002-7457-4E89-9D80-D65E1D8C571A}"/>
    <cellStyle name="Moeda 2 2 8 2 3" xfId="51139" xr:uid="{2EB9F0C2-A3D2-44F3-907A-73F225F75A4C}"/>
    <cellStyle name="Moeda 2 2 8 3" xfId="49500" xr:uid="{68A65757-4297-4B25-ABC4-0D726DBA7360}"/>
    <cellStyle name="Moeda 2 2 8 3 2" xfId="56810" xr:uid="{C93E89B3-893F-4D29-A6D3-F9BDBE1918C7}"/>
    <cellStyle name="Moeda 2 2 8 4" xfId="52796" xr:uid="{50C627C7-B19A-4DDC-AB1C-75C78174D1A7}"/>
    <cellStyle name="Moeda 2 2 8 5" xfId="47831" xr:uid="{520B19D8-8D9C-495B-9D62-50D929F4CF42}"/>
    <cellStyle name="Moeda 2 2 9" xfId="1345" xr:uid="{724146B7-714F-40D9-9631-2B278D061F22}"/>
    <cellStyle name="Moeda 2 2 9 2" xfId="3006" xr:uid="{8CDE607E-D6D0-418D-AFA9-18B3F2EBA65B}"/>
    <cellStyle name="Moeda 2 2 9 2 2" xfId="54434" xr:uid="{8D510B69-CAB3-4540-AE6B-BEBFC22CB5B3}"/>
    <cellStyle name="Moeda 2 2 9 2 3" xfId="51140" xr:uid="{9944087F-78D6-41CB-B659-CAEA0AA241EF}"/>
    <cellStyle name="Moeda 2 2 9 3" xfId="49501" xr:uid="{1E05A7E3-0175-496B-B06B-F5318A12270E}"/>
    <cellStyle name="Moeda 2 2 9 3 2" xfId="57216" xr:uid="{9995D1EC-BB23-4394-96C4-035D3331CEB8}"/>
    <cellStyle name="Moeda 2 2 9 4" xfId="52797" xr:uid="{4A6D25D0-DF05-491D-89F4-70A0A0FD1E35}"/>
    <cellStyle name="Moeda 2 2 9 5" xfId="47832" xr:uid="{9663FC8B-B377-4576-B8DD-531D0EB4873B}"/>
    <cellStyle name="Moeda 2 3" xfId="12" xr:uid="{D68AA7A2-3713-4279-90ED-266C4559D782}"/>
    <cellStyle name="Moeda 2 3 10" xfId="3390" xr:uid="{023E0755-4F55-49D4-A5E0-59AD7553460A}"/>
    <cellStyle name="Moeda 2 3 10 2" xfId="51141" xr:uid="{07CD6C71-E407-4030-9155-DEC71181DE8F}"/>
    <cellStyle name="Moeda 2 3 10 3" xfId="54435" xr:uid="{3D8B9264-F736-4304-8386-58A78017035A}"/>
    <cellStyle name="Moeda 2 3 10 4" xfId="47833" xr:uid="{1EA01CA4-D5C1-469D-B650-A3D0FB499D59}"/>
    <cellStyle name="Moeda 2 3 11" xfId="1738" xr:uid="{4AEABD80-9942-4D11-A9ED-EC2820B30635}"/>
    <cellStyle name="Moeda 2 3 11 2" xfId="56002" xr:uid="{3113FC3D-B0A2-4D28-8A2C-ED655994A38C}"/>
    <cellStyle name="Moeda 2 3 11 3" xfId="49502" xr:uid="{2858926E-8182-41FC-BCB1-D65EF0557851}"/>
    <cellStyle name="Moeda 2 3 12" xfId="131" xr:uid="{2F68646D-F0B3-40F8-9874-398B8D62414B}"/>
    <cellStyle name="Moeda 2 3 12 2" xfId="52798" xr:uid="{8D1A0CA8-3549-4C57-8129-9C642D448CEC}"/>
    <cellStyle name="Moeda 2 3 13" xfId="12543" xr:uid="{0DBADC71-7849-43AC-9C0D-71048E5928CB}"/>
    <cellStyle name="Moeda 2 3 14" xfId="4412" xr:uid="{9CCDE0FB-14A2-47B0-8802-3B2B13E84C20}"/>
    <cellStyle name="Moeda 2 3 15" xfId="57602" xr:uid="{12CC9E9D-C6EF-43B1-80BF-B0369B5E9116}"/>
    <cellStyle name="Moeda 2 3 2" xfId="160" xr:uid="{55E8E2A5-F371-405C-AA55-F2F12D8E8553}"/>
    <cellStyle name="Moeda 2 3 2 10" xfId="52799" xr:uid="{5D2BE512-68EB-41BC-B7A1-878AF5651E9D}"/>
    <cellStyle name="Moeda 2 3 2 11" xfId="12569" xr:uid="{513B46F4-06BA-4ECD-8060-9AB4BC5BECE3}"/>
    <cellStyle name="Moeda 2 3 2 12" xfId="4441" xr:uid="{204307F6-2154-47B2-AB1A-6B2826EC63E1}"/>
    <cellStyle name="Moeda 2 3 2 2" xfId="238" xr:uid="{4467DC15-6955-477B-8BE7-B019446269B8}"/>
    <cellStyle name="Moeda 2 3 2 2 10" xfId="4519" xr:uid="{56FBF8B1-584D-4CD9-AF5A-53C9DDA09D99}"/>
    <cellStyle name="Moeda 2 3 2 2 2" xfId="427" xr:uid="{79B43320-6511-4790-8CE7-AA950ECF9609}"/>
    <cellStyle name="Moeda 2 3 2 2 2 2" xfId="1243" xr:uid="{C1B45849-E1B6-4A64-897E-63BE1561BA74}"/>
    <cellStyle name="Moeda 2 3 2 2 2 2 2" xfId="2904" xr:uid="{4929EE8E-39F8-468D-8178-FD09F65F89FF}"/>
    <cellStyle name="Moeda 2 3 2 2 2 2 2 2" xfId="54439" xr:uid="{11630C39-A442-44F0-8246-95F41A129BF1}"/>
    <cellStyle name="Moeda 2 3 2 2 2 2 2 3" xfId="51145" xr:uid="{7D15F68A-829C-410F-8DB5-873633916C1D}"/>
    <cellStyle name="Moeda 2 3 2 2 2 2 3" xfId="49506" xr:uid="{559DD822-D5F4-4006-BE8A-93D77DF6B5DA}"/>
    <cellStyle name="Moeda 2 3 2 2 2 2 3 2" xfId="57114" xr:uid="{158EB3EF-DE23-4A43-8D13-55FBD5CBB8F9}"/>
    <cellStyle name="Moeda 2 3 2 2 2 2 4" xfId="52802" xr:uid="{D35B3FE5-DAE0-40E0-8BBD-50D5B47B5050}"/>
    <cellStyle name="Moeda 2 3 2 2 2 2 5" xfId="47837" xr:uid="{C4744762-0B8C-42E9-83B5-4EA3C45A34FB}"/>
    <cellStyle name="Moeda 2 3 2 2 2 3" xfId="1649" xr:uid="{298767C2-6B0A-4B13-828E-A3F979F08335}"/>
    <cellStyle name="Moeda 2 3 2 2 2 3 2" xfId="3309" xr:uid="{847CF0EF-6C3F-4E46-A8E1-CF22C69E9D09}"/>
    <cellStyle name="Moeda 2 3 2 2 2 3 2 2" xfId="54440" xr:uid="{1C8FD1E9-1FDB-4DC9-8D0B-140F47CC37D0}"/>
    <cellStyle name="Moeda 2 3 2 2 2 3 2 3" xfId="51146" xr:uid="{F2768292-8383-46EB-86C5-6BA10BA35542}"/>
    <cellStyle name="Moeda 2 3 2 2 2 3 3" xfId="49507" xr:uid="{99B2FBF9-07BB-4C28-9618-C9351149E680}"/>
    <cellStyle name="Moeda 2 3 2 2 2 3 3 2" xfId="57520" xr:uid="{0DC8FDD2-FC8D-4F18-8C08-B4B6FA3B6BC9}"/>
    <cellStyle name="Moeda 2 3 2 2 2 3 4" xfId="52803" xr:uid="{7038383B-73FC-4C58-ACD6-44F9C607777C}"/>
    <cellStyle name="Moeda 2 3 2 2 2 3 5" xfId="47838" xr:uid="{462D2759-55A1-490A-A57A-3BC7F625D85C}"/>
    <cellStyle name="Moeda 2 3 2 2 2 4" xfId="836" xr:uid="{28434CDA-5492-4C85-BFE4-10CA4372F7AC}"/>
    <cellStyle name="Moeda 2 3 2 2 2 4 2" xfId="2552" xr:uid="{86F2483C-EB6C-4933-B402-FCF4F46113E8}"/>
    <cellStyle name="Moeda 2 3 2 2 2 4 2 2" xfId="54441" xr:uid="{FF13C6ED-7A81-4C03-B851-9F36F3D68079}"/>
    <cellStyle name="Moeda 2 3 2 2 2 4 2 3" xfId="51147" xr:uid="{E128E235-C239-44FF-BB15-FE1C0769F9F1}"/>
    <cellStyle name="Moeda 2 3 2 2 2 4 3" xfId="49508" xr:uid="{9A910F0E-D2BD-4527-A309-894D6BF8766A}"/>
    <cellStyle name="Moeda 2 3 2 2 2 4 3 2" xfId="56707" xr:uid="{6EF254CA-30BA-4D2B-B89F-302ABB157FC7}"/>
    <cellStyle name="Moeda 2 3 2 2 2 4 4" xfId="52804" xr:uid="{946887A9-4A16-437E-A2FF-47F43CE35D24}"/>
    <cellStyle name="Moeda 2 3 2 2 2 4 5" xfId="47839" xr:uid="{F345F628-E467-4FF8-94FE-2FDE39C8821F}"/>
    <cellStyle name="Moeda 2 3 2 2 2 5" xfId="3690" xr:uid="{D1DCAA2A-B206-4438-9674-72E24F2E7BFF}"/>
    <cellStyle name="Moeda 2 3 2 2 2 5 2" xfId="51144" xr:uid="{CDDDB85E-AAB7-4EC9-AFA2-A2AB2C8C9514}"/>
    <cellStyle name="Moeda 2 3 2 2 2 5 3" xfId="54438" xr:uid="{1674373E-FDA7-4668-A028-D8C6E3D19891}"/>
    <cellStyle name="Moeda 2 3 2 2 2 5 4" xfId="47836" xr:uid="{FA64EFD0-2835-432A-8EEA-5BAC036CFBBA}"/>
    <cellStyle name="Moeda 2 3 2 2 2 6" xfId="2039" xr:uid="{E86AB4D9-74C0-46A6-B029-27CF32AA4872}"/>
    <cellStyle name="Moeda 2 3 2 2 2 6 2" xfId="56298" xr:uid="{869320D2-4822-4ADF-85DA-815D6B0D782B}"/>
    <cellStyle name="Moeda 2 3 2 2 2 6 3" xfId="49505" xr:uid="{E0CABED4-2E07-49D2-8C90-86DC41000015}"/>
    <cellStyle name="Moeda 2 3 2 2 2 7" xfId="52801" xr:uid="{54E357FE-88EC-4956-BE10-0FAD40C65C9F}"/>
    <cellStyle name="Moeda 2 3 2 2 2 8" xfId="47404" xr:uid="{3233B9E7-AA41-4F7B-A355-8925DA11A3D3}"/>
    <cellStyle name="Moeda 2 3 2 2 2 9" xfId="4708" xr:uid="{E2AD7352-CC88-42A1-8096-C31DC84AC582}"/>
    <cellStyle name="Moeda 2 3 2 2 3" xfId="1054" xr:uid="{151C9931-1219-4E54-808D-2BC677B1CB09}"/>
    <cellStyle name="Moeda 2 3 2 2 3 2" xfId="3581" xr:uid="{2976DBB3-3194-40E2-B698-5CA647514416}"/>
    <cellStyle name="Moeda 2 3 2 2 3 2 2" xfId="51148" xr:uid="{5CB9F72A-65BA-424A-8AD1-DCA8AA2B18D3}"/>
    <cellStyle name="Moeda 2 3 2 2 3 2 3" xfId="54442" xr:uid="{749F0DC4-FCA6-4443-9716-F38DDF31EBA7}"/>
    <cellStyle name="Moeda 2 3 2 2 3 2 4" xfId="47840" xr:uid="{FDA87734-D4C8-4A10-A797-06D72274F446}"/>
    <cellStyle name="Moeda 2 3 2 2 3 3" xfId="1930" xr:uid="{57603D29-F1A3-4B5D-9DE5-1AA05E2157CE}"/>
    <cellStyle name="Moeda 2 3 2 2 3 3 2" xfId="56925" xr:uid="{AD37EF49-C051-458D-A7F3-398C4AC00013}"/>
    <cellStyle name="Moeda 2 3 2 2 3 3 3" xfId="49509" xr:uid="{DB1C64F3-3DC9-44F5-BE9E-DE7498D025B2}"/>
    <cellStyle name="Moeda 2 3 2 2 3 4" xfId="52805" xr:uid="{614EB3AF-377C-436B-8ABC-8AB268CCE14B}"/>
    <cellStyle name="Moeda 2 3 2 2 3 5" xfId="47530" xr:uid="{D40BD20C-8C4D-4F8C-95AF-4E692D1745CD}"/>
    <cellStyle name="Moeda 2 3 2 2 4" xfId="1460" xr:uid="{2FBDD0F6-B1EB-4197-A37E-63EB8188324F}"/>
    <cellStyle name="Moeda 2 3 2 2 4 2" xfId="3799" xr:uid="{6D96E0EF-3A27-43BD-ABF1-BA976F4B88A1}"/>
    <cellStyle name="Moeda 2 3 2 2 4 2 2" xfId="51149" xr:uid="{E7AE5FF2-1ECF-47B4-94B8-E98DD2832CAC}"/>
    <cellStyle name="Moeda 2 3 2 2 4 2 3" xfId="54443" xr:uid="{437799A0-B3AC-4D34-8FD4-38CAC3AA1F43}"/>
    <cellStyle name="Moeda 2 3 2 2 4 2 4" xfId="47841" xr:uid="{90D36141-6329-4623-88EA-8C61231C2BB6}"/>
    <cellStyle name="Moeda 2 3 2 2 4 3" xfId="3121" xr:uid="{0E655EF6-224B-45B0-811B-115BF041C0F0}"/>
    <cellStyle name="Moeda 2 3 2 2 4 3 2" xfId="57331" xr:uid="{84B74BBD-A1E0-40A5-A464-D7964FD45FCD}"/>
    <cellStyle name="Moeda 2 3 2 2 4 3 3" xfId="49510" xr:uid="{5796360B-6148-4EB1-8090-067F86ADFD7A}"/>
    <cellStyle name="Moeda 2 3 2 2 4 4" xfId="52806" xr:uid="{7DCE621F-62FB-4FF2-BD57-346AC3EB7FB6}"/>
    <cellStyle name="Moeda 2 3 2 2 4 5" xfId="47656" xr:uid="{9B84FDBA-B6C1-4948-A7CE-6D7B55E187CE}"/>
    <cellStyle name="Moeda 2 3 2 2 5" xfId="647" xr:uid="{3F5BAEAE-17F0-4503-A884-D505B2D4801F}"/>
    <cellStyle name="Moeda 2 3 2 2 5 2" xfId="2363" xr:uid="{23510143-49B6-4F5E-B3F3-2E3CA226B658}"/>
    <cellStyle name="Moeda 2 3 2 2 5 2 2" xfId="54444" xr:uid="{F7F974DF-96BE-4BE7-BA66-4224F185EBDA}"/>
    <cellStyle name="Moeda 2 3 2 2 5 2 3" xfId="51150" xr:uid="{33C12324-5472-4A4B-9858-CE22712E2DA4}"/>
    <cellStyle name="Moeda 2 3 2 2 5 3" xfId="49511" xr:uid="{3F6E4380-CBEA-44F9-92E2-CB632C438ECA}"/>
    <cellStyle name="Moeda 2 3 2 2 5 3 2" xfId="56518" xr:uid="{FBF0C853-F0ED-455D-8B88-918E8B012908}"/>
    <cellStyle name="Moeda 2 3 2 2 5 4" xfId="52807" xr:uid="{C37EBE0D-93E7-4DF2-A786-B89B709869C7}"/>
    <cellStyle name="Moeda 2 3 2 2 5 5" xfId="47842" xr:uid="{C9FB5AF6-E1C4-4CFC-A077-D1B1253F82E2}"/>
    <cellStyle name="Moeda 2 3 2 2 6" xfId="3471" xr:uid="{9D8F34E1-D4EB-4C65-905B-4556D18D7EAA}"/>
    <cellStyle name="Moeda 2 3 2 2 6 2" xfId="51143" xr:uid="{2F460CAF-D943-4135-BBE4-9F4D1993B133}"/>
    <cellStyle name="Moeda 2 3 2 2 6 3" xfId="54437" xr:uid="{08BEE643-C4E5-4F2E-9064-68BFA27E44B3}"/>
    <cellStyle name="Moeda 2 3 2 2 6 4" xfId="47835" xr:uid="{917A8147-4D4B-4CE4-8B20-8165DA6D443F}"/>
    <cellStyle name="Moeda 2 3 2 2 7" xfId="1820" xr:uid="{6930F7E0-B02B-4AE3-B557-1531EA811B90}"/>
    <cellStyle name="Moeda 2 3 2 2 7 2" xfId="56109" xr:uid="{6C1004DA-ADE3-4767-BC84-5B0908E3B0E3}"/>
    <cellStyle name="Moeda 2 3 2 2 7 3" xfId="49504" xr:uid="{0DCD3D9E-4E45-40DA-95B1-332C2AC510E1}"/>
    <cellStyle name="Moeda 2 3 2 2 8" xfId="52800" xr:uid="{E8D9B245-A433-4657-AF97-44FDA551F44A}"/>
    <cellStyle name="Moeda 2 3 2 2 9" xfId="32910" xr:uid="{8D30027C-FBB6-4562-B6B3-B83C52B484D7}"/>
    <cellStyle name="Moeda 2 3 2 3" xfId="290" xr:uid="{9AED0368-9C6E-445E-99AD-97212384CA6F}"/>
    <cellStyle name="Moeda 2 3 2 3 10" xfId="4571" xr:uid="{212FFE13-E9C8-4B87-8119-061D0331F901}"/>
    <cellStyle name="Moeda 2 3 2 3 2" xfId="479" xr:uid="{1C1CA3B3-2929-4EC2-85F0-9FD0E69A798F}"/>
    <cellStyle name="Moeda 2 3 2 3 2 2" xfId="1295" xr:uid="{CBA77242-D7FC-45E2-9554-834C944E315D}"/>
    <cellStyle name="Moeda 2 3 2 3 2 2 2" xfId="2956" xr:uid="{26A07482-C23C-41E6-A038-926F4F329505}"/>
    <cellStyle name="Moeda 2 3 2 3 2 2 2 2" xfId="54447" xr:uid="{277120C9-0D62-4F6C-A140-542DE823FA40}"/>
    <cellStyle name="Moeda 2 3 2 3 2 2 2 3" xfId="51153" xr:uid="{32D9AE18-0AB1-4103-B46C-00EAF6429D01}"/>
    <cellStyle name="Moeda 2 3 2 3 2 2 3" xfId="49514" xr:uid="{F5868B1E-8FEA-41C8-BBB9-2261EAEBB658}"/>
    <cellStyle name="Moeda 2 3 2 3 2 2 3 2" xfId="57166" xr:uid="{EA644C6A-6BB4-42A6-81DB-6C483309B89D}"/>
    <cellStyle name="Moeda 2 3 2 3 2 2 4" xfId="52810" xr:uid="{2E5418D9-3A35-4633-A3CF-9359911A4900}"/>
    <cellStyle name="Moeda 2 3 2 3 2 2 5" xfId="47845" xr:uid="{0F14F05B-7ED0-4399-8379-BA7ED0A335F7}"/>
    <cellStyle name="Moeda 2 3 2 3 2 3" xfId="1701" xr:uid="{7FF3261B-A595-4637-A86B-CEB6FCFAF772}"/>
    <cellStyle name="Moeda 2 3 2 3 2 3 2" xfId="3361" xr:uid="{061FFFB4-43E3-4A56-899F-6B529578182E}"/>
    <cellStyle name="Moeda 2 3 2 3 2 3 2 2" xfId="54448" xr:uid="{3599E2A5-8DA6-486E-9F57-1D6F18C752B5}"/>
    <cellStyle name="Moeda 2 3 2 3 2 3 2 3" xfId="51154" xr:uid="{4C6E6B63-6731-4D9D-BAAE-7A85EAC3596D}"/>
    <cellStyle name="Moeda 2 3 2 3 2 3 3" xfId="49515" xr:uid="{E4F67A03-98E8-4F76-A6B5-56983A7963B5}"/>
    <cellStyle name="Moeda 2 3 2 3 2 3 3 2" xfId="57572" xr:uid="{567E946D-E1BC-487D-B6BD-9846A76549D9}"/>
    <cellStyle name="Moeda 2 3 2 3 2 3 4" xfId="52811" xr:uid="{54D5D737-9B26-4EE6-BC97-28EC64E0729D}"/>
    <cellStyle name="Moeda 2 3 2 3 2 3 5" xfId="47846" xr:uid="{0864F9AC-DE20-4E0A-9E07-09013A6B482D}"/>
    <cellStyle name="Moeda 2 3 2 3 2 4" xfId="888" xr:uid="{4C82C593-A104-4C45-BAD9-D52BED7B900E}"/>
    <cellStyle name="Moeda 2 3 2 3 2 4 2" xfId="2604" xr:uid="{2F3F5516-ECC6-4376-957E-6C0EEB259085}"/>
    <cellStyle name="Moeda 2 3 2 3 2 4 2 2" xfId="54449" xr:uid="{C8E8359A-72F4-4B8C-9FFE-E090B225C3C9}"/>
    <cellStyle name="Moeda 2 3 2 3 2 4 2 3" xfId="51155" xr:uid="{DBD03A83-2F56-4EAA-921F-8D34DE93893C}"/>
    <cellStyle name="Moeda 2 3 2 3 2 4 3" xfId="49516" xr:uid="{F2BB153D-D417-44A5-B860-7240522E012E}"/>
    <cellStyle name="Moeda 2 3 2 3 2 4 3 2" xfId="56759" xr:uid="{E7AEE8C7-267D-4F62-92D3-C0E0F329F048}"/>
    <cellStyle name="Moeda 2 3 2 3 2 4 4" xfId="52812" xr:uid="{08A8ADB9-EE2D-471F-A63D-DCA9D9BDA73B}"/>
    <cellStyle name="Moeda 2 3 2 3 2 4 5" xfId="47847" xr:uid="{4C138C8C-E712-4790-AD8C-701960B2689A}"/>
    <cellStyle name="Moeda 2 3 2 3 2 5" xfId="2196" xr:uid="{EEAADB85-280F-44D7-B31B-DD9EDD687D1E}"/>
    <cellStyle name="Moeda 2 3 2 3 2 5 2" xfId="54446" xr:uid="{87832549-8848-4323-AEFD-A1AB93A38C58}"/>
    <cellStyle name="Moeda 2 3 2 3 2 5 3" xfId="51152" xr:uid="{A26EA1FC-8D87-458C-8FA0-63A8DC3E95CA}"/>
    <cellStyle name="Moeda 2 3 2 3 2 6" xfId="49513" xr:uid="{E272DC0A-B3FB-4D46-8BAD-9303A5B00051}"/>
    <cellStyle name="Moeda 2 3 2 3 2 6 2" xfId="56350" xr:uid="{F7276965-24DD-4BC5-ABF7-A35CD9C0DC3C}"/>
    <cellStyle name="Moeda 2 3 2 3 2 7" xfId="52809" xr:uid="{BB6E243E-517F-4D39-9BEE-4F67F3B9578C}"/>
    <cellStyle name="Moeda 2 3 2 3 2 8" xfId="47844" xr:uid="{CE35340F-79D9-4AFD-B2D2-4DF77E318602}"/>
    <cellStyle name="Moeda 2 3 2 3 2 9" xfId="4760" xr:uid="{48D05DCD-ACCD-45F7-A682-B8BD3386DC3F}"/>
    <cellStyle name="Moeda 2 3 2 3 3" xfId="1106" xr:uid="{C4835CA6-5D76-4C18-885C-6A194267C026}"/>
    <cellStyle name="Moeda 2 3 2 3 3 2" xfId="2769" xr:uid="{833F7AE8-6474-4FA2-B296-3A1C2E65135E}"/>
    <cellStyle name="Moeda 2 3 2 3 3 2 2" xfId="54450" xr:uid="{BF7C17C4-EDF9-4EEC-B3E3-42FAC665C296}"/>
    <cellStyle name="Moeda 2 3 2 3 3 2 3" xfId="51156" xr:uid="{273067F6-215A-4527-94E5-8FE37E22C1DC}"/>
    <cellStyle name="Moeda 2 3 2 3 3 3" xfId="49517" xr:uid="{1F7A1153-4E11-448A-9153-0D7448EBCA91}"/>
    <cellStyle name="Moeda 2 3 2 3 3 3 2" xfId="56977" xr:uid="{872E590F-9740-489D-BEFE-950D8D12135C}"/>
    <cellStyle name="Moeda 2 3 2 3 3 4" xfId="52813" xr:uid="{FDC8A7B5-94F5-4ABA-87D9-450F1B0E853A}"/>
    <cellStyle name="Moeda 2 3 2 3 3 5" xfId="47848" xr:uid="{DB828DE8-C91A-407D-A34B-150C60C0BBEB}"/>
    <cellStyle name="Moeda 2 3 2 3 4" xfId="1512" xr:uid="{7CC20CFE-6D2F-437F-8EB4-B412BB829A7E}"/>
    <cellStyle name="Moeda 2 3 2 3 4 2" xfId="3173" xr:uid="{C6455EF1-1F04-488C-B3EC-7C88F51AA68F}"/>
    <cellStyle name="Moeda 2 3 2 3 4 2 2" xfId="54451" xr:uid="{87DE74A2-0FB9-4C19-90CE-9637D5EE1DA5}"/>
    <cellStyle name="Moeda 2 3 2 3 4 2 3" xfId="51157" xr:uid="{8D263F0E-7D71-4A81-B7CA-D26F9DBA018C}"/>
    <cellStyle name="Moeda 2 3 2 3 4 3" xfId="49518" xr:uid="{3C648A94-9FEA-4A6B-8361-C0B40A4090C4}"/>
    <cellStyle name="Moeda 2 3 2 3 4 3 2" xfId="57383" xr:uid="{94820815-A203-4791-ADBC-CFFC0B92D89D}"/>
    <cellStyle name="Moeda 2 3 2 3 4 4" xfId="52814" xr:uid="{D4827476-1BF3-47BC-9016-779ABEE4C16F}"/>
    <cellStyle name="Moeda 2 3 2 3 4 5" xfId="47849" xr:uid="{062EE36F-657E-48F7-BE30-57C961894194}"/>
    <cellStyle name="Moeda 2 3 2 3 5" xfId="699" xr:uid="{A2C1E22C-551D-4292-80B0-B7245241C067}"/>
    <cellStyle name="Moeda 2 3 2 3 5 2" xfId="2415" xr:uid="{B703C759-E155-4048-81E4-6A3FE8D87404}"/>
    <cellStyle name="Moeda 2 3 2 3 5 2 2" xfId="54452" xr:uid="{FF0EB610-09C8-48B0-80F6-D8BB0E22DE02}"/>
    <cellStyle name="Moeda 2 3 2 3 5 2 3" xfId="51158" xr:uid="{93E46748-58CF-41C7-B03D-DFBD031664A7}"/>
    <cellStyle name="Moeda 2 3 2 3 5 3" xfId="49519" xr:uid="{B6AEA2C9-E26B-49DE-817B-F26B1831691E}"/>
    <cellStyle name="Moeda 2 3 2 3 5 3 2" xfId="56570" xr:uid="{17CE1555-A2A4-47BE-9DB2-2CD3F477DCA1}"/>
    <cellStyle name="Moeda 2 3 2 3 5 4" xfId="52815" xr:uid="{1E724DB8-46A3-4633-BC54-834EA3151DA3}"/>
    <cellStyle name="Moeda 2 3 2 3 5 5" xfId="47850" xr:uid="{4263D127-F834-4CE7-848F-9CE1326B2C0A}"/>
    <cellStyle name="Moeda 2 3 2 3 6" xfId="3635" xr:uid="{1D0AC16A-E4A2-4FF4-B578-E8AF92E4EFD2}"/>
    <cellStyle name="Moeda 2 3 2 3 6 2" xfId="51151" xr:uid="{40949A7B-C89D-4F23-A70C-F783C428BB0F}"/>
    <cellStyle name="Moeda 2 3 2 3 6 3" xfId="54445" xr:uid="{940F3099-E4AF-4762-9EF6-C25FB6DEA876}"/>
    <cellStyle name="Moeda 2 3 2 3 6 4" xfId="47843" xr:uid="{53E379E0-E7C5-48F8-834C-09A0F17405CC}"/>
    <cellStyle name="Moeda 2 3 2 3 7" xfId="1984" xr:uid="{5D609792-E579-4ED5-906B-DFE8E5B5646C}"/>
    <cellStyle name="Moeda 2 3 2 3 7 2" xfId="56161" xr:uid="{7BC9A77E-0142-4416-B400-F603A8F3DAB6}"/>
    <cellStyle name="Moeda 2 3 2 3 7 3" xfId="49512" xr:uid="{895B51C3-9E76-47F4-A5D6-5DF5C8CC851D}"/>
    <cellStyle name="Moeda 2 3 2 3 8" xfId="52808" xr:uid="{F718AA87-CF76-43E8-8946-1A0816CE8235}"/>
    <cellStyle name="Moeda 2 3 2 3 9" xfId="47348" xr:uid="{4E093EEE-5897-48F8-8461-238445D8D9C4}"/>
    <cellStyle name="Moeda 2 3 2 4" xfId="349" xr:uid="{3C48A76B-B7E6-40B2-BDC5-1B3270D8504A}"/>
    <cellStyle name="Moeda 2 3 2 4 2" xfId="1165" xr:uid="{1131C11E-67F9-4DC3-AEC7-ADE2D270BCFA}"/>
    <cellStyle name="Moeda 2 3 2 4 2 2" xfId="2826" xr:uid="{45B4EDFA-92C5-4430-B56A-F4A2671ECC4A}"/>
    <cellStyle name="Moeda 2 3 2 4 2 2 2" xfId="54454" xr:uid="{D310C6AD-ADED-43C3-8063-F5C3B95D6500}"/>
    <cellStyle name="Moeda 2 3 2 4 2 2 3" xfId="51160" xr:uid="{59B24DAC-40C3-433A-9A2F-842131DE9CEC}"/>
    <cellStyle name="Moeda 2 3 2 4 2 3" xfId="49521" xr:uid="{1F7B852A-9421-4ACE-84CA-BD8177196E52}"/>
    <cellStyle name="Moeda 2 3 2 4 2 3 2" xfId="57036" xr:uid="{70FC5FF6-05AA-4677-BE14-2212C12F1C5B}"/>
    <cellStyle name="Moeda 2 3 2 4 2 4" xfId="52817" xr:uid="{442DA4C4-3D0D-463D-B27A-FE487AAB9B4C}"/>
    <cellStyle name="Moeda 2 3 2 4 2 5" xfId="47852" xr:uid="{9B32C5CD-6D2F-4854-971A-636E27E5DC92}"/>
    <cellStyle name="Moeda 2 3 2 4 3" xfId="1571" xr:uid="{B1782904-3EF0-44A5-9358-C1525D252315}"/>
    <cellStyle name="Moeda 2 3 2 4 3 2" xfId="3231" xr:uid="{27768951-F29E-4D3B-B588-EE761DF5DC39}"/>
    <cellStyle name="Moeda 2 3 2 4 3 2 2" xfId="54455" xr:uid="{DFF248BD-DEC4-4BD3-BD4A-75153A9A6E65}"/>
    <cellStyle name="Moeda 2 3 2 4 3 2 3" xfId="51161" xr:uid="{70F19491-A218-42BD-8E70-A73496E14995}"/>
    <cellStyle name="Moeda 2 3 2 4 3 3" xfId="49522" xr:uid="{19E9F1B5-1563-4068-AC12-2AB565E4F16A}"/>
    <cellStyle name="Moeda 2 3 2 4 3 3 2" xfId="57442" xr:uid="{8B21C324-9801-4134-9E90-69FBC4529313}"/>
    <cellStyle name="Moeda 2 3 2 4 3 4" xfId="52818" xr:uid="{1472AB08-B109-45A6-B0D4-26816E9815B2}"/>
    <cellStyle name="Moeda 2 3 2 4 3 5" xfId="47853" xr:uid="{284EBB28-E45C-4928-9A6D-2581AB0ADA04}"/>
    <cellStyle name="Moeda 2 3 2 4 4" xfId="758" xr:uid="{CEE3A810-54E3-4A61-9514-13434F447BDB}"/>
    <cellStyle name="Moeda 2 3 2 4 4 2" xfId="2474" xr:uid="{F9121210-DB66-486C-873E-5244B9CB6ED8}"/>
    <cellStyle name="Moeda 2 3 2 4 4 2 2" xfId="54456" xr:uid="{70B2915E-CA8F-4D4E-B51E-40A6502AD3AF}"/>
    <cellStyle name="Moeda 2 3 2 4 4 2 3" xfId="51162" xr:uid="{345359D0-98F2-467A-AD90-BF2D7646F7DF}"/>
    <cellStyle name="Moeda 2 3 2 4 4 3" xfId="49523" xr:uid="{A3475A5B-EAFF-4768-97E2-09593A1CB6F7}"/>
    <cellStyle name="Moeda 2 3 2 4 4 3 2" xfId="56629" xr:uid="{4DD02B91-8F80-47F0-9B50-9F5B12333440}"/>
    <cellStyle name="Moeda 2 3 2 4 4 4" xfId="52819" xr:uid="{B8CD4890-7ED5-4CFC-B805-9B6B729FB86C}"/>
    <cellStyle name="Moeda 2 3 2 4 4 5" xfId="47854" xr:uid="{F9ADE46B-1846-4C88-8007-3B39DBE348CA}"/>
    <cellStyle name="Moeda 2 3 2 4 5" xfId="3526" xr:uid="{6DC9F417-C0F1-40B1-8442-C4ABDCD1FBDF}"/>
    <cellStyle name="Moeda 2 3 2 4 5 2" xfId="51159" xr:uid="{74F25B0D-BB86-417B-B31D-1255C41E2C43}"/>
    <cellStyle name="Moeda 2 3 2 4 5 3" xfId="54453" xr:uid="{135AF5F8-BBBC-431E-B12E-29743673F61A}"/>
    <cellStyle name="Moeda 2 3 2 4 5 4" xfId="47851" xr:uid="{EDA640CC-D4F8-4C94-9C56-9C4A52FCB507}"/>
    <cellStyle name="Moeda 2 3 2 4 6" xfId="1875" xr:uid="{3C498572-CB18-4EAA-B2CD-FC6FB862C9C3}"/>
    <cellStyle name="Moeda 2 3 2 4 6 2" xfId="56220" xr:uid="{8BA3CBF8-1030-4927-8446-0651C684F9AD}"/>
    <cellStyle name="Moeda 2 3 2 4 6 3" xfId="49520" xr:uid="{014F6B16-ED04-46AE-94DC-14FDB96AAAE1}"/>
    <cellStyle name="Moeda 2 3 2 4 7" xfId="52816" xr:uid="{31DB4020-8538-436E-9E2F-BF0E57435C3A}"/>
    <cellStyle name="Moeda 2 3 2 4 8" xfId="47474" xr:uid="{8D6FA427-DFEB-431A-84EF-F1E92BCA6333}"/>
    <cellStyle name="Moeda 2 3 2 4 9" xfId="4630" xr:uid="{C200E6A1-29F0-4189-99E5-63AFD1794E83}"/>
    <cellStyle name="Moeda 2 3 2 5" xfId="976" xr:uid="{A0BFE5D2-9C4A-4FF4-AC4A-232456B4D8C2}"/>
    <cellStyle name="Moeda 2 3 2 5 2" xfId="3744" xr:uid="{4320BB7C-8C46-4152-A666-B5CE073498E0}"/>
    <cellStyle name="Moeda 2 3 2 5 2 2" xfId="51163" xr:uid="{BB21BEB3-3EB0-4B92-B613-FAD7BB2C18C3}"/>
    <cellStyle name="Moeda 2 3 2 5 2 3" xfId="54457" xr:uid="{0E78C36F-6803-438F-AF07-044A12DC08C0}"/>
    <cellStyle name="Moeda 2 3 2 5 2 4" xfId="47855" xr:uid="{2D6C8FBE-D5B0-4BAC-A994-3DDFD9C4F878}"/>
    <cellStyle name="Moeda 2 3 2 5 3" xfId="2690" xr:uid="{AC842290-5156-42E8-9B2E-4BC6F3ADB0A1}"/>
    <cellStyle name="Moeda 2 3 2 5 3 2" xfId="56847" xr:uid="{FE013CB5-01D0-4BD8-9B4E-41160B8DF53A}"/>
    <cellStyle name="Moeda 2 3 2 5 3 3" xfId="49524" xr:uid="{C06A94C4-CCD6-47C8-BF4A-7E0457B1EB93}"/>
    <cellStyle name="Moeda 2 3 2 5 4" xfId="52820" xr:uid="{D5842BD3-A211-4A10-A064-A71A8AF4C6BA}"/>
    <cellStyle name="Moeda 2 3 2 5 5" xfId="47600" xr:uid="{5FAE0690-6E47-4C36-9DC2-E690716E2878}"/>
    <cellStyle name="Moeda 2 3 2 6" xfId="1382" xr:uid="{939147AF-D956-4D2A-8612-3F6734C57FBE}"/>
    <cellStyle name="Moeda 2 3 2 6 2" xfId="3043" xr:uid="{D2A402D2-6EAC-4617-95A0-B973538C7125}"/>
    <cellStyle name="Moeda 2 3 2 6 2 2" xfId="54458" xr:uid="{D2DD7CF0-AF59-497B-8CEC-D753955AB595}"/>
    <cellStyle name="Moeda 2 3 2 6 2 3" xfId="51164" xr:uid="{CEBAD59A-73AD-4F38-A5F3-0B17490FB214}"/>
    <cellStyle name="Moeda 2 3 2 6 3" xfId="49525" xr:uid="{B2D18989-DBB3-424A-822E-3E890407BA84}"/>
    <cellStyle name="Moeda 2 3 2 6 3 2" xfId="57253" xr:uid="{E22692C7-1B6C-4ED9-AA9E-6CCA87F49B58}"/>
    <cellStyle name="Moeda 2 3 2 6 4" xfId="52821" xr:uid="{84BDE2A3-E279-41DB-B3B0-F6ECBD12C971}"/>
    <cellStyle name="Moeda 2 3 2 6 5" xfId="47856" xr:uid="{D3700B38-87E1-4A73-8AED-BCBC1019876F}"/>
    <cellStyle name="Moeda 2 3 2 7" xfId="569" xr:uid="{5CAD4E64-9952-448D-80C6-6FF2392618B8}"/>
    <cellStyle name="Moeda 2 3 2 7 2" xfId="2285" xr:uid="{DB6FD2B7-7D91-42A8-8B7D-F2B97B4C5CA1}"/>
    <cellStyle name="Moeda 2 3 2 7 2 2" xfId="54459" xr:uid="{1AE40EAA-14AC-49C9-9C3E-A30B6CFE49D9}"/>
    <cellStyle name="Moeda 2 3 2 7 2 3" xfId="51165" xr:uid="{C6A57B02-3C8C-4DD5-A9A3-E0F2CAEE42E4}"/>
    <cellStyle name="Moeda 2 3 2 7 3" xfId="49526" xr:uid="{3558C8A0-097E-493D-8053-5257E68EF1CA}"/>
    <cellStyle name="Moeda 2 3 2 7 3 2" xfId="56440" xr:uid="{CFAB2D65-18F9-44AD-940B-A4C38657C1F3}"/>
    <cellStyle name="Moeda 2 3 2 7 4" xfId="52822" xr:uid="{EC2B1DDD-4A35-4152-BB00-66BE6BC146F1}"/>
    <cellStyle name="Moeda 2 3 2 7 5" xfId="47857" xr:uid="{4D826A55-018B-40CC-A54B-238223222C02}"/>
    <cellStyle name="Moeda 2 3 2 8" xfId="3416" xr:uid="{939ADF4C-CF17-40FE-B2AA-8F8C90CB386D}"/>
    <cellStyle name="Moeda 2 3 2 8 2" xfId="51142" xr:uid="{DC3130C2-FCA6-4588-995C-16BDCD538E74}"/>
    <cellStyle name="Moeda 2 3 2 8 3" xfId="54436" xr:uid="{FAC095B3-E719-41B4-91B9-EC6C472CC912}"/>
    <cellStyle name="Moeda 2 3 2 8 4" xfId="47834" xr:uid="{8569C31E-E5F1-4FF4-BFCB-70A808DFD9C0}"/>
    <cellStyle name="Moeda 2 3 2 9" xfId="1764" xr:uid="{498D3C9A-57AD-4594-AFCB-839B355333BE}"/>
    <cellStyle name="Moeda 2 3 2 9 2" xfId="56031" xr:uid="{6C2B11F4-981D-40CB-8D55-7454ACFB1D57}"/>
    <cellStyle name="Moeda 2 3 2 9 3" xfId="49503" xr:uid="{3CFFC7FF-A0DB-429F-A78F-F85014D013D8}"/>
    <cellStyle name="Moeda 2 3 3" xfId="186" xr:uid="{C6641D82-AF02-4DB6-B205-F1C385AD2783}"/>
    <cellStyle name="Moeda 2 3 3 10" xfId="4467" xr:uid="{A2CBE75E-73F9-4DCA-8CE3-73A8E058FD1A}"/>
    <cellStyle name="Moeda 2 3 3 2" xfId="375" xr:uid="{C6C96526-3EFF-4A7B-B804-682F26039D94}"/>
    <cellStyle name="Moeda 2 3 3 2 2" xfId="1191" xr:uid="{B0C2E3CE-048A-4C98-B904-033285D31156}"/>
    <cellStyle name="Moeda 2 3 3 2 2 2" xfId="2852" xr:uid="{E0926991-EA7E-4D73-BEB9-7C5B8C1B2686}"/>
    <cellStyle name="Moeda 2 3 3 2 2 2 2" xfId="54462" xr:uid="{9FADF5AB-7612-460F-AC26-E6B186E927C7}"/>
    <cellStyle name="Moeda 2 3 3 2 2 2 3" xfId="51168" xr:uid="{D9268D26-FEE7-45FD-A506-8D6D689C7EAC}"/>
    <cellStyle name="Moeda 2 3 3 2 2 3" xfId="49529" xr:uid="{B229927A-4E90-4194-A128-800C46D86409}"/>
    <cellStyle name="Moeda 2 3 3 2 2 3 2" xfId="57062" xr:uid="{F1DE424E-0CD0-4E81-8CA4-5F1C627D92B3}"/>
    <cellStyle name="Moeda 2 3 3 2 2 4" xfId="52825" xr:uid="{C05579F9-D643-463E-9891-20B80150191C}"/>
    <cellStyle name="Moeda 2 3 3 2 2 5" xfId="47860" xr:uid="{13BAF9CE-3E05-402A-A550-B1699932CC47}"/>
    <cellStyle name="Moeda 2 3 3 2 3" xfId="1597" xr:uid="{52D305CE-9BCD-4893-BC95-2CB4BA1B9125}"/>
    <cellStyle name="Moeda 2 3 3 2 3 2" xfId="3257" xr:uid="{F344FBB3-8437-42D6-B9A3-87B60A0D6D5D}"/>
    <cellStyle name="Moeda 2 3 3 2 3 2 2" xfId="54463" xr:uid="{1309B378-2CFA-49BF-8BA3-FE24241EF2F1}"/>
    <cellStyle name="Moeda 2 3 3 2 3 2 3" xfId="51169" xr:uid="{2D5257C7-DCEE-4F9A-89F9-E9B70D183ACF}"/>
    <cellStyle name="Moeda 2 3 3 2 3 3" xfId="49530" xr:uid="{6FA068D8-6A4A-4662-B606-C5749D166483}"/>
    <cellStyle name="Moeda 2 3 3 2 3 3 2" xfId="57468" xr:uid="{D8A02D45-326E-479E-A09A-8C7CFC8A8AD3}"/>
    <cellStyle name="Moeda 2 3 3 2 3 4" xfId="52826" xr:uid="{F2C1297B-5DDF-4701-A9EC-3A2FEB87EB28}"/>
    <cellStyle name="Moeda 2 3 3 2 3 5" xfId="47861" xr:uid="{4B579C24-D748-4C98-90CB-A6595381099A}"/>
    <cellStyle name="Moeda 2 3 3 2 4" xfId="784" xr:uid="{B0DDDCE8-E035-4F55-9959-285DA7C1E477}"/>
    <cellStyle name="Moeda 2 3 3 2 4 2" xfId="2500" xr:uid="{2B95F58B-CA48-4AFC-B5B3-044D8D1F4B7C}"/>
    <cellStyle name="Moeda 2 3 3 2 4 2 2" xfId="54464" xr:uid="{72C8A4A3-C40A-46D3-9133-CBDC255D844D}"/>
    <cellStyle name="Moeda 2 3 3 2 4 2 3" xfId="51170" xr:uid="{A93BB8FD-D4B7-4B1B-82C1-E12486019A75}"/>
    <cellStyle name="Moeda 2 3 3 2 4 3" xfId="49531" xr:uid="{04AB4C04-6E1B-4D25-B77E-04F8AE62EF59}"/>
    <cellStyle name="Moeda 2 3 3 2 4 3 2" xfId="56655" xr:uid="{FA8FE83E-8E50-4EDA-946A-3BB669FFFC15}"/>
    <cellStyle name="Moeda 2 3 3 2 4 4" xfId="52827" xr:uid="{57A65D4C-8457-4DDA-B5CC-B672D8BA8540}"/>
    <cellStyle name="Moeda 2 3 3 2 4 5" xfId="47862" xr:uid="{974E8553-EA3D-41CB-AFB9-891AF223890B}"/>
    <cellStyle name="Moeda 2 3 3 2 5" xfId="3664" xr:uid="{D82F7994-17D5-4E25-8A05-6B2F5DC5500C}"/>
    <cellStyle name="Moeda 2 3 3 2 5 2" xfId="51167" xr:uid="{62C77CEB-72AB-4A1D-B626-0A861DEDE4D9}"/>
    <cellStyle name="Moeda 2 3 3 2 5 3" xfId="54461" xr:uid="{99A23C96-3B55-4196-81E9-9F11EF93C658}"/>
    <cellStyle name="Moeda 2 3 3 2 5 4" xfId="47859" xr:uid="{49E3E5AD-3B41-4148-8594-9B28D21F2B01}"/>
    <cellStyle name="Moeda 2 3 3 2 6" xfId="2013" xr:uid="{88226684-4E2F-46ED-9084-52EFD0650F92}"/>
    <cellStyle name="Moeda 2 3 3 2 6 2" xfId="56246" xr:uid="{7E60F704-BEA2-4294-AE2A-DD9B94969A42}"/>
    <cellStyle name="Moeda 2 3 3 2 6 3" xfId="49528" xr:uid="{C2D15230-9137-421C-A465-15FB0377AC47}"/>
    <cellStyle name="Moeda 2 3 3 2 7" xfId="52824" xr:uid="{1AA03FB9-4002-4FD1-86B5-8904D81C388B}"/>
    <cellStyle name="Moeda 2 3 3 2 8" xfId="47378" xr:uid="{37960F73-2F8B-4349-A453-4648006A7AE1}"/>
    <cellStyle name="Moeda 2 3 3 2 9" xfId="4656" xr:uid="{9A28044C-CFD6-4FEB-98FA-F82DE11237F5}"/>
    <cellStyle name="Moeda 2 3 3 3" xfId="1002" xr:uid="{8D9F9CD2-8606-47E5-B4DF-F017A59B3D9A}"/>
    <cellStyle name="Moeda 2 3 3 3 2" xfId="3555" xr:uid="{A30D5F3A-02B2-4F0B-9DAF-78781A17C14B}"/>
    <cellStyle name="Moeda 2 3 3 3 2 2" xfId="51171" xr:uid="{4FB47B5B-C14B-45B9-A570-B3664B1A73B0}"/>
    <cellStyle name="Moeda 2 3 3 3 2 3" xfId="54465" xr:uid="{7E6A35B6-F5E5-4B80-8E1B-444D37006B89}"/>
    <cellStyle name="Moeda 2 3 3 3 2 4" xfId="47863" xr:uid="{2DE92614-C37F-4CF8-9AFA-BE8345A66128}"/>
    <cellStyle name="Moeda 2 3 3 3 3" xfId="1904" xr:uid="{65D19E48-4640-43D8-921B-0724C82EFFD5}"/>
    <cellStyle name="Moeda 2 3 3 3 3 2" xfId="56873" xr:uid="{CB430150-2FF3-4D51-97B3-D7FB6846D10B}"/>
    <cellStyle name="Moeda 2 3 3 3 3 3" xfId="49532" xr:uid="{8FB728AF-4890-4C5A-905B-BF0560B1BFB3}"/>
    <cellStyle name="Moeda 2 3 3 3 4" xfId="52828" xr:uid="{978ADAB0-4A79-4BDC-AD44-4E632E14F9D0}"/>
    <cellStyle name="Moeda 2 3 3 3 5" xfId="47504" xr:uid="{83ED8A33-DFC3-4D84-8007-D6F4BA5C35B7}"/>
    <cellStyle name="Moeda 2 3 3 4" xfId="1408" xr:uid="{F3A10B56-065C-412F-9FEC-0ADF92BCBBE9}"/>
    <cellStyle name="Moeda 2 3 3 4 2" xfId="3773" xr:uid="{93591105-AA96-436B-930B-38724B61E753}"/>
    <cellStyle name="Moeda 2 3 3 4 2 2" xfId="51172" xr:uid="{8A19F654-75FA-4FFB-8575-895549261952}"/>
    <cellStyle name="Moeda 2 3 3 4 2 3" xfId="54466" xr:uid="{ECE7A62D-0873-4161-9F51-6988F231107D}"/>
    <cellStyle name="Moeda 2 3 3 4 2 4" xfId="47864" xr:uid="{D3604F35-00AF-4061-83FB-40F22E98C089}"/>
    <cellStyle name="Moeda 2 3 3 4 3" xfId="3069" xr:uid="{466C3C3F-8340-4758-9A8F-C65692C2239A}"/>
    <cellStyle name="Moeda 2 3 3 4 3 2" xfId="57279" xr:uid="{B2D5D1F2-6642-4BAC-8379-A6A31B9A9D3E}"/>
    <cellStyle name="Moeda 2 3 3 4 3 3" xfId="49533" xr:uid="{B0A11500-E38E-43F8-97C7-DF36F0BEFC62}"/>
    <cellStyle name="Moeda 2 3 3 4 4" xfId="52829" xr:uid="{FE3B802A-C2A6-4087-AC39-F6B731071EDA}"/>
    <cellStyle name="Moeda 2 3 3 4 5" xfId="47630" xr:uid="{C8514587-852A-44B5-AFE1-6244EF24EA8E}"/>
    <cellStyle name="Moeda 2 3 3 5" xfId="595" xr:uid="{D62A9D25-3427-4F62-B597-B1A9DB34CFBF}"/>
    <cellStyle name="Moeda 2 3 3 5 2" xfId="2311" xr:uid="{D5545F18-2671-47B3-B26B-6010A3E737CD}"/>
    <cellStyle name="Moeda 2 3 3 5 2 2" xfId="54467" xr:uid="{DA2675A6-0CFE-4E45-93DB-3113D71127A1}"/>
    <cellStyle name="Moeda 2 3 3 5 2 3" xfId="51173" xr:uid="{789B7108-C617-435D-8C59-13DBC42C933B}"/>
    <cellStyle name="Moeda 2 3 3 5 3" xfId="49534" xr:uid="{6213FC3A-89C7-4494-B770-E55BFDFC809A}"/>
    <cellStyle name="Moeda 2 3 3 5 3 2" xfId="56466" xr:uid="{B1E97CD9-C41D-4EA0-9F3E-015B9BB1B5D5}"/>
    <cellStyle name="Moeda 2 3 3 5 4" xfId="52830" xr:uid="{78D2C5FF-3B5C-449B-870D-88D7402F4BBC}"/>
    <cellStyle name="Moeda 2 3 3 5 5" xfId="47865" xr:uid="{408E8E80-AD38-426C-A498-C592677593A1}"/>
    <cellStyle name="Moeda 2 3 3 6" xfId="3445" xr:uid="{18E2D48F-6C54-49D9-899B-5FB4ABE03BEA}"/>
    <cellStyle name="Moeda 2 3 3 6 2" xfId="51166" xr:uid="{1EAAF4EC-4942-49A3-8A67-34CBB7E5AF0D}"/>
    <cellStyle name="Moeda 2 3 3 6 3" xfId="54460" xr:uid="{67D7AEA4-DD13-46CC-B3ED-86153F43CCD8}"/>
    <cellStyle name="Moeda 2 3 3 6 4" xfId="47858" xr:uid="{B58614BB-5CB5-4DE2-9DFC-942955AADC5E}"/>
    <cellStyle name="Moeda 2 3 3 7" xfId="1794" xr:uid="{D4DD5406-1FF5-482B-8A1C-57C9613303FA}"/>
    <cellStyle name="Moeda 2 3 3 7 2" xfId="56057" xr:uid="{2CFB1B7D-248D-4458-9512-DCEF6D7CD392}"/>
    <cellStyle name="Moeda 2 3 3 7 3" xfId="49527" xr:uid="{DB82F2EF-7ED3-4D84-9016-B8D00A83F91C}"/>
    <cellStyle name="Moeda 2 3 3 8" xfId="52823" xr:uid="{D4CF31E2-D5A4-4DA3-A91C-826071A769FA}"/>
    <cellStyle name="Moeda 2 3 3 9" xfId="32884" xr:uid="{5749A6E0-43EA-40C7-A218-48B275F3874E}"/>
    <cellStyle name="Moeda 2 3 4" xfId="212" xr:uid="{2FB1A8A1-8955-4420-84B2-D0191C85E014}"/>
    <cellStyle name="Moeda 2 3 4 10" xfId="4493" xr:uid="{97F3DB35-7577-40C4-A09C-9FD4550E4A55}"/>
    <cellStyle name="Moeda 2 3 4 2" xfId="401" xr:uid="{215C2BB3-0A1D-4278-8CDD-DC14C7E36629}"/>
    <cellStyle name="Moeda 2 3 4 2 2" xfId="1217" xr:uid="{0FB5EC75-1B82-404E-B00F-BF179D6E3D24}"/>
    <cellStyle name="Moeda 2 3 4 2 2 2" xfId="2878" xr:uid="{17BCADA2-21B1-4A0C-BD7A-53D3147B4989}"/>
    <cellStyle name="Moeda 2 3 4 2 2 2 2" xfId="54470" xr:uid="{A273AC0D-EC64-414E-8418-2D54DF91B24A}"/>
    <cellStyle name="Moeda 2 3 4 2 2 2 3" xfId="51176" xr:uid="{5100390C-1972-43C6-A2A5-D77F3FD11568}"/>
    <cellStyle name="Moeda 2 3 4 2 2 3" xfId="49537" xr:uid="{D7477C2A-D1D1-4F12-9C65-ED191750D621}"/>
    <cellStyle name="Moeda 2 3 4 2 2 3 2" xfId="57088" xr:uid="{5B28916C-4BFC-47E5-9406-5686A1544FC5}"/>
    <cellStyle name="Moeda 2 3 4 2 2 4" xfId="52833" xr:uid="{FF9B585D-D82D-48BB-8C6C-A7E80E7E61A6}"/>
    <cellStyle name="Moeda 2 3 4 2 2 5" xfId="47868" xr:uid="{4C9C1E00-297C-4D9E-9003-62556F0D2CAE}"/>
    <cellStyle name="Moeda 2 3 4 2 3" xfId="1623" xr:uid="{AE05D688-9608-44FD-BE6F-8E7191D543C3}"/>
    <cellStyle name="Moeda 2 3 4 2 3 2" xfId="3283" xr:uid="{200FC80E-1574-48B5-BF01-43300B9079B8}"/>
    <cellStyle name="Moeda 2 3 4 2 3 2 2" xfId="54471" xr:uid="{6AC382BC-EE80-460C-93C6-4054FE2CA971}"/>
    <cellStyle name="Moeda 2 3 4 2 3 2 3" xfId="51177" xr:uid="{F9F723B1-C5A5-4450-976D-F03256B5F9C9}"/>
    <cellStyle name="Moeda 2 3 4 2 3 3" xfId="49538" xr:uid="{385AA2DC-5AB3-4945-AED4-D2F19A7A1F23}"/>
    <cellStyle name="Moeda 2 3 4 2 3 3 2" xfId="57494" xr:uid="{0FB9E28C-58F7-4E7D-982A-0AC1090CAF31}"/>
    <cellStyle name="Moeda 2 3 4 2 3 4" xfId="52834" xr:uid="{E5FB0B44-6B81-4C1B-B396-E2BB56D6CCE4}"/>
    <cellStyle name="Moeda 2 3 4 2 3 5" xfId="47869" xr:uid="{78A80908-8C37-4DF5-A48F-091EED57DAEF}"/>
    <cellStyle name="Moeda 2 3 4 2 4" xfId="810" xr:uid="{890AF16D-C07C-45CD-A06E-B24AE44D2B1A}"/>
    <cellStyle name="Moeda 2 3 4 2 4 2" xfId="2526" xr:uid="{5EAB9ECA-3F7C-4C31-8B49-F8056E67DF72}"/>
    <cellStyle name="Moeda 2 3 4 2 4 2 2" xfId="54472" xr:uid="{8E6FE162-07EF-48E0-B308-5EF7DADD2C27}"/>
    <cellStyle name="Moeda 2 3 4 2 4 2 3" xfId="51178" xr:uid="{2D6CD00B-7522-413B-B015-339DDE311576}"/>
    <cellStyle name="Moeda 2 3 4 2 4 3" xfId="49539" xr:uid="{B48E8540-E3F8-49D2-B547-73B4A04B9894}"/>
    <cellStyle name="Moeda 2 3 4 2 4 3 2" xfId="56681" xr:uid="{8FD2335A-7398-4398-A713-F0DE0F2141E5}"/>
    <cellStyle name="Moeda 2 3 4 2 4 4" xfId="52835" xr:uid="{3EE78D1B-B889-475A-BCF4-E7EE1A1731F8}"/>
    <cellStyle name="Moeda 2 3 4 2 4 5" xfId="47870" xr:uid="{D5E3438D-6E26-4340-BF02-DF8A6FA86DFB}"/>
    <cellStyle name="Moeda 2 3 4 2 5" xfId="2144" xr:uid="{1012A100-4FA9-47D8-904C-F637BBD70D53}"/>
    <cellStyle name="Moeda 2 3 4 2 5 2" xfId="54469" xr:uid="{FE2BA16B-39EF-44C9-9E0D-769A41E68760}"/>
    <cellStyle name="Moeda 2 3 4 2 5 3" xfId="51175" xr:uid="{6AB2DACC-4848-4168-B0E5-35C94272C687}"/>
    <cellStyle name="Moeda 2 3 4 2 6" xfId="49536" xr:uid="{ACBE30D1-E243-4684-A056-DC3EC6E33721}"/>
    <cellStyle name="Moeda 2 3 4 2 6 2" xfId="56272" xr:uid="{41AB2D65-8249-4471-8546-7CAF19ECAA38}"/>
    <cellStyle name="Moeda 2 3 4 2 7" xfId="52832" xr:uid="{5D20217A-82F6-4C2B-A987-CC7289FAB268}"/>
    <cellStyle name="Moeda 2 3 4 2 8" xfId="47867" xr:uid="{DC7EDCCB-124D-427B-89A5-A1CDC0903572}"/>
    <cellStyle name="Moeda 2 3 4 2 9" xfId="4682" xr:uid="{016E953B-0ADB-4C85-9A0E-8A4624FCD7AC}"/>
    <cellStyle name="Moeda 2 3 4 3" xfId="1028" xr:uid="{3E6E9408-7C5A-4652-A25B-934CF41CA173}"/>
    <cellStyle name="Moeda 2 3 4 3 2" xfId="2716" xr:uid="{6703D326-6062-4348-909F-AB806D4A58B1}"/>
    <cellStyle name="Moeda 2 3 4 3 2 2" xfId="54473" xr:uid="{51E8E461-785F-4BFE-B4DD-27A6605913E3}"/>
    <cellStyle name="Moeda 2 3 4 3 2 3" xfId="51179" xr:uid="{CC80AF23-6400-4506-BFFF-507B94F96D76}"/>
    <cellStyle name="Moeda 2 3 4 3 3" xfId="49540" xr:uid="{3358351E-8812-494F-9E89-1DD9330ABAE2}"/>
    <cellStyle name="Moeda 2 3 4 3 3 2" xfId="56899" xr:uid="{A1BACA2C-6148-4D40-A0F8-241DCEEAE9AD}"/>
    <cellStyle name="Moeda 2 3 4 3 4" xfId="52836" xr:uid="{CADFC0A5-EF3A-416A-9678-8D8163A88B2D}"/>
    <cellStyle name="Moeda 2 3 4 3 5" xfId="47871" xr:uid="{53601A1C-F01C-447D-AEB9-EAF8CF0840AD}"/>
    <cellStyle name="Moeda 2 3 4 4" xfId="1434" xr:uid="{8B80D91E-E447-45E0-B541-6BE53B840ABF}"/>
    <cellStyle name="Moeda 2 3 4 4 2" xfId="3095" xr:uid="{81623555-298D-4E73-BB93-90E1BA5DD620}"/>
    <cellStyle name="Moeda 2 3 4 4 2 2" xfId="54474" xr:uid="{5E4BBE39-533A-4E45-AED1-0A768944C1CF}"/>
    <cellStyle name="Moeda 2 3 4 4 2 3" xfId="51180" xr:uid="{DE1CDFB9-7EEA-4505-ADF7-4EFDAB71BAF3}"/>
    <cellStyle name="Moeda 2 3 4 4 3" xfId="49541" xr:uid="{46861F45-173B-47F0-9A53-5A14135B51C3}"/>
    <cellStyle name="Moeda 2 3 4 4 3 2" xfId="57305" xr:uid="{A825F41C-491D-4963-AE84-7BD6EBB3723C}"/>
    <cellStyle name="Moeda 2 3 4 4 4" xfId="52837" xr:uid="{78B49A3A-0918-4D61-8304-6320ABF8305C}"/>
    <cellStyle name="Moeda 2 3 4 4 5" xfId="47872" xr:uid="{70BFE7FB-A65B-42F5-A411-FB8248AC02D9}"/>
    <cellStyle name="Moeda 2 3 4 5" xfId="621" xr:uid="{3F5C7F62-7AE6-40E5-8D14-AD249E86BD7B}"/>
    <cellStyle name="Moeda 2 3 4 5 2" xfId="2337" xr:uid="{26FD26B8-5710-49DC-99C4-F6D84AF69695}"/>
    <cellStyle name="Moeda 2 3 4 5 2 2" xfId="54475" xr:uid="{C403C36E-C840-4818-B7AF-31F3639445CE}"/>
    <cellStyle name="Moeda 2 3 4 5 2 3" xfId="51181" xr:uid="{04990D02-89BA-4455-B2DF-AB3A573A023F}"/>
    <cellStyle name="Moeda 2 3 4 5 3" xfId="49542" xr:uid="{8911467A-476A-4D3B-98C4-E44B7DEDC564}"/>
    <cellStyle name="Moeda 2 3 4 5 3 2" xfId="56492" xr:uid="{7A453A0F-5FF2-4F01-B58E-77152D9C6EDC}"/>
    <cellStyle name="Moeda 2 3 4 5 4" xfId="52838" xr:uid="{B4B051D8-CDF7-439F-94D8-3F931E1847E2}"/>
    <cellStyle name="Moeda 2 3 4 5 5" xfId="47873" xr:uid="{380D086C-C7FF-4F70-BFCF-A01B5017D104}"/>
    <cellStyle name="Moeda 2 3 4 6" xfId="3609" xr:uid="{2A910FEC-5337-44E9-AD7A-C8E15E857D54}"/>
    <cellStyle name="Moeda 2 3 4 6 2" xfId="51174" xr:uid="{1AE76353-6D7F-4F9F-9EFD-A2D5097591DF}"/>
    <cellStyle name="Moeda 2 3 4 6 3" xfId="54468" xr:uid="{59021390-C1D7-47D1-909E-48C0ED2D5434}"/>
    <cellStyle name="Moeda 2 3 4 6 4" xfId="47866" xr:uid="{8904D152-ACC6-4100-95BD-14453F41911D}"/>
    <cellStyle name="Moeda 2 3 4 7" xfId="1958" xr:uid="{0B3EFA39-992E-4BF1-8F07-D54CFFD1FE4C}"/>
    <cellStyle name="Moeda 2 3 4 7 2" xfId="56083" xr:uid="{00711DCF-A514-465C-9D2F-11E99304CE8D}"/>
    <cellStyle name="Moeda 2 3 4 7 3" xfId="49535" xr:uid="{5DAEDAD7-4CAF-434A-85CA-F4C794FC61C7}"/>
    <cellStyle name="Moeda 2 3 4 8" xfId="52831" xr:uid="{6E0D050F-BBA1-4F61-AD3B-583565B44E1A}"/>
    <cellStyle name="Moeda 2 3 4 9" xfId="47322" xr:uid="{E249F509-FB36-4000-8326-3F5F5D0CB108}"/>
    <cellStyle name="Moeda 2 3 5" xfId="264" xr:uid="{94FFCDA8-B895-418E-ABAB-0269C4969F42}"/>
    <cellStyle name="Moeda 2 3 5 10" xfId="4545" xr:uid="{1D24EF16-F5EA-4780-87D1-8E34060AB2ED}"/>
    <cellStyle name="Moeda 2 3 5 2" xfId="453" xr:uid="{1AB60D01-7092-4566-B6C3-4491AC957DD1}"/>
    <cellStyle name="Moeda 2 3 5 2 2" xfId="1269" xr:uid="{B8173CBD-8757-4736-8560-5460DDD9F6F5}"/>
    <cellStyle name="Moeda 2 3 5 2 2 2" xfId="2930" xr:uid="{5362D735-DF13-476E-8B91-F49A559AD32C}"/>
    <cellStyle name="Moeda 2 3 5 2 2 2 2" xfId="54478" xr:uid="{F83D0FCA-2AF3-4CF7-9AD5-C6FB15DEFC85}"/>
    <cellStyle name="Moeda 2 3 5 2 2 2 3" xfId="51184" xr:uid="{8D4AC0D5-ADCB-4A11-A8E4-30F1947D892D}"/>
    <cellStyle name="Moeda 2 3 5 2 2 3" xfId="49545" xr:uid="{B5A2781F-35A4-47FC-860C-21AF29AA812C}"/>
    <cellStyle name="Moeda 2 3 5 2 2 3 2" xfId="57140" xr:uid="{C4650CCD-0A6E-4E23-84F5-BBC626A04CD8}"/>
    <cellStyle name="Moeda 2 3 5 2 2 4" xfId="52841" xr:uid="{810BF382-894F-4CCC-8BC7-DB55312B758A}"/>
    <cellStyle name="Moeda 2 3 5 2 2 5" xfId="47876" xr:uid="{0452145E-A81B-40D7-BC44-299A7A293D73}"/>
    <cellStyle name="Moeda 2 3 5 2 3" xfId="1675" xr:uid="{7ECA2978-194A-4116-8E5B-24C345B89F85}"/>
    <cellStyle name="Moeda 2 3 5 2 3 2" xfId="3335" xr:uid="{5269AEF1-CCFE-4032-828A-F0E078B6F10C}"/>
    <cellStyle name="Moeda 2 3 5 2 3 2 2" xfId="54479" xr:uid="{6B0BA271-7890-4BD4-847F-6D72F0B66B20}"/>
    <cellStyle name="Moeda 2 3 5 2 3 2 3" xfId="51185" xr:uid="{10348435-BEF5-4443-B4A2-CF072AA4BF7A}"/>
    <cellStyle name="Moeda 2 3 5 2 3 3" xfId="49546" xr:uid="{8C4136CA-D922-47C3-8EC3-728FA093C26B}"/>
    <cellStyle name="Moeda 2 3 5 2 3 3 2" xfId="57546" xr:uid="{D863CEAC-ED32-499D-9036-154A99EC13BD}"/>
    <cellStyle name="Moeda 2 3 5 2 3 4" xfId="52842" xr:uid="{B2FDFF68-0C81-4EC1-97B0-303E0C017BF0}"/>
    <cellStyle name="Moeda 2 3 5 2 3 5" xfId="47877" xr:uid="{843B626B-0991-470A-8FE3-63BA8F658797}"/>
    <cellStyle name="Moeda 2 3 5 2 4" xfId="862" xr:uid="{CE10D89E-D86C-4DE1-BF0B-3D3FEA54B8BE}"/>
    <cellStyle name="Moeda 2 3 5 2 4 2" xfId="2578" xr:uid="{CDC879FC-8F02-4044-8E7C-CA19660A01F5}"/>
    <cellStyle name="Moeda 2 3 5 2 4 2 2" xfId="54480" xr:uid="{0805A058-0BEB-423A-BF61-E453C2FAEDD0}"/>
    <cellStyle name="Moeda 2 3 5 2 4 2 3" xfId="51186" xr:uid="{70E91714-8109-4029-8FED-1BFAF4270CE4}"/>
    <cellStyle name="Moeda 2 3 5 2 4 3" xfId="49547" xr:uid="{2EC0F25B-BA17-4125-A84C-05E16E8F0329}"/>
    <cellStyle name="Moeda 2 3 5 2 4 3 2" xfId="56733" xr:uid="{A89EE650-1B67-469F-AEE8-F0EB983BF256}"/>
    <cellStyle name="Moeda 2 3 5 2 4 4" xfId="52843" xr:uid="{AFF9DE74-2225-4B19-8E7A-D6C33BB92D9D}"/>
    <cellStyle name="Moeda 2 3 5 2 4 5" xfId="47878" xr:uid="{31F54618-6922-4962-8832-D47F08E21F72}"/>
    <cellStyle name="Moeda 2 3 5 2 5" xfId="2170" xr:uid="{E609CA68-ACCF-4A7C-827A-276F72C0374D}"/>
    <cellStyle name="Moeda 2 3 5 2 5 2" xfId="54477" xr:uid="{67D6914B-46E7-473B-A549-A9F9B8A27B53}"/>
    <cellStyle name="Moeda 2 3 5 2 5 3" xfId="51183" xr:uid="{1A532636-AB60-4871-84E9-1378BB3D06DD}"/>
    <cellStyle name="Moeda 2 3 5 2 6" xfId="49544" xr:uid="{45766BC0-2E90-47A9-B8DA-E1398C9D892D}"/>
    <cellStyle name="Moeda 2 3 5 2 6 2" xfId="56324" xr:uid="{B0689804-A722-483A-8F81-32F2F09223E4}"/>
    <cellStyle name="Moeda 2 3 5 2 7" xfId="52840" xr:uid="{DA4385A7-0C54-40F8-A888-5DEDDC2167EB}"/>
    <cellStyle name="Moeda 2 3 5 2 8" xfId="47875" xr:uid="{52A32D8E-FAE8-4F9E-AD74-2E7932E81F16}"/>
    <cellStyle name="Moeda 2 3 5 2 9" xfId="4734" xr:uid="{75FC4EF0-D5C3-42E0-8E21-2636FF6D1FFA}"/>
    <cellStyle name="Moeda 2 3 5 3" xfId="1080" xr:uid="{0C2C156B-F6C7-4BC7-BCD3-4AC49C695A2A}"/>
    <cellStyle name="Moeda 2 3 5 3 2" xfId="2743" xr:uid="{84827A39-E0CE-4E22-93F5-38EBCE7C4738}"/>
    <cellStyle name="Moeda 2 3 5 3 2 2" xfId="54481" xr:uid="{65AF4A03-5174-4850-A709-9631F272AB43}"/>
    <cellStyle name="Moeda 2 3 5 3 2 3" xfId="51187" xr:uid="{BB37E651-4CB5-4679-AAE6-D7B5DCBBF622}"/>
    <cellStyle name="Moeda 2 3 5 3 3" xfId="49548" xr:uid="{4833BC96-76A1-4917-B79F-3D6408F3B72C}"/>
    <cellStyle name="Moeda 2 3 5 3 3 2" xfId="56951" xr:uid="{1401727F-E43A-44FB-BC3E-8363CC6C56E5}"/>
    <cellStyle name="Moeda 2 3 5 3 4" xfId="52844" xr:uid="{FFFC64A1-381A-45FB-8DC1-B1129B03C093}"/>
    <cellStyle name="Moeda 2 3 5 3 5" xfId="47879" xr:uid="{30DB8346-2100-477A-B6DC-431793F16AEE}"/>
    <cellStyle name="Moeda 2 3 5 4" xfId="1486" xr:uid="{44A6D0FA-5EF3-484A-A605-80D33FC21B5E}"/>
    <cellStyle name="Moeda 2 3 5 4 2" xfId="3147" xr:uid="{87CCCD41-F355-404C-B532-EA98321297C8}"/>
    <cellStyle name="Moeda 2 3 5 4 2 2" xfId="54482" xr:uid="{C3CBAF98-451C-460B-ADD3-1F398949E07B}"/>
    <cellStyle name="Moeda 2 3 5 4 2 3" xfId="51188" xr:uid="{D5AD70BE-2E90-4819-91B4-01B2A4A3C1F2}"/>
    <cellStyle name="Moeda 2 3 5 4 3" xfId="49549" xr:uid="{662F460D-5C5F-42AF-A27D-03B08F0B0167}"/>
    <cellStyle name="Moeda 2 3 5 4 3 2" xfId="57357" xr:uid="{4F9DBA14-C404-4A16-A707-103A4A92FD96}"/>
    <cellStyle name="Moeda 2 3 5 4 4" xfId="52845" xr:uid="{6DC5BE9A-BCAF-44E2-AB51-D5055B3D29EE}"/>
    <cellStyle name="Moeda 2 3 5 4 5" xfId="47880" xr:uid="{AF2F0AB8-A39E-47EB-B08C-2AAC663CB692}"/>
    <cellStyle name="Moeda 2 3 5 5" xfId="673" xr:uid="{E8B88AFB-A89F-46F6-9113-D6D546746526}"/>
    <cellStyle name="Moeda 2 3 5 5 2" xfId="2389" xr:uid="{478DC244-B3D2-41B4-A061-C1E8246CD3C2}"/>
    <cellStyle name="Moeda 2 3 5 5 2 2" xfId="54483" xr:uid="{7F54099A-72D4-4418-8576-F37EA492706A}"/>
    <cellStyle name="Moeda 2 3 5 5 2 3" xfId="51189" xr:uid="{252831AC-F8B1-41FF-B6A9-52E92E59973D}"/>
    <cellStyle name="Moeda 2 3 5 5 3" xfId="49550" xr:uid="{629B60D7-AAD2-4511-9B6F-42C3324F2710}"/>
    <cellStyle name="Moeda 2 3 5 5 3 2" xfId="56544" xr:uid="{B79D9DD3-2C5B-4CFF-85F9-E4CD67017822}"/>
    <cellStyle name="Moeda 2 3 5 5 4" xfId="52846" xr:uid="{625B5397-D2F6-46EE-A1C0-99F2C26E1087}"/>
    <cellStyle name="Moeda 2 3 5 5 5" xfId="47881" xr:uid="{55422580-F616-4DC4-A622-3631680FAF6E}"/>
    <cellStyle name="Moeda 2 3 5 6" xfId="3500" xr:uid="{C6D3F525-8989-410F-A367-9991698B77A4}"/>
    <cellStyle name="Moeda 2 3 5 6 2" xfId="51182" xr:uid="{4E195813-00FF-48C8-B1B3-FF7EB01A0BCE}"/>
    <cellStyle name="Moeda 2 3 5 6 3" xfId="54476" xr:uid="{8B3D5D94-03DD-4231-90E4-D3F3C6F9260D}"/>
    <cellStyle name="Moeda 2 3 5 6 4" xfId="47874" xr:uid="{8D3DA172-22EB-42CB-B961-CAE266577930}"/>
    <cellStyle name="Moeda 2 3 5 7" xfId="1849" xr:uid="{21D9C154-746B-448F-9ADF-59A3AE0EA95C}"/>
    <cellStyle name="Moeda 2 3 5 7 2" xfId="56135" xr:uid="{26D30847-00C6-48A1-B8D5-C55561F48168}"/>
    <cellStyle name="Moeda 2 3 5 7 3" xfId="49543" xr:uid="{130CD185-BEFD-47CE-B984-29F9AEA3B125}"/>
    <cellStyle name="Moeda 2 3 5 8" xfId="52839" xr:uid="{526FEF2D-3B68-4063-921B-417144D404D8}"/>
    <cellStyle name="Moeda 2 3 5 9" xfId="47448" xr:uid="{D06FD688-8660-4939-9E70-1A6E10955508}"/>
    <cellStyle name="Moeda 2 3 6" xfId="320" xr:uid="{15F7A775-CA22-46EF-A88B-C748C0AFB819}"/>
    <cellStyle name="Moeda 2 3 6 2" xfId="1136" xr:uid="{A9B2CB38-637A-4DAB-95B3-A0C79BB8EC34}"/>
    <cellStyle name="Moeda 2 3 6 2 2" xfId="2798" xr:uid="{1C309412-1308-4C9B-8D22-F7B1346C0534}"/>
    <cellStyle name="Moeda 2 3 6 2 2 2" xfId="54485" xr:uid="{4FEA6C47-D60E-43A0-A855-B80BE106DE5A}"/>
    <cellStyle name="Moeda 2 3 6 2 2 3" xfId="51191" xr:uid="{EC94775D-24AB-48B2-9D25-C449EB09315D}"/>
    <cellStyle name="Moeda 2 3 6 2 3" xfId="49552" xr:uid="{F4205DDC-1A7E-4A42-A75E-9EC42FE27332}"/>
    <cellStyle name="Moeda 2 3 6 2 3 2" xfId="57007" xr:uid="{654225BA-E140-499E-AEBC-9DEDEBD823AC}"/>
    <cellStyle name="Moeda 2 3 6 2 4" xfId="52848" xr:uid="{8F7FD702-AF8D-4561-8F78-97D554335B54}"/>
    <cellStyle name="Moeda 2 3 6 2 5" xfId="47883" xr:uid="{FE0785B1-271A-4479-B9D8-26879D4BA96B}"/>
    <cellStyle name="Moeda 2 3 6 3" xfId="1542" xr:uid="{AD39852B-4748-49C0-B4BE-E0D9D45B9FC2}"/>
    <cellStyle name="Moeda 2 3 6 3 2" xfId="3203" xr:uid="{A9AB8972-2106-435D-91CC-2AEE8E85327B}"/>
    <cellStyle name="Moeda 2 3 6 3 2 2" xfId="54486" xr:uid="{574255C1-3450-4E28-8C69-B60FE482C43E}"/>
    <cellStyle name="Moeda 2 3 6 3 2 3" xfId="51192" xr:uid="{B55A7EC0-69D6-4C56-A3E9-48D616A7E934}"/>
    <cellStyle name="Moeda 2 3 6 3 3" xfId="49553" xr:uid="{FCE4BA62-5DB4-4EE1-9CEF-D26E78EC8DD5}"/>
    <cellStyle name="Moeda 2 3 6 3 3 2" xfId="57413" xr:uid="{F33BD940-21AC-4CF8-8B95-1317521DE7B3}"/>
    <cellStyle name="Moeda 2 3 6 3 4" xfId="52849" xr:uid="{52A8120D-A7D9-4DDB-B3D9-DECCBC77B66C}"/>
    <cellStyle name="Moeda 2 3 6 3 5" xfId="47884" xr:uid="{360F251F-A009-42A1-85DF-3D28EFE4AC7F}"/>
    <cellStyle name="Moeda 2 3 6 4" xfId="729" xr:uid="{C34A0159-F18A-49B3-9F19-CDE71A817361}"/>
    <cellStyle name="Moeda 2 3 6 4 2" xfId="2445" xr:uid="{0FEA5B87-CBE0-450E-9622-BE0483484B53}"/>
    <cellStyle name="Moeda 2 3 6 4 2 2" xfId="54487" xr:uid="{2B63FEB5-C8CF-440B-BEA0-C9ED8058A3BD}"/>
    <cellStyle name="Moeda 2 3 6 4 2 3" xfId="51193" xr:uid="{18C8815B-A679-4779-AA06-FCF7FD23F0DC}"/>
    <cellStyle name="Moeda 2 3 6 4 3" xfId="49554" xr:uid="{61008B63-74BC-4AB8-BE2A-61A65A1B1946}"/>
    <cellStyle name="Moeda 2 3 6 4 3 2" xfId="56600" xr:uid="{23EF2BB0-4DE9-4A15-A43A-DFACEDBA0D7F}"/>
    <cellStyle name="Moeda 2 3 6 4 4" xfId="52850" xr:uid="{2252D8C3-7579-426D-B90B-30484E39AF36}"/>
    <cellStyle name="Moeda 2 3 6 4 5" xfId="47885" xr:uid="{0D1C2B6F-4E1D-46F7-9A52-D07E9A278B56}"/>
    <cellStyle name="Moeda 2 3 6 5" xfId="3718" xr:uid="{8BB47132-7767-44DF-8D68-58C27CD21E8A}"/>
    <cellStyle name="Moeda 2 3 6 5 2" xfId="51190" xr:uid="{B97072CA-8211-44EE-9130-25DC5D1F8D0C}"/>
    <cellStyle name="Moeda 2 3 6 5 3" xfId="54484" xr:uid="{E93650AE-9EF9-426F-9360-23308F25BCC3}"/>
    <cellStyle name="Moeda 2 3 6 5 4" xfId="47882" xr:uid="{99964436-E5BF-4A09-AEB6-4587A9325DE2}"/>
    <cellStyle name="Moeda 2 3 6 6" xfId="2121" xr:uid="{94DFC81C-5CA0-482E-8912-207D1C6019D4}"/>
    <cellStyle name="Moeda 2 3 6 6 2" xfId="56191" xr:uid="{FFE242E3-8E09-4DFF-BE11-73AF2CFC4813}"/>
    <cellStyle name="Moeda 2 3 6 6 3" xfId="49551" xr:uid="{98C74121-E14C-4BF6-8420-C7A447F33DC4}"/>
    <cellStyle name="Moeda 2 3 6 7" xfId="52847" xr:uid="{A83681D0-938C-4BB9-AF1D-A3592F6BEE7A}"/>
    <cellStyle name="Moeda 2 3 6 8" xfId="47574" xr:uid="{FE448DD1-9681-4BC0-B928-97E6177AE83C}"/>
    <cellStyle name="Moeda 2 3 6 9" xfId="4601" xr:uid="{AA653CAF-CAEB-433D-ACEB-A71A2B3C8502}"/>
    <cellStyle name="Moeda 2 3 7" xfId="947" xr:uid="{ED1A0F3C-73C8-4265-92E8-6AF62EA1AACB}"/>
    <cellStyle name="Moeda 2 3 7 2" xfId="2662" xr:uid="{0CF59820-8F90-440C-BFF3-99E1EB320CAF}"/>
    <cellStyle name="Moeda 2 3 7 2 2" xfId="54488" xr:uid="{CA26DD78-5C44-4380-A342-FCF01D2E9129}"/>
    <cellStyle name="Moeda 2 3 7 2 3" xfId="51194" xr:uid="{61EE77BE-7E29-496B-86E7-FD8DC7457733}"/>
    <cellStyle name="Moeda 2 3 7 3" xfId="49555" xr:uid="{2E3558FB-537A-4375-A526-EA0DC5D3C0FD}"/>
    <cellStyle name="Moeda 2 3 7 3 2" xfId="56818" xr:uid="{5B5244C8-9017-4F53-8576-F2419160EFC0}"/>
    <cellStyle name="Moeda 2 3 7 4" xfId="52851" xr:uid="{D3A657B0-E04E-4554-BB5B-DB8BC882FBF1}"/>
    <cellStyle name="Moeda 2 3 7 5" xfId="47886" xr:uid="{15E85EDD-315B-4980-8124-A32031980CCA}"/>
    <cellStyle name="Moeda 2 3 8" xfId="1353" xr:uid="{C709434A-C2E3-41F1-B57E-4084004113A3}"/>
    <cellStyle name="Moeda 2 3 8 2" xfId="3014" xr:uid="{E7A8B880-AA00-47D3-BA57-4D3FAB852B9C}"/>
    <cellStyle name="Moeda 2 3 8 2 2" xfId="54489" xr:uid="{B3CD1726-3EAF-49BD-A339-621AF4B417C2}"/>
    <cellStyle name="Moeda 2 3 8 2 3" xfId="51195" xr:uid="{3DB49C2F-5229-4C9D-AD78-28AE257FAE79}"/>
    <cellStyle name="Moeda 2 3 8 3" xfId="49556" xr:uid="{F97D724D-5DBA-4EC1-95F6-F5CF661FB067}"/>
    <cellStyle name="Moeda 2 3 8 3 2" xfId="57224" xr:uid="{C5EA7CF3-CF23-4A17-9228-49F72753889B}"/>
    <cellStyle name="Moeda 2 3 8 4" xfId="52852" xr:uid="{8FE8AB54-46EC-4CE5-96E3-9CA566EF69CD}"/>
    <cellStyle name="Moeda 2 3 8 5" xfId="47887" xr:uid="{26BFF960-F6AD-464A-84A2-41809B56F6A1}"/>
    <cellStyle name="Moeda 2 3 9" xfId="540" xr:uid="{788BDDEA-2D11-40A2-9FB1-22B168F288B0}"/>
    <cellStyle name="Moeda 2 3 9 2" xfId="2256" xr:uid="{A4BE844D-F460-4689-93DD-1CCC0E9747A2}"/>
    <cellStyle name="Moeda 2 3 9 2 2" xfId="54490" xr:uid="{684F4869-3B0A-481D-9104-C5F2BB6D61CB}"/>
    <cellStyle name="Moeda 2 3 9 2 3" xfId="51196" xr:uid="{BD108477-36DD-49C9-B756-BE1B20D0491E}"/>
    <cellStyle name="Moeda 2 3 9 3" xfId="49557" xr:uid="{A52B2EB6-752C-4ABC-A84A-DA82BDDD297A}"/>
    <cellStyle name="Moeda 2 3 9 3 2" xfId="56411" xr:uid="{28ED8E8D-E09A-4D41-9209-63FC1903E2A4}"/>
    <cellStyle name="Moeda 2 3 9 4" xfId="52853" xr:uid="{496AFED3-7BE0-47C7-BB82-8CB79E793E0D}"/>
    <cellStyle name="Moeda 2 3 9 5" xfId="47888" xr:uid="{5937FC4E-DC11-4CC3-B9AB-CDFE7D6C3BB5}"/>
    <cellStyle name="Moeda 2 4" xfId="146" xr:uid="{6468B734-8A58-4866-983F-3D5CFBCD9CAA}"/>
    <cellStyle name="Moeda 2 4 10" xfId="52854" xr:uid="{60B7C7A1-074C-4E2B-B977-BE4A28A9FB87}"/>
    <cellStyle name="Moeda 2 4 11" xfId="12556" xr:uid="{E4A0CE36-3BF0-4C1E-BE8C-0358975BE965}"/>
    <cellStyle name="Moeda 2 4 12" xfId="4427" xr:uid="{AC15A327-9559-4177-8DB6-8F49FF592315}"/>
    <cellStyle name="Moeda 2 4 2" xfId="225" xr:uid="{13532DCA-0597-48F3-AF5E-1AD4CB347A71}"/>
    <cellStyle name="Moeda 2 4 2 10" xfId="4506" xr:uid="{816CC0F6-CA05-47EC-93F8-5CA75D2B88C1}"/>
    <cellStyle name="Moeda 2 4 2 2" xfId="414" xr:uid="{08AA9E77-79B6-48F9-A856-C34050F87281}"/>
    <cellStyle name="Moeda 2 4 2 2 2" xfId="1230" xr:uid="{67E1FDF2-7A36-43AD-82D2-801CF033D036}"/>
    <cellStyle name="Moeda 2 4 2 2 2 2" xfId="2891" xr:uid="{AEA2FA88-F5EC-485E-AE5E-B3C872E94BEC}"/>
    <cellStyle name="Moeda 2 4 2 2 2 2 2" xfId="54494" xr:uid="{A48698AC-AED3-43B6-A481-871741DDB598}"/>
    <cellStyle name="Moeda 2 4 2 2 2 2 3" xfId="51200" xr:uid="{9DB22662-DB2D-475E-8B12-ADD668B0D799}"/>
    <cellStyle name="Moeda 2 4 2 2 2 3" xfId="49561" xr:uid="{8DE15AED-9815-4DFF-938C-5F82B39A8459}"/>
    <cellStyle name="Moeda 2 4 2 2 2 3 2" xfId="57101" xr:uid="{F500B930-2A07-4DA7-A986-6AD6F0D2AFA6}"/>
    <cellStyle name="Moeda 2 4 2 2 2 4" xfId="52857" xr:uid="{0192CE70-7052-46DB-B599-2EF09AE05844}"/>
    <cellStyle name="Moeda 2 4 2 2 2 5" xfId="47892" xr:uid="{9812B488-FA56-4543-AD9D-A0FB56875A9B}"/>
    <cellStyle name="Moeda 2 4 2 2 3" xfId="1636" xr:uid="{57F1DC74-2916-4638-9724-8E229F9E817D}"/>
    <cellStyle name="Moeda 2 4 2 2 3 2" xfId="3296" xr:uid="{EB84DAB4-7EE2-4E2D-BA50-280ACBA002DB}"/>
    <cellStyle name="Moeda 2 4 2 2 3 2 2" xfId="54495" xr:uid="{54543C3E-3484-43E9-A091-F99E067C7030}"/>
    <cellStyle name="Moeda 2 4 2 2 3 2 3" xfId="51201" xr:uid="{14AE25CC-E16C-41EA-AFC5-E66F6EEF1256}"/>
    <cellStyle name="Moeda 2 4 2 2 3 3" xfId="49562" xr:uid="{DE6323DE-E1F0-4B0C-ACA0-A1A328F5CEAA}"/>
    <cellStyle name="Moeda 2 4 2 2 3 3 2" xfId="57507" xr:uid="{12B232F1-6604-4843-B03B-C9C6C199E8A2}"/>
    <cellStyle name="Moeda 2 4 2 2 3 4" xfId="52858" xr:uid="{D1A881B5-5DB3-4488-B2AA-F7FDE5EA0CA0}"/>
    <cellStyle name="Moeda 2 4 2 2 3 5" xfId="47893" xr:uid="{3629F809-3C5C-4C87-9E5A-1F12EB55B2B1}"/>
    <cellStyle name="Moeda 2 4 2 2 4" xfId="823" xr:uid="{3B7BB435-08D5-42F2-989A-8287C9DCB0F4}"/>
    <cellStyle name="Moeda 2 4 2 2 4 2" xfId="2539" xr:uid="{B358C4B1-E0CE-43AD-B540-697701A6E3F6}"/>
    <cellStyle name="Moeda 2 4 2 2 4 2 2" xfId="54496" xr:uid="{DED43882-0C75-496C-B93C-9F265F00E9DF}"/>
    <cellStyle name="Moeda 2 4 2 2 4 2 3" xfId="51202" xr:uid="{85E69C52-4AC2-4140-A93D-D3AC1AE3451B}"/>
    <cellStyle name="Moeda 2 4 2 2 4 3" xfId="49563" xr:uid="{48EFDD71-5FBC-4D7B-A1F5-44630CE4DDB1}"/>
    <cellStyle name="Moeda 2 4 2 2 4 3 2" xfId="56694" xr:uid="{F78F7892-3082-4633-ACC9-F41C71F7B0D8}"/>
    <cellStyle name="Moeda 2 4 2 2 4 4" xfId="52859" xr:uid="{5B7BB7E5-2E56-42A5-92CA-911D6279636E}"/>
    <cellStyle name="Moeda 2 4 2 2 4 5" xfId="47894" xr:uid="{C5F3E86D-465E-4D1F-9DCB-3817AC09C3AE}"/>
    <cellStyle name="Moeda 2 4 2 2 5" xfId="3677" xr:uid="{D09B09E0-54D1-4914-B38D-2F0E83E7BC83}"/>
    <cellStyle name="Moeda 2 4 2 2 5 2" xfId="51199" xr:uid="{0C2748A5-9713-41F6-A6E0-30E23C8BC923}"/>
    <cellStyle name="Moeda 2 4 2 2 5 3" xfId="54493" xr:uid="{DAC88152-D615-4217-984C-984BBDE6FD2C}"/>
    <cellStyle name="Moeda 2 4 2 2 5 4" xfId="47891" xr:uid="{12507878-AED6-4723-B08D-5232D9BCC3F8}"/>
    <cellStyle name="Moeda 2 4 2 2 6" xfId="2026" xr:uid="{E1065857-3408-4986-A003-856CE808E0A9}"/>
    <cellStyle name="Moeda 2 4 2 2 6 2" xfId="56285" xr:uid="{B6E44937-08C0-4EBE-902B-5CBC1E6BF29B}"/>
    <cellStyle name="Moeda 2 4 2 2 6 3" xfId="49560" xr:uid="{840CADE9-9026-41C4-98D8-470E3C611168}"/>
    <cellStyle name="Moeda 2 4 2 2 7" xfId="52856" xr:uid="{6D4E1A64-9EBF-4B1B-934A-A91767852FD3}"/>
    <cellStyle name="Moeda 2 4 2 2 8" xfId="47391" xr:uid="{26144E72-93CA-4E12-8231-D43290A9EE7C}"/>
    <cellStyle name="Moeda 2 4 2 2 9" xfId="4695" xr:uid="{B12C76DE-DD91-4B74-81D5-0EEF89557BE8}"/>
    <cellStyle name="Moeda 2 4 2 3" xfId="1041" xr:uid="{3B27F6F6-D4EB-4EE6-B72E-A508580C9873}"/>
    <cellStyle name="Moeda 2 4 2 3 2" xfId="3568" xr:uid="{49CE08B9-551A-435E-9BF9-45B6A3296F31}"/>
    <cellStyle name="Moeda 2 4 2 3 2 2" xfId="51203" xr:uid="{CD2B8754-BAFC-469E-9F3C-C41F6FE2AD6E}"/>
    <cellStyle name="Moeda 2 4 2 3 2 3" xfId="54497" xr:uid="{5B8327F9-D9B7-4485-BE01-5AE4CF6845D0}"/>
    <cellStyle name="Moeda 2 4 2 3 2 4" xfId="47895" xr:uid="{8BA2CA66-ECFF-48C4-8381-9201978AFD20}"/>
    <cellStyle name="Moeda 2 4 2 3 3" xfId="1917" xr:uid="{2C201C13-3D4C-480D-9409-CAE32469EA70}"/>
    <cellStyle name="Moeda 2 4 2 3 3 2" xfId="56912" xr:uid="{61C9E92A-5409-4086-AF89-21F498C12E7D}"/>
    <cellStyle name="Moeda 2 4 2 3 3 3" xfId="49564" xr:uid="{985BF945-F3FA-4AD7-A111-7BE8F522E724}"/>
    <cellStyle name="Moeda 2 4 2 3 4" xfId="52860" xr:uid="{C74DD4C3-D404-4AE6-9BFB-6CCB00AE4654}"/>
    <cellStyle name="Moeda 2 4 2 3 5" xfId="47517" xr:uid="{7CA66A73-3896-408C-8A89-2FCDB0745B05}"/>
    <cellStyle name="Moeda 2 4 2 4" xfId="1447" xr:uid="{E4BDB1A6-286B-4EE1-A507-05256F190A54}"/>
    <cellStyle name="Moeda 2 4 2 4 2" xfId="3786" xr:uid="{0F3A1E7C-2F5E-465F-B442-FF790A60B9CD}"/>
    <cellStyle name="Moeda 2 4 2 4 2 2" xfId="51204" xr:uid="{669886FC-D262-402A-9415-83B087062B05}"/>
    <cellStyle name="Moeda 2 4 2 4 2 3" xfId="54498" xr:uid="{BA65909F-C4E4-4E1B-9B9D-E51FA0BFD281}"/>
    <cellStyle name="Moeda 2 4 2 4 2 4" xfId="47896" xr:uid="{B46CC440-0159-4630-9007-F77F9DED3823}"/>
    <cellStyle name="Moeda 2 4 2 4 3" xfId="3108" xr:uid="{42FEB435-6A57-43BE-A7F6-B9D4B595E217}"/>
    <cellStyle name="Moeda 2 4 2 4 3 2" xfId="57318" xr:uid="{9D9AC5A7-3AB6-44FF-89F3-AA483053BF3E}"/>
    <cellStyle name="Moeda 2 4 2 4 3 3" xfId="49565" xr:uid="{DA3CA641-FF08-4B1D-B444-144E9B7C0B61}"/>
    <cellStyle name="Moeda 2 4 2 4 4" xfId="52861" xr:uid="{2690EB84-64A7-4E5A-88A9-2F3C80F213D9}"/>
    <cellStyle name="Moeda 2 4 2 4 5" xfId="47643" xr:uid="{B68C5644-9787-4222-B1FE-FEBAF2A3E427}"/>
    <cellStyle name="Moeda 2 4 2 5" xfId="634" xr:uid="{4E3F4BA4-FB3A-489E-9BCD-488B04598DA9}"/>
    <cellStyle name="Moeda 2 4 2 5 2" xfId="2350" xr:uid="{2CE5ED1A-EBEB-4332-8105-F6DE840F20A0}"/>
    <cellStyle name="Moeda 2 4 2 5 2 2" xfId="54499" xr:uid="{B67FFE61-B3A7-4EA7-B841-C8E43DE12459}"/>
    <cellStyle name="Moeda 2 4 2 5 2 3" xfId="51205" xr:uid="{1771003A-BDCE-45A1-B992-7CFBD090C28E}"/>
    <cellStyle name="Moeda 2 4 2 5 3" xfId="49566" xr:uid="{8D8F9F53-C8E6-4A79-BAC8-D24178242F7C}"/>
    <cellStyle name="Moeda 2 4 2 5 3 2" xfId="56505" xr:uid="{9F928700-34E0-42B9-8BBA-247755D16A1D}"/>
    <cellStyle name="Moeda 2 4 2 5 4" xfId="52862" xr:uid="{6B9FE139-6445-4E68-B397-9B70DDBB298D}"/>
    <cellStyle name="Moeda 2 4 2 5 5" xfId="47897" xr:uid="{2154746B-AC40-4CD8-85A4-FD5F0ABD902B}"/>
    <cellStyle name="Moeda 2 4 2 6" xfId="3458" xr:uid="{C1F6790C-7536-4F0F-AB09-A0D2543D96EC}"/>
    <cellStyle name="Moeda 2 4 2 6 2" xfId="51198" xr:uid="{3248158B-EE15-45F7-B6A2-5A5700EFDD3E}"/>
    <cellStyle name="Moeda 2 4 2 6 3" xfId="54492" xr:uid="{F4A40249-CCF2-4D8F-B9F5-FA22E8FA1AF7}"/>
    <cellStyle name="Moeda 2 4 2 6 4" xfId="47890" xr:uid="{8E8116CA-C9AD-4D52-8F31-FA925C1E4CB0}"/>
    <cellStyle name="Moeda 2 4 2 7" xfId="1807" xr:uid="{D6E4C19D-D00C-4602-8EE6-4274C6ACAD50}"/>
    <cellStyle name="Moeda 2 4 2 7 2" xfId="56096" xr:uid="{FC5D8023-3109-4BB9-ACD5-82790DEEA9A4}"/>
    <cellStyle name="Moeda 2 4 2 7 3" xfId="49559" xr:uid="{679C0B2B-6B4C-44E8-B7BD-1B48A1BFB425}"/>
    <cellStyle name="Moeda 2 4 2 8" xfId="52855" xr:uid="{F98CFC77-8E88-4683-8C25-6603A2B69440}"/>
    <cellStyle name="Moeda 2 4 2 9" xfId="32897" xr:uid="{18A234F3-B209-4CD6-B8C7-5757AF284D0E}"/>
    <cellStyle name="Moeda 2 4 3" xfId="277" xr:uid="{38C6E60C-D686-45A7-86BD-357362939019}"/>
    <cellStyle name="Moeda 2 4 3 10" xfId="4558" xr:uid="{523A3C32-0197-4CA6-92B4-B0D40E7FE51D}"/>
    <cellStyle name="Moeda 2 4 3 2" xfId="466" xr:uid="{837D6357-2954-4D08-9221-7043747662CC}"/>
    <cellStyle name="Moeda 2 4 3 2 2" xfId="1282" xr:uid="{36D13AAE-CA24-4E49-B3A9-56CB2BC647CE}"/>
    <cellStyle name="Moeda 2 4 3 2 2 2" xfId="2943" xr:uid="{362572D6-CD82-4FCB-AE1F-760BB8ABEF01}"/>
    <cellStyle name="Moeda 2 4 3 2 2 2 2" xfId="54502" xr:uid="{EBAE7E47-2481-4AB1-8A12-5F559927D33A}"/>
    <cellStyle name="Moeda 2 4 3 2 2 2 3" xfId="51208" xr:uid="{60929239-1DE7-40D2-8C0B-06FB594EE1D1}"/>
    <cellStyle name="Moeda 2 4 3 2 2 3" xfId="49569" xr:uid="{8A711CA8-C287-4871-A3EF-985117920A37}"/>
    <cellStyle name="Moeda 2 4 3 2 2 3 2" xfId="57153" xr:uid="{2EBD5BB4-7EDC-4CE6-A793-2DC0D6E100DA}"/>
    <cellStyle name="Moeda 2 4 3 2 2 4" xfId="52865" xr:uid="{F1E94DB7-5553-4B1C-A391-08C1F5152D58}"/>
    <cellStyle name="Moeda 2 4 3 2 2 5" xfId="47900" xr:uid="{79062798-F307-4383-B589-716FE0CA3815}"/>
    <cellStyle name="Moeda 2 4 3 2 3" xfId="1688" xr:uid="{DDB20CFD-0BE5-4E0C-83B3-78B77348B10B}"/>
    <cellStyle name="Moeda 2 4 3 2 3 2" xfId="3348" xr:uid="{125F3DAA-6820-4EC4-972C-DF4B5B87A844}"/>
    <cellStyle name="Moeda 2 4 3 2 3 2 2" xfId="54503" xr:uid="{D0078BEB-C35A-47AD-B61A-E14AACD017A9}"/>
    <cellStyle name="Moeda 2 4 3 2 3 2 3" xfId="51209" xr:uid="{F584E8EB-5F68-49F6-BEDF-B335D997DE2D}"/>
    <cellStyle name="Moeda 2 4 3 2 3 3" xfId="49570" xr:uid="{F67EA4C5-89B8-4370-AE59-DAA356734995}"/>
    <cellStyle name="Moeda 2 4 3 2 3 3 2" xfId="57559" xr:uid="{18249882-0A0E-488F-B631-DE1A97CD4D13}"/>
    <cellStyle name="Moeda 2 4 3 2 3 4" xfId="52866" xr:uid="{DF63FB63-8AF0-4FA0-B072-0E8A9C0F3D11}"/>
    <cellStyle name="Moeda 2 4 3 2 3 5" xfId="47901" xr:uid="{11C6A658-6DCA-47B7-9BE3-20D604C1460B}"/>
    <cellStyle name="Moeda 2 4 3 2 4" xfId="875" xr:uid="{CC96557A-3961-4FEE-B3B8-9EA995FF01C7}"/>
    <cellStyle name="Moeda 2 4 3 2 4 2" xfId="2591" xr:uid="{3DB8652E-620D-4AF6-A47D-6E53D909B606}"/>
    <cellStyle name="Moeda 2 4 3 2 4 2 2" xfId="54504" xr:uid="{EF3606A2-C146-41BD-B4D6-EC07B7E8E08A}"/>
    <cellStyle name="Moeda 2 4 3 2 4 2 3" xfId="51210" xr:uid="{DBA44AC0-7606-4F1F-AEB3-A6C3CBA71CD4}"/>
    <cellStyle name="Moeda 2 4 3 2 4 3" xfId="49571" xr:uid="{B665AEA5-8EC9-438C-AA03-FABB22E16F9D}"/>
    <cellStyle name="Moeda 2 4 3 2 4 3 2" xfId="56746" xr:uid="{BB7ACFF0-71E4-48E4-AB33-46790DEFF749}"/>
    <cellStyle name="Moeda 2 4 3 2 4 4" xfId="52867" xr:uid="{AECD74FE-B3F9-4F19-88A4-AB676160FD29}"/>
    <cellStyle name="Moeda 2 4 3 2 4 5" xfId="47902" xr:uid="{12A2B972-4E73-44EF-A6BE-C019E6CA5503}"/>
    <cellStyle name="Moeda 2 4 3 2 5" xfId="2183" xr:uid="{5ADC5583-FA49-4968-A6B5-9F9EB306C630}"/>
    <cellStyle name="Moeda 2 4 3 2 5 2" xfId="54501" xr:uid="{CDDFBE76-B4DE-4D05-8061-8703EF380C00}"/>
    <cellStyle name="Moeda 2 4 3 2 5 3" xfId="51207" xr:uid="{CF0C93B1-7052-4F16-9DAD-FF8A9EB21E76}"/>
    <cellStyle name="Moeda 2 4 3 2 6" xfId="49568" xr:uid="{9F9A2A86-881D-4FA4-B4DC-5EF5EB4AC748}"/>
    <cellStyle name="Moeda 2 4 3 2 6 2" xfId="56337" xr:uid="{248DB54E-BAD1-451D-A739-278A528F4B7B}"/>
    <cellStyle name="Moeda 2 4 3 2 7" xfId="52864" xr:uid="{C0F8CCF4-B879-4322-B94E-211145BF3AC2}"/>
    <cellStyle name="Moeda 2 4 3 2 8" xfId="47899" xr:uid="{69E21021-7A90-455A-B022-D51FB517EE3D}"/>
    <cellStyle name="Moeda 2 4 3 2 9" xfId="4747" xr:uid="{242CD6CD-075E-4CCA-9E99-A02FAE086A8B}"/>
    <cellStyle name="Moeda 2 4 3 3" xfId="1093" xr:uid="{CA021891-781E-46B7-B13B-13EB30F19C8F}"/>
    <cellStyle name="Moeda 2 4 3 3 2" xfId="2756" xr:uid="{65BAB923-D8C6-4CC9-91AC-DA7F74727AE7}"/>
    <cellStyle name="Moeda 2 4 3 3 2 2" xfId="54505" xr:uid="{EA271D18-BEBE-4153-8312-3AC9B86B9E4C}"/>
    <cellStyle name="Moeda 2 4 3 3 2 3" xfId="51211" xr:uid="{DF04E362-94EE-4A94-A808-CC2DF94998EE}"/>
    <cellStyle name="Moeda 2 4 3 3 3" xfId="49572" xr:uid="{1C740258-73C7-4198-BAFD-1D6D8602A4C0}"/>
    <cellStyle name="Moeda 2 4 3 3 3 2" xfId="56964" xr:uid="{6310C3C3-E5D2-4D15-B475-BD8E902869BE}"/>
    <cellStyle name="Moeda 2 4 3 3 4" xfId="52868" xr:uid="{A0CEDCE1-99BC-4713-9713-0C7782B83497}"/>
    <cellStyle name="Moeda 2 4 3 3 5" xfId="47903" xr:uid="{687AD1B7-3039-4E11-8FCF-C5313AD3053D}"/>
    <cellStyle name="Moeda 2 4 3 4" xfId="1499" xr:uid="{21214705-ABC5-45D5-9ECE-029E6AD859C8}"/>
    <cellStyle name="Moeda 2 4 3 4 2" xfId="3160" xr:uid="{0F6E4A12-FB1D-4FC3-8474-84E5A0B08B35}"/>
    <cellStyle name="Moeda 2 4 3 4 2 2" xfId="54506" xr:uid="{372511B5-596A-4234-823A-8AA17F31F975}"/>
    <cellStyle name="Moeda 2 4 3 4 2 3" xfId="51212" xr:uid="{19DDF82B-DD45-4FEE-A461-BD0241600DFE}"/>
    <cellStyle name="Moeda 2 4 3 4 3" xfId="49573" xr:uid="{072FB9D6-5C2E-4604-80A4-EB4A4C0D5559}"/>
    <cellStyle name="Moeda 2 4 3 4 3 2" xfId="57370" xr:uid="{6E056D8B-BDEF-4DC5-A6EF-DFB81721BF77}"/>
    <cellStyle name="Moeda 2 4 3 4 4" xfId="52869" xr:uid="{94DD023B-8B51-4359-A4DA-ABAD6324366F}"/>
    <cellStyle name="Moeda 2 4 3 4 5" xfId="47904" xr:uid="{5A12B7D3-C122-431C-AEDF-D94EDAF45762}"/>
    <cellStyle name="Moeda 2 4 3 5" xfId="686" xr:uid="{B2B88309-C6D0-4C76-8D3D-C9809370AC07}"/>
    <cellStyle name="Moeda 2 4 3 5 2" xfId="2402" xr:uid="{66CD41E2-947A-4B24-9585-17F291E54F98}"/>
    <cellStyle name="Moeda 2 4 3 5 2 2" xfId="54507" xr:uid="{5B1E69DD-A0D9-4D79-B256-6544A3B7FBCA}"/>
    <cellStyle name="Moeda 2 4 3 5 2 3" xfId="51213" xr:uid="{9A288039-1EDA-4E78-A001-C0B6BBAA60DB}"/>
    <cellStyle name="Moeda 2 4 3 5 3" xfId="49574" xr:uid="{B38DD811-A98A-417F-AB1E-267110D3EFA8}"/>
    <cellStyle name="Moeda 2 4 3 5 3 2" xfId="56557" xr:uid="{F1D586C9-DF1B-44E4-9A4D-E36FAF37CED4}"/>
    <cellStyle name="Moeda 2 4 3 5 4" xfId="52870" xr:uid="{8E69152F-19B0-49D6-BEEB-0E6741A4CE1B}"/>
    <cellStyle name="Moeda 2 4 3 5 5" xfId="47905" xr:uid="{84D6B548-D08B-4828-B1A4-B971769DA770}"/>
    <cellStyle name="Moeda 2 4 3 6" xfId="3622" xr:uid="{B15B9F5B-E2F1-4274-BC21-F9A4BD1BCF15}"/>
    <cellStyle name="Moeda 2 4 3 6 2" xfId="51206" xr:uid="{B542767C-ABA4-4785-84C2-0743DB03043F}"/>
    <cellStyle name="Moeda 2 4 3 6 3" xfId="54500" xr:uid="{D540B724-A1BC-4BF8-A33F-4F1922D87A92}"/>
    <cellStyle name="Moeda 2 4 3 6 4" xfId="47898" xr:uid="{28B2F833-E4E4-4DDE-8266-B900685E6F00}"/>
    <cellStyle name="Moeda 2 4 3 7" xfId="1971" xr:uid="{8E8C6EDA-B23A-4872-B6E3-74C29C4AF7DE}"/>
    <cellStyle name="Moeda 2 4 3 7 2" xfId="56148" xr:uid="{7B39AF4D-53D9-4780-8952-702E49635CAA}"/>
    <cellStyle name="Moeda 2 4 3 7 3" xfId="49567" xr:uid="{1E81A824-36E2-40DA-8B87-457C08E1C350}"/>
    <cellStyle name="Moeda 2 4 3 8" xfId="52863" xr:uid="{B01E933E-30D5-4A1D-B8AC-3AE8B96C4DE3}"/>
    <cellStyle name="Moeda 2 4 3 9" xfId="47335" xr:uid="{D54D3E82-0F0F-4517-8E6F-D68E56D6F809}"/>
    <cellStyle name="Moeda 2 4 4" xfId="335" xr:uid="{46D61F83-7726-4853-8FDD-0EFAF8AE896D}"/>
    <cellStyle name="Moeda 2 4 4 2" xfId="1151" xr:uid="{3AB40AB5-3487-4AAA-B6A8-766DBC4A71FD}"/>
    <cellStyle name="Moeda 2 4 4 2 2" xfId="2812" xr:uid="{FF515A93-FB65-464E-A40B-1A4AC5A94915}"/>
    <cellStyle name="Moeda 2 4 4 2 2 2" xfId="54509" xr:uid="{DA767428-85AE-464B-A8BD-82C594405D28}"/>
    <cellStyle name="Moeda 2 4 4 2 2 3" xfId="51215" xr:uid="{7DD2F50B-9AFD-40E8-94D1-1D119FC0B2C9}"/>
    <cellStyle name="Moeda 2 4 4 2 3" xfId="49576" xr:uid="{86AAF8EA-7EBC-42E3-9705-5111CBDC2B91}"/>
    <cellStyle name="Moeda 2 4 4 2 3 2" xfId="57022" xr:uid="{93B0E252-186C-4A64-9B1D-BDC7265A1B32}"/>
    <cellStyle name="Moeda 2 4 4 2 4" xfId="52872" xr:uid="{3AD02379-6923-49EC-8687-73668A41401F}"/>
    <cellStyle name="Moeda 2 4 4 2 5" xfId="47907" xr:uid="{34811D27-6BF1-47E6-98F4-068BB5E8A924}"/>
    <cellStyle name="Moeda 2 4 4 3" xfId="1557" xr:uid="{C12983BF-0148-451E-BF3E-9B73717A72BE}"/>
    <cellStyle name="Moeda 2 4 4 3 2" xfId="3217" xr:uid="{59E1F468-D60D-4F7B-A580-19F70645D0AE}"/>
    <cellStyle name="Moeda 2 4 4 3 2 2" xfId="54510" xr:uid="{B1D4E179-72E1-4E19-B428-ACC3A71FC686}"/>
    <cellStyle name="Moeda 2 4 4 3 2 3" xfId="51216" xr:uid="{43EC4D6D-C06C-4426-827A-DA406DB555DD}"/>
    <cellStyle name="Moeda 2 4 4 3 3" xfId="49577" xr:uid="{902E91C6-1000-4F36-A315-14F94B60B9B4}"/>
    <cellStyle name="Moeda 2 4 4 3 3 2" xfId="57428" xr:uid="{D55ADF60-D4D7-480F-BE17-1A7EB849D090}"/>
    <cellStyle name="Moeda 2 4 4 3 4" xfId="52873" xr:uid="{562A33EF-9838-4316-A697-164D8BC7B542}"/>
    <cellStyle name="Moeda 2 4 4 3 5" xfId="47908" xr:uid="{DFA9C360-D99D-44B7-9F3E-728DA6C29096}"/>
    <cellStyle name="Moeda 2 4 4 4" xfId="744" xr:uid="{876E6D0A-3087-4716-9002-3B34FC8E28FF}"/>
    <cellStyle name="Moeda 2 4 4 4 2" xfId="2460" xr:uid="{1E6E1633-651E-42F3-8007-B4F0A2B34F4F}"/>
    <cellStyle name="Moeda 2 4 4 4 2 2" xfId="54511" xr:uid="{FC00552A-90AB-449D-9F42-943033533FC6}"/>
    <cellStyle name="Moeda 2 4 4 4 2 3" xfId="51217" xr:uid="{276351E0-322C-4334-B57D-9199D726475D}"/>
    <cellStyle name="Moeda 2 4 4 4 3" xfId="49578" xr:uid="{5CEF6588-4396-4F68-826D-AE9569A1BDF1}"/>
    <cellStyle name="Moeda 2 4 4 4 3 2" xfId="56615" xr:uid="{12D9E917-C62C-4159-8C06-8A67E842B64E}"/>
    <cellStyle name="Moeda 2 4 4 4 4" xfId="52874" xr:uid="{51E438D7-8776-4E48-89AE-78ED87C664EB}"/>
    <cellStyle name="Moeda 2 4 4 4 5" xfId="47909" xr:uid="{EBD82426-5BEC-4E2D-B298-399A54ECC821}"/>
    <cellStyle name="Moeda 2 4 4 5" xfId="3513" xr:uid="{AB8B6B71-E7EB-4B00-A80E-9E4630E6CE8E}"/>
    <cellStyle name="Moeda 2 4 4 5 2" xfId="51214" xr:uid="{F660A01D-E505-433D-87AA-D3322103C838}"/>
    <cellStyle name="Moeda 2 4 4 5 3" xfId="54508" xr:uid="{CCAEFD9F-0A58-4965-8AF1-A3416F6586BC}"/>
    <cellStyle name="Moeda 2 4 4 5 4" xfId="47906" xr:uid="{176F248C-A55C-4BBD-A567-8404983F4966}"/>
    <cellStyle name="Moeda 2 4 4 6" xfId="1862" xr:uid="{BFDF6EB8-B7B9-4C4A-92A0-A2700E64E711}"/>
    <cellStyle name="Moeda 2 4 4 6 2" xfId="56206" xr:uid="{FE32CC4E-9815-4C97-A067-778DC9FB551B}"/>
    <cellStyle name="Moeda 2 4 4 6 3" xfId="49575" xr:uid="{E2A49CAD-85EE-4816-B589-5C975341C1B9}"/>
    <cellStyle name="Moeda 2 4 4 7" xfId="52871" xr:uid="{0B554300-A1C4-49A5-A484-7D68A98F77FB}"/>
    <cellStyle name="Moeda 2 4 4 8" xfId="47461" xr:uid="{E1DD60D2-366D-4FEE-807C-3E2CFA85E7BB}"/>
    <cellStyle name="Moeda 2 4 4 9" xfId="4616" xr:uid="{02E0EF31-5109-4E6B-BB5C-8C1CBF22DF2E}"/>
    <cellStyle name="Moeda 2 4 5" xfId="962" xr:uid="{46D62492-9B49-49FD-AA29-72603CDBA12B}"/>
    <cellStyle name="Moeda 2 4 5 2" xfId="3731" xr:uid="{5E30225B-16BF-47BE-AFDA-5D800C90D4C1}"/>
    <cellStyle name="Moeda 2 4 5 2 2" xfId="51218" xr:uid="{5BC3D84E-7A0B-4A0F-BDDD-C996A667CC74}"/>
    <cellStyle name="Moeda 2 4 5 2 3" xfId="54512" xr:uid="{F9F8E1C0-BCBC-4C12-944B-6611E5D45D0B}"/>
    <cellStyle name="Moeda 2 4 5 2 4" xfId="47910" xr:uid="{FEC4D031-A725-4960-A37D-5D92BAD234C7}"/>
    <cellStyle name="Moeda 2 4 5 3" xfId="2677" xr:uid="{58B94C1E-AC19-474E-BCEF-3A42A7BD837D}"/>
    <cellStyle name="Moeda 2 4 5 3 2" xfId="56833" xr:uid="{550C34AA-6630-46AB-B33F-55D5A7396644}"/>
    <cellStyle name="Moeda 2 4 5 3 3" xfId="49579" xr:uid="{D84163B9-DBB8-4237-9AFA-57280F5EBFEE}"/>
    <cellStyle name="Moeda 2 4 5 4" xfId="52875" xr:uid="{D314C413-6D03-4027-998D-FC2E1EB0736E}"/>
    <cellStyle name="Moeda 2 4 5 5" xfId="47587" xr:uid="{3CCF9C1F-9B4D-4386-809F-60CFC6F10DE6}"/>
    <cellStyle name="Moeda 2 4 6" xfId="1368" xr:uid="{AFBF6225-7F23-4B5F-ADB1-FC50A793F139}"/>
    <cellStyle name="Moeda 2 4 6 2" xfId="3029" xr:uid="{C3E7FE5E-69FC-45BC-847D-1266BE6B9846}"/>
    <cellStyle name="Moeda 2 4 6 2 2" xfId="54513" xr:uid="{2015111E-107C-4F52-AAAF-70ED699DB19F}"/>
    <cellStyle name="Moeda 2 4 6 2 3" xfId="51219" xr:uid="{0AC59D18-88FC-41EB-9D92-C24E4AD46351}"/>
    <cellStyle name="Moeda 2 4 6 3" xfId="49580" xr:uid="{0D68D025-0553-4319-8FD9-259539236733}"/>
    <cellStyle name="Moeda 2 4 6 3 2" xfId="57239" xr:uid="{D9F8F1FA-E678-4EAA-95B5-FD4461D9BEAE}"/>
    <cellStyle name="Moeda 2 4 6 4" xfId="52876" xr:uid="{863D5422-63EF-43A3-A76A-E41F60AD86D4}"/>
    <cellStyle name="Moeda 2 4 6 5" xfId="47911" xr:uid="{1537D4A0-9336-4889-A24B-A3965E03A590}"/>
    <cellStyle name="Moeda 2 4 7" xfId="555" xr:uid="{8B8D4DDE-620B-49C6-83C9-18B27DCC97E1}"/>
    <cellStyle name="Moeda 2 4 7 2" xfId="2271" xr:uid="{55A1116F-64FC-4DFE-B5E6-22A75476A173}"/>
    <cellStyle name="Moeda 2 4 7 2 2" xfId="54514" xr:uid="{9226D9B6-37D9-4DFF-9109-84BB8EB05FB7}"/>
    <cellStyle name="Moeda 2 4 7 2 3" xfId="51220" xr:uid="{5CCCFB3E-2CD5-4617-A615-8ADFFE8758D1}"/>
    <cellStyle name="Moeda 2 4 7 3" xfId="49581" xr:uid="{83B66FFF-1E85-4970-867D-664A625F9308}"/>
    <cellStyle name="Moeda 2 4 7 3 2" xfId="56426" xr:uid="{A0D6C3B4-A703-47DF-86C8-AFA4377CFC4D}"/>
    <cellStyle name="Moeda 2 4 7 4" xfId="52877" xr:uid="{1691F486-E283-4B7E-8E1B-82A4B9F7AC7B}"/>
    <cellStyle name="Moeda 2 4 7 5" xfId="47912" xr:uid="{E5D445F2-9F72-4489-99F1-AEE3D1945EA3}"/>
    <cellStyle name="Moeda 2 4 8" xfId="3403" xr:uid="{D4437748-D3DD-4893-93FF-2C95AE9A5BAB}"/>
    <cellStyle name="Moeda 2 4 8 2" xfId="51197" xr:uid="{8C632569-8D23-4A48-A3B8-634C4ECE2A9D}"/>
    <cellStyle name="Moeda 2 4 8 3" xfId="54491" xr:uid="{1544508C-064F-4CE8-BF0B-C5830F5512CF}"/>
    <cellStyle name="Moeda 2 4 8 4" xfId="47889" xr:uid="{CBC0BC86-72F8-4BC7-AD1F-B78639C20D13}"/>
    <cellStyle name="Moeda 2 4 9" xfId="1751" xr:uid="{3B6D9ACA-5F43-4B1D-8665-90A983DA2C97}"/>
    <cellStyle name="Moeda 2 4 9 2" xfId="56017" xr:uid="{58D000DF-A4C7-4671-98E7-327512A5652D}"/>
    <cellStyle name="Moeda 2 4 9 3" xfId="49558" xr:uid="{C63F948F-A81C-4F73-9B90-28F136B2C30F}"/>
    <cellStyle name="Moeda 2 5" xfId="173" xr:uid="{B0597E08-9D0B-4BA1-9574-061042EDF9D1}"/>
    <cellStyle name="Moeda 2 5 10" xfId="4454" xr:uid="{1389C197-6A7A-49A4-A900-EA946D26B7A5}"/>
    <cellStyle name="Moeda 2 5 2" xfId="362" xr:uid="{3B679244-14E0-46CB-9C45-8AD4C7AC4F9C}"/>
    <cellStyle name="Moeda 2 5 2 2" xfId="1178" xr:uid="{F0770B65-BAA3-4A10-AD07-56D6F7F38831}"/>
    <cellStyle name="Moeda 2 5 2 2 2" xfId="2839" xr:uid="{0423E744-5974-46C9-A2AA-BDB42FFE5748}"/>
    <cellStyle name="Moeda 2 5 2 2 2 2" xfId="54517" xr:uid="{40F7E1C9-C214-4634-B10C-1C591551E9B6}"/>
    <cellStyle name="Moeda 2 5 2 2 2 3" xfId="51223" xr:uid="{101F59FA-FF06-416E-942A-C1104F59C910}"/>
    <cellStyle name="Moeda 2 5 2 2 3" xfId="49584" xr:uid="{84AAC1D1-2D37-4EFB-8662-26C98D13C0FC}"/>
    <cellStyle name="Moeda 2 5 2 2 3 2" xfId="57049" xr:uid="{C0E6922C-4625-466C-814B-E2018F85E7D0}"/>
    <cellStyle name="Moeda 2 5 2 2 4" xfId="52880" xr:uid="{4F27413B-2AC8-4E24-B2B6-DC41CBCFC747}"/>
    <cellStyle name="Moeda 2 5 2 2 5" xfId="47915" xr:uid="{C733D508-30D8-4E89-BCB6-D21CDCD17F8C}"/>
    <cellStyle name="Moeda 2 5 2 3" xfId="1584" xr:uid="{D28EEAD7-EA46-49D6-BB6A-A4D27CBCE071}"/>
    <cellStyle name="Moeda 2 5 2 3 2" xfId="3244" xr:uid="{A7F1FA13-3F45-42B1-82AD-CA4B494DB628}"/>
    <cellStyle name="Moeda 2 5 2 3 2 2" xfId="54518" xr:uid="{32F2D137-98F1-4BFB-9CAA-479AC10A6F8B}"/>
    <cellStyle name="Moeda 2 5 2 3 2 3" xfId="51224" xr:uid="{7C92822E-A4F4-4F6C-BF43-B1D817D015BB}"/>
    <cellStyle name="Moeda 2 5 2 3 3" xfId="49585" xr:uid="{130F5E07-BA93-4049-B692-ADF7485D9F65}"/>
    <cellStyle name="Moeda 2 5 2 3 3 2" xfId="57455" xr:uid="{FEFEB62A-25CB-4BF9-A8E8-E0AFAF709E3A}"/>
    <cellStyle name="Moeda 2 5 2 3 4" xfId="52881" xr:uid="{5F560848-D319-4280-B161-1471A4BCC376}"/>
    <cellStyle name="Moeda 2 5 2 3 5" xfId="47916" xr:uid="{B9E3CC88-ADB4-4E06-B41D-9E1D8E41D615}"/>
    <cellStyle name="Moeda 2 5 2 4" xfId="771" xr:uid="{A91424DE-42E8-48FB-9C1A-2A4049DE92C7}"/>
    <cellStyle name="Moeda 2 5 2 4 2" xfId="2487" xr:uid="{C3993878-B0C3-4227-877B-93B45C77D1D0}"/>
    <cellStyle name="Moeda 2 5 2 4 2 2" xfId="54519" xr:uid="{FC39CA9A-6CCE-4427-933E-22C7124EB1E4}"/>
    <cellStyle name="Moeda 2 5 2 4 2 3" xfId="51225" xr:uid="{B1D73F77-9AA8-4E6F-B845-F17347C21C07}"/>
    <cellStyle name="Moeda 2 5 2 4 3" xfId="49586" xr:uid="{57DC9F22-9DAB-4725-AFC8-7594FBEF9D34}"/>
    <cellStyle name="Moeda 2 5 2 4 3 2" xfId="56642" xr:uid="{6B38AFC8-F8AF-4E92-8B3D-AD12C5842962}"/>
    <cellStyle name="Moeda 2 5 2 4 4" xfId="52882" xr:uid="{4ABA078C-775A-45C6-AA3F-2FEEA9EC34C8}"/>
    <cellStyle name="Moeda 2 5 2 4 5" xfId="47917" xr:uid="{5B63BCA7-87AC-4A4C-A698-D0CA9E2C88CC}"/>
    <cellStyle name="Moeda 2 5 2 5" xfId="3651" xr:uid="{B9FCF8DC-1BB9-4577-B726-C45CD670035E}"/>
    <cellStyle name="Moeda 2 5 2 5 2" xfId="51222" xr:uid="{5A6D2563-3BD7-4042-87E6-7A63E5480F0C}"/>
    <cellStyle name="Moeda 2 5 2 5 3" xfId="54516" xr:uid="{6172FDB4-DBA5-4EE8-8AAA-52518873B804}"/>
    <cellStyle name="Moeda 2 5 2 5 4" xfId="47914" xr:uid="{B22E4350-EC29-4F74-B906-F02866253E14}"/>
    <cellStyle name="Moeda 2 5 2 6" xfId="2000" xr:uid="{5A7B3CBE-9699-4678-A94A-E37E1F2A3866}"/>
    <cellStyle name="Moeda 2 5 2 6 2" xfId="56233" xr:uid="{4FD4A0BD-4988-4572-A117-82BBC8FCB2AB}"/>
    <cellStyle name="Moeda 2 5 2 6 3" xfId="49583" xr:uid="{29B09598-42A0-4371-AEBD-EB407DE0028E}"/>
    <cellStyle name="Moeda 2 5 2 7" xfId="52879" xr:uid="{48F14E41-D93D-43C8-A3F6-CD0CE0F323D0}"/>
    <cellStyle name="Moeda 2 5 2 8" xfId="47365" xr:uid="{239C58A2-7952-46E1-86F3-16C1FABB44AE}"/>
    <cellStyle name="Moeda 2 5 2 9" xfId="4643" xr:uid="{09901B3B-343B-4CE6-8408-2ACD811F0EA2}"/>
    <cellStyle name="Moeda 2 5 3" xfId="989" xr:uid="{ADADE296-F1D9-4769-A3C0-7687E41FA771}"/>
    <cellStyle name="Moeda 2 5 3 2" xfId="3542" xr:uid="{8FA526C5-0F3F-4E83-84B0-029A025DD113}"/>
    <cellStyle name="Moeda 2 5 3 2 2" xfId="51226" xr:uid="{2C127F64-CAD0-4322-A114-C7285D594B06}"/>
    <cellStyle name="Moeda 2 5 3 2 3" xfId="54520" xr:uid="{8497AB5E-0405-41CB-ADCD-3AFCCD7AC687}"/>
    <cellStyle name="Moeda 2 5 3 2 4" xfId="47918" xr:uid="{3DF23E41-60D8-44CD-869A-22AAEFF0B881}"/>
    <cellStyle name="Moeda 2 5 3 3" xfId="1891" xr:uid="{DC5E58AA-0BD0-4755-9C9D-76624840F20E}"/>
    <cellStyle name="Moeda 2 5 3 3 2" xfId="56860" xr:uid="{15D9DB46-07CC-4F94-BC77-04A8A375DDBF}"/>
    <cellStyle name="Moeda 2 5 3 3 3" xfId="49587" xr:uid="{BC49A134-CF6D-4613-A0AB-1A731C299A4C}"/>
    <cellStyle name="Moeda 2 5 3 4" xfId="52883" xr:uid="{52ACE639-3BEE-499D-9598-61CA60FD0B52}"/>
    <cellStyle name="Moeda 2 5 3 5" xfId="47491" xr:uid="{73A5F8EF-AA6B-40DC-A06E-3095139A2A63}"/>
    <cellStyle name="Moeda 2 5 4" xfId="1395" xr:uid="{7E876736-8050-4095-822D-B00E39B99538}"/>
    <cellStyle name="Moeda 2 5 4 2" xfId="3760" xr:uid="{3E7D8AE7-2A4E-4AB4-A204-17CFA6A61A34}"/>
    <cellStyle name="Moeda 2 5 4 2 2" xfId="51227" xr:uid="{C327278C-2FE3-4701-806F-D5306C877921}"/>
    <cellStyle name="Moeda 2 5 4 2 3" xfId="54521" xr:uid="{6B90CBCF-152E-4369-B65E-35DC606B0688}"/>
    <cellStyle name="Moeda 2 5 4 2 4" xfId="47919" xr:uid="{F55AFA95-B3D0-4DE3-9B23-2B674A2E6254}"/>
    <cellStyle name="Moeda 2 5 4 3" xfId="3056" xr:uid="{3CEA0C01-3592-4C8E-9CA3-9BEB7DC24D8E}"/>
    <cellStyle name="Moeda 2 5 4 3 2" xfId="57266" xr:uid="{347C6FEB-A826-480C-B222-18859EAE5A58}"/>
    <cellStyle name="Moeda 2 5 4 3 3" xfId="49588" xr:uid="{EE64F73D-801D-4B15-9EAE-EAE931C0D56D}"/>
    <cellStyle name="Moeda 2 5 4 4" xfId="52884" xr:uid="{91544281-C6D0-4248-BCE3-E5A5ACC76746}"/>
    <cellStyle name="Moeda 2 5 4 5" xfId="47617" xr:uid="{0EBAD761-C682-4262-9CA4-7CB895F628B8}"/>
    <cellStyle name="Moeda 2 5 5" xfId="582" xr:uid="{F6DEC3F6-9357-4AA1-ACCA-CAB601498183}"/>
    <cellStyle name="Moeda 2 5 5 2" xfId="2298" xr:uid="{4BBD4C84-F61B-4693-80F7-9DC0E35C3515}"/>
    <cellStyle name="Moeda 2 5 5 2 2" xfId="54522" xr:uid="{2C8174C0-4F4A-4B5A-8561-1E7982B94500}"/>
    <cellStyle name="Moeda 2 5 5 2 3" xfId="51228" xr:uid="{630D00DE-AF56-4508-8B54-F8128420BBAE}"/>
    <cellStyle name="Moeda 2 5 5 3" xfId="49589" xr:uid="{8CCF7E00-CEA7-4AE6-BF58-17FCDE0C333D}"/>
    <cellStyle name="Moeda 2 5 5 3 2" xfId="56453" xr:uid="{5CB7569B-7F75-4145-9A79-765FC3C40728}"/>
    <cellStyle name="Moeda 2 5 5 4" xfId="52885" xr:uid="{446C64BC-AEB5-4DE0-ACE7-3D6BA8B7BC8C}"/>
    <cellStyle name="Moeda 2 5 5 5" xfId="47920" xr:uid="{7E9DE3D4-0F69-4387-B4EF-A8835133F10B}"/>
    <cellStyle name="Moeda 2 5 6" xfId="3432" xr:uid="{29700A5D-8577-40D0-A1FA-B6CE84641F3B}"/>
    <cellStyle name="Moeda 2 5 6 2" xfId="51221" xr:uid="{366A5986-9412-48A8-AFE0-5C3E541FE271}"/>
    <cellStyle name="Moeda 2 5 6 3" xfId="54515" xr:uid="{ACBF7BD6-F7C6-45C4-8BCE-7CD1F8A8856C}"/>
    <cellStyle name="Moeda 2 5 6 4" xfId="47913" xr:uid="{B7D93DE9-61CC-4619-B439-C13566EF890D}"/>
    <cellStyle name="Moeda 2 5 7" xfId="1781" xr:uid="{29BCFBDC-7B4F-4F2C-A14C-F9E07A50C870}"/>
    <cellStyle name="Moeda 2 5 7 2" xfId="56044" xr:uid="{79DBC49B-173E-461E-AC79-E04FFEE1C3E1}"/>
    <cellStyle name="Moeda 2 5 7 3" xfId="49582" xr:uid="{8C0B50E3-9D9B-437C-8742-01C97EF1757F}"/>
    <cellStyle name="Moeda 2 5 8" xfId="52878" xr:uid="{18B5554C-C206-41AC-AADB-97BF2F7FDC97}"/>
    <cellStyle name="Moeda 2 5 9" xfId="32871" xr:uid="{DA151E0C-A675-4071-9ABE-812EACE1B281}"/>
    <cellStyle name="Moeda 2 6" xfId="199" xr:uid="{B7B4A646-85DF-43E8-B1B1-323A4DE354C1}"/>
    <cellStyle name="Moeda 2 6 10" xfId="4480" xr:uid="{C242C0D6-BA2D-4D50-AD5E-C71E7430DB08}"/>
    <cellStyle name="Moeda 2 6 2" xfId="388" xr:uid="{9E60D790-BD43-4FA1-8DCA-50C39B8E69E0}"/>
    <cellStyle name="Moeda 2 6 2 2" xfId="1204" xr:uid="{37904F28-1C90-4047-A672-8CA478842B3A}"/>
    <cellStyle name="Moeda 2 6 2 2 2" xfId="2865" xr:uid="{B48E51F5-269B-40AF-940C-20688228477D}"/>
    <cellStyle name="Moeda 2 6 2 2 2 2" xfId="54525" xr:uid="{8E0A413E-AACB-4373-9B68-E1F64F428A69}"/>
    <cellStyle name="Moeda 2 6 2 2 2 3" xfId="51231" xr:uid="{62284A7D-0058-4534-82DA-F3068DD8B811}"/>
    <cellStyle name="Moeda 2 6 2 2 3" xfId="49592" xr:uid="{AA026D66-BD75-447C-BC56-F4A096CBFCC1}"/>
    <cellStyle name="Moeda 2 6 2 2 3 2" xfId="57075" xr:uid="{8B1A1F53-38CE-4855-8CDB-14DC86397C51}"/>
    <cellStyle name="Moeda 2 6 2 2 4" xfId="52888" xr:uid="{775FDA45-8C0D-4310-97B8-D182F365A244}"/>
    <cellStyle name="Moeda 2 6 2 2 5" xfId="47923" xr:uid="{069255F0-8350-493E-9F41-F376A2493E85}"/>
    <cellStyle name="Moeda 2 6 2 3" xfId="1610" xr:uid="{48A43C8D-9CA4-4030-AE2A-FFF87C8914B6}"/>
    <cellStyle name="Moeda 2 6 2 3 2" xfId="3270" xr:uid="{1EBE9174-B390-4D13-91EF-806C4CD3E370}"/>
    <cellStyle name="Moeda 2 6 2 3 2 2" xfId="54526" xr:uid="{67C83433-E54F-4943-A9AD-ED74529F7383}"/>
    <cellStyle name="Moeda 2 6 2 3 2 3" xfId="51232" xr:uid="{C3B3CF30-6918-4D86-B2D3-1D38CBEDE4CA}"/>
    <cellStyle name="Moeda 2 6 2 3 3" xfId="49593" xr:uid="{FAB9A6BF-BDA8-4A06-BC85-D0FCE070B963}"/>
    <cellStyle name="Moeda 2 6 2 3 3 2" xfId="57481" xr:uid="{B54B3C94-3344-454E-A196-5F3A4B8E35DF}"/>
    <cellStyle name="Moeda 2 6 2 3 4" xfId="52889" xr:uid="{EBF4C49C-0375-4B53-A262-064C89DC7BAA}"/>
    <cellStyle name="Moeda 2 6 2 3 5" xfId="47924" xr:uid="{59E886F7-4810-4C2D-85B4-D7314D983AEA}"/>
    <cellStyle name="Moeda 2 6 2 4" xfId="797" xr:uid="{9B1D5555-8550-4E21-B5A9-DD2B3CCB0F37}"/>
    <cellStyle name="Moeda 2 6 2 4 2" xfId="2513" xr:uid="{99C8C572-455C-44D9-99DA-3750A0A858E6}"/>
    <cellStyle name="Moeda 2 6 2 4 2 2" xfId="54527" xr:uid="{6632465C-CEEF-4E78-80CE-42EB7BFA9CB0}"/>
    <cellStyle name="Moeda 2 6 2 4 2 3" xfId="51233" xr:uid="{A2F28E1B-0889-4CA3-835E-E37ED5105715}"/>
    <cellStyle name="Moeda 2 6 2 4 3" xfId="49594" xr:uid="{5C4D0639-4587-4D2C-B2E4-6A1DED353C57}"/>
    <cellStyle name="Moeda 2 6 2 4 3 2" xfId="56668" xr:uid="{426EF437-5BF6-486A-8911-31FD198A2DF1}"/>
    <cellStyle name="Moeda 2 6 2 4 4" xfId="52890" xr:uid="{6CE6736E-CE1C-4196-90C7-9162CA308B98}"/>
    <cellStyle name="Moeda 2 6 2 4 5" xfId="47925" xr:uid="{25E2A5BA-CC72-4640-9DBD-4855E74DEC18}"/>
    <cellStyle name="Moeda 2 6 2 5" xfId="1946" xr:uid="{2C1C0A25-5FDF-493C-9244-7864326A8B1A}"/>
    <cellStyle name="Moeda 2 6 2 5 2" xfId="54524" xr:uid="{795AC2AD-1AD3-4850-A4AD-226D8978F766}"/>
    <cellStyle name="Moeda 2 6 2 5 3" xfId="51230" xr:uid="{B5932F23-B3AE-4097-B746-01D778FA6FE9}"/>
    <cellStyle name="Moeda 2 6 2 6" xfId="49591" xr:uid="{B6C37923-F694-441A-855C-94BE9143E4A9}"/>
    <cellStyle name="Moeda 2 6 2 6 2" xfId="56259" xr:uid="{0A84B9D2-65F4-49E6-A89C-1052674531DB}"/>
    <cellStyle name="Moeda 2 6 2 7" xfId="52887" xr:uid="{43ABA6C6-5051-46C8-B1D4-94A05EF48EFD}"/>
    <cellStyle name="Moeda 2 6 2 8" xfId="47922" xr:uid="{02D1D6F7-3368-4A38-9ACF-B6618C1BDEB2}"/>
    <cellStyle name="Moeda 2 6 2 9" xfId="4669" xr:uid="{1D187BEA-BBBE-466A-8B68-DA43CB5534CA}"/>
    <cellStyle name="Moeda 2 6 3" xfId="1015" xr:uid="{0FE0F796-8FCB-4574-8DD7-D6E6CDA7CB96}"/>
    <cellStyle name="Moeda 2 6 3 2" xfId="2704" xr:uid="{D9C3AD63-034C-414D-B46A-17F007359113}"/>
    <cellStyle name="Moeda 2 6 3 2 2" xfId="54528" xr:uid="{A4DD1C6C-022D-45AD-AF38-2BC281EDDD13}"/>
    <cellStyle name="Moeda 2 6 3 2 3" xfId="51234" xr:uid="{04432BF4-A354-4393-93DB-80F3AEE3A8CA}"/>
    <cellStyle name="Moeda 2 6 3 3" xfId="49595" xr:uid="{38CC7F5D-5BCE-45A2-8A47-613CC3CEEF44}"/>
    <cellStyle name="Moeda 2 6 3 3 2" xfId="56886" xr:uid="{EBFB4534-9F30-4CBC-AB43-F8DDD7182F09}"/>
    <cellStyle name="Moeda 2 6 3 4" xfId="52891" xr:uid="{207D8020-C5BC-496C-B9AE-6426C15E3B4A}"/>
    <cellStyle name="Moeda 2 6 3 5" xfId="47926" xr:uid="{4D93AA38-E7BF-4C06-AC2E-09B6CB67CA69}"/>
    <cellStyle name="Moeda 2 6 4" xfId="1421" xr:uid="{CF2624AC-29DC-4793-AE7A-2C23E900741A}"/>
    <cellStyle name="Moeda 2 6 4 2" xfId="3082" xr:uid="{73D36D44-7C61-4026-9AF1-226043B9893A}"/>
    <cellStyle name="Moeda 2 6 4 2 2" xfId="54529" xr:uid="{95EB45AF-8149-47FC-AF87-177F1ECA9B1C}"/>
    <cellStyle name="Moeda 2 6 4 2 3" xfId="51235" xr:uid="{6E1CFC57-5A90-4F6A-81EF-68F59F9BD150}"/>
    <cellStyle name="Moeda 2 6 4 3" xfId="49596" xr:uid="{AD3C5518-024D-4255-AAFE-20C0808C71BD}"/>
    <cellStyle name="Moeda 2 6 4 3 2" xfId="57292" xr:uid="{69D03BFC-B3CE-4140-9C51-7AFA4537858E}"/>
    <cellStyle name="Moeda 2 6 4 4" xfId="52892" xr:uid="{D0C178C3-5B13-4C27-BA85-039347D1BDBC}"/>
    <cellStyle name="Moeda 2 6 4 5" xfId="47927" xr:uid="{1347E852-0D63-4314-9A03-5AEA1D231854}"/>
    <cellStyle name="Moeda 2 6 5" xfId="608" xr:uid="{288A51FA-FA07-48A1-B167-40E2FB009F73}"/>
    <cellStyle name="Moeda 2 6 5 2" xfId="2324" xr:uid="{F686B3FB-5C74-4CEA-9594-EDC52795B192}"/>
    <cellStyle name="Moeda 2 6 5 2 2" xfId="54530" xr:uid="{21B6E54E-CED1-4B7C-881E-1F05002B44D0}"/>
    <cellStyle name="Moeda 2 6 5 2 3" xfId="51236" xr:uid="{C4240B07-062A-446F-8BC6-5CCC2DAF5C48}"/>
    <cellStyle name="Moeda 2 6 5 3" xfId="49597" xr:uid="{795DF66B-2B8B-4E15-B917-DA096AC2C3BE}"/>
    <cellStyle name="Moeda 2 6 5 3 2" xfId="56479" xr:uid="{98F8D55B-FCD0-408E-AC64-75AB221AED62}"/>
    <cellStyle name="Moeda 2 6 5 4" xfId="52893" xr:uid="{97B79288-266B-43B3-A24E-C4FD9E76E437}"/>
    <cellStyle name="Moeda 2 6 5 5" xfId="47928" xr:uid="{7EDCB57D-131A-4BFC-A586-657351FACC6E}"/>
    <cellStyle name="Moeda 2 6 6" xfId="3597" xr:uid="{36C6E238-9EC7-4E9E-8112-ED808A45E1C7}"/>
    <cellStyle name="Moeda 2 6 6 2" xfId="51229" xr:uid="{C42F6915-D526-4CF9-B6A0-1F78599EA162}"/>
    <cellStyle name="Moeda 2 6 6 3" xfId="54523" xr:uid="{F50C3C90-5B72-4E77-98B9-98DE2D945E18}"/>
    <cellStyle name="Moeda 2 6 6 4" xfId="47921" xr:uid="{C7984411-06F6-4AC5-AA4E-90652D9DC7FD}"/>
    <cellStyle name="Moeda 2 6 7" xfId="1726" xr:uid="{59D75242-DDF3-4F7F-A045-E115F50C855B}"/>
    <cellStyle name="Moeda 2 6 7 2" xfId="56070" xr:uid="{C6BCD4DD-CF62-45F0-98AC-1092B75D8190}"/>
    <cellStyle name="Moeda 2 6 7 3" xfId="49590" xr:uid="{296B84AB-549D-4BBC-96FA-6681C7A0E0B9}"/>
    <cellStyle name="Moeda 2 6 8" xfId="52886" xr:uid="{5000B653-F9B4-4D06-80B8-3572AA8CD56F}"/>
    <cellStyle name="Moeda 2 6 9" xfId="25480" xr:uid="{56A8BABB-878F-4A2D-B3CB-B0155157E6C5}"/>
    <cellStyle name="Moeda 2 7" xfId="251" xr:uid="{AD7DE6F6-D163-48E1-B566-58B0E09E374B}"/>
    <cellStyle name="Moeda 2 7 10" xfId="4532" xr:uid="{B237AFF0-7ABB-45C7-B9D4-20C360C3E706}"/>
    <cellStyle name="Moeda 2 7 2" xfId="440" xr:uid="{88931F31-8B03-4116-84BD-F5D1F09D66A4}"/>
    <cellStyle name="Moeda 2 7 2 2" xfId="1256" xr:uid="{0DBE21C2-6F24-4E20-9F96-90FBE73974EB}"/>
    <cellStyle name="Moeda 2 7 2 2 2" xfId="2917" xr:uid="{C352E55D-234F-4164-8C6C-18E0DC046698}"/>
    <cellStyle name="Moeda 2 7 2 2 2 2" xfId="54533" xr:uid="{575FC370-1354-44AF-A51C-9E2B362D97D0}"/>
    <cellStyle name="Moeda 2 7 2 2 2 3" xfId="51239" xr:uid="{558B6808-1E10-48CF-B61B-F65E194D5DFF}"/>
    <cellStyle name="Moeda 2 7 2 2 3" xfId="49600" xr:uid="{878E5EFC-AC83-46E7-8FB4-CA9365B25228}"/>
    <cellStyle name="Moeda 2 7 2 2 3 2" xfId="57127" xr:uid="{7A096F8E-F208-476B-9100-933FFC899CD7}"/>
    <cellStyle name="Moeda 2 7 2 2 4" xfId="52896" xr:uid="{C093F7C1-FE9C-4320-BA9F-C8C72154C98C}"/>
    <cellStyle name="Moeda 2 7 2 2 5" xfId="47931" xr:uid="{D107BE21-03C3-49D1-A3D6-8F9F96898DDC}"/>
    <cellStyle name="Moeda 2 7 2 3" xfId="1662" xr:uid="{F85B384B-E26D-4C0C-BF5F-3D29C0C48C39}"/>
    <cellStyle name="Moeda 2 7 2 3 2" xfId="3322" xr:uid="{9504B6C0-B086-4525-BB17-55562F327AD5}"/>
    <cellStyle name="Moeda 2 7 2 3 2 2" xfId="54534" xr:uid="{2D3922B8-E586-4B68-BB33-E40C0B5318B8}"/>
    <cellStyle name="Moeda 2 7 2 3 2 3" xfId="51240" xr:uid="{AD85C3BD-952C-454D-B7F6-18DB5317E268}"/>
    <cellStyle name="Moeda 2 7 2 3 3" xfId="49601" xr:uid="{1E14BB8D-9325-41C1-85B8-CDADB298AD05}"/>
    <cellStyle name="Moeda 2 7 2 3 3 2" xfId="57533" xr:uid="{60073E7B-FC4A-4BBD-B02E-3AFCEA41ACCE}"/>
    <cellStyle name="Moeda 2 7 2 3 4" xfId="52897" xr:uid="{6220EC13-078A-4CB9-8957-CFF4EBBE3CF3}"/>
    <cellStyle name="Moeda 2 7 2 3 5" xfId="47932" xr:uid="{A07D2430-173B-4F99-92C8-3F2934CF094E}"/>
    <cellStyle name="Moeda 2 7 2 4" xfId="849" xr:uid="{C6231AAF-8E1A-4318-B932-48CDDE01C5FD}"/>
    <cellStyle name="Moeda 2 7 2 4 2" xfId="2565" xr:uid="{64DECF6B-860F-44C8-851D-2D4826B7F1CE}"/>
    <cellStyle name="Moeda 2 7 2 4 2 2" xfId="54535" xr:uid="{794E41A2-FC91-432E-AA7C-2AF4B58D0B50}"/>
    <cellStyle name="Moeda 2 7 2 4 2 3" xfId="51241" xr:uid="{0E1C5E18-41FF-458E-8548-00A8E4E0DA3D}"/>
    <cellStyle name="Moeda 2 7 2 4 3" xfId="49602" xr:uid="{C847C664-FBE6-4CC8-9D8D-BC60E45D3D9E}"/>
    <cellStyle name="Moeda 2 7 2 4 3 2" xfId="56720" xr:uid="{6083375A-832A-4FAA-B486-0996FD26A39E}"/>
    <cellStyle name="Moeda 2 7 2 4 4" xfId="52898" xr:uid="{F3A1EC9D-3883-4FFA-8ABA-CE75A7BA98CF}"/>
    <cellStyle name="Moeda 2 7 2 4 5" xfId="47933" xr:uid="{6071A5F8-80CC-48DF-A5F6-6896806DD3AD}"/>
    <cellStyle name="Moeda 2 7 2 5" xfId="2158" xr:uid="{E6123E4F-D3F0-4047-8C04-11F9132BFF8E}"/>
    <cellStyle name="Moeda 2 7 2 5 2" xfId="54532" xr:uid="{D85986A2-F337-4AAD-8CD7-6CAE619DB927}"/>
    <cellStyle name="Moeda 2 7 2 5 3" xfId="51238" xr:uid="{43B7A516-F382-4EAC-AA5D-4C7C6AC544ED}"/>
    <cellStyle name="Moeda 2 7 2 6" xfId="49599" xr:uid="{6D19953A-F0F6-4168-910D-DD20D0A38DFF}"/>
    <cellStyle name="Moeda 2 7 2 6 2" xfId="56311" xr:uid="{C18519F4-A29A-482C-B116-BF5912C0058F}"/>
    <cellStyle name="Moeda 2 7 2 7" xfId="52895" xr:uid="{F058E796-BBCC-4B97-BFA5-96B64AC4948F}"/>
    <cellStyle name="Moeda 2 7 2 8" xfId="47930" xr:uid="{DEF68E60-45A6-4551-96FC-F95DD10FB565}"/>
    <cellStyle name="Moeda 2 7 2 9" xfId="4721" xr:uid="{A436B3E2-4699-4C37-803A-75BB48F4DD09}"/>
    <cellStyle name="Moeda 2 7 3" xfId="1067" xr:uid="{9B301B78-BF7E-475F-B7B5-4C81AFE71808}"/>
    <cellStyle name="Moeda 2 7 3 2" xfId="2731" xr:uid="{4550F43C-196F-4FFA-A234-2883FFF22913}"/>
    <cellStyle name="Moeda 2 7 3 2 2" xfId="54536" xr:uid="{9CBA93C9-922B-4164-8110-CFA824BD965F}"/>
    <cellStyle name="Moeda 2 7 3 2 3" xfId="51242" xr:uid="{2F834148-9B16-4AD4-9CE7-7B7D4DF481AD}"/>
    <cellStyle name="Moeda 2 7 3 3" xfId="49603" xr:uid="{0240204B-34AB-4DD3-A546-B82D68C78BB9}"/>
    <cellStyle name="Moeda 2 7 3 3 2" xfId="56938" xr:uid="{8F46BBCA-6078-47CF-9097-5866089F2C1A}"/>
    <cellStyle name="Moeda 2 7 3 4" xfId="52899" xr:uid="{17A3D60A-5577-4BD6-970D-EAA68D6D27DA}"/>
    <cellStyle name="Moeda 2 7 3 5" xfId="47934" xr:uid="{395C86B8-18A7-45ED-B7D8-EA8A6EE51F43}"/>
    <cellStyle name="Moeda 2 7 4" xfId="1473" xr:uid="{778FBC99-DA8B-4723-9D1A-038E79B1A836}"/>
    <cellStyle name="Moeda 2 7 4 2" xfId="3134" xr:uid="{5D67B387-5806-4303-81E6-82DD29F4C4A5}"/>
    <cellStyle name="Moeda 2 7 4 2 2" xfId="54537" xr:uid="{1ADFFA7B-3D53-44CD-89EB-7A91AB1FD26D}"/>
    <cellStyle name="Moeda 2 7 4 2 3" xfId="51243" xr:uid="{C3572E16-5E6E-42FB-9CD7-FEE8E0E6F4A5}"/>
    <cellStyle name="Moeda 2 7 4 3" xfId="49604" xr:uid="{D0E69AED-A237-45EE-A1EF-841779009C3D}"/>
    <cellStyle name="Moeda 2 7 4 3 2" xfId="57344" xr:uid="{51337EC9-C919-427D-A92D-66DFA49F337D}"/>
    <cellStyle name="Moeda 2 7 4 4" xfId="52900" xr:uid="{C64F6AAB-B14A-49DC-95A5-19201BBA99D9}"/>
    <cellStyle name="Moeda 2 7 4 5" xfId="47935" xr:uid="{542E9680-63F4-47F7-B67A-299908F38057}"/>
    <cellStyle name="Moeda 2 7 5" xfId="660" xr:uid="{A254DA3F-46EB-4D9E-AC88-FC3564B72EE5}"/>
    <cellStyle name="Moeda 2 7 5 2" xfId="2376" xr:uid="{A2BBF8A7-50E7-481C-928D-244184BFB6D1}"/>
    <cellStyle name="Moeda 2 7 5 2 2" xfId="54538" xr:uid="{B9593CC3-DF48-4B2C-A5FF-78C81A00D5F5}"/>
    <cellStyle name="Moeda 2 7 5 2 3" xfId="51244" xr:uid="{3DF74853-17F8-4167-B270-2844CFF13A69}"/>
    <cellStyle name="Moeda 2 7 5 3" xfId="49605" xr:uid="{397C95B1-113F-4EB1-8D01-5C31CE7ACCC4}"/>
    <cellStyle name="Moeda 2 7 5 3 2" xfId="56531" xr:uid="{BB3553CE-2500-4680-AFC7-88181EFDB148}"/>
    <cellStyle name="Moeda 2 7 5 4" xfId="52901" xr:uid="{CB8EF337-4AC8-412A-AE3A-DAD3F6796641}"/>
    <cellStyle name="Moeda 2 7 5 5" xfId="47936" xr:uid="{16031F1A-A0CC-4C53-BB42-0C29733C3621}"/>
    <cellStyle name="Moeda 2 7 6" xfId="3487" xr:uid="{F3AFF9BB-76A8-4C2F-AEDF-62E3CFF6D034}"/>
    <cellStyle name="Moeda 2 7 6 2" xfId="51237" xr:uid="{CFBACFAA-F894-4F9B-A7CB-4623D959A864}"/>
    <cellStyle name="Moeda 2 7 6 3" xfId="54531" xr:uid="{FE8C2586-1F71-4426-A07F-F5895B060D0A}"/>
    <cellStyle name="Moeda 2 7 6 4" xfId="47929" xr:uid="{EE4A94FD-3C10-48E3-AEDD-8A8320E9BD03}"/>
    <cellStyle name="Moeda 2 7 7" xfId="1836" xr:uid="{68D458E5-8CC1-45B2-95AE-BA81A14113BF}"/>
    <cellStyle name="Moeda 2 7 7 2" xfId="56122" xr:uid="{E5DDF5AF-F0F1-4641-BFD0-F812DB252AA8}"/>
    <cellStyle name="Moeda 2 7 7 3" xfId="49598" xr:uid="{A51BD1C1-88F0-4172-9A4E-100D84F0E906}"/>
    <cellStyle name="Moeda 2 7 8" xfId="52894" xr:uid="{91D33EF2-DC89-4B0D-9063-6661D8A65D07}"/>
    <cellStyle name="Moeda 2 7 9" xfId="47309" xr:uid="{80AD7050-25AE-4220-9EEB-8E6F9B018073}"/>
    <cellStyle name="Moeda 2 8" xfId="306" xr:uid="{7B8E0A38-00C8-40D2-A88F-1D38D7222F02}"/>
    <cellStyle name="Moeda 2 8 2" xfId="1122" xr:uid="{35CAA5EF-CED4-441D-A05B-0959FE3C8A8D}"/>
    <cellStyle name="Moeda 2 8 2 2" xfId="2784" xr:uid="{037E9ED1-D8DE-4AC6-966A-13AB2DAFF62A}"/>
    <cellStyle name="Moeda 2 8 2 2 2" xfId="54540" xr:uid="{20971D0E-6180-486D-8130-75E7393C2A99}"/>
    <cellStyle name="Moeda 2 8 2 2 3" xfId="51246" xr:uid="{7891FCFA-CCD4-4F7E-97DB-2CD0B487B34A}"/>
    <cellStyle name="Moeda 2 8 2 3" xfId="49607" xr:uid="{A66B864A-59B9-4F87-AF7F-58D9C65FB2BD}"/>
    <cellStyle name="Moeda 2 8 2 3 2" xfId="56993" xr:uid="{DD226760-F778-43A5-995B-E8E01BDF8B07}"/>
    <cellStyle name="Moeda 2 8 2 4" xfId="52903" xr:uid="{DAFE8E54-6E71-4600-9EE2-5240582042C3}"/>
    <cellStyle name="Moeda 2 8 2 5" xfId="47938" xr:uid="{AE3BFA41-2331-481B-A42B-1DF66DCDD39B}"/>
    <cellStyle name="Moeda 2 8 3" xfId="1528" xr:uid="{CE7E0D27-9E7F-445A-AACC-0144E8CCB212}"/>
    <cellStyle name="Moeda 2 8 3 2" xfId="3189" xr:uid="{76CCEBA1-8086-4816-88B9-C476137D9F28}"/>
    <cellStyle name="Moeda 2 8 3 2 2" xfId="54541" xr:uid="{4D6EBD0D-FAAC-4E11-AC02-41F362D847D7}"/>
    <cellStyle name="Moeda 2 8 3 2 3" xfId="51247" xr:uid="{3825AE1E-502A-4C05-9D04-8E2F26BE947D}"/>
    <cellStyle name="Moeda 2 8 3 3" xfId="49608" xr:uid="{3C28C2CD-76FF-4FF6-B11B-7CFAE19D6A65}"/>
    <cellStyle name="Moeda 2 8 3 3 2" xfId="57399" xr:uid="{2B7356E8-C374-46A3-A15F-76D693B170BD}"/>
    <cellStyle name="Moeda 2 8 3 4" xfId="52904" xr:uid="{0AF01396-7906-4821-888E-C2CD741E36F2}"/>
    <cellStyle name="Moeda 2 8 3 5" xfId="47939" xr:uid="{86029E93-4BF2-4523-8FB8-54FC988B3B95}"/>
    <cellStyle name="Moeda 2 8 4" xfId="715" xr:uid="{D98FAA33-AAAB-442F-B98A-3747AA4F27E0}"/>
    <cellStyle name="Moeda 2 8 4 2" xfId="2431" xr:uid="{704C3D5B-C673-4894-A253-02FB06CA231E}"/>
    <cellStyle name="Moeda 2 8 4 2 2" xfId="54542" xr:uid="{91D27C1C-93F5-468F-B684-00B99CF3B3D6}"/>
    <cellStyle name="Moeda 2 8 4 2 3" xfId="51248" xr:uid="{54219B87-B89C-4DE6-8176-291FFC514EC8}"/>
    <cellStyle name="Moeda 2 8 4 3" xfId="49609" xr:uid="{37C12DE2-5902-46FA-BED2-D1F8DFB70157}"/>
    <cellStyle name="Moeda 2 8 4 3 2" xfId="56586" xr:uid="{9CE95C15-DCFF-42F6-BDEF-B0AF74EFD416}"/>
    <cellStyle name="Moeda 2 8 4 4" xfId="52905" xr:uid="{1A70DC33-BF1E-42CA-8E77-3398F511B2C3}"/>
    <cellStyle name="Moeda 2 8 4 5" xfId="47940" xr:uid="{4FBEC6DC-FD9F-4DE2-BBD0-860C3BF0A2E9}"/>
    <cellStyle name="Moeda 2 8 5" xfId="3706" xr:uid="{4BB4CBC5-2A04-4CB0-9FC4-BE722451B586}"/>
    <cellStyle name="Moeda 2 8 5 2" xfId="51245" xr:uid="{5E25D7F1-6A30-4CDF-968A-B01B18D619D9}"/>
    <cellStyle name="Moeda 2 8 5 3" xfId="54539" xr:uid="{DBE5B437-132D-43D4-B2E4-005040A510A7}"/>
    <cellStyle name="Moeda 2 8 5 4" xfId="47937" xr:uid="{DAEA6C78-2DB9-40C6-BF68-12E1D9BFCD6F}"/>
    <cellStyle name="Moeda 2 8 6" xfId="2107" xr:uid="{715A8D0B-D2F0-4DDD-AD85-51FD5650E295}"/>
    <cellStyle name="Moeda 2 8 6 2" xfId="56177" xr:uid="{0A119595-C2AA-4AB6-BCAA-B1100FFFB3AB}"/>
    <cellStyle name="Moeda 2 8 6 3" xfId="49606" xr:uid="{BEFF2008-BD67-43DC-B54A-311DCBB2E7BA}"/>
    <cellStyle name="Moeda 2 8 7" xfId="52902" xr:uid="{6F655071-59D1-4171-8A39-FB621D6C44F5}"/>
    <cellStyle name="Moeda 2 8 8" xfId="47435" xr:uid="{32D672B9-2AF3-407D-B490-702D425DD126}"/>
    <cellStyle name="Moeda 2 8 9" xfId="4587" xr:uid="{5A1A626E-B5BE-436B-AAE5-1743E9B80E48}"/>
    <cellStyle name="Moeda 2 9" xfId="117" xr:uid="{E592DEAF-5F65-4DDF-90CA-4E3F97B1AA11}"/>
    <cellStyle name="Moeda 2 9 2" xfId="933" xr:uid="{5C36920E-2C95-4906-9B94-E5D4A5BFCBB0}"/>
    <cellStyle name="Moeda 2 9 2 2" xfId="2648" xr:uid="{EA0BB32B-DDDF-4C14-85FE-8A9191620B56}"/>
    <cellStyle name="Moeda 2 9 2 2 2" xfId="54544" xr:uid="{E44B81E4-A848-4C8E-A1A6-94F3C9170439}"/>
    <cellStyle name="Moeda 2 9 2 2 3" xfId="51250" xr:uid="{5FDBE329-CACF-4C55-B5E7-5CE559E069CF}"/>
    <cellStyle name="Moeda 2 9 2 3" xfId="49611" xr:uid="{745CB226-18BB-4FF5-90BD-0140F27E1531}"/>
    <cellStyle name="Moeda 2 9 2 3 2" xfId="56804" xr:uid="{1FC4DDE4-E1CF-4E69-BB02-3D29ABF16649}"/>
    <cellStyle name="Moeda 2 9 2 4" xfId="52907" xr:uid="{214C800B-3E48-421B-8287-D5604C5DDB07}"/>
    <cellStyle name="Moeda 2 9 2 5" xfId="47942" xr:uid="{5649BF06-654B-4014-AE4B-7EFB0FB5EB30}"/>
    <cellStyle name="Moeda 2 9 3" xfId="1339" xr:uid="{AA22D53B-2338-42EB-ADB9-1EF94B858BBE}"/>
    <cellStyle name="Moeda 2 9 3 2" xfId="3000" xr:uid="{03CEA163-ED74-47F2-8C3C-C642AE44B9DC}"/>
    <cellStyle name="Moeda 2 9 3 2 2" xfId="54545" xr:uid="{FE0C7B5A-0057-4B49-9D51-11781B3ABCC1}"/>
    <cellStyle name="Moeda 2 9 3 2 3" xfId="51251" xr:uid="{C4AF1AD4-8840-4BEE-B509-799EEF740FFD}"/>
    <cellStyle name="Moeda 2 9 3 3" xfId="49612" xr:uid="{128B5CB1-B4BD-4EA6-A120-61F904C2D739}"/>
    <cellStyle name="Moeda 2 9 3 3 2" xfId="57210" xr:uid="{DEB1D8A5-163F-43AD-8095-32154F707B15}"/>
    <cellStyle name="Moeda 2 9 3 4" xfId="52908" xr:uid="{0FCD6300-397A-4AC6-8BBD-8D8CF8053408}"/>
    <cellStyle name="Moeda 2 9 3 5" xfId="47943" xr:uid="{0F474FD2-8FD5-4C53-A81D-5DD813AD0161}"/>
    <cellStyle name="Moeda 2 9 4" xfId="526" xr:uid="{1C6848EA-A4C1-4598-8836-682A62912024}"/>
    <cellStyle name="Moeda 2 9 4 2" xfId="2242" xr:uid="{6330C79B-D787-44CF-B903-F3B66B250241}"/>
    <cellStyle name="Moeda 2 9 4 2 2" xfId="54546" xr:uid="{75802A34-9DA6-4D01-8073-C39FB91D1FF2}"/>
    <cellStyle name="Moeda 2 9 4 2 3" xfId="51252" xr:uid="{C83C2A26-DBEB-4F86-8178-F1113767C108}"/>
    <cellStyle name="Moeda 2 9 4 3" xfId="49613" xr:uid="{976D32C3-3907-484B-9850-F9207DDD1501}"/>
    <cellStyle name="Moeda 2 9 4 3 2" xfId="56397" xr:uid="{1EA322E2-98E6-4CBD-8A8D-E7760A16C220}"/>
    <cellStyle name="Moeda 2 9 4 4" xfId="52909" xr:uid="{1C94F160-F75B-47BC-A4FE-BCC6BFA23C40}"/>
    <cellStyle name="Moeda 2 9 4 5" xfId="47944" xr:uid="{3EF1029F-DECF-4731-B71B-5DEF0536FCB2}"/>
    <cellStyle name="Moeda 2 9 5" xfId="2060" xr:uid="{22746DA4-7F40-417E-A3DE-160809020345}"/>
    <cellStyle name="Moeda 2 9 5 2" xfId="51249" xr:uid="{8B5D2557-625D-4991-BC36-370AEB7FDF23}"/>
    <cellStyle name="Moeda 2 9 5 3" xfId="54543" xr:uid="{3FE2FB2E-93D9-45F7-BAA0-191EFB8BB17A}"/>
    <cellStyle name="Moeda 2 9 5 4" xfId="47941" xr:uid="{8754231B-5E26-442E-B40A-5C3E0EF8E905}"/>
    <cellStyle name="Moeda 2 9 6" xfId="49610" xr:uid="{CD27A40B-3331-4A83-B2AD-05D059E91D6A}"/>
    <cellStyle name="Moeda 2 9 6 2" xfId="55988" xr:uid="{6151FB0D-ABE4-48A5-BA17-C5B738564ADC}"/>
    <cellStyle name="Moeda 2 9 7" xfId="52906" xr:uid="{BE39C178-D163-468E-BE40-BC188AB44C26}"/>
    <cellStyle name="Moeda 2 9 8" xfId="47561" xr:uid="{7FACD12F-8572-451D-9E6D-291047A67654}"/>
    <cellStyle name="Moeda 2 9 9" xfId="4398" xr:uid="{03CA4C1F-0E17-4A93-849B-799B9FEBA5B0}"/>
    <cellStyle name="Moeda 20" xfId="15" xr:uid="{951697C3-862C-4975-934B-94F9C5E75428}"/>
    <cellStyle name="Moeda 21" xfId="4360" xr:uid="{1E3CD022-3DC2-47BD-AA25-6E6EDF571004}"/>
    <cellStyle name="Moeda 22" xfId="57592" xr:uid="{02276232-0B18-4011-A3C7-5D928F0C620C}"/>
    <cellStyle name="Moeda 23" xfId="57611" xr:uid="{6EAE33F8-4189-43B8-9A81-53DCA2F41B43}"/>
    <cellStyle name="Moeda 3" xfId="6" xr:uid="{FD645EA4-46C8-4AA5-AF57-B4F57D350231}"/>
    <cellStyle name="Moeda 3 10" xfId="114" xr:uid="{8886C457-DD08-4CCE-98FC-9FB625BC29A1}"/>
    <cellStyle name="Moeda 3 11" xfId="4364" xr:uid="{833D1CB6-D2F7-43E7-80F2-4AEE5065BB2D}"/>
    <cellStyle name="Moeda 3 12" xfId="57596" xr:uid="{6A6C0C59-056C-4B69-B0E3-4DCCFC39A2BD}"/>
    <cellStyle name="Moeda 3 2" xfId="3821" xr:uid="{C8886CE2-A821-4E9C-8264-61FFB1176565}"/>
    <cellStyle name="Moeda 3 2 2" xfId="3831" xr:uid="{7364ADAE-4E64-4F48-84B5-DE5CFFC7AD03}"/>
    <cellStyle name="Moeda 3 2 2 2" xfId="3943" xr:uid="{7D4FAD70-6F7B-4ED8-A8C5-E330CEF71B40}"/>
    <cellStyle name="Moeda 3 2 2 2 2" xfId="4115" xr:uid="{99A8CDA6-F9EF-4BC8-8AD7-A5DD6204FA0C}"/>
    <cellStyle name="Moeda 3 2 2 2 3" xfId="4287" xr:uid="{399BE3C8-EE7E-4C2B-9DB4-261FF27B1251}"/>
    <cellStyle name="Moeda 3 2 2 3" xfId="4002" xr:uid="{7DE1C79A-51E8-4A05-8074-82572A4B17D2}"/>
    <cellStyle name="Moeda 3 2 2 4" xfId="4174" xr:uid="{C6017C32-E022-4AEF-ABEC-C2AC10CD7615}"/>
    <cellStyle name="Moeda 3 2 3" xfId="3847" xr:uid="{38B655AA-F967-4C9F-9B7C-13614E7AF322}"/>
    <cellStyle name="Moeda 3 2 3 2" xfId="3959" xr:uid="{AFEEF9C1-2160-4919-AB90-6922D1DDDCC1}"/>
    <cellStyle name="Moeda 3 2 3 2 2" xfId="4131" xr:uid="{808F0858-DCEF-40FF-A986-17A58A11097B}"/>
    <cellStyle name="Moeda 3 2 3 2 3" xfId="4303" xr:uid="{6AA8CD20-1C36-4FD0-AD48-1791132F674F}"/>
    <cellStyle name="Moeda 3 2 3 3" xfId="4018" xr:uid="{CCC558E0-F12B-4DC9-98D5-2233717563E9}"/>
    <cellStyle name="Moeda 3 2 3 4" xfId="4190" xr:uid="{5CA057D6-3CFF-4BC9-88FE-6AEB77909149}"/>
    <cellStyle name="Moeda 3 2 4" xfId="3887" xr:uid="{4B7E89EB-5056-45EA-B329-A5CE38E20232}"/>
    <cellStyle name="Moeda 3 2 4 2" xfId="4058" xr:uid="{14AD90CB-C627-4FA7-A55F-AA5AB48F6BC8}"/>
    <cellStyle name="Moeda 3 2 4 3" xfId="4230" xr:uid="{5671BFE3-3B11-4541-8279-26DB7EEC2322}"/>
    <cellStyle name="Moeda 3 2 5" xfId="3933" xr:uid="{F929CAD8-72C2-4ECF-8CDD-61425E27F5F1}"/>
    <cellStyle name="Moeda 3 2 5 2" xfId="4105" xr:uid="{D7B6A43E-08C7-48F2-8EAD-F8492A8F9511}"/>
    <cellStyle name="Moeda 3 2 5 3" xfId="4277" xr:uid="{E80B0943-A933-46B6-B5D9-2C102AA79D66}"/>
    <cellStyle name="Moeda 3 2 6" xfId="3992" xr:uid="{CEFA6E41-1D67-4CFE-A311-F973D27F74A8}"/>
    <cellStyle name="Moeda 3 2 7" xfId="4164" xr:uid="{644CC949-CD9B-4B38-A940-547664A9D3FD}"/>
    <cellStyle name="Moeda 3 2 8" xfId="57604" xr:uid="{14F438D7-989A-4723-AFAA-05B1873F0BF2}"/>
    <cellStyle name="Moeda 3 3" xfId="3826" xr:uid="{DE03C2EE-5FAB-45F1-9632-BDB3D72DBED7}"/>
    <cellStyle name="Moeda 3 3 2" xfId="3861" xr:uid="{12801CC3-D3E6-497B-9FE4-ECC2A02BE6ED}"/>
    <cellStyle name="Moeda 3 3 2 2" xfId="3973" xr:uid="{7A687C06-EE8F-42C3-80B2-1213816383AC}"/>
    <cellStyle name="Moeda 3 3 2 2 2" xfId="4145" xr:uid="{AB8CFBD8-3B64-4E25-93CC-1C2CDB274DEB}"/>
    <cellStyle name="Moeda 3 3 2 2 3" xfId="4317" xr:uid="{7174398F-724E-4A00-B04F-2147D9DEBBFD}"/>
    <cellStyle name="Moeda 3 3 2 3" xfId="4032" xr:uid="{04AAE94A-BF73-479C-842C-D69FCC130D17}"/>
    <cellStyle name="Moeda 3 3 2 4" xfId="4204" xr:uid="{3DFAC4D4-AF29-4292-A299-2F92F425820C}"/>
    <cellStyle name="Moeda 3 3 3" xfId="3901" xr:uid="{EFD19068-F259-4BFF-9C2D-FBCB43DE5BC1}"/>
    <cellStyle name="Moeda 3 3 3 2" xfId="4072" xr:uid="{DF8AE638-E3F4-4B20-91CB-39C8852A08B9}"/>
    <cellStyle name="Moeda 3 3 3 3" xfId="4244" xr:uid="{7339C103-A9EB-4980-A846-BE6EB24B42C6}"/>
    <cellStyle name="Moeda 3 3 4" xfId="3938" xr:uid="{5955D43A-3A1D-4A69-B3D0-D5DFD7F6D308}"/>
    <cellStyle name="Moeda 3 3 4 2" xfId="4110" xr:uid="{7A68BC4E-4DD8-4E51-BE87-103EBBE060D5}"/>
    <cellStyle name="Moeda 3 3 4 3" xfId="4282" xr:uid="{636BB9BF-0EE1-4DF1-8656-548D53467DF9}"/>
    <cellStyle name="Moeda 3 3 5" xfId="3997" xr:uid="{F1DE7F2D-62A3-4660-ABE6-7DF2FD3BDC28}"/>
    <cellStyle name="Moeda 3 3 6" xfId="4169" xr:uid="{B0E28AA4-4EBB-4A40-B3A4-902B5F6A7310}"/>
    <cellStyle name="Moeda 3 4" xfId="3835" xr:uid="{0ED68092-6C75-40A0-AFEB-6E47DB9B4BC6}"/>
    <cellStyle name="Moeda 3 4 2" xfId="3947" xr:uid="{7F10E4E4-C446-4A64-97B7-B4853C70D261}"/>
    <cellStyle name="Moeda 3 4 2 2" xfId="4119" xr:uid="{54A1E6DD-BF4F-4701-8C6F-C7F31827B1F1}"/>
    <cellStyle name="Moeda 3 4 2 3" xfId="4291" xr:uid="{415E2238-464B-45A1-8D27-04A5D9C920A7}"/>
    <cellStyle name="Moeda 3 4 3" xfId="4006" xr:uid="{E288FCB6-A313-4552-BDD8-CFCBFD805237}"/>
    <cellStyle name="Moeda 3 4 4" xfId="4178" xr:uid="{968FACF5-253D-46DB-B0AF-F50FC77B1FF6}"/>
    <cellStyle name="Moeda 3 5" xfId="3875" xr:uid="{4B7889D3-5A9E-436B-A132-20044E77E7EF}"/>
    <cellStyle name="Moeda 3 5 2" xfId="4046" xr:uid="{67AB96B0-D5E6-435B-A602-A1C1BA3C791D}"/>
    <cellStyle name="Moeda 3 5 3" xfId="4218" xr:uid="{C6B6A829-31E7-44B2-B197-C2C73C903761}"/>
    <cellStyle name="Moeda 3 6" xfId="3929" xr:uid="{E4A983CD-4F93-4F06-85B7-30B3AF560C64}"/>
    <cellStyle name="Moeda 3 6 2" xfId="4101" xr:uid="{F485D79D-AE4D-4696-A592-ED3DB2985358}"/>
    <cellStyle name="Moeda 3 6 3" xfId="4273" xr:uid="{6716EC52-A281-426E-BA09-5CDAC1AEB762}"/>
    <cellStyle name="Moeda 3 7" xfId="3987" xr:uid="{0182D2C2-F37B-4AA6-999D-74DB1A6EFAEE}"/>
    <cellStyle name="Moeda 3 8" xfId="4159" xr:uid="{2A2D16F5-9623-481F-9CC3-F63F59523B3C}"/>
    <cellStyle name="Moeda 3 9" xfId="3814" xr:uid="{F91F2CA6-5D22-4A04-8619-0214602A86E4}"/>
    <cellStyle name="Moeda 4" xfId="10" xr:uid="{0770210D-6A45-4E84-870D-0C2DF7B5891D}"/>
    <cellStyle name="Moeda 4 10" xfId="1338" xr:uid="{DF8D5AE7-85F8-43F8-B514-C842D288F764}"/>
    <cellStyle name="Moeda 4 10 2" xfId="2999" xr:uid="{2245B2EB-20AF-409B-AEA3-6C0A78F0505C}"/>
    <cellStyle name="Moeda 4 10 2 2" xfId="54548" xr:uid="{0A3F5FDC-C103-41B6-A1A6-735C7C5293BE}"/>
    <cellStyle name="Moeda 4 10 2 3" xfId="51254" xr:uid="{8567740D-1185-4F5D-8A17-69CE794B8697}"/>
    <cellStyle name="Moeda 4 10 3" xfId="49615" xr:uid="{D058FCDD-ED47-439F-869F-85E5CFCFC514}"/>
    <cellStyle name="Moeda 4 10 3 2" xfId="57209" xr:uid="{DDB64203-8CBC-4E9B-8CC3-C0162E6A69DF}"/>
    <cellStyle name="Moeda 4 10 4" xfId="52911" xr:uid="{B5195665-8AB3-43AD-B9CC-EF731E2B2461}"/>
    <cellStyle name="Moeda 4 10 5" xfId="47946" xr:uid="{2185D21E-F466-4235-B445-51727FCDB243}"/>
    <cellStyle name="Moeda 4 11" xfId="525" xr:uid="{5C83ABF3-74A6-4321-BA24-4CAED80F1CA4}"/>
    <cellStyle name="Moeda 4 11 2" xfId="2241" xr:uid="{22AFDB0E-F700-4914-8563-D3CEFB5DC8E5}"/>
    <cellStyle name="Moeda 4 11 2 2" xfId="54549" xr:uid="{9763C89C-68E7-431E-B44E-09B91F385E6A}"/>
    <cellStyle name="Moeda 4 11 2 3" xfId="51255" xr:uid="{ACE010CA-912E-4C9B-AE53-CAA9BE8DB8BE}"/>
    <cellStyle name="Moeda 4 11 3" xfId="49616" xr:uid="{473652A7-6138-40FE-B562-E71A762EAABE}"/>
    <cellStyle name="Moeda 4 11 3 2" xfId="56396" xr:uid="{155D3A83-1633-41AF-B150-DB52B5229CCF}"/>
    <cellStyle name="Moeda 4 11 4" xfId="52912" xr:uid="{B80F3152-59A1-44F2-BA98-270BF4E2A57B}"/>
    <cellStyle name="Moeda 4 11 5" xfId="47947" xr:uid="{E1A712C1-54C5-4BF1-9042-16468F6F6E50}"/>
    <cellStyle name="Moeda 4 12" xfId="3377" xr:uid="{8AB121A1-97BC-4764-8202-80A2DFD3CC95}"/>
    <cellStyle name="Moeda 4 12 2" xfId="51253" xr:uid="{36DC95B0-EEAC-44EE-9906-726B4D6A5B19}"/>
    <cellStyle name="Moeda 4 12 3" xfId="54547" xr:uid="{4D87F752-54AA-423E-AC12-85B008135113}"/>
    <cellStyle name="Moeda 4 12 4" xfId="47945" xr:uid="{D4F0CBA1-0879-4D9D-A9CD-3649B2B7BDAA}"/>
    <cellStyle name="Moeda 4 13" xfId="3838" xr:uid="{89524864-9682-48F6-8CAA-65ED022D500B}"/>
    <cellStyle name="Moeda 4 13 2" xfId="55987" xr:uid="{77CB8FFE-8549-421A-B702-5FA831CA5745}"/>
    <cellStyle name="Moeda 4 13 3" xfId="49614" xr:uid="{B21D28A9-F339-49A2-8119-FCB32C3A8C24}"/>
    <cellStyle name="Moeda 4 14" xfId="1725" xr:uid="{850F0A25-41EA-4F51-81CC-A91E0B6CB869}"/>
    <cellStyle name="Moeda 4 14 2" xfId="52910" xr:uid="{BF7C744E-85E6-456E-9C0D-1049632C3045}"/>
    <cellStyle name="Moeda 4 15" xfId="116" xr:uid="{347D9553-AC96-455A-95E3-8FCB21AE1B7F}"/>
    <cellStyle name="Moeda 4 15 2" xfId="12529" xr:uid="{FF319496-9800-4271-9977-2DAA7F9A1F17}"/>
    <cellStyle name="Moeda 4 16" xfId="4397" xr:uid="{EC953641-D91A-454C-A72C-7B6C41126A0B}"/>
    <cellStyle name="Moeda 4 17" xfId="57600" xr:uid="{1C04F5D2-4157-4FA2-AA95-993C9BAA7CA9}"/>
    <cellStyle name="Moeda 4 2" xfId="122" xr:uid="{B9BEEF46-12D1-43A5-9B07-0988AA63DDBE}"/>
    <cellStyle name="Moeda 4 2 10" xfId="531" xr:uid="{5AE1AA19-936E-4E68-85C6-F221CB6ADADA}"/>
    <cellStyle name="Moeda 4 2 10 2" xfId="2247" xr:uid="{7DDE5773-2ECB-4B79-BAA9-CEEDC1705407}"/>
    <cellStyle name="Moeda 4 2 10 2 2" xfId="54551" xr:uid="{4766161F-0D19-46BF-89D0-34D81967CF81}"/>
    <cellStyle name="Moeda 4 2 10 2 3" xfId="51257" xr:uid="{5AD1E19B-D5E8-443D-B157-93F21898914D}"/>
    <cellStyle name="Moeda 4 2 10 3" xfId="49618" xr:uid="{1CD2010D-4C0D-4568-88A1-F7D78CE0F7E0}"/>
    <cellStyle name="Moeda 4 2 10 3 2" xfId="56402" xr:uid="{2A49A16B-66EE-4DD5-BBD4-41D3ABC9BFD9}"/>
    <cellStyle name="Moeda 4 2 10 4" xfId="52914" xr:uid="{CDB5718E-9162-4B96-9B8F-6EAECA0EE61B}"/>
    <cellStyle name="Moeda 4 2 10 5" xfId="47949" xr:uid="{FB891038-0B50-42BD-AF85-834E35269E8B}"/>
    <cellStyle name="Moeda 4 2 11" xfId="3383" xr:uid="{FCD8A88C-A377-4316-9617-A0804F9BAF1E}"/>
    <cellStyle name="Moeda 4 2 11 2" xfId="51256" xr:uid="{89A1343B-32F7-4E74-83B5-16000A199FD4}"/>
    <cellStyle name="Moeda 4 2 11 3" xfId="54550" xr:uid="{6D91607E-937C-402D-9B1D-F02AE523FAA1}"/>
    <cellStyle name="Moeda 4 2 11 4" xfId="47948" xr:uid="{FC05065B-C8A7-4CD1-A5D1-1163D0BC96D8}"/>
    <cellStyle name="Moeda 4 2 12" xfId="3850" xr:uid="{50AD23FC-2E50-4C95-9363-0C2D8B8D9C6C}"/>
    <cellStyle name="Moeda 4 2 12 2" xfId="55993" xr:uid="{5043808F-F8D7-46E0-86B9-BB41EADAB9B9}"/>
    <cellStyle name="Moeda 4 2 12 3" xfId="49617" xr:uid="{B1473850-1A4C-430B-AC52-AC4FBD0BE627}"/>
    <cellStyle name="Moeda 4 2 13" xfId="1731" xr:uid="{2230E1D7-B1B9-471D-B69D-9D3A3ABB6713}"/>
    <cellStyle name="Moeda 4 2 13 2" xfId="52913" xr:uid="{22E095EA-990E-48BF-A307-222D25B3635A}"/>
    <cellStyle name="Moeda 4 2 14" xfId="12535" xr:uid="{31F4EC0E-D9B0-484C-89B2-C55BB71D09E4}"/>
    <cellStyle name="Moeda 4 2 15" xfId="4403" xr:uid="{679D82E4-4930-4EC4-82D8-C01490CD786A}"/>
    <cellStyle name="Moeda 4 2 2" xfId="136" xr:uid="{9B9A1C96-2B63-4F95-8E1B-4241E6D1708B}"/>
    <cellStyle name="Moeda 4 2 2 10" xfId="3395" xr:uid="{3D1C6B5C-C67B-4FC2-BC88-B6E1E1E26B95}"/>
    <cellStyle name="Moeda 4 2 2 10 2" xfId="51258" xr:uid="{C2BF7A63-CEC3-4E03-A03A-BE41ADABB87F}"/>
    <cellStyle name="Moeda 4 2 2 10 3" xfId="54552" xr:uid="{89F2E5C0-D6AE-40A1-B506-333298BDEECA}"/>
    <cellStyle name="Moeda 4 2 2 10 4" xfId="47950" xr:uid="{1E7C6E5C-A8E7-4B41-A476-5FF9904F931C}"/>
    <cellStyle name="Moeda 4 2 2 11" xfId="3890" xr:uid="{C11442DB-8361-4D18-AD6D-A5BE4BB75578}"/>
    <cellStyle name="Moeda 4 2 2 11 2" xfId="56007" xr:uid="{0AF2A6D9-12B9-4E65-A6FB-9DC2D3E8B763}"/>
    <cellStyle name="Moeda 4 2 2 11 3" xfId="49619" xr:uid="{BAFFB0FD-5DE1-4839-B374-E5F99F03D233}"/>
    <cellStyle name="Moeda 4 2 2 12" xfId="1743" xr:uid="{7CF2E4CF-BB62-44AF-AAFF-E4CBF8812B01}"/>
    <cellStyle name="Moeda 4 2 2 12 2" xfId="52915" xr:uid="{23AD1C6E-EAF2-4CA1-99D6-1273884F3130}"/>
    <cellStyle name="Moeda 4 2 2 13" xfId="12548" xr:uid="{AC6AC44C-DCBD-4841-9C91-0DF35B6977D0}"/>
    <cellStyle name="Moeda 4 2 2 14" xfId="4417" xr:uid="{66D31923-74C7-41FB-B3C4-F014207DD4BB}"/>
    <cellStyle name="Moeda 4 2 2 2" xfId="165" xr:uid="{81E61BE3-CC8B-43E1-9050-56012EDAE679}"/>
    <cellStyle name="Moeda 4 2 2 2 10" xfId="1769" xr:uid="{D4F5D819-3E68-488B-8501-587967CFFAD8}"/>
    <cellStyle name="Moeda 4 2 2 2 10 2" xfId="52916" xr:uid="{3F607B79-85CC-41AD-AF1C-0C6FEEFE4076}"/>
    <cellStyle name="Moeda 4 2 2 2 11" xfId="12574" xr:uid="{E528ADE1-82AB-4631-A242-754A428150EB}"/>
    <cellStyle name="Moeda 4 2 2 2 12" xfId="4446" xr:uid="{B0EA7D6C-A66D-4A7F-9F4F-83D08DA84F9B}"/>
    <cellStyle name="Moeda 4 2 2 2 2" xfId="243" xr:uid="{B81DAB86-A1EA-4527-9E5A-EB2FB464D61F}"/>
    <cellStyle name="Moeda 4 2 2 2 2 10" xfId="4524" xr:uid="{608545D5-995E-476F-87BF-4629C8C906B2}"/>
    <cellStyle name="Moeda 4 2 2 2 2 2" xfId="432" xr:uid="{AF823247-75B6-4114-B66E-CC9AD2905D36}"/>
    <cellStyle name="Moeda 4 2 2 2 2 2 2" xfId="1248" xr:uid="{19AF6987-DC75-46CA-8855-A8434C5AA05B}"/>
    <cellStyle name="Moeda 4 2 2 2 2 2 2 2" xfId="2909" xr:uid="{5733103A-1015-4409-8FE5-504039ECA08B}"/>
    <cellStyle name="Moeda 4 2 2 2 2 2 2 2 2" xfId="54556" xr:uid="{9EF533D5-A860-44F9-BFAB-03983F103A2B}"/>
    <cellStyle name="Moeda 4 2 2 2 2 2 2 2 3" xfId="51262" xr:uid="{2A3428E1-BFD4-414D-AF0E-B2D39D3AD371}"/>
    <cellStyle name="Moeda 4 2 2 2 2 2 2 3" xfId="49623" xr:uid="{4363AB86-F3D7-4215-9A07-3E3AB832CB15}"/>
    <cellStyle name="Moeda 4 2 2 2 2 2 2 3 2" xfId="57119" xr:uid="{0ABDFE84-7C8D-4F19-A8A9-0FF1BFFFADC6}"/>
    <cellStyle name="Moeda 4 2 2 2 2 2 2 4" xfId="52919" xr:uid="{E94A81E4-7F5A-4266-87D1-DA0E0C72AE38}"/>
    <cellStyle name="Moeda 4 2 2 2 2 2 2 5" xfId="47954" xr:uid="{993BC562-DA66-495D-B8E5-2F52D50800A5}"/>
    <cellStyle name="Moeda 4 2 2 2 2 2 3" xfId="1654" xr:uid="{3D09CE60-CCA7-4660-AA82-4480548BF176}"/>
    <cellStyle name="Moeda 4 2 2 2 2 2 3 2" xfId="3314" xr:uid="{9EE4D410-52DC-4992-835A-896A2C6D1FBB}"/>
    <cellStyle name="Moeda 4 2 2 2 2 2 3 2 2" xfId="54557" xr:uid="{34EA0A55-22E9-4074-ADF6-11BC9EDFE0C0}"/>
    <cellStyle name="Moeda 4 2 2 2 2 2 3 2 3" xfId="51263" xr:uid="{2C9C233E-6019-4C60-A180-004123DEA235}"/>
    <cellStyle name="Moeda 4 2 2 2 2 2 3 3" xfId="49624" xr:uid="{A50C251C-53B6-4424-BDFE-640A608B9225}"/>
    <cellStyle name="Moeda 4 2 2 2 2 2 3 3 2" xfId="57525" xr:uid="{745FD2F9-D1DE-4EB2-BD14-C9CF46216B73}"/>
    <cellStyle name="Moeda 4 2 2 2 2 2 3 4" xfId="52920" xr:uid="{E5AE6ADA-69EF-49D2-B93C-04C98BB09AA1}"/>
    <cellStyle name="Moeda 4 2 2 2 2 2 3 5" xfId="47955" xr:uid="{88642749-572C-4D4B-B299-2C0779CF0C49}"/>
    <cellStyle name="Moeda 4 2 2 2 2 2 4" xfId="841" xr:uid="{6279FE8F-0C90-49FD-ADFF-C9BFE33EC77C}"/>
    <cellStyle name="Moeda 4 2 2 2 2 2 4 2" xfId="2557" xr:uid="{AD65B3FC-191E-4B1D-A6F6-C31EC571F400}"/>
    <cellStyle name="Moeda 4 2 2 2 2 2 4 2 2" xfId="54558" xr:uid="{B6C1A9B1-E5B1-4CDA-BAF0-A6209A3BC84C}"/>
    <cellStyle name="Moeda 4 2 2 2 2 2 4 2 3" xfId="51264" xr:uid="{AA59A3E5-9295-4215-81FC-1DD077806AB0}"/>
    <cellStyle name="Moeda 4 2 2 2 2 2 4 3" xfId="49625" xr:uid="{64ABA770-9EDE-443C-9D92-C6A1DFFAD897}"/>
    <cellStyle name="Moeda 4 2 2 2 2 2 4 3 2" xfId="56712" xr:uid="{F0F35AE2-CA2A-4CE4-8F42-9CC99ECBA9A1}"/>
    <cellStyle name="Moeda 4 2 2 2 2 2 4 4" xfId="52921" xr:uid="{E31D297D-B0A3-48E3-A705-528F4071D8BA}"/>
    <cellStyle name="Moeda 4 2 2 2 2 2 4 5" xfId="47956" xr:uid="{CA4474E5-37AD-45F7-85DF-977C4B88E9E5}"/>
    <cellStyle name="Moeda 4 2 2 2 2 2 5" xfId="3695" xr:uid="{7D56F61B-1813-4DFF-9767-70B5A42B3B6B}"/>
    <cellStyle name="Moeda 4 2 2 2 2 2 5 2" xfId="51261" xr:uid="{5952ECAA-8825-4614-9739-7C3A04085270}"/>
    <cellStyle name="Moeda 4 2 2 2 2 2 5 3" xfId="54555" xr:uid="{8C51A589-B983-4E65-8827-5EBCFB0F7604}"/>
    <cellStyle name="Moeda 4 2 2 2 2 2 5 4" xfId="47953" xr:uid="{A74DA2B3-8550-4D4C-943E-1413E44B2CF2}"/>
    <cellStyle name="Moeda 4 2 2 2 2 2 6" xfId="2044" xr:uid="{BE50DD49-691B-4C3D-BED0-F8F6586B9A42}"/>
    <cellStyle name="Moeda 4 2 2 2 2 2 6 2" xfId="56303" xr:uid="{AFE51EC9-1DA1-47D3-AA1F-FB8FFA784128}"/>
    <cellStyle name="Moeda 4 2 2 2 2 2 6 3" xfId="49622" xr:uid="{ABBE0758-5687-4687-BEF0-828934CF8FB3}"/>
    <cellStyle name="Moeda 4 2 2 2 2 2 7" xfId="52918" xr:uid="{902FC192-F521-4D5A-80C7-FBA1963D5BDE}"/>
    <cellStyle name="Moeda 4 2 2 2 2 2 8" xfId="47409" xr:uid="{5FEF07C9-C7F9-444E-9F5C-5E51F77EAA0A}"/>
    <cellStyle name="Moeda 4 2 2 2 2 2 9" xfId="4713" xr:uid="{D699CB3F-C393-4F80-91CE-5D7D75C75F12}"/>
    <cellStyle name="Moeda 4 2 2 2 2 3" xfId="1059" xr:uid="{2825FB0A-182A-4568-8639-A4F8AA7CC9F9}"/>
    <cellStyle name="Moeda 4 2 2 2 2 3 2" xfId="3586" xr:uid="{81BED2C1-6091-4655-8610-5F6DCD6E936A}"/>
    <cellStyle name="Moeda 4 2 2 2 2 3 2 2" xfId="51265" xr:uid="{71BD915D-89DD-495D-9CCE-5E40EBDA7FA0}"/>
    <cellStyle name="Moeda 4 2 2 2 2 3 2 3" xfId="54559" xr:uid="{2F17E67B-98A5-4FE6-BBAC-2D462C520D4D}"/>
    <cellStyle name="Moeda 4 2 2 2 2 3 2 4" xfId="47957" xr:uid="{69D20F29-3585-45F2-A319-AE318732167E}"/>
    <cellStyle name="Moeda 4 2 2 2 2 3 3" xfId="1935" xr:uid="{93B3971B-BD80-4586-9901-23576A26AC49}"/>
    <cellStyle name="Moeda 4 2 2 2 2 3 3 2" xfId="56930" xr:uid="{D59D3FC1-6651-4407-BD7F-63D97B386623}"/>
    <cellStyle name="Moeda 4 2 2 2 2 3 3 3" xfId="49626" xr:uid="{35296048-2258-492C-8310-DD5C26D20612}"/>
    <cellStyle name="Moeda 4 2 2 2 2 3 4" xfId="52922" xr:uid="{6DA465ED-F374-4CA4-895A-E9B30B1BFA5F}"/>
    <cellStyle name="Moeda 4 2 2 2 2 3 5" xfId="47535" xr:uid="{03B803D5-E497-4A66-9E7A-6F8AFDD32F23}"/>
    <cellStyle name="Moeda 4 2 2 2 2 4" xfId="1465" xr:uid="{A5A8EE29-32ED-4A4D-B2BA-44214353C7D7}"/>
    <cellStyle name="Moeda 4 2 2 2 2 4 2" xfId="3804" xr:uid="{12A78664-91C5-41B0-AEC8-1B1B5968C159}"/>
    <cellStyle name="Moeda 4 2 2 2 2 4 2 2" xfId="51266" xr:uid="{8E043002-DB4B-422B-A409-6BA512C122D3}"/>
    <cellStyle name="Moeda 4 2 2 2 2 4 2 3" xfId="54560" xr:uid="{F6F2F4EF-44E8-4235-91DE-AABE48DA9D4B}"/>
    <cellStyle name="Moeda 4 2 2 2 2 4 2 4" xfId="47958" xr:uid="{0388AFCD-8434-456A-A1D1-64A7D537C2A6}"/>
    <cellStyle name="Moeda 4 2 2 2 2 4 3" xfId="3126" xr:uid="{53CC1493-6F63-491A-A283-ACA5DE928C6D}"/>
    <cellStyle name="Moeda 4 2 2 2 2 4 3 2" xfId="57336" xr:uid="{4162BA98-CCE1-4975-90CA-CA38F62E5DC5}"/>
    <cellStyle name="Moeda 4 2 2 2 2 4 3 3" xfId="49627" xr:uid="{0659911B-9D6D-40C1-BD17-13D1EEE29469}"/>
    <cellStyle name="Moeda 4 2 2 2 2 4 4" xfId="52923" xr:uid="{EB0B8513-ED9F-495E-9285-114E444A3338}"/>
    <cellStyle name="Moeda 4 2 2 2 2 4 5" xfId="47661" xr:uid="{850CEC61-3DBE-4812-95FF-D28B0EE66B8F}"/>
    <cellStyle name="Moeda 4 2 2 2 2 5" xfId="652" xr:uid="{A2C3A820-15AE-420D-B13C-087FD1328C66}"/>
    <cellStyle name="Moeda 4 2 2 2 2 5 2" xfId="2368" xr:uid="{F4F87CB4-D3B6-468E-B2A5-CF04FD1A0563}"/>
    <cellStyle name="Moeda 4 2 2 2 2 5 2 2" xfId="54561" xr:uid="{3B79BE77-AAAC-437F-B0FF-D742EF825D4B}"/>
    <cellStyle name="Moeda 4 2 2 2 2 5 2 3" xfId="51267" xr:uid="{5E22366F-3E30-4131-A259-9190376A350D}"/>
    <cellStyle name="Moeda 4 2 2 2 2 5 3" xfId="49628" xr:uid="{A5E671C0-6935-48DF-8A78-7A42A546A421}"/>
    <cellStyle name="Moeda 4 2 2 2 2 5 3 2" xfId="56523" xr:uid="{916C0843-F77D-45F6-ADD1-74576D32B5EE}"/>
    <cellStyle name="Moeda 4 2 2 2 2 5 4" xfId="52924" xr:uid="{88711DC2-00F1-4F9B-87A3-0E07D74EB5BE}"/>
    <cellStyle name="Moeda 4 2 2 2 2 5 5" xfId="47959" xr:uid="{0330D747-6D92-4EBA-A479-FE8DF93C2C96}"/>
    <cellStyle name="Moeda 4 2 2 2 2 6" xfId="3476" xr:uid="{C4225495-86E0-4815-8C48-3DC4F8A8C8D9}"/>
    <cellStyle name="Moeda 4 2 2 2 2 6 2" xfId="51260" xr:uid="{7D405E06-679F-4F31-9A27-2CC1104AF7C1}"/>
    <cellStyle name="Moeda 4 2 2 2 2 6 3" xfId="54554" xr:uid="{543F9936-4F70-4923-BFFF-7A6A0DD8BD0B}"/>
    <cellStyle name="Moeda 4 2 2 2 2 6 4" xfId="47952" xr:uid="{5A20CAD6-12DC-405E-BB48-35C1BFF525BE}"/>
    <cellStyle name="Moeda 4 2 2 2 2 7" xfId="1825" xr:uid="{A2FE9961-D86B-4E9A-889B-C52C6CC4744B}"/>
    <cellStyle name="Moeda 4 2 2 2 2 7 2" xfId="56114" xr:uid="{95EC3918-7230-4222-AD1E-90FA380299F0}"/>
    <cellStyle name="Moeda 4 2 2 2 2 7 3" xfId="49621" xr:uid="{B200DBCA-B87F-42F7-9118-3D61A6AD13CB}"/>
    <cellStyle name="Moeda 4 2 2 2 2 8" xfId="52917" xr:uid="{E4EA294F-F3A5-42E0-8279-AFD970211334}"/>
    <cellStyle name="Moeda 4 2 2 2 2 9" xfId="32915" xr:uid="{01845049-E8E6-4489-ACBF-F416E6453399}"/>
    <cellStyle name="Moeda 4 2 2 2 3" xfId="295" xr:uid="{84F744B2-FF96-4AB5-B835-FD4057B815AD}"/>
    <cellStyle name="Moeda 4 2 2 2 3 10" xfId="4576" xr:uid="{A37FCC1A-30B0-4EE7-B39B-3B230F0E83C3}"/>
    <cellStyle name="Moeda 4 2 2 2 3 2" xfId="484" xr:uid="{94553F75-9D1A-4CDA-B3C5-21C40C725C4F}"/>
    <cellStyle name="Moeda 4 2 2 2 3 2 2" xfId="1300" xr:uid="{85040752-0A3E-43FF-A4D0-952BC60D4BDA}"/>
    <cellStyle name="Moeda 4 2 2 2 3 2 2 2" xfId="2961" xr:uid="{EF20D8E2-DA2F-4DAA-BF7C-BF1FE8559977}"/>
    <cellStyle name="Moeda 4 2 2 2 3 2 2 2 2" xfId="54564" xr:uid="{E35CA190-C704-4254-98F3-04369C31B07D}"/>
    <cellStyle name="Moeda 4 2 2 2 3 2 2 2 3" xfId="51270" xr:uid="{47A568F7-4784-42D8-BA3E-7B6A554CA374}"/>
    <cellStyle name="Moeda 4 2 2 2 3 2 2 3" xfId="49631" xr:uid="{5F0DDD05-F084-475D-B8CB-F34B8E26114B}"/>
    <cellStyle name="Moeda 4 2 2 2 3 2 2 3 2" xfId="57171" xr:uid="{AB9F5F59-B47D-46CD-9797-7DFF70080177}"/>
    <cellStyle name="Moeda 4 2 2 2 3 2 2 4" xfId="52927" xr:uid="{E114ED9A-6DD7-45D9-A7C2-F569CA21D33B}"/>
    <cellStyle name="Moeda 4 2 2 2 3 2 2 5" xfId="47962" xr:uid="{16FAEA6B-D988-4060-BCC3-DFCDAF464BD0}"/>
    <cellStyle name="Moeda 4 2 2 2 3 2 3" xfId="1706" xr:uid="{2B88B645-376E-4087-94E6-EC42A3C54CBC}"/>
    <cellStyle name="Moeda 4 2 2 2 3 2 3 2" xfId="3366" xr:uid="{012DC491-F3E2-45DC-89A4-550C39D53EDA}"/>
    <cellStyle name="Moeda 4 2 2 2 3 2 3 2 2" xfId="54565" xr:uid="{35BC11FD-B377-4C66-896E-3532B711CB64}"/>
    <cellStyle name="Moeda 4 2 2 2 3 2 3 2 3" xfId="51271" xr:uid="{1328D1C8-A801-4F19-A366-BE65EDC6B231}"/>
    <cellStyle name="Moeda 4 2 2 2 3 2 3 3" xfId="49632" xr:uid="{9B6487FF-5BA1-492E-82AE-A7F10EB7B9C0}"/>
    <cellStyle name="Moeda 4 2 2 2 3 2 3 3 2" xfId="57577" xr:uid="{F06E3F14-0E7B-4A2E-AB13-1B8828A3D4D1}"/>
    <cellStyle name="Moeda 4 2 2 2 3 2 3 4" xfId="52928" xr:uid="{62B7539C-43C3-42FB-9E26-E589112BA2D8}"/>
    <cellStyle name="Moeda 4 2 2 2 3 2 3 5" xfId="47963" xr:uid="{83EA0F9E-EE62-4467-B571-995087274F5B}"/>
    <cellStyle name="Moeda 4 2 2 2 3 2 4" xfId="893" xr:uid="{E60E5A7A-2DCE-480F-9937-28D6ED790E8C}"/>
    <cellStyle name="Moeda 4 2 2 2 3 2 4 2" xfId="2609" xr:uid="{D42F5236-B25D-404C-A22D-189D740B9F1A}"/>
    <cellStyle name="Moeda 4 2 2 2 3 2 4 2 2" xfId="54566" xr:uid="{F9477E99-ABF3-49F1-AEF2-D9E0E07CEE30}"/>
    <cellStyle name="Moeda 4 2 2 2 3 2 4 2 3" xfId="51272" xr:uid="{BE880819-88C8-4319-B31E-C9C81A2A7063}"/>
    <cellStyle name="Moeda 4 2 2 2 3 2 4 3" xfId="49633" xr:uid="{D3648171-CA12-4314-A6C4-9AEE6D3885C0}"/>
    <cellStyle name="Moeda 4 2 2 2 3 2 4 3 2" xfId="56764" xr:uid="{A4276768-60E7-4D7D-A86E-0C133452F429}"/>
    <cellStyle name="Moeda 4 2 2 2 3 2 4 4" xfId="52929" xr:uid="{70B30BB4-E69B-4D79-A251-0646FB457D95}"/>
    <cellStyle name="Moeda 4 2 2 2 3 2 4 5" xfId="47964" xr:uid="{2507EDCE-E67B-4D42-A0E6-834085F562C4}"/>
    <cellStyle name="Moeda 4 2 2 2 3 2 5" xfId="2201" xr:uid="{FF7B7D74-D1D5-4C65-ABF0-E807259C038A}"/>
    <cellStyle name="Moeda 4 2 2 2 3 2 5 2" xfId="54563" xr:uid="{D71E431D-E0E4-4659-84D2-EFDB92984CAA}"/>
    <cellStyle name="Moeda 4 2 2 2 3 2 5 3" xfId="51269" xr:uid="{C4D0D148-21BB-41DD-8EEA-A7C1FC16AFC4}"/>
    <cellStyle name="Moeda 4 2 2 2 3 2 6" xfId="49630" xr:uid="{5ADA3642-3061-49F4-A340-B9A82B7B2BBF}"/>
    <cellStyle name="Moeda 4 2 2 2 3 2 6 2" xfId="56355" xr:uid="{9E1A9961-5C10-41F3-9957-96E5BB970118}"/>
    <cellStyle name="Moeda 4 2 2 2 3 2 7" xfId="52926" xr:uid="{B3074F70-0AD3-4B16-AB23-72270970B3DE}"/>
    <cellStyle name="Moeda 4 2 2 2 3 2 8" xfId="47961" xr:uid="{65453FCB-EFEF-4EA2-BF79-97A37D895724}"/>
    <cellStyle name="Moeda 4 2 2 2 3 2 9" xfId="4765" xr:uid="{852B64AB-DA6D-4461-A93F-5382E9C13886}"/>
    <cellStyle name="Moeda 4 2 2 2 3 3" xfId="1111" xr:uid="{E3A3D7D5-6D52-4570-94A5-B17983DCA539}"/>
    <cellStyle name="Moeda 4 2 2 2 3 3 2" xfId="2774" xr:uid="{29873522-3ECC-47BE-A83D-3FAE1B85D0E3}"/>
    <cellStyle name="Moeda 4 2 2 2 3 3 2 2" xfId="54567" xr:uid="{F8142849-05DD-4D90-83CC-14A7920DFB52}"/>
    <cellStyle name="Moeda 4 2 2 2 3 3 2 3" xfId="51273" xr:uid="{9AA625B6-1E78-4C0F-8DEB-8C6A77380884}"/>
    <cellStyle name="Moeda 4 2 2 2 3 3 3" xfId="49634" xr:uid="{1388479F-DF3C-4056-B916-4917B03BECC3}"/>
    <cellStyle name="Moeda 4 2 2 2 3 3 3 2" xfId="56982" xr:uid="{ED0F0955-DF8D-4A51-8D9E-CDC66CCAC8B4}"/>
    <cellStyle name="Moeda 4 2 2 2 3 3 4" xfId="52930" xr:uid="{5CBA028F-2560-48D4-B54B-3CE22213BA56}"/>
    <cellStyle name="Moeda 4 2 2 2 3 3 5" xfId="47965" xr:uid="{A7128F93-49C6-47EB-9413-76045B951F5E}"/>
    <cellStyle name="Moeda 4 2 2 2 3 4" xfId="1517" xr:uid="{3E7F1886-8881-4530-B47F-CA2D84D0EB3A}"/>
    <cellStyle name="Moeda 4 2 2 2 3 4 2" xfId="3178" xr:uid="{1A9E31F2-E81C-4EB4-A67D-90DEFC54ADBB}"/>
    <cellStyle name="Moeda 4 2 2 2 3 4 2 2" xfId="54568" xr:uid="{0F1A2FA7-D369-4A36-A271-3BAF0AB7EB2D}"/>
    <cellStyle name="Moeda 4 2 2 2 3 4 2 3" xfId="51274" xr:uid="{7C1E960A-B343-4F76-9C7F-6312CC601024}"/>
    <cellStyle name="Moeda 4 2 2 2 3 4 3" xfId="49635" xr:uid="{9AFFA7DF-D216-4134-9AAE-5E60FABA9575}"/>
    <cellStyle name="Moeda 4 2 2 2 3 4 3 2" xfId="57388" xr:uid="{D3C34B10-8F96-451B-B9F4-FC9C7F304851}"/>
    <cellStyle name="Moeda 4 2 2 2 3 4 4" xfId="52931" xr:uid="{79CD2020-2E88-4030-BEF1-061E6AFA03FD}"/>
    <cellStyle name="Moeda 4 2 2 2 3 4 5" xfId="47966" xr:uid="{2DD309F1-10E7-48A9-8E31-00DCD1D47B33}"/>
    <cellStyle name="Moeda 4 2 2 2 3 5" xfId="704" xr:uid="{BAED8E82-E3CF-45A4-95B0-A44CA06D90FF}"/>
    <cellStyle name="Moeda 4 2 2 2 3 5 2" xfId="2420" xr:uid="{A9ACC631-C173-41AE-BCD2-FE48B2E1F1AF}"/>
    <cellStyle name="Moeda 4 2 2 2 3 5 2 2" xfId="54569" xr:uid="{0C30AE8D-7A1D-4A92-A7EB-D3B817952390}"/>
    <cellStyle name="Moeda 4 2 2 2 3 5 2 3" xfId="51275" xr:uid="{77662813-70C0-410A-BC61-5818704A2AA2}"/>
    <cellStyle name="Moeda 4 2 2 2 3 5 3" xfId="49636" xr:uid="{98F30BB3-2DA2-4E51-90DF-8E99B68A9E3A}"/>
    <cellStyle name="Moeda 4 2 2 2 3 5 3 2" xfId="56575" xr:uid="{7C3D9C80-2D4C-4A47-B9E6-A33178935B4B}"/>
    <cellStyle name="Moeda 4 2 2 2 3 5 4" xfId="52932" xr:uid="{30CD8268-B407-4167-B2FB-64D074A223EB}"/>
    <cellStyle name="Moeda 4 2 2 2 3 5 5" xfId="47967" xr:uid="{CC35F99C-285A-4EDA-9329-2BD901BF0F88}"/>
    <cellStyle name="Moeda 4 2 2 2 3 6" xfId="3640" xr:uid="{26A081F5-7632-4188-9361-40D8D5FA9A5F}"/>
    <cellStyle name="Moeda 4 2 2 2 3 6 2" xfId="51268" xr:uid="{677B3D6D-685E-421D-88CB-7066FD0DB524}"/>
    <cellStyle name="Moeda 4 2 2 2 3 6 3" xfId="54562" xr:uid="{D6852D6D-8A3D-4B99-965A-3DAA986B8403}"/>
    <cellStyle name="Moeda 4 2 2 2 3 6 4" xfId="47960" xr:uid="{D1EBA581-2397-43DB-A36A-283ED078C68E}"/>
    <cellStyle name="Moeda 4 2 2 2 3 7" xfId="1989" xr:uid="{BDE320E2-6351-4365-9A08-C1DDDA319A36}"/>
    <cellStyle name="Moeda 4 2 2 2 3 7 2" xfId="56166" xr:uid="{2EE3D150-3905-4CF8-A54B-371D9A62ED33}"/>
    <cellStyle name="Moeda 4 2 2 2 3 7 3" xfId="49629" xr:uid="{3591F98E-DB31-40B2-B496-892903ECA3F8}"/>
    <cellStyle name="Moeda 4 2 2 2 3 8" xfId="52925" xr:uid="{D89C7D88-7F87-4A13-8272-0406143A70CA}"/>
    <cellStyle name="Moeda 4 2 2 2 3 9" xfId="47353" xr:uid="{E0D159EC-DCEA-445B-A340-28F9097EE66E}"/>
    <cellStyle name="Moeda 4 2 2 2 4" xfId="354" xr:uid="{EF3BAE64-C430-43D2-BD6A-AA8A80EE19EE}"/>
    <cellStyle name="Moeda 4 2 2 2 4 2" xfId="1170" xr:uid="{772BCBEF-F1CF-4D92-8A3B-D23BEC5C1661}"/>
    <cellStyle name="Moeda 4 2 2 2 4 2 2" xfId="2831" xr:uid="{FAE79CDE-E00F-427E-A638-D86367DCC4F6}"/>
    <cellStyle name="Moeda 4 2 2 2 4 2 2 2" xfId="54571" xr:uid="{54A52061-DFE6-4969-B049-6D3CFB291949}"/>
    <cellStyle name="Moeda 4 2 2 2 4 2 2 3" xfId="51277" xr:uid="{359FDAFB-CAF8-4466-9F00-FD6FC9F21808}"/>
    <cellStyle name="Moeda 4 2 2 2 4 2 3" xfId="49638" xr:uid="{AEA3C9D4-72AE-44B3-822C-9CBDAA23A725}"/>
    <cellStyle name="Moeda 4 2 2 2 4 2 3 2" xfId="57041" xr:uid="{EE310337-BEF6-4864-8D79-D6756BFC830E}"/>
    <cellStyle name="Moeda 4 2 2 2 4 2 4" xfId="52934" xr:uid="{E8C28CFE-1307-413C-BC27-6C6FD03A8652}"/>
    <cellStyle name="Moeda 4 2 2 2 4 2 5" xfId="47969" xr:uid="{BB8234AC-F483-4B79-8574-EF0F49C35688}"/>
    <cellStyle name="Moeda 4 2 2 2 4 3" xfId="1576" xr:uid="{1F895DE8-EE15-4C3E-BA82-A5A3A957B889}"/>
    <cellStyle name="Moeda 4 2 2 2 4 3 2" xfId="3236" xr:uid="{BA42F5FB-27D9-42C5-B897-2939002B0B4E}"/>
    <cellStyle name="Moeda 4 2 2 2 4 3 2 2" xfId="54572" xr:uid="{0EDA01A7-43F5-4C99-B186-A055AD525F4F}"/>
    <cellStyle name="Moeda 4 2 2 2 4 3 2 3" xfId="51278" xr:uid="{92465E3D-8C13-4ECE-AF94-0236FB0934B7}"/>
    <cellStyle name="Moeda 4 2 2 2 4 3 3" xfId="49639" xr:uid="{37B23AD6-4EE2-4A66-B7C5-EDA7C46F7E75}"/>
    <cellStyle name="Moeda 4 2 2 2 4 3 3 2" xfId="57447" xr:uid="{F988490D-7486-4410-8582-2697FCDE5B94}"/>
    <cellStyle name="Moeda 4 2 2 2 4 3 4" xfId="52935" xr:uid="{863655DB-992C-4A26-B1F3-8BD8380C9172}"/>
    <cellStyle name="Moeda 4 2 2 2 4 3 5" xfId="47970" xr:uid="{403F3197-5F5E-4472-81C3-7B531115443E}"/>
    <cellStyle name="Moeda 4 2 2 2 4 4" xfId="763" xr:uid="{CB16CFC3-601B-4981-947D-4F5E788A0500}"/>
    <cellStyle name="Moeda 4 2 2 2 4 4 2" xfId="2479" xr:uid="{5BA633D1-9E8C-4B98-B6E9-F3672586841E}"/>
    <cellStyle name="Moeda 4 2 2 2 4 4 2 2" xfId="54573" xr:uid="{39148CCA-EB42-4833-85CA-2C05CE887808}"/>
    <cellStyle name="Moeda 4 2 2 2 4 4 2 3" xfId="51279" xr:uid="{DCCC37FD-5E6A-42E9-8C46-F152E1671261}"/>
    <cellStyle name="Moeda 4 2 2 2 4 4 3" xfId="49640" xr:uid="{FD6ECFE4-3F26-461A-9145-166839740494}"/>
    <cellStyle name="Moeda 4 2 2 2 4 4 3 2" xfId="56634" xr:uid="{9D8B1929-2C6F-4567-82B1-486D7A78809A}"/>
    <cellStyle name="Moeda 4 2 2 2 4 4 4" xfId="52936" xr:uid="{B071CE6E-2914-452E-BC2E-33C2612770F9}"/>
    <cellStyle name="Moeda 4 2 2 2 4 4 5" xfId="47971" xr:uid="{BE5191EC-0319-4804-992D-7BCAFC7C5C5C}"/>
    <cellStyle name="Moeda 4 2 2 2 4 5" xfId="3531" xr:uid="{93B4A0F2-6ECA-4BE8-8BFA-5D2B787BC8D7}"/>
    <cellStyle name="Moeda 4 2 2 2 4 5 2" xfId="51276" xr:uid="{1831F03E-4B97-49A8-9E17-FC89359913B1}"/>
    <cellStyle name="Moeda 4 2 2 2 4 5 3" xfId="54570" xr:uid="{19BDFAA4-39C3-4163-841B-6D8585EE191A}"/>
    <cellStyle name="Moeda 4 2 2 2 4 5 4" xfId="47968" xr:uid="{90195A0C-F959-4479-92EF-4379D302405A}"/>
    <cellStyle name="Moeda 4 2 2 2 4 6" xfId="1880" xr:uid="{C0A3290F-1E4D-4E97-9D29-182B855E8219}"/>
    <cellStyle name="Moeda 4 2 2 2 4 6 2" xfId="56225" xr:uid="{D291B10E-139D-44FE-84CE-DB5EC9CB9BEC}"/>
    <cellStyle name="Moeda 4 2 2 2 4 6 3" xfId="49637" xr:uid="{536D82A5-76EB-4EBA-A76C-13CBB7746ED7}"/>
    <cellStyle name="Moeda 4 2 2 2 4 7" xfId="52933" xr:uid="{5AD197DF-32AE-4B9C-AE1D-7A5DB6E6168A}"/>
    <cellStyle name="Moeda 4 2 2 2 4 8" xfId="47479" xr:uid="{E92679DA-B11E-4D94-87AE-EBF2F632C348}"/>
    <cellStyle name="Moeda 4 2 2 2 4 9" xfId="4635" xr:uid="{14BCA955-387E-431C-80E1-204C56849F37}"/>
    <cellStyle name="Moeda 4 2 2 2 5" xfId="981" xr:uid="{7152F657-FC1D-4543-A9FB-F4D222FEFB10}"/>
    <cellStyle name="Moeda 4 2 2 2 5 2" xfId="3749" xr:uid="{CF4554AA-98C8-4988-80B3-F4FD88579893}"/>
    <cellStyle name="Moeda 4 2 2 2 5 2 2" xfId="51280" xr:uid="{04238159-59C9-4DDE-88FE-88CA5EB34E4D}"/>
    <cellStyle name="Moeda 4 2 2 2 5 2 3" xfId="54574" xr:uid="{A4E7DE7D-B041-4282-AC19-B42E5990CA99}"/>
    <cellStyle name="Moeda 4 2 2 2 5 2 4" xfId="47972" xr:uid="{F0B3F2DB-B316-424C-B093-27C8292A8F0D}"/>
    <cellStyle name="Moeda 4 2 2 2 5 3" xfId="2695" xr:uid="{7845BC13-D44F-48FB-BAE6-C6B576BA67E6}"/>
    <cellStyle name="Moeda 4 2 2 2 5 3 2" xfId="56852" xr:uid="{E1FC8FA6-CA08-41B1-AD0C-09B0DE7DE929}"/>
    <cellStyle name="Moeda 4 2 2 2 5 3 3" xfId="49641" xr:uid="{986A98D0-7400-4B2B-86AC-63286CF9155F}"/>
    <cellStyle name="Moeda 4 2 2 2 5 4" xfId="52937" xr:uid="{0A5DEE45-8AB7-4DF3-8501-82E7E5D9C9B6}"/>
    <cellStyle name="Moeda 4 2 2 2 5 5" xfId="47605" xr:uid="{B0383B49-8477-449A-B013-F80F64632EF7}"/>
    <cellStyle name="Moeda 4 2 2 2 6" xfId="1387" xr:uid="{A45979DA-69BF-4884-8584-46A86C563A35}"/>
    <cellStyle name="Moeda 4 2 2 2 6 2" xfId="3048" xr:uid="{75C21F69-CCF3-4C58-A1FF-453FB90B8A90}"/>
    <cellStyle name="Moeda 4 2 2 2 6 2 2" xfId="54575" xr:uid="{04D7D917-4421-4368-869E-12FF7D62CFBC}"/>
    <cellStyle name="Moeda 4 2 2 2 6 2 3" xfId="51281" xr:uid="{CF45B82D-DBA6-4219-941A-C803FDF5A2EB}"/>
    <cellStyle name="Moeda 4 2 2 2 6 3" xfId="49642" xr:uid="{339798E6-6A06-4166-A5BF-F97B2EA5D543}"/>
    <cellStyle name="Moeda 4 2 2 2 6 3 2" xfId="57258" xr:uid="{DA05FDFE-478F-4929-9B32-193827AC78CE}"/>
    <cellStyle name="Moeda 4 2 2 2 6 4" xfId="52938" xr:uid="{A22E3724-62D1-46E2-B5EA-526D9FF86F91}"/>
    <cellStyle name="Moeda 4 2 2 2 6 5" xfId="47973" xr:uid="{05140077-0097-49C0-BE46-49FFF5F50DD0}"/>
    <cellStyle name="Moeda 4 2 2 2 7" xfId="574" xr:uid="{7615F85D-B0A5-4916-8CB5-5978906FF006}"/>
    <cellStyle name="Moeda 4 2 2 2 7 2" xfId="2290" xr:uid="{94C59B53-1695-4F72-AADB-6F3050648112}"/>
    <cellStyle name="Moeda 4 2 2 2 7 2 2" xfId="54576" xr:uid="{00AC5690-5A0E-4FDB-8EC8-B85B53B58F7F}"/>
    <cellStyle name="Moeda 4 2 2 2 7 2 3" xfId="51282" xr:uid="{BA6DD8EA-086D-4F0A-B53D-AC98369D7A8C}"/>
    <cellStyle name="Moeda 4 2 2 2 7 3" xfId="49643" xr:uid="{A6BB37CF-1F73-44EE-81B2-5C4875B0844E}"/>
    <cellStyle name="Moeda 4 2 2 2 7 3 2" xfId="56445" xr:uid="{33FF1DDB-9D65-4B8C-902C-4DCA2D9DC590}"/>
    <cellStyle name="Moeda 4 2 2 2 7 4" xfId="52939" xr:uid="{4B0F24DF-0BA1-415F-ABED-B5D3494A168F}"/>
    <cellStyle name="Moeda 4 2 2 2 7 5" xfId="47974" xr:uid="{E1ADC950-B6B8-4504-BF17-BBC09711232F}"/>
    <cellStyle name="Moeda 4 2 2 2 8" xfId="3421" xr:uid="{CB26FF49-52C3-49C6-8B92-450203A82C97}"/>
    <cellStyle name="Moeda 4 2 2 2 8 2" xfId="51259" xr:uid="{FF22545E-5830-4140-8912-463450AA5EE6}"/>
    <cellStyle name="Moeda 4 2 2 2 8 3" xfId="54553" xr:uid="{909129B6-7759-42A9-B81B-FBED1DCFDE9D}"/>
    <cellStyle name="Moeda 4 2 2 2 8 4" xfId="47951" xr:uid="{94457BAC-303E-4C58-8CAA-70635196328C}"/>
    <cellStyle name="Moeda 4 2 2 2 9" xfId="4061" xr:uid="{5CA31F4A-EEEC-4765-94FB-0AF7A5C86C78}"/>
    <cellStyle name="Moeda 4 2 2 2 9 2" xfId="56036" xr:uid="{5F0B5F23-3941-40D5-A9A9-7ADBE0BBC23C}"/>
    <cellStyle name="Moeda 4 2 2 2 9 3" xfId="49620" xr:uid="{6205B6E9-FA68-4867-836E-EC8C7C772101}"/>
    <cellStyle name="Moeda 4 2 2 3" xfId="191" xr:uid="{7AFCEA28-CCE8-4289-B5D1-DF2D365AA619}"/>
    <cellStyle name="Moeda 4 2 2 3 10" xfId="4472" xr:uid="{D00C2816-2116-41A7-9999-094F8764F4CB}"/>
    <cellStyle name="Moeda 4 2 2 3 2" xfId="380" xr:uid="{76E7AE5F-12B1-4DFA-B991-4E91C66D3248}"/>
    <cellStyle name="Moeda 4 2 2 3 2 2" xfId="1196" xr:uid="{B4DD97E6-BB67-4F9A-B3D3-0777FB2EA429}"/>
    <cellStyle name="Moeda 4 2 2 3 2 2 2" xfId="2857" xr:uid="{52E71F06-3997-4259-88B1-58A436E744E3}"/>
    <cellStyle name="Moeda 4 2 2 3 2 2 2 2" xfId="54579" xr:uid="{A6BE4C86-03EC-41D7-A0F6-73F5D7C7484F}"/>
    <cellStyle name="Moeda 4 2 2 3 2 2 2 3" xfId="51285" xr:uid="{6898EF7C-D5AC-444E-A133-AF014EEF2F54}"/>
    <cellStyle name="Moeda 4 2 2 3 2 2 3" xfId="49646" xr:uid="{64F476F5-04DA-4817-9D4A-35B05CC504AD}"/>
    <cellStyle name="Moeda 4 2 2 3 2 2 3 2" xfId="57067" xr:uid="{E81C169F-8332-475C-A178-3AD1EF75150E}"/>
    <cellStyle name="Moeda 4 2 2 3 2 2 4" xfId="52942" xr:uid="{60E40605-3E79-43A6-81B9-05AF2B3BF6AD}"/>
    <cellStyle name="Moeda 4 2 2 3 2 2 5" xfId="47977" xr:uid="{ACC9574C-D39A-4AC8-BBB1-D3D3E9994F01}"/>
    <cellStyle name="Moeda 4 2 2 3 2 3" xfId="1602" xr:uid="{2DE81FF8-9D8F-400E-8441-E6C0FD6D7078}"/>
    <cellStyle name="Moeda 4 2 2 3 2 3 2" xfId="3262" xr:uid="{76F261C5-DC13-4D6D-9271-FB6230BB9A77}"/>
    <cellStyle name="Moeda 4 2 2 3 2 3 2 2" xfId="54580" xr:uid="{C565DFFE-23DA-45EB-BEA9-21F4F9F98040}"/>
    <cellStyle name="Moeda 4 2 2 3 2 3 2 3" xfId="51286" xr:uid="{B938D440-837F-4F78-9C5E-87B683B08B69}"/>
    <cellStyle name="Moeda 4 2 2 3 2 3 3" xfId="49647" xr:uid="{BFB88EE5-4973-458B-B996-5DF93028F1AB}"/>
    <cellStyle name="Moeda 4 2 2 3 2 3 3 2" xfId="57473" xr:uid="{444C0CEA-82BB-432D-B45A-2CB294824A4E}"/>
    <cellStyle name="Moeda 4 2 2 3 2 3 4" xfId="52943" xr:uid="{6359FC9D-1C53-4EE8-ADA0-68E4939C8C35}"/>
    <cellStyle name="Moeda 4 2 2 3 2 3 5" xfId="47978" xr:uid="{840B8073-47AA-4D9E-8AE0-20E695AA4AF4}"/>
    <cellStyle name="Moeda 4 2 2 3 2 4" xfId="789" xr:uid="{D82AA047-CE29-4E2D-ABC7-BA6BB6190318}"/>
    <cellStyle name="Moeda 4 2 2 3 2 4 2" xfId="2505" xr:uid="{81F2E639-EE86-44AD-9FD1-3A2142F05EAD}"/>
    <cellStyle name="Moeda 4 2 2 3 2 4 2 2" xfId="54581" xr:uid="{F021CC81-763B-4F85-8F1D-9AEE521D3091}"/>
    <cellStyle name="Moeda 4 2 2 3 2 4 2 3" xfId="51287" xr:uid="{A1456A2B-F6C4-46B8-8FC2-96518F03AA69}"/>
    <cellStyle name="Moeda 4 2 2 3 2 4 3" xfId="49648" xr:uid="{4C3A6D88-A1EF-4BA0-93DD-19ED29580F15}"/>
    <cellStyle name="Moeda 4 2 2 3 2 4 3 2" xfId="56660" xr:uid="{17B284E0-1274-415D-9A1C-CD056F9B00AA}"/>
    <cellStyle name="Moeda 4 2 2 3 2 4 4" xfId="52944" xr:uid="{6A44F74C-6C54-465B-ADE2-35C10B7A5F43}"/>
    <cellStyle name="Moeda 4 2 2 3 2 4 5" xfId="47979" xr:uid="{ABE7BC16-EE53-4124-9A65-1785D768C318}"/>
    <cellStyle name="Moeda 4 2 2 3 2 5" xfId="3669" xr:uid="{CB17C114-B6D1-4CBC-B61E-B606CEAE302F}"/>
    <cellStyle name="Moeda 4 2 2 3 2 5 2" xfId="51284" xr:uid="{09E3BF10-B45E-4AF5-A700-92E7C3962327}"/>
    <cellStyle name="Moeda 4 2 2 3 2 5 3" xfId="54578" xr:uid="{933EB0E8-AAEB-4A7D-B148-4C1D6B37684F}"/>
    <cellStyle name="Moeda 4 2 2 3 2 5 4" xfId="47976" xr:uid="{C8B66FA1-4560-49EA-B314-80A4CE73EDB0}"/>
    <cellStyle name="Moeda 4 2 2 3 2 6" xfId="2018" xr:uid="{F2DB7332-902C-4684-80E6-7232E07FAD46}"/>
    <cellStyle name="Moeda 4 2 2 3 2 6 2" xfId="56251" xr:uid="{8465EB66-7DE6-4787-91A7-B57C35AE8A1D}"/>
    <cellStyle name="Moeda 4 2 2 3 2 6 3" xfId="49645" xr:uid="{29E5098B-06E8-4D03-B7D3-2B79F39EAA55}"/>
    <cellStyle name="Moeda 4 2 2 3 2 7" xfId="52941" xr:uid="{C880CDD6-CBE5-49AA-86D4-74401D37B843}"/>
    <cellStyle name="Moeda 4 2 2 3 2 8" xfId="47383" xr:uid="{2211C0C4-99A2-4062-A058-BF85390249F6}"/>
    <cellStyle name="Moeda 4 2 2 3 2 9" xfId="4661" xr:uid="{7A399F18-A241-40A0-9ABD-1501BDEE5D51}"/>
    <cellStyle name="Moeda 4 2 2 3 3" xfId="1007" xr:uid="{1480A8B8-5B58-46B7-B017-E3E1141F3690}"/>
    <cellStyle name="Moeda 4 2 2 3 3 2" xfId="3560" xr:uid="{48FC5BD1-72D0-454E-984A-81BD3B920D1A}"/>
    <cellStyle name="Moeda 4 2 2 3 3 2 2" xfId="51288" xr:uid="{3627803C-F981-4AEA-B2E7-E82050EE1FCF}"/>
    <cellStyle name="Moeda 4 2 2 3 3 2 3" xfId="54582" xr:uid="{21832081-8CE1-485B-A266-146527EA8F77}"/>
    <cellStyle name="Moeda 4 2 2 3 3 2 4" xfId="47980" xr:uid="{0E1CB5EB-033E-475D-8C93-56CD665164BE}"/>
    <cellStyle name="Moeda 4 2 2 3 3 3" xfId="1909" xr:uid="{6D86B9E0-7A07-47F9-998F-1CB1FB18DC06}"/>
    <cellStyle name="Moeda 4 2 2 3 3 3 2" xfId="56878" xr:uid="{1C76E4BE-BB8D-4E56-B294-C16A0794D49E}"/>
    <cellStyle name="Moeda 4 2 2 3 3 3 3" xfId="49649" xr:uid="{6A62F87C-79DB-4967-B963-D51CC0A8BF2E}"/>
    <cellStyle name="Moeda 4 2 2 3 3 4" xfId="52945" xr:uid="{1D6148B3-94B6-4F99-9B0A-ED99FE22FA3B}"/>
    <cellStyle name="Moeda 4 2 2 3 3 5" xfId="47509" xr:uid="{EA9037FD-9D5E-4397-80D2-02633829B497}"/>
    <cellStyle name="Moeda 4 2 2 3 4" xfId="1413" xr:uid="{01945079-0EA8-49B2-993C-F92B5E6C6E8F}"/>
    <cellStyle name="Moeda 4 2 2 3 4 2" xfId="3778" xr:uid="{51559199-DEAB-477C-8CE3-8B91AB924C8A}"/>
    <cellStyle name="Moeda 4 2 2 3 4 2 2" xfId="51289" xr:uid="{6503D180-9C60-4234-93F7-ABBE2D67C709}"/>
    <cellStyle name="Moeda 4 2 2 3 4 2 3" xfId="54583" xr:uid="{B7A2E064-9041-4DA4-8CCF-D7DBBA7B1960}"/>
    <cellStyle name="Moeda 4 2 2 3 4 2 4" xfId="47981" xr:uid="{DB1B7271-752B-4CC4-892F-951B7EA09978}"/>
    <cellStyle name="Moeda 4 2 2 3 4 3" xfId="3074" xr:uid="{48D57C5A-5474-43EB-88F9-84132DFD9B3D}"/>
    <cellStyle name="Moeda 4 2 2 3 4 3 2" xfId="57284" xr:uid="{38598CEA-EDEE-4F91-A8F5-2067BD2AE61F}"/>
    <cellStyle name="Moeda 4 2 2 3 4 3 3" xfId="49650" xr:uid="{296AF678-E2CF-4FE1-BD71-AF20910CE6A5}"/>
    <cellStyle name="Moeda 4 2 2 3 4 4" xfId="52946" xr:uid="{44C1FB8C-950F-41AD-B961-B72C0201141B}"/>
    <cellStyle name="Moeda 4 2 2 3 4 5" xfId="47635" xr:uid="{56940A61-D52F-442C-86A2-8EBE4BDAB9FE}"/>
    <cellStyle name="Moeda 4 2 2 3 5" xfId="600" xr:uid="{FA55B147-EE87-48B7-9235-25A8F59C43FE}"/>
    <cellStyle name="Moeda 4 2 2 3 5 2" xfId="2316" xr:uid="{6B3ED526-D215-4312-96C4-DEFF5EE353BE}"/>
    <cellStyle name="Moeda 4 2 2 3 5 2 2" xfId="54584" xr:uid="{3CD158AA-854E-418E-83BA-CF9F56DCBD80}"/>
    <cellStyle name="Moeda 4 2 2 3 5 2 3" xfId="51290" xr:uid="{11EA1ABE-5CE6-4C39-B668-C30173116243}"/>
    <cellStyle name="Moeda 4 2 2 3 5 3" xfId="49651" xr:uid="{8C62C652-B45A-45E0-8609-F6BB180D9E45}"/>
    <cellStyle name="Moeda 4 2 2 3 5 3 2" xfId="56471" xr:uid="{280F1321-4BB8-4691-88A9-1CDB8870D254}"/>
    <cellStyle name="Moeda 4 2 2 3 5 4" xfId="52947" xr:uid="{A52E3664-3565-48DF-829A-C924EAF88002}"/>
    <cellStyle name="Moeda 4 2 2 3 5 5" xfId="47982" xr:uid="{6344B529-9FD2-4177-9407-D23B42D03BC8}"/>
    <cellStyle name="Moeda 4 2 2 3 6" xfId="3450" xr:uid="{E648758E-BF6A-4DBB-A2A6-7262E013FE6F}"/>
    <cellStyle name="Moeda 4 2 2 3 6 2" xfId="51283" xr:uid="{287C8FAF-719C-4AC0-891B-80ABB537715A}"/>
    <cellStyle name="Moeda 4 2 2 3 6 3" xfId="54577" xr:uid="{F024FE6B-D6D4-4A5E-8240-56CC361DA38B}"/>
    <cellStyle name="Moeda 4 2 2 3 6 4" xfId="47975" xr:uid="{371608B3-B394-4EAD-BFD4-EAC9348A9E96}"/>
    <cellStyle name="Moeda 4 2 2 3 7" xfId="4233" xr:uid="{A2AA0C63-D1F9-446E-9C00-4D4F4EB7C8C5}"/>
    <cellStyle name="Moeda 4 2 2 3 7 2" xfId="56062" xr:uid="{DE06E969-0441-4BF1-8D4D-558396E9B05D}"/>
    <cellStyle name="Moeda 4 2 2 3 7 3" xfId="49644" xr:uid="{65D98FCF-EA48-4700-94A4-C9DBADA9EB9A}"/>
    <cellStyle name="Moeda 4 2 2 3 8" xfId="1799" xr:uid="{F11022BF-9EEB-44CD-A015-5B422903E76C}"/>
    <cellStyle name="Moeda 4 2 2 3 8 2" xfId="52940" xr:uid="{6A52430E-BAD6-48F2-908A-732D49984C00}"/>
    <cellStyle name="Moeda 4 2 2 3 9" xfId="32889" xr:uid="{BA5FFDF6-ECDB-4E6C-A78D-04876881D26D}"/>
    <cellStyle name="Moeda 4 2 2 4" xfId="217" xr:uid="{5A456E7B-2613-4133-BD96-747883B20476}"/>
    <cellStyle name="Moeda 4 2 2 4 10" xfId="4498" xr:uid="{CB14AAB5-0CB8-4C71-B8B2-4BF76B0ACE41}"/>
    <cellStyle name="Moeda 4 2 2 4 2" xfId="406" xr:uid="{6A9D6D9F-278F-431A-AC2C-6BE582E5A592}"/>
    <cellStyle name="Moeda 4 2 2 4 2 2" xfId="1222" xr:uid="{079923CA-B439-4055-998A-56F22ED0A44F}"/>
    <cellStyle name="Moeda 4 2 2 4 2 2 2" xfId="2883" xr:uid="{F35FA3F5-FCB6-4260-93CD-2ECDB45D7345}"/>
    <cellStyle name="Moeda 4 2 2 4 2 2 2 2" xfId="54587" xr:uid="{9F1D231B-D802-4C34-8E1C-7A022A347BED}"/>
    <cellStyle name="Moeda 4 2 2 4 2 2 2 3" xfId="51293" xr:uid="{CB168011-05AA-42B3-8759-8BC8CCBB4177}"/>
    <cellStyle name="Moeda 4 2 2 4 2 2 3" xfId="49654" xr:uid="{206568B7-2538-4872-84A9-FF8F94D52C66}"/>
    <cellStyle name="Moeda 4 2 2 4 2 2 3 2" xfId="57093" xr:uid="{56EC1AE6-B964-4410-A8F4-7D0522A48249}"/>
    <cellStyle name="Moeda 4 2 2 4 2 2 4" xfId="52950" xr:uid="{5DE60669-E860-4356-92FB-2D92A078FAFE}"/>
    <cellStyle name="Moeda 4 2 2 4 2 2 5" xfId="47985" xr:uid="{C7CD0640-2851-46F4-AF80-40F9211B67D6}"/>
    <cellStyle name="Moeda 4 2 2 4 2 3" xfId="1628" xr:uid="{A0D44D1E-88AE-44B6-8AFD-B04FC482CC49}"/>
    <cellStyle name="Moeda 4 2 2 4 2 3 2" xfId="3288" xr:uid="{23457B6F-1391-4AA2-B8FA-97F666BC5DB7}"/>
    <cellStyle name="Moeda 4 2 2 4 2 3 2 2" xfId="54588" xr:uid="{668419E0-D2C0-4632-8CE6-856A2AB4F5C2}"/>
    <cellStyle name="Moeda 4 2 2 4 2 3 2 3" xfId="51294" xr:uid="{08E66806-6A7F-4426-AA62-C80DB8AA45A1}"/>
    <cellStyle name="Moeda 4 2 2 4 2 3 3" xfId="49655" xr:uid="{9F70DD00-1B32-4AA6-880A-A05789EDE5F3}"/>
    <cellStyle name="Moeda 4 2 2 4 2 3 3 2" xfId="57499" xr:uid="{4FB13F67-0077-4C8E-9C19-8DBF8896F42A}"/>
    <cellStyle name="Moeda 4 2 2 4 2 3 4" xfId="52951" xr:uid="{7342361B-5DCC-472B-B6C7-92368BD20236}"/>
    <cellStyle name="Moeda 4 2 2 4 2 3 5" xfId="47986" xr:uid="{F4AE1A79-37AF-4F98-ADB5-5E1F9D8C8B47}"/>
    <cellStyle name="Moeda 4 2 2 4 2 4" xfId="815" xr:uid="{0513D9FA-255E-4C86-81C0-5EAC03635152}"/>
    <cellStyle name="Moeda 4 2 2 4 2 4 2" xfId="2531" xr:uid="{880B1B6A-E311-4571-A6E7-35362838FB26}"/>
    <cellStyle name="Moeda 4 2 2 4 2 4 2 2" xfId="54589" xr:uid="{EB917609-698C-44FD-A880-E0E61CA53C78}"/>
    <cellStyle name="Moeda 4 2 2 4 2 4 2 3" xfId="51295" xr:uid="{63299929-BF98-4D58-9A64-F8FC29200866}"/>
    <cellStyle name="Moeda 4 2 2 4 2 4 3" xfId="49656" xr:uid="{36E47946-2375-4C96-B49C-302D049F81A6}"/>
    <cellStyle name="Moeda 4 2 2 4 2 4 3 2" xfId="56686" xr:uid="{568091B8-15B1-4CD6-95CE-386C80C78033}"/>
    <cellStyle name="Moeda 4 2 2 4 2 4 4" xfId="52952" xr:uid="{96219EDD-7FAD-4902-8FA9-E4806BAEFC73}"/>
    <cellStyle name="Moeda 4 2 2 4 2 4 5" xfId="47987" xr:uid="{5A2CB5B0-C496-4C8F-9BAA-AAD1F84DB318}"/>
    <cellStyle name="Moeda 4 2 2 4 2 5" xfId="2149" xr:uid="{A70FA4DE-7C94-4B9E-A2D5-3EE19EC6BD7E}"/>
    <cellStyle name="Moeda 4 2 2 4 2 5 2" xfId="54586" xr:uid="{CCF9A60D-BD70-440D-8DA9-90315A7E1254}"/>
    <cellStyle name="Moeda 4 2 2 4 2 5 3" xfId="51292" xr:uid="{66A9509A-5F17-4184-971F-62F49FCC4499}"/>
    <cellStyle name="Moeda 4 2 2 4 2 6" xfId="49653" xr:uid="{4ED2C34B-652B-43C2-8366-C338A762C459}"/>
    <cellStyle name="Moeda 4 2 2 4 2 6 2" xfId="56277" xr:uid="{FAB4FAD1-D4F4-4624-B349-38AC82861955}"/>
    <cellStyle name="Moeda 4 2 2 4 2 7" xfId="52949" xr:uid="{82D5BCC8-3AA7-4AFA-B02D-4C8EE0937893}"/>
    <cellStyle name="Moeda 4 2 2 4 2 8" xfId="47984" xr:uid="{CC6D28E5-0FDD-47D8-9CEC-AA675A450E1B}"/>
    <cellStyle name="Moeda 4 2 2 4 2 9" xfId="4687" xr:uid="{EA9D767C-8719-479B-AB06-B52658EB645B}"/>
    <cellStyle name="Moeda 4 2 2 4 3" xfId="1033" xr:uid="{84D439FB-5E5D-4FEC-8C04-42A212ABE0A7}"/>
    <cellStyle name="Moeda 4 2 2 4 3 2" xfId="2721" xr:uid="{2E45F818-3237-4DCE-803E-E8218059F86F}"/>
    <cellStyle name="Moeda 4 2 2 4 3 2 2" xfId="54590" xr:uid="{BB743B17-65CF-400C-B63E-FF68EA5A378F}"/>
    <cellStyle name="Moeda 4 2 2 4 3 2 3" xfId="51296" xr:uid="{5A72AEDC-DCD8-49EE-A369-EF5309A35D97}"/>
    <cellStyle name="Moeda 4 2 2 4 3 3" xfId="49657" xr:uid="{87B5747F-DAA0-4DE5-9E08-574A76B97C56}"/>
    <cellStyle name="Moeda 4 2 2 4 3 3 2" xfId="56904" xr:uid="{BE6E83F8-4F08-4E9B-B5B7-9BAE4D63AB3C}"/>
    <cellStyle name="Moeda 4 2 2 4 3 4" xfId="52953" xr:uid="{72132199-BA8A-4A06-8570-A659FB8903D9}"/>
    <cellStyle name="Moeda 4 2 2 4 3 5" xfId="47988" xr:uid="{071558DC-3AE3-44D6-B1CF-EF37C69C41D6}"/>
    <cellStyle name="Moeda 4 2 2 4 4" xfId="1439" xr:uid="{47C7FD78-FD91-4FE3-8357-1B96DB285A6E}"/>
    <cellStyle name="Moeda 4 2 2 4 4 2" xfId="3100" xr:uid="{3A8F0343-EF52-49B4-ABDD-D678999EE37C}"/>
    <cellStyle name="Moeda 4 2 2 4 4 2 2" xfId="54591" xr:uid="{652998A2-0D97-45AB-AF1E-B578F1624D18}"/>
    <cellStyle name="Moeda 4 2 2 4 4 2 3" xfId="51297" xr:uid="{C0FBE504-6A1E-45D4-B5E0-4F5B91FE7649}"/>
    <cellStyle name="Moeda 4 2 2 4 4 3" xfId="49658" xr:uid="{E3207C42-137A-42EB-BC81-DF1EAA15F601}"/>
    <cellStyle name="Moeda 4 2 2 4 4 3 2" xfId="57310" xr:uid="{B921F9FD-5D53-4AEB-9019-C58691B4921D}"/>
    <cellStyle name="Moeda 4 2 2 4 4 4" xfId="52954" xr:uid="{7D741D08-FCF6-4B3C-A059-1B692E59B8F0}"/>
    <cellStyle name="Moeda 4 2 2 4 4 5" xfId="47989" xr:uid="{58FC6893-CFB1-44F6-8E39-03CE56AC8897}"/>
    <cellStyle name="Moeda 4 2 2 4 5" xfId="626" xr:uid="{66417588-75DA-4DEE-AD9B-0B02B78E7011}"/>
    <cellStyle name="Moeda 4 2 2 4 5 2" xfId="2342" xr:uid="{2CED223A-F4D2-4871-8F9B-0E4C60063F3A}"/>
    <cellStyle name="Moeda 4 2 2 4 5 2 2" xfId="54592" xr:uid="{7F270966-2D43-4F9F-AA7F-174AD71D88EB}"/>
    <cellStyle name="Moeda 4 2 2 4 5 2 3" xfId="51298" xr:uid="{AAE6A83D-7449-4C27-9B74-E51F6768643D}"/>
    <cellStyle name="Moeda 4 2 2 4 5 3" xfId="49659" xr:uid="{8523FF76-647D-44B7-9AAD-F9BC6484E155}"/>
    <cellStyle name="Moeda 4 2 2 4 5 3 2" xfId="56497" xr:uid="{6037EFC4-D8DF-4C82-9FEC-BBB8B6E02F7E}"/>
    <cellStyle name="Moeda 4 2 2 4 5 4" xfId="52955" xr:uid="{234482D1-65CE-47A7-A54B-6CE31D5118F4}"/>
    <cellStyle name="Moeda 4 2 2 4 5 5" xfId="47990" xr:uid="{F5881194-A721-4FBB-8E85-8DAE2CFF6827}"/>
    <cellStyle name="Moeda 4 2 2 4 6" xfId="3614" xr:uid="{31A888E0-9E67-491E-A3EB-D788CC5ECF87}"/>
    <cellStyle name="Moeda 4 2 2 4 6 2" xfId="51291" xr:uid="{B7E2C286-1098-4E48-BBBC-CF63F7A869EB}"/>
    <cellStyle name="Moeda 4 2 2 4 6 3" xfId="54585" xr:uid="{D5B7EB1A-3C64-4206-9ACC-9A22D95B2C0A}"/>
    <cellStyle name="Moeda 4 2 2 4 6 4" xfId="47983" xr:uid="{6E10F5F2-7E24-4199-8B74-DAD4328BC691}"/>
    <cellStyle name="Moeda 4 2 2 4 7" xfId="1963" xr:uid="{45135F20-66DF-4889-B064-A31DABD53DB9}"/>
    <cellStyle name="Moeda 4 2 2 4 7 2" xfId="56088" xr:uid="{E2654EFA-0AF9-44AD-9B6C-B7919DAE0DCB}"/>
    <cellStyle name="Moeda 4 2 2 4 7 3" xfId="49652" xr:uid="{34740DC1-CFBE-49CB-9A02-C54B0C0FF34F}"/>
    <cellStyle name="Moeda 4 2 2 4 8" xfId="52948" xr:uid="{8FB66571-BD85-4914-97AD-E286A5D3A3AA}"/>
    <cellStyle name="Moeda 4 2 2 4 9" xfId="47327" xr:uid="{6AB33E10-EFED-429A-ABA5-A4B49856811A}"/>
    <cellStyle name="Moeda 4 2 2 5" xfId="269" xr:uid="{4C8A20B5-4343-4F41-8877-F00B99D6A2AA}"/>
    <cellStyle name="Moeda 4 2 2 5 10" xfId="4550" xr:uid="{8DBF94AF-6CFF-4110-A683-9FA5EA867DE8}"/>
    <cellStyle name="Moeda 4 2 2 5 2" xfId="458" xr:uid="{5D8B43CA-0086-4F1D-A255-A50F4360806D}"/>
    <cellStyle name="Moeda 4 2 2 5 2 2" xfId="1274" xr:uid="{971709ED-569B-4384-83A6-C6B9092D9171}"/>
    <cellStyle name="Moeda 4 2 2 5 2 2 2" xfId="2935" xr:uid="{C057B241-433A-4FA9-9EB5-4C183BF4A994}"/>
    <cellStyle name="Moeda 4 2 2 5 2 2 2 2" xfId="54595" xr:uid="{0388BCE5-9CAB-4EB5-8FD3-A45923A2B38A}"/>
    <cellStyle name="Moeda 4 2 2 5 2 2 2 3" xfId="51301" xr:uid="{BA47FA30-C62E-41A1-937A-31B059152684}"/>
    <cellStyle name="Moeda 4 2 2 5 2 2 3" xfId="49662" xr:uid="{88A63573-5903-438E-90FE-8AF421DCED10}"/>
    <cellStyle name="Moeda 4 2 2 5 2 2 3 2" xfId="57145" xr:uid="{97D0387B-8BEB-477C-BDD4-DA0064A8468E}"/>
    <cellStyle name="Moeda 4 2 2 5 2 2 4" xfId="52958" xr:uid="{471D49BB-CB8B-4A59-8F89-D5E59104E403}"/>
    <cellStyle name="Moeda 4 2 2 5 2 2 5" xfId="47993" xr:uid="{7775C420-CC28-41CD-8E17-7C0EB99DBFEB}"/>
    <cellStyle name="Moeda 4 2 2 5 2 3" xfId="1680" xr:uid="{80C5D82E-9DC9-4FD7-A93F-8C7ECC84BC32}"/>
    <cellStyle name="Moeda 4 2 2 5 2 3 2" xfId="3340" xr:uid="{1B37A47C-001A-4C40-B440-FA809A3AA50E}"/>
    <cellStyle name="Moeda 4 2 2 5 2 3 2 2" xfId="54596" xr:uid="{6F36D3C4-EBFF-4866-85C0-8D4658229A8A}"/>
    <cellStyle name="Moeda 4 2 2 5 2 3 2 3" xfId="51302" xr:uid="{8EC71009-6C1F-43EF-986D-00BAC96694A3}"/>
    <cellStyle name="Moeda 4 2 2 5 2 3 3" xfId="49663" xr:uid="{88FB35B6-2666-4404-9A09-ABE799A58DEC}"/>
    <cellStyle name="Moeda 4 2 2 5 2 3 3 2" xfId="57551" xr:uid="{9AD654FB-4113-4A98-B210-407AEB86E84F}"/>
    <cellStyle name="Moeda 4 2 2 5 2 3 4" xfId="52959" xr:uid="{71D5190E-717E-4DF4-AFC4-AA17BB0F5BCB}"/>
    <cellStyle name="Moeda 4 2 2 5 2 3 5" xfId="47994" xr:uid="{895CD51E-1153-4B22-8E39-9B1DB97515C1}"/>
    <cellStyle name="Moeda 4 2 2 5 2 4" xfId="867" xr:uid="{C8AE842F-0CFB-4DB6-8033-040B7D06A5AB}"/>
    <cellStyle name="Moeda 4 2 2 5 2 4 2" xfId="2583" xr:uid="{DD0663EB-204D-4429-80F6-64492C470333}"/>
    <cellStyle name="Moeda 4 2 2 5 2 4 2 2" xfId="54597" xr:uid="{24F76BD2-37D3-4AB4-9408-CAB68B39CE44}"/>
    <cellStyle name="Moeda 4 2 2 5 2 4 2 3" xfId="51303" xr:uid="{4D04C083-CA21-4AF1-ADF2-FA47D8CEA95C}"/>
    <cellStyle name="Moeda 4 2 2 5 2 4 3" xfId="49664" xr:uid="{05473EF1-9D94-4942-B5E3-A808B42E7258}"/>
    <cellStyle name="Moeda 4 2 2 5 2 4 3 2" xfId="56738" xr:uid="{70B32829-5F08-422F-A579-AB0879061DB7}"/>
    <cellStyle name="Moeda 4 2 2 5 2 4 4" xfId="52960" xr:uid="{083F228C-DD9D-45D1-B80F-95F9FD3145D0}"/>
    <cellStyle name="Moeda 4 2 2 5 2 4 5" xfId="47995" xr:uid="{39877B88-5F12-48BB-B871-931D33A570F8}"/>
    <cellStyle name="Moeda 4 2 2 5 2 5" xfId="2175" xr:uid="{C27705B4-D5FC-4793-BE01-75D3A9465C48}"/>
    <cellStyle name="Moeda 4 2 2 5 2 5 2" xfId="54594" xr:uid="{EFE9C777-3315-40D8-A74A-0B1FBC5AA4D4}"/>
    <cellStyle name="Moeda 4 2 2 5 2 5 3" xfId="51300" xr:uid="{1592761C-F949-48CD-998D-0873F9EC7565}"/>
    <cellStyle name="Moeda 4 2 2 5 2 6" xfId="49661" xr:uid="{D201DE57-0862-49AA-9B09-F7AB02E84ED7}"/>
    <cellStyle name="Moeda 4 2 2 5 2 6 2" xfId="56329" xr:uid="{E07172F3-E4F5-4AF1-9C65-67C3455178E4}"/>
    <cellStyle name="Moeda 4 2 2 5 2 7" xfId="52957" xr:uid="{335CB740-DADB-4402-B68B-A7CB2EEDF6BA}"/>
    <cellStyle name="Moeda 4 2 2 5 2 8" xfId="47992" xr:uid="{6FCD6AE0-4655-419E-B2F8-897923C4F8AE}"/>
    <cellStyle name="Moeda 4 2 2 5 2 9" xfId="4739" xr:uid="{BB19304B-2C99-4E12-AF13-7A64EB617BDC}"/>
    <cellStyle name="Moeda 4 2 2 5 3" xfId="1085" xr:uid="{585881A3-0926-47C8-80AE-ABB4F9C3608A}"/>
    <cellStyle name="Moeda 4 2 2 5 3 2" xfId="2748" xr:uid="{FEDF0F52-F25A-4315-90E2-BC6DF1F8654B}"/>
    <cellStyle name="Moeda 4 2 2 5 3 2 2" xfId="54598" xr:uid="{1E15910A-B772-4CD3-B339-8B0974139A41}"/>
    <cellStyle name="Moeda 4 2 2 5 3 2 3" xfId="51304" xr:uid="{5C01113A-DD3A-450A-B286-A9E7D5F183CB}"/>
    <cellStyle name="Moeda 4 2 2 5 3 3" xfId="49665" xr:uid="{8AB7A3E1-61E7-40D4-9D4D-C1FC038E8D05}"/>
    <cellStyle name="Moeda 4 2 2 5 3 3 2" xfId="56956" xr:uid="{40B8B025-A2C7-4D22-A6C1-6A280DF4D46A}"/>
    <cellStyle name="Moeda 4 2 2 5 3 4" xfId="52961" xr:uid="{3A58AA7E-6EFD-42E2-B707-5442EF15B334}"/>
    <cellStyle name="Moeda 4 2 2 5 3 5" xfId="47996" xr:uid="{3601276E-7D34-44AB-924B-A320AE8DF499}"/>
    <cellStyle name="Moeda 4 2 2 5 4" xfId="1491" xr:uid="{4B10F0F4-7C62-47EA-9239-4AEC3C0666E7}"/>
    <cellStyle name="Moeda 4 2 2 5 4 2" xfId="3152" xr:uid="{71E2A0CF-50FD-4F12-A513-999E13CF844B}"/>
    <cellStyle name="Moeda 4 2 2 5 4 2 2" xfId="54599" xr:uid="{B39CF421-1DEA-4549-AEA5-3E6751CA6D0A}"/>
    <cellStyle name="Moeda 4 2 2 5 4 2 3" xfId="51305" xr:uid="{14736F3C-CE42-4D1E-8AD0-06E8CC34EE9A}"/>
    <cellStyle name="Moeda 4 2 2 5 4 3" xfId="49666" xr:uid="{CCB4F246-5A78-4177-8313-B177BD97F306}"/>
    <cellStyle name="Moeda 4 2 2 5 4 3 2" xfId="57362" xr:uid="{7B8D8FF6-984E-4243-8F93-91C08DDDE2BA}"/>
    <cellStyle name="Moeda 4 2 2 5 4 4" xfId="52962" xr:uid="{FC762409-8541-4CFB-B43A-F5687867A63B}"/>
    <cellStyle name="Moeda 4 2 2 5 4 5" xfId="47997" xr:uid="{7B3348CC-FEB4-4502-BA60-BAF211D1E490}"/>
    <cellStyle name="Moeda 4 2 2 5 5" xfId="678" xr:uid="{3A31708B-C2E3-4391-9BB4-ECE34CC9802A}"/>
    <cellStyle name="Moeda 4 2 2 5 5 2" xfId="2394" xr:uid="{0D57F1A5-7778-48F5-9E99-E41AB24040C3}"/>
    <cellStyle name="Moeda 4 2 2 5 5 2 2" xfId="54600" xr:uid="{3525FAE5-D5AC-418C-9299-59EF5337F3A7}"/>
    <cellStyle name="Moeda 4 2 2 5 5 2 3" xfId="51306" xr:uid="{5F014313-072A-4897-9692-160C0C2CC6DE}"/>
    <cellStyle name="Moeda 4 2 2 5 5 3" xfId="49667" xr:uid="{12CE4306-A6ED-4EF9-B625-D20875F62C96}"/>
    <cellStyle name="Moeda 4 2 2 5 5 3 2" xfId="56549" xr:uid="{163888AE-4970-4C8A-B8CF-3256DF16EA6F}"/>
    <cellStyle name="Moeda 4 2 2 5 5 4" xfId="52963" xr:uid="{5DC6F293-B110-496E-A781-FAF654F9F896}"/>
    <cellStyle name="Moeda 4 2 2 5 5 5" xfId="47998" xr:uid="{A8D71F7B-E283-422E-9606-FBF1222C29B0}"/>
    <cellStyle name="Moeda 4 2 2 5 6" xfId="3505" xr:uid="{0ED9424D-A3D0-461D-A17D-0FCA9ED5346B}"/>
    <cellStyle name="Moeda 4 2 2 5 6 2" xfId="51299" xr:uid="{68DB90E4-7E98-4ED1-A48E-EBDCCF23EE89}"/>
    <cellStyle name="Moeda 4 2 2 5 6 3" xfId="54593" xr:uid="{666F462F-6903-4B5A-8874-874334056122}"/>
    <cellStyle name="Moeda 4 2 2 5 6 4" xfId="47991" xr:uid="{9F925AF0-0C45-42BC-AF70-3F59E1DE7C9E}"/>
    <cellStyle name="Moeda 4 2 2 5 7" xfId="1854" xr:uid="{6BC34BAB-265E-476E-AACA-446DF7B2D4CE}"/>
    <cellStyle name="Moeda 4 2 2 5 7 2" xfId="56140" xr:uid="{4EFEB4EE-B9D0-4913-AEDF-996A444738FD}"/>
    <cellStyle name="Moeda 4 2 2 5 7 3" xfId="49660" xr:uid="{CD7D15AE-DA2F-4843-8539-7309BBF107F8}"/>
    <cellStyle name="Moeda 4 2 2 5 8" xfId="52956" xr:uid="{FD09104F-3B10-4EB7-804F-77BEA01E7A2A}"/>
    <cellStyle name="Moeda 4 2 2 5 9" xfId="47453" xr:uid="{6D388B3C-5F5F-4DBC-A524-C08745FE30FF}"/>
    <cellStyle name="Moeda 4 2 2 6" xfId="325" xr:uid="{D45DC73E-DF59-4F34-BEDC-D85E24E736DA}"/>
    <cellStyle name="Moeda 4 2 2 6 2" xfId="1141" xr:uid="{F37E6B18-DDE7-4502-A9A4-52012F6E8E35}"/>
    <cellStyle name="Moeda 4 2 2 6 2 2" xfId="2803" xr:uid="{8AE87E97-4815-4837-B6E3-DF6F6DF5E018}"/>
    <cellStyle name="Moeda 4 2 2 6 2 2 2" xfId="54602" xr:uid="{7F8C2951-A593-4C01-8D66-A66C87D5EA13}"/>
    <cellStyle name="Moeda 4 2 2 6 2 2 3" xfId="51308" xr:uid="{8DBF51D4-8BF1-4D26-A5E5-4AE96E583426}"/>
    <cellStyle name="Moeda 4 2 2 6 2 3" xfId="49669" xr:uid="{CEB65BE4-E39A-406F-8073-E70A7269FD98}"/>
    <cellStyle name="Moeda 4 2 2 6 2 3 2" xfId="57012" xr:uid="{6DF89F65-3602-49BA-BF74-03D949428E17}"/>
    <cellStyle name="Moeda 4 2 2 6 2 4" xfId="52965" xr:uid="{42470049-8AE8-4038-9B42-5675A0DC97FD}"/>
    <cellStyle name="Moeda 4 2 2 6 2 5" xfId="48000" xr:uid="{CA444709-A4F8-456C-8C84-1AE5BA7962BE}"/>
    <cellStyle name="Moeda 4 2 2 6 3" xfId="1547" xr:uid="{C64F0FD2-7764-4E64-9527-7E72FF06E031}"/>
    <cellStyle name="Moeda 4 2 2 6 3 2" xfId="3208" xr:uid="{94A1CB41-E9E7-44AB-8590-7E6758D9A3F7}"/>
    <cellStyle name="Moeda 4 2 2 6 3 2 2" xfId="54603" xr:uid="{1CD4C188-6E48-4F60-A695-CF9F2F06584A}"/>
    <cellStyle name="Moeda 4 2 2 6 3 2 3" xfId="51309" xr:uid="{FFDE8C42-FDEC-4798-A2B4-1E8957E3287E}"/>
    <cellStyle name="Moeda 4 2 2 6 3 3" xfId="49670" xr:uid="{C6AD3031-7C17-45D1-83C5-4B76D772A3DF}"/>
    <cellStyle name="Moeda 4 2 2 6 3 3 2" xfId="57418" xr:uid="{8FCD76E6-B05B-4A31-9101-6245B1E6201E}"/>
    <cellStyle name="Moeda 4 2 2 6 3 4" xfId="52966" xr:uid="{4C78F5A8-E3EA-409D-A1D0-4D5997FC5C31}"/>
    <cellStyle name="Moeda 4 2 2 6 3 5" xfId="48001" xr:uid="{795DF769-BAB4-4FD6-9086-84C2A8E0A487}"/>
    <cellStyle name="Moeda 4 2 2 6 4" xfId="734" xr:uid="{4DA922B5-0A54-4248-8D23-E59FA7C4CF7B}"/>
    <cellStyle name="Moeda 4 2 2 6 4 2" xfId="2450" xr:uid="{E8BA4E84-B5A9-42B6-BC38-74C099AB2885}"/>
    <cellStyle name="Moeda 4 2 2 6 4 2 2" xfId="54604" xr:uid="{AA045209-8E6D-44C4-AD03-FCD293132B4F}"/>
    <cellStyle name="Moeda 4 2 2 6 4 2 3" xfId="51310" xr:uid="{04DB47C1-827A-4045-BF68-6C2D3B89990E}"/>
    <cellStyle name="Moeda 4 2 2 6 4 3" xfId="49671" xr:uid="{47B40A82-5800-431A-8451-01D1E6867B42}"/>
    <cellStyle name="Moeda 4 2 2 6 4 3 2" xfId="56605" xr:uid="{83325109-8436-438A-9BC7-A202B5A1C117}"/>
    <cellStyle name="Moeda 4 2 2 6 4 4" xfId="52967" xr:uid="{485AFBB5-0AEB-4971-A536-5533668B1898}"/>
    <cellStyle name="Moeda 4 2 2 6 4 5" xfId="48002" xr:uid="{44023D6F-7CD7-4DA6-8F16-7459E586EBB0}"/>
    <cellStyle name="Moeda 4 2 2 6 5" xfId="3723" xr:uid="{AEA2FEAA-7AF8-4EEA-81AB-17B8DD60E264}"/>
    <cellStyle name="Moeda 4 2 2 6 5 2" xfId="51307" xr:uid="{847ECEE0-1483-4221-ACB6-3860FA8E6233}"/>
    <cellStyle name="Moeda 4 2 2 6 5 3" xfId="54601" xr:uid="{432CF9E4-00EB-4869-B46E-360BBE41FC87}"/>
    <cellStyle name="Moeda 4 2 2 6 5 4" xfId="47999" xr:uid="{C0E0B8B6-5CE3-4328-B3D6-6F25EE884F58}"/>
    <cellStyle name="Moeda 4 2 2 6 6" xfId="2126" xr:uid="{606B355E-6AE6-4EB9-8DC3-D29E4030775D}"/>
    <cellStyle name="Moeda 4 2 2 6 6 2" xfId="56196" xr:uid="{52AA3B57-51D1-4959-8E3D-F5F8CCC85DA1}"/>
    <cellStyle name="Moeda 4 2 2 6 6 3" xfId="49668" xr:uid="{0BD7F2AD-45E9-4F79-A4FB-6759749A46BE}"/>
    <cellStyle name="Moeda 4 2 2 6 7" xfId="52964" xr:uid="{FED2EDBC-11E1-42E7-B0DB-B297293D9BA0}"/>
    <cellStyle name="Moeda 4 2 2 6 8" xfId="47579" xr:uid="{71ABA68F-6B15-4012-906A-7D4296E98F11}"/>
    <cellStyle name="Moeda 4 2 2 6 9" xfId="4606" xr:uid="{445998E6-B30B-44F3-935D-02C410CAEE9A}"/>
    <cellStyle name="Moeda 4 2 2 7" xfId="952" xr:uid="{CCDA4E9F-AA8A-42D3-B884-50B61F5EC84B}"/>
    <cellStyle name="Moeda 4 2 2 7 2" xfId="2667" xr:uid="{73B2E22D-6B83-4CFA-9FAD-CFD3CCD793FB}"/>
    <cellStyle name="Moeda 4 2 2 7 2 2" xfId="54605" xr:uid="{7E358E02-ED9E-4251-AD35-356A086DD4F6}"/>
    <cellStyle name="Moeda 4 2 2 7 2 3" xfId="51311" xr:uid="{1A2EC994-9D5D-4DFB-9CD0-EEE0C5948634}"/>
    <cellStyle name="Moeda 4 2 2 7 3" xfId="49672" xr:uid="{3623CC43-132E-4788-88E8-FF3F302FC857}"/>
    <cellStyle name="Moeda 4 2 2 7 3 2" xfId="56823" xr:uid="{F725CEF8-4E45-4B7E-A689-A454D3A9DF09}"/>
    <cellStyle name="Moeda 4 2 2 7 4" xfId="52968" xr:uid="{24FE4021-D4AE-44BE-93F3-A8EB1EC05E3A}"/>
    <cellStyle name="Moeda 4 2 2 7 5" xfId="48003" xr:uid="{ECC65B4B-B94B-4556-95AB-ADF6091CAB13}"/>
    <cellStyle name="Moeda 4 2 2 8" xfId="1358" xr:uid="{46214420-7EB2-40F4-8E55-FAEB0E0E5C5E}"/>
    <cellStyle name="Moeda 4 2 2 8 2" xfId="3019" xr:uid="{CE50324E-7A2E-4F87-ABDD-C8AB250A0E38}"/>
    <cellStyle name="Moeda 4 2 2 8 2 2" xfId="54606" xr:uid="{D32BE392-59FC-408A-B41A-4C3C60D7C596}"/>
    <cellStyle name="Moeda 4 2 2 8 2 3" xfId="51312" xr:uid="{4229C27C-CF71-4CEA-BB0D-1BAF49D84D9F}"/>
    <cellStyle name="Moeda 4 2 2 8 3" xfId="49673" xr:uid="{1775FCFE-362E-4572-8699-58BA1BECAD35}"/>
    <cellStyle name="Moeda 4 2 2 8 3 2" xfId="57229" xr:uid="{A9656FCF-CB86-4C3D-B26C-D4962E7668D6}"/>
    <cellStyle name="Moeda 4 2 2 8 4" xfId="52969" xr:uid="{9C40BE45-9BD1-4A7C-B47F-1BD0C0E433EA}"/>
    <cellStyle name="Moeda 4 2 2 8 5" xfId="48004" xr:uid="{8FE9973F-7BB7-4D58-B41D-620AB87FBD4C}"/>
    <cellStyle name="Moeda 4 2 2 9" xfId="545" xr:uid="{A396CFAD-1AA0-45CF-953A-E7BEA153D1FA}"/>
    <cellStyle name="Moeda 4 2 2 9 2" xfId="2261" xr:uid="{01A04A9B-A881-40C3-9603-DEF4F3E45771}"/>
    <cellStyle name="Moeda 4 2 2 9 2 2" xfId="54607" xr:uid="{F2708EA7-8B53-470B-8567-E0FCC9620F62}"/>
    <cellStyle name="Moeda 4 2 2 9 2 3" xfId="51313" xr:uid="{6D89AD49-7969-4990-AEF3-4834DBAB056A}"/>
    <cellStyle name="Moeda 4 2 2 9 3" xfId="49674" xr:uid="{676AA8A1-2DEA-4DB3-AE4D-BEEC3D4307C8}"/>
    <cellStyle name="Moeda 4 2 2 9 3 2" xfId="56416" xr:uid="{E70293A4-6F3E-47E6-83D7-D72C36B0B74E}"/>
    <cellStyle name="Moeda 4 2 2 9 4" xfId="52970" xr:uid="{F40E465A-C602-464C-918C-CC7601D5F3A1}"/>
    <cellStyle name="Moeda 4 2 2 9 5" xfId="48005" xr:uid="{9C0DC715-AF80-4F56-AEAB-7F04BB945B46}"/>
    <cellStyle name="Moeda 4 2 3" xfId="151" xr:uid="{9CDA58DF-D5AA-45BD-8B4B-1612C830468B}"/>
    <cellStyle name="Moeda 4 2 3 10" xfId="1756" xr:uid="{C8EAE859-8275-44EA-9752-366C8E640AD0}"/>
    <cellStyle name="Moeda 4 2 3 10 2" xfId="52971" xr:uid="{45925286-58CC-431F-9804-A64650180F73}"/>
    <cellStyle name="Moeda 4 2 3 11" xfId="12561" xr:uid="{F518256C-2D8D-4210-8AAE-132D8191DECD}"/>
    <cellStyle name="Moeda 4 2 3 12" xfId="4432" xr:uid="{2C9EAC93-5951-44C2-8997-E99F3B0B44D7}"/>
    <cellStyle name="Moeda 4 2 3 2" xfId="230" xr:uid="{A7C60C52-D5C1-4216-8FA6-E97B034A2F8A}"/>
    <cellStyle name="Moeda 4 2 3 2 10" xfId="4511" xr:uid="{1672D55E-F164-4933-920B-CE2D2BE5D842}"/>
    <cellStyle name="Moeda 4 2 3 2 2" xfId="419" xr:uid="{04500822-5535-45C7-9633-D28227979F99}"/>
    <cellStyle name="Moeda 4 2 3 2 2 2" xfId="1235" xr:uid="{F7374B37-B561-4AB4-875B-9D7FE127D7CA}"/>
    <cellStyle name="Moeda 4 2 3 2 2 2 2" xfId="2896" xr:uid="{497B18FB-ACB7-461D-B3BD-3C8D0D227F0B}"/>
    <cellStyle name="Moeda 4 2 3 2 2 2 2 2" xfId="54611" xr:uid="{7AD8E1AC-F085-4008-B9A9-CEDEA4F56887}"/>
    <cellStyle name="Moeda 4 2 3 2 2 2 2 3" xfId="51317" xr:uid="{A68150FB-C713-4894-AFB3-FC1AA2D1DB94}"/>
    <cellStyle name="Moeda 4 2 3 2 2 2 3" xfId="49678" xr:uid="{AC135B2C-EC64-496B-B6E8-B7376ACF90B7}"/>
    <cellStyle name="Moeda 4 2 3 2 2 2 3 2" xfId="57106" xr:uid="{6F5EB863-7E36-4ECA-BBC6-46517A64C333}"/>
    <cellStyle name="Moeda 4 2 3 2 2 2 4" xfId="52974" xr:uid="{2C241EA9-85EA-430A-BCB7-C028B6208098}"/>
    <cellStyle name="Moeda 4 2 3 2 2 2 5" xfId="48009" xr:uid="{8D772933-783C-48A4-B948-3B8546154E30}"/>
    <cellStyle name="Moeda 4 2 3 2 2 3" xfId="1641" xr:uid="{D570FB36-D374-4778-9B20-DB8EF6C1AA53}"/>
    <cellStyle name="Moeda 4 2 3 2 2 3 2" xfId="3301" xr:uid="{C1DF65EA-6C47-4E2B-9716-12084FAC22B8}"/>
    <cellStyle name="Moeda 4 2 3 2 2 3 2 2" xfId="54612" xr:uid="{9F43B6D9-6B2E-431D-B879-C12B3AB50BEA}"/>
    <cellStyle name="Moeda 4 2 3 2 2 3 2 3" xfId="51318" xr:uid="{DEF56BFA-A2A6-4739-A492-7227164E88C0}"/>
    <cellStyle name="Moeda 4 2 3 2 2 3 3" xfId="49679" xr:uid="{FA9F0B6A-DE03-4DA8-895B-3670B8C661E0}"/>
    <cellStyle name="Moeda 4 2 3 2 2 3 3 2" xfId="57512" xr:uid="{9BDBFEE9-D6B3-4097-BBD4-642C5B0FD683}"/>
    <cellStyle name="Moeda 4 2 3 2 2 3 4" xfId="52975" xr:uid="{04611522-299E-4102-A1AC-F7E31FF91942}"/>
    <cellStyle name="Moeda 4 2 3 2 2 3 5" xfId="48010" xr:uid="{2A2457F0-7FA1-4AE5-B407-F2528C27089E}"/>
    <cellStyle name="Moeda 4 2 3 2 2 4" xfId="828" xr:uid="{2826D5AF-FF63-4DA8-8F40-1B00DCABC316}"/>
    <cellStyle name="Moeda 4 2 3 2 2 4 2" xfId="2544" xr:uid="{48F61D06-3842-4EBB-A82A-AFDF5E73D0D3}"/>
    <cellStyle name="Moeda 4 2 3 2 2 4 2 2" xfId="54613" xr:uid="{5B57BFE5-057D-4B6F-8AEA-DF6706D82074}"/>
    <cellStyle name="Moeda 4 2 3 2 2 4 2 3" xfId="51319" xr:uid="{03B5194E-067F-4BC1-960B-7A8D160320F7}"/>
    <cellStyle name="Moeda 4 2 3 2 2 4 3" xfId="49680" xr:uid="{F657B235-A8CB-4733-8B88-32A8198EDC6F}"/>
    <cellStyle name="Moeda 4 2 3 2 2 4 3 2" xfId="56699" xr:uid="{674D49E1-4BB8-4CCF-AF50-D2331862681B}"/>
    <cellStyle name="Moeda 4 2 3 2 2 4 4" xfId="52976" xr:uid="{C008C453-82A1-4812-8549-EF33DBFCD0F2}"/>
    <cellStyle name="Moeda 4 2 3 2 2 4 5" xfId="48011" xr:uid="{BA073D48-A478-4DD9-964D-5308B4EB1300}"/>
    <cellStyle name="Moeda 4 2 3 2 2 5" xfId="3682" xr:uid="{85FB6C1F-7D04-40C4-891D-32F251E76959}"/>
    <cellStyle name="Moeda 4 2 3 2 2 5 2" xfId="51316" xr:uid="{D8CFB553-DEE9-444A-B37C-B0A2F7A7257D}"/>
    <cellStyle name="Moeda 4 2 3 2 2 5 3" xfId="54610" xr:uid="{981D4A74-E23F-43DB-9B04-0A324C4B1EB0}"/>
    <cellStyle name="Moeda 4 2 3 2 2 5 4" xfId="48008" xr:uid="{714215D4-9F8E-4987-A969-0E34F9921581}"/>
    <cellStyle name="Moeda 4 2 3 2 2 6" xfId="2031" xr:uid="{87DD398C-3122-4073-9F3A-9ACA976BCC02}"/>
    <cellStyle name="Moeda 4 2 3 2 2 6 2" xfId="56290" xr:uid="{5AA3BAB6-CCAF-404D-8D7B-B402A6EFD0FA}"/>
    <cellStyle name="Moeda 4 2 3 2 2 6 3" xfId="49677" xr:uid="{41B17084-7496-4BB7-BBA9-C00AD2FB8BB6}"/>
    <cellStyle name="Moeda 4 2 3 2 2 7" xfId="52973" xr:uid="{AAEA420D-4CD3-4220-B06C-267D75839E24}"/>
    <cellStyle name="Moeda 4 2 3 2 2 8" xfId="47396" xr:uid="{62CDFA00-564F-4CBA-AC4A-96C3637FF8F4}"/>
    <cellStyle name="Moeda 4 2 3 2 2 9" xfId="4700" xr:uid="{19D50488-CC86-4083-83E6-E62205F2C22A}"/>
    <cellStyle name="Moeda 4 2 3 2 3" xfId="1046" xr:uid="{4415EDF3-5DC7-4197-9B9B-34D8CAFBC98C}"/>
    <cellStyle name="Moeda 4 2 3 2 3 2" xfId="3573" xr:uid="{3E403C9C-57BB-4D19-9ADB-EE0656FA8752}"/>
    <cellStyle name="Moeda 4 2 3 2 3 2 2" xfId="51320" xr:uid="{F024CE7A-F9B1-4E09-BDD5-35630757379B}"/>
    <cellStyle name="Moeda 4 2 3 2 3 2 3" xfId="54614" xr:uid="{41AE9ED7-D6A2-4E6E-BE5F-7C3A7766263C}"/>
    <cellStyle name="Moeda 4 2 3 2 3 2 4" xfId="48012" xr:uid="{73787188-00FD-4D9E-8905-A1DFC489F849}"/>
    <cellStyle name="Moeda 4 2 3 2 3 3" xfId="1922" xr:uid="{E1F3AB74-257F-496C-9915-6C7E5AA97AE5}"/>
    <cellStyle name="Moeda 4 2 3 2 3 3 2" xfId="56917" xr:uid="{7D293779-28A5-4BBB-A6FF-924E36441603}"/>
    <cellStyle name="Moeda 4 2 3 2 3 3 3" xfId="49681" xr:uid="{F4BF969E-13BE-4CB5-A7D9-957ECB9DC89B}"/>
    <cellStyle name="Moeda 4 2 3 2 3 4" xfId="52977" xr:uid="{0EE27DC9-5BCB-4EDB-87CA-D6A5E66401A7}"/>
    <cellStyle name="Moeda 4 2 3 2 3 5" xfId="47522" xr:uid="{F9C756FE-7CDC-4AE6-B856-AE2CBDBB6E70}"/>
    <cellStyle name="Moeda 4 2 3 2 4" xfId="1452" xr:uid="{564D946D-34BA-4F37-A4D2-8C417F511EC0}"/>
    <cellStyle name="Moeda 4 2 3 2 4 2" xfId="3791" xr:uid="{593D86D7-68F6-4D99-9F82-19E53B66A04F}"/>
    <cellStyle name="Moeda 4 2 3 2 4 2 2" xfId="51321" xr:uid="{65659256-305C-48FA-9EBB-B60841EC891C}"/>
    <cellStyle name="Moeda 4 2 3 2 4 2 3" xfId="54615" xr:uid="{DCFD91CC-2EAB-4DC8-A641-9044B06F00E9}"/>
    <cellStyle name="Moeda 4 2 3 2 4 2 4" xfId="48013" xr:uid="{ECC77480-4880-4692-B1F9-364D3D53F5E4}"/>
    <cellStyle name="Moeda 4 2 3 2 4 3" xfId="3113" xr:uid="{E40FE5DD-BE29-4C61-A350-D2690124A27C}"/>
    <cellStyle name="Moeda 4 2 3 2 4 3 2" xfId="57323" xr:uid="{3E4C94E2-CE6E-4FA5-9132-D5F1836CF938}"/>
    <cellStyle name="Moeda 4 2 3 2 4 3 3" xfId="49682" xr:uid="{541622BA-88B3-4567-AE4E-F07D7285805C}"/>
    <cellStyle name="Moeda 4 2 3 2 4 4" xfId="52978" xr:uid="{3F5E0FE5-619B-4A8C-8A02-7F640D3CE85A}"/>
    <cellStyle name="Moeda 4 2 3 2 4 5" xfId="47648" xr:uid="{180D8C2A-FE2B-4AAE-9D48-389590C52FA1}"/>
    <cellStyle name="Moeda 4 2 3 2 5" xfId="639" xr:uid="{79D1206A-3906-4228-8409-5BE5B12115EC}"/>
    <cellStyle name="Moeda 4 2 3 2 5 2" xfId="2355" xr:uid="{6912F7E2-DB7E-4699-9AF9-D2E9703BA0B4}"/>
    <cellStyle name="Moeda 4 2 3 2 5 2 2" xfId="54616" xr:uid="{14173AAE-1C37-4098-853D-5AF47BA8B09F}"/>
    <cellStyle name="Moeda 4 2 3 2 5 2 3" xfId="51322" xr:uid="{02CB5618-A0BE-4DFB-92F2-D4093B54F16D}"/>
    <cellStyle name="Moeda 4 2 3 2 5 3" xfId="49683" xr:uid="{193489EA-7CF8-4645-A1A5-5F2783E3813D}"/>
    <cellStyle name="Moeda 4 2 3 2 5 3 2" xfId="56510" xr:uid="{565CE65D-BF82-4221-8B0E-0EAC2797BF88}"/>
    <cellStyle name="Moeda 4 2 3 2 5 4" xfId="52979" xr:uid="{3904D9D7-650D-4D06-8870-854DC4723091}"/>
    <cellStyle name="Moeda 4 2 3 2 5 5" xfId="48014" xr:uid="{F7AA4EF5-E497-47E0-8FDA-0CC710D6AEC0}"/>
    <cellStyle name="Moeda 4 2 3 2 6" xfId="3463" xr:uid="{7857F213-8F02-49AE-911E-AFD6447DE713}"/>
    <cellStyle name="Moeda 4 2 3 2 6 2" xfId="51315" xr:uid="{E23FA7E2-DAA4-4B32-AE1A-C2B298229278}"/>
    <cellStyle name="Moeda 4 2 3 2 6 3" xfId="54609" xr:uid="{202B87ED-3C2A-4903-B1FB-45A6E3690FC5}"/>
    <cellStyle name="Moeda 4 2 3 2 6 4" xfId="48007" xr:uid="{07EF1806-50FE-4ECC-A89D-0858A9666907}"/>
    <cellStyle name="Moeda 4 2 3 2 7" xfId="4134" xr:uid="{02155B84-FC61-4624-8FDB-8872FA9E4775}"/>
    <cellStyle name="Moeda 4 2 3 2 7 2" xfId="56101" xr:uid="{A02611AA-595E-4776-9CB1-7F81B42DA604}"/>
    <cellStyle name="Moeda 4 2 3 2 7 3" xfId="49676" xr:uid="{57A8EA9E-72BB-4FEC-B946-D22454128C10}"/>
    <cellStyle name="Moeda 4 2 3 2 8" xfId="1812" xr:uid="{6BC6FCAF-9D39-4C29-B27D-B9A9CE131C98}"/>
    <cellStyle name="Moeda 4 2 3 2 8 2" xfId="52972" xr:uid="{29AB302B-B0D7-4343-BE72-F6441F2ABCE5}"/>
    <cellStyle name="Moeda 4 2 3 2 9" xfId="32902" xr:uid="{D03F5B06-A71A-40B7-8C14-1F5596238872}"/>
    <cellStyle name="Moeda 4 2 3 3" xfId="282" xr:uid="{F33F1CBA-2A4D-4F21-9D34-D32602BDDA17}"/>
    <cellStyle name="Moeda 4 2 3 3 10" xfId="4563" xr:uid="{98708FF6-B250-452E-B39F-3C5A0B8A4930}"/>
    <cellStyle name="Moeda 4 2 3 3 2" xfId="471" xr:uid="{383479F4-57DE-4AC1-AB1A-5CBA769CF8AF}"/>
    <cellStyle name="Moeda 4 2 3 3 2 2" xfId="1287" xr:uid="{8EB93E9C-05AA-4BDA-85F2-335FFEDEBFE6}"/>
    <cellStyle name="Moeda 4 2 3 3 2 2 2" xfId="2948" xr:uid="{1674C6FC-3BC8-461E-A6C1-86A4300CB213}"/>
    <cellStyle name="Moeda 4 2 3 3 2 2 2 2" xfId="54619" xr:uid="{DFF05552-0328-4601-92D7-A1E2219FDA8C}"/>
    <cellStyle name="Moeda 4 2 3 3 2 2 2 3" xfId="51325" xr:uid="{2E7D3636-7976-4E14-93F9-1C4ECC116D64}"/>
    <cellStyle name="Moeda 4 2 3 3 2 2 3" xfId="49686" xr:uid="{02ED3E15-E546-4BB0-A3AC-01BAD8F29553}"/>
    <cellStyle name="Moeda 4 2 3 3 2 2 3 2" xfId="57158" xr:uid="{DC0D8A15-F7A8-4BDC-B95A-4A807B035A27}"/>
    <cellStyle name="Moeda 4 2 3 3 2 2 4" xfId="52982" xr:uid="{DEA39CBD-C23C-470A-966A-7C44A5B6D9E1}"/>
    <cellStyle name="Moeda 4 2 3 3 2 2 5" xfId="48017" xr:uid="{2FF01201-D1E6-46EF-B111-1C3B744A6248}"/>
    <cellStyle name="Moeda 4 2 3 3 2 3" xfId="1693" xr:uid="{6E7EC08F-6450-41EB-A616-38A3A5422773}"/>
    <cellStyle name="Moeda 4 2 3 3 2 3 2" xfId="3353" xr:uid="{BD1AD355-FCC0-4829-957C-021FF754B31D}"/>
    <cellStyle name="Moeda 4 2 3 3 2 3 2 2" xfId="54620" xr:uid="{D2E3651D-5E34-4403-8B87-0230E146BB4E}"/>
    <cellStyle name="Moeda 4 2 3 3 2 3 2 3" xfId="51326" xr:uid="{5437F4DB-ED40-48E6-BC72-A4AAC549E221}"/>
    <cellStyle name="Moeda 4 2 3 3 2 3 3" xfId="49687" xr:uid="{8D981F0B-0E25-46E7-84EF-B29628FF0436}"/>
    <cellStyle name="Moeda 4 2 3 3 2 3 3 2" xfId="57564" xr:uid="{A6B9741D-B6EA-4117-A0C8-5ED3ED378513}"/>
    <cellStyle name="Moeda 4 2 3 3 2 3 4" xfId="52983" xr:uid="{D2A7CC23-CBCF-4FE5-9C5D-CD86F80EE346}"/>
    <cellStyle name="Moeda 4 2 3 3 2 3 5" xfId="48018" xr:uid="{72C6E3D5-80F8-49D7-BF0B-234A41EC03AE}"/>
    <cellStyle name="Moeda 4 2 3 3 2 4" xfId="880" xr:uid="{D48DF3AC-D7E7-41F0-AAFF-6A82F77DC310}"/>
    <cellStyle name="Moeda 4 2 3 3 2 4 2" xfId="2596" xr:uid="{8F18D5FC-E7D9-4625-9329-A38247EEF2F6}"/>
    <cellStyle name="Moeda 4 2 3 3 2 4 2 2" xfId="54621" xr:uid="{D48A0C05-8B86-49D3-9FD0-F8C3A201DD34}"/>
    <cellStyle name="Moeda 4 2 3 3 2 4 2 3" xfId="51327" xr:uid="{CFD4557D-B34F-41B4-A809-9E9F078DB541}"/>
    <cellStyle name="Moeda 4 2 3 3 2 4 3" xfId="49688" xr:uid="{E2EAD73D-8BC5-4612-A2D5-426EE298E042}"/>
    <cellStyle name="Moeda 4 2 3 3 2 4 3 2" xfId="56751" xr:uid="{591A5C7F-EBBB-4E7C-A6C4-6527CDEBB2D9}"/>
    <cellStyle name="Moeda 4 2 3 3 2 4 4" xfId="52984" xr:uid="{9F853C6E-CA41-4363-A201-51379B5AA73E}"/>
    <cellStyle name="Moeda 4 2 3 3 2 4 5" xfId="48019" xr:uid="{9DA7F270-D2C4-4D83-A805-3AC4FA61D959}"/>
    <cellStyle name="Moeda 4 2 3 3 2 5" xfId="2188" xr:uid="{FB0F93D6-3500-432D-9D3B-8CCCE1BCF592}"/>
    <cellStyle name="Moeda 4 2 3 3 2 5 2" xfId="54618" xr:uid="{30FD76B3-96A2-4EC9-8CD0-67ACA06A06CA}"/>
    <cellStyle name="Moeda 4 2 3 3 2 5 3" xfId="51324" xr:uid="{3BD84095-87A7-48AC-B1BD-237611FEBA83}"/>
    <cellStyle name="Moeda 4 2 3 3 2 6" xfId="49685" xr:uid="{1C462AC0-6447-4009-84F5-B1152CAADD9F}"/>
    <cellStyle name="Moeda 4 2 3 3 2 6 2" xfId="56342" xr:uid="{D071A908-9617-442B-8367-F3F91C5D37F0}"/>
    <cellStyle name="Moeda 4 2 3 3 2 7" xfId="52981" xr:uid="{989250E7-FF86-4B3D-8ADA-166A91CE0C61}"/>
    <cellStyle name="Moeda 4 2 3 3 2 8" xfId="48016" xr:uid="{6EA027FB-2F78-4062-93DA-1F7751E63123}"/>
    <cellStyle name="Moeda 4 2 3 3 2 9" xfId="4752" xr:uid="{BECD7D16-554B-4C6E-BA86-5E45AF04173A}"/>
    <cellStyle name="Moeda 4 2 3 3 3" xfId="1098" xr:uid="{1F34A9E8-ED9A-4A1A-9128-44B3AEEFC6EC}"/>
    <cellStyle name="Moeda 4 2 3 3 3 2" xfId="2761" xr:uid="{DCC638C6-20D9-40F3-A02C-8089B66DB475}"/>
    <cellStyle name="Moeda 4 2 3 3 3 2 2" xfId="54622" xr:uid="{A4277D77-AD66-455D-A083-497F15C82809}"/>
    <cellStyle name="Moeda 4 2 3 3 3 2 3" xfId="51328" xr:uid="{CE2C2F03-D662-4372-88BB-C730B6BFD07F}"/>
    <cellStyle name="Moeda 4 2 3 3 3 3" xfId="49689" xr:uid="{05F602BF-4DAD-4F18-BB7D-57C406DD98DE}"/>
    <cellStyle name="Moeda 4 2 3 3 3 3 2" xfId="56969" xr:uid="{7512698F-A26A-49F3-9732-E463F3CDD2FB}"/>
    <cellStyle name="Moeda 4 2 3 3 3 4" xfId="52985" xr:uid="{119D7DE6-58C3-48DB-B271-0A13781B1DA3}"/>
    <cellStyle name="Moeda 4 2 3 3 3 5" xfId="48020" xr:uid="{394CB256-EA57-4145-9AC6-B77E5AECFBB7}"/>
    <cellStyle name="Moeda 4 2 3 3 4" xfId="1504" xr:uid="{6E4A854E-FE15-48C4-A29E-D944799236C4}"/>
    <cellStyle name="Moeda 4 2 3 3 4 2" xfId="3165" xr:uid="{AAEEF08A-210E-4CCD-BD15-71B48A54A163}"/>
    <cellStyle name="Moeda 4 2 3 3 4 2 2" xfId="54623" xr:uid="{745B978B-7873-48D3-BC88-A6037DB9257B}"/>
    <cellStyle name="Moeda 4 2 3 3 4 2 3" xfId="51329" xr:uid="{170BB2F1-BE5E-4BCF-9EA7-68104BE63060}"/>
    <cellStyle name="Moeda 4 2 3 3 4 3" xfId="49690" xr:uid="{E8244B3B-3A22-41C1-BF94-B8D92F2C2E30}"/>
    <cellStyle name="Moeda 4 2 3 3 4 3 2" xfId="57375" xr:uid="{199575BB-BEA2-4B19-97CA-3123BAF0608D}"/>
    <cellStyle name="Moeda 4 2 3 3 4 4" xfId="52986" xr:uid="{89F9AC8F-012D-4A4F-BA68-AB6C054C6C2A}"/>
    <cellStyle name="Moeda 4 2 3 3 4 5" xfId="48021" xr:uid="{23F52FBE-DE36-4B97-9916-8FA800A39D7F}"/>
    <cellStyle name="Moeda 4 2 3 3 5" xfId="691" xr:uid="{8EB831D7-9CE8-46EE-B3CA-435065415EB5}"/>
    <cellStyle name="Moeda 4 2 3 3 5 2" xfId="2407" xr:uid="{002DEB47-E12D-4C3B-8A96-685C9DF31B85}"/>
    <cellStyle name="Moeda 4 2 3 3 5 2 2" xfId="54624" xr:uid="{7001F578-66D1-4052-B019-B2ED309B1604}"/>
    <cellStyle name="Moeda 4 2 3 3 5 2 3" xfId="51330" xr:uid="{EC45C1FD-40D8-4B51-91E2-1F425A563F0F}"/>
    <cellStyle name="Moeda 4 2 3 3 5 3" xfId="49691" xr:uid="{D93F920D-3853-49F3-ADFC-CA894B8A5336}"/>
    <cellStyle name="Moeda 4 2 3 3 5 3 2" xfId="56562" xr:uid="{DF9C214F-6BD8-4DA5-9C3A-3C03ADFBDE2D}"/>
    <cellStyle name="Moeda 4 2 3 3 5 4" xfId="52987" xr:uid="{CFAEC377-7294-4110-8BC8-A6ADB78ACC72}"/>
    <cellStyle name="Moeda 4 2 3 3 5 5" xfId="48022" xr:uid="{9A0DA0AE-D523-470B-9FAB-55B34C39480C}"/>
    <cellStyle name="Moeda 4 2 3 3 6" xfId="3627" xr:uid="{90205231-87C7-4796-8C3E-4BF081272B78}"/>
    <cellStyle name="Moeda 4 2 3 3 6 2" xfId="51323" xr:uid="{A78034B6-381E-48DC-A239-1F85780DB123}"/>
    <cellStyle name="Moeda 4 2 3 3 6 3" xfId="54617" xr:uid="{6F0C7351-E6BF-4A56-A645-5A9F8B78C5A8}"/>
    <cellStyle name="Moeda 4 2 3 3 6 4" xfId="48015" xr:uid="{3FF1ED4F-307A-41B0-BBAE-07CB2A572574}"/>
    <cellStyle name="Moeda 4 2 3 3 7" xfId="4306" xr:uid="{E702894F-F15C-4A7F-9A33-C6CBA1FB87D0}"/>
    <cellStyle name="Moeda 4 2 3 3 7 2" xfId="56153" xr:uid="{185F97E5-F6B2-4EFC-B180-FA39A19545D4}"/>
    <cellStyle name="Moeda 4 2 3 3 7 3" xfId="49684" xr:uid="{22CA8549-64DD-4292-B536-4FD99507D2BB}"/>
    <cellStyle name="Moeda 4 2 3 3 8" xfId="1976" xr:uid="{B0830DFC-847C-4BB0-BC64-6399EA433E3C}"/>
    <cellStyle name="Moeda 4 2 3 3 8 2" xfId="52980" xr:uid="{3BF1A7E4-D634-418E-8A20-B14C3F6D4FCA}"/>
    <cellStyle name="Moeda 4 2 3 3 9" xfId="47340" xr:uid="{437D0273-3CEE-4698-B8B8-0CEAD180B557}"/>
    <cellStyle name="Moeda 4 2 3 4" xfId="340" xr:uid="{EEB60563-7C69-44ED-99D6-F3E0A67B2A53}"/>
    <cellStyle name="Moeda 4 2 3 4 2" xfId="1156" xr:uid="{AF06820E-99A6-4DD0-A87B-9770294282CE}"/>
    <cellStyle name="Moeda 4 2 3 4 2 2" xfId="2817" xr:uid="{1977FD1A-6755-468F-BF28-C619F4527303}"/>
    <cellStyle name="Moeda 4 2 3 4 2 2 2" xfId="54626" xr:uid="{DA1B1967-9484-4165-A5E6-DABE26593DAA}"/>
    <cellStyle name="Moeda 4 2 3 4 2 2 3" xfId="51332" xr:uid="{375C85FD-CC7C-42BC-9B60-9598959E3EE3}"/>
    <cellStyle name="Moeda 4 2 3 4 2 3" xfId="49693" xr:uid="{40C3337F-1737-402E-A519-97A1FC3766B8}"/>
    <cellStyle name="Moeda 4 2 3 4 2 3 2" xfId="57027" xr:uid="{0FBB40B3-375F-40D3-933E-66E76E79D355}"/>
    <cellStyle name="Moeda 4 2 3 4 2 4" xfId="52989" xr:uid="{0A72020A-51C1-4927-8CB8-5FBEDC20AD01}"/>
    <cellStyle name="Moeda 4 2 3 4 2 5" xfId="48024" xr:uid="{0FC2158A-DFC2-4D46-AAC8-841F3396ACE3}"/>
    <cellStyle name="Moeda 4 2 3 4 3" xfId="1562" xr:uid="{BC1E0A20-35E4-47EA-ABEF-D8B2E01BC4A1}"/>
    <cellStyle name="Moeda 4 2 3 4 3 2" xfId="3222" xr:uid="{940E1D5E-1C56-4B49-9717-0C9BB60CC79E}"/>
    <cellStyle name="Moeda 4 2 3 4 3 2 2" xfId="54627" xr:uid="{1207B7E7-4D6F-45F3-BE6F-289F775A0C80}"/>
    <cellStyle name="Moeda 4 2 3 4 3 2 3" xfId="51333" xr:uid="{79164D56-AD2D-49A9-980C-A7C8D0B6F0E0}"/>
    <cellStyle name="Moeda 4 2 3 4 3 3" xfId="49694" xr:uid="{C7CA3E18-0901-4627-9161-21D3B47A8AC9}"/>
    <cellStyle name="Moeda 4 2 3 4 3 3 2" xfId="57433" xr:uid="{7C4A2D18-1543-486F-91AF-2010E77F453C}"/>
    <cellStyle name="Moeda 4 2 3 4 3 4" xfId="52990" xr:uid="{73629394-5FB7-4A5D-B8E1-A6141F76869C}"/>
    <cellStyle name="Moeda 4 2 3 4 3 5" xfId="48025" xr:uid="{00A176F5-871E-43B5-A2D3-C76FBE5BBC55}"/>
    <cellStyle name="Moeda 4 2 3 4 4" xfId="749" xr:uid="{051BCC84-E5F9-44B3-A693-94AC9DB7EBC9}"/>
    <cellStyle name="Moeda 4 2 3 4 4 2" xfId="2465" xr:uid="{1F83D883-826A-4998-BF98-E2BDC07FB7F1}"/>
    <cellStyle name="Moeda 4 2 3 4 4 2 2" xfId="54628" xr:uid="{05A96EE2-D604-48BB-ADDE-AE6912A593F6}"/>
    <cellStyle name="Moeda 4 2 3 4 4 2 3" xfId="51334" xr:uid="{E8D608DD-CB66-413C-9574-6C70C0733D05}"/>
    <cellStyle name="Moeda 4 2 3 4 4 3" xfId="49695" xr:uid="{F8652F3D-49E6-4A7A-9680-AD2BA0383E21}"/>
    <cellStyle name="Moeda 4 2 3 4 4 3 2" xfId="56620" xr:uid="{C3DCAE32-ACB6-4EF1-8DF3-DFD62F90D08D}"/>
    <cellStyle name="Moeda 4 2 3 4 4 4" xfId="52991" xr:uid="{1A916411-8540-492C-B8AC-1D82412E7B71}"/>
    <cellStyle name="Moeda 4 2 3 4 4 5" xfId="48026" xr:uid="{CA87FFB1-5038-48FB-A70B-4B824A4DD06D}"/>
    <cellStyle name="Moeda 4 2 3 4 5" xfId="3518" xr:uid="{5B18C361-265B-46E2-BDC2-09B59B2C3103}"/>
    <cellStyle name="Moeda 4 2 3 4 5 2" xfId="51331" xr:uid="{21B86AA4-A5BD-4F84-9D3F-A8595A49CAF0}"/>
    <cellStyle name="Moeda 4 2 3 4 5 3" xfId="54625" xr:uid="{9FEC9E56-6DBB-47BD-9E66-41F07E9752BA}"/>
    <cellStyle name="Moeda 4 2 3 4 5 4" xfId="48023" xr:uid="{ACD44819-6972-4688-9629-205CA9778017}"/>
    <cellStyle name="Moeda 4 2 3 4 6" xfId="1867" xr:uid="{2FBBAAD7-27FA-4B10-A6D2-0C0A6A69E14E}"/>
    <cellStyle name="Moeda 4 2 3 4 6 2" xfId="56211" xr:uid="{F13025BC-BB0D-4FE1-835B-3B280C568E85}"/>
    <cellStyle name="Moeda 4 2 3 4 6 3" xfId="49692" xr:uid="{4A8AF116-A415-4C3C-9C84-AF2E4B308DA4}"/>
    <cellStyle name="Moeda 4 2 3 4 7" xfId="52988" xr:uid="{DE30F846-7AB1-4412-939B-F07E61DCB631}"/>
    <cellStyle name="Moeda 4 2 3 4 8" xfId="47466" xr:uid="{D0032E01-C6A9-413B-9D6B-852EDA256A4A}"/>
    <cellStyle name="Moeda 4 2 3 4 9" xfId="4621" xr:uid="{1B542D15-8AF8-430D-AA57-BB5DCDB98151}"/>
    <cellStyle name="Moeda 4 2 3 5" xfId="967" xr:uid="{3A47EAF4-646A-44A4-9C85-BC0D054BA973}"/>
    <cellStyle name="Moeda 4 2 3 5 2" xfId="3736" xr:uid="{2B5AB2CF-C5AB-4A8E-AED6-FA32333964D0}"/>
    <cellStyle name="Moeda 4 2 3 5 2 2" xfId="51335" xr:uid="{1D84DC48-1463-49BF-9CC5-F2D59D6F8067}"/>
    <cellStyle name="Moeda 4 2 3 5 2 3" xfId="54629" xr:uid="{2560654F-5A9A-412B-A479-B5C0D01716F9}"/>
    <cellStyle name="Moeda 4 2 3 5 2 4" xfId="48027" xr:uid="{80EB3E07-2275-48DB-BD3C-0F2C7CC6A2A4}"/>
    <cellStyle name="Moeda 4 2 3 5 3" xfId="2682" xr:uid="{48F0C5F6-C6FB-4A31-A887-F5DDFA6C0701}"/>
    <cellStyle name="Moeda 4 2 3 5 3 2" xfId="56838" xr:uid="{DE351A1D-B945-4B3C-A1DD-0B69B8A10A81}"/>
    <cellStyle name="Moeda 4 2 3 5 3 3" xfId="49696" xr:uid="{FE87C45C-2485-4A9E-B45B-3EE2CFF3D1DD}"/>
    <cellStyle name="Moeda 4 2 3 5 4" xfId="52992" xr:uid="{E8C54A9B-1F55-480D-A4F5-6496344D6069}"/>
    <cellStyle name="Moeda 4 2 3 5 5" xfId="47592" xr:uid="{C6B26AC4-6BC9-47BC-AD3E-CFD0AB0C74B9}"/>
    <cellStyle name="Moeda 4 2 3 6" xfId="1373" xr:uid="{2557EF94-2FDC-4D02-81B3-FC2654085CDF}"/>
    <cellStyle name="Moeda 4 2 3 6 2" xfId="3034" xr:uid="{02012942-52C2-4F50-877F-13C36C911555}"/>
    <cellStyle name="Moeda 4 2 3 6 2 2" xfId="54630" xr:uid="{0BFBA73D-AB8E-4C98-808A-0BD2D48AA262}"/>
    <cellStyle name="Moeda 4 2 3 6 2 3" xfId="51336" xr:uid="{AE466C37-7668-4654-A240-DAFFBB7D2BBE}"/>
    <cellStyle name="Moeda 4 2 3 6 3" xfId="49697" xr:uid="{94E4BE06-1E96-4A90-800B-768A17E96A88}"/>
    <cellStyle name="Moeda 4 2 3 6 3 2" xfId="57244" xr:uid="{14B75A69-11C7-40AE-933F-A4757803ACBE}"/>
    <cellStyle name="Moeda 4 2 3 6 4" xfId="52993" xr:uid="{DDB42822-9D17-4A76-9EF1-63FAF86D1AEE}"/>
    <cellStyle name="Moeda 4 2 3 6 5" xfId="48028" xr:uid="{A0AD74A0-3477-47B7-8720-5C8ACB18DCB6}"/>
    <cellStyle name="Moeda 4 2 3 7" xfId="560" xr:uid="{27E2C887-B2F5-427F-886E-8E31A14A4B79}"/>
    <cellStyle name="Moeda 4 2 3 7 2" xfId="2276" xr:uid="{BFFCBD36-E96C-45AE-BE69-F6B965DB41F1}"/>
    <cellStyle name="Moeda 4 2 3 7 2 2" xfId="54631" xr:uid="{19AA7BF4-D417-46D4-9010-726B9B6AE1C2}"/>
    <cellStyle name="Moeda 4 2 3 7 2 3" xfId="51337" xr:uid="{88201245-2CFA-462D-B63A-3D9E8F001AAB}"/>
    <cellStyle name="Moeda 4 2 3 7 3" xfId="49698" xr:uid="{69C092D4-D87C-4C24-BE94-3790100FC4A9}"/>
    <cellStyle name="Moeda 4 2 3 7 3 2" xfId="56431" xr:uid="{C6BB967F-3C06-427D-A803-98AA8B56DFCE}"/>
    <cellStyle name="Moeda 4 2 3 7 4" xfId="52994" xr:uid="{F95D5394-A909-440E-A4F3-3AF2E70C3192}"/>
    <cellStyle name="Moeda 4 2 3 7 5" xfId="48029" xr:uid="{FE0C7119-258B-46A3-B2D0-F74F005CDA3F}"/>
    <cellStyle name="Moeda 4 2 3 8" xfId="3408" xr:uid="{172A92AF-015A-47D5-94FD-F9DAC531FB0A}"/>
    <cellStyle name="Moeda 4 2 3 8 2" xfId="51314" xr:uid="{AE26F199-89C6-4EF3-95D0-6676BA0E552A}"/>
    <cellStyle name="Moeda 4 2 3 8 3" xfId="54608" xr:uid="{D078A9AA-343D-4EB0-9412-1624AB7E2D51}"/>
    <cellStyle name="Moeda 4 2 3 8 4" xfId="48006" xr:uid="{7EA783A7-1629-48FA-84D5-4D42E924F98A}"/>
    <cellStyle name="Moeda 4 2 3 9" xfId="3962" xr:uid="{C6D95B55-BB05-49E7-AA8A-6D5E5BC522F4}"/>
    <cellStyle name="Moeda 4 2 3 9 2" xfId="56022" xr:uid="{971DFEC7-EF4D-4935-A302-A29BECB23D2F}"/>
    <cellStyle name="Moeda 4 2 3 9 3" xfId="49675" xr:uid="{32F45250-85AC-4E4D-810E-F1D8B571F45B}"/>
    <cellStyle name="Moeda 4 2 4" xfId="178" xr:uid="{D1606050-B446-4C71-8669-59CAB677DAA2}"/>
    <cellStyle name="Moeda 4 2 4 10" xfId="4459" xr:uid="{D7391BEF-32A1-409B-9985-AC4A1691B48B}"/>
    <cellStyle name="Moeda 4 2 4 2" xfId="367" xr:uid="{B6F99690-15C9-4791-B6FC-01C4D4E8CCD3}"/>
    <cellStyle name="Moeda 4 2 4 2 2" xfId="1183" xr:uid="{540DDA32-0348-45FF-97BD-D0E6727E1CC6}"/>
    <cellStyle name="Moeda 4 2 4 2 2 2" xfId="2844" xr:uid="{9F4BED04-23E8-44E7-9C67-ACE81B9DE413}"/>
    <cellStyle name="Moeda 4 2 4 2 2 2 2" xfId="54634" xr:uid="{6307E056-6EC0-4A3F-966D-6F8180CE6C9B}"/>
    <cellStyle name="Moeda 4 2 4 2 2 2 3" xfId="51340" xr:uid="{96C06269-CEE5-4D72-A3A6-5BEE64739FDB}"/>
    <cellStyle name="Moeda 4 2 4 2 2 3" xfId="49701" xr:uid="{2491F49B-F8EE-4EFC-8D65-2CBE5B5CB31B}"/>
    <cellStyle name="Moeda 4 2 4 2 2 3 2" xfId="57054" xr:uid="{54F9F279-F9CF-429C-9B1D-67F9B368F498}"/>
    <cellStyle name="Moeda 4 2 4 2 2 4" xfId="52997" xr:uid="{0B1BCD48-CAF1-4161-8A24-4F3BB41AE756}"/>
    <cellStyle name="Moeda 4 2 4 2 2 5" xfId="48032" xr:uid="{0693EEFB-8ACA-409B-8646-14279930E93A}"/>
    <cellStyle name="Moeda 4 2 4 2 3" xfId="1589" xr:uid="{7E91AD70-997A-43DE-BD74-04364D164548}"/>
    <cellStyle name="Moeda 4 2 4 2 3 2" xfId="3249" xr:uid="{DEA8780F-32B7-4B02-9BCC-F16AFE8CDA6D}"/>
    <cellStyle name="Moeda 4 2 4 2 3 2 2" xfId="54635" xr:uid="{D60B66B3-4CF2-411F-98C2-E1B7A073D13A}"/>
    <cellStyle name="Moeda 4 2 4 2 3 2 3" xfId="51341" xr:uid="{001130BE-F5FE-4457-B297-003E591816DD}"/>
    <cellStyle name="Moeda 4 2 4 2 3 3" xfId="49702" xr:uid="{BBC7AAB3-1D0C-45D7-A0BC-C70759EB9DA4}"/>
    <cellStyle name="Moeda 4 2 4 2 3 3 2" xfId="57460" xr:uid="{3C88BC8C-173B-4835-AEBB-33E172AA4D8B}"/>
    <cellStyle name="Moeda 4 2 4 2 3 4" xfId="52998" xr:uid="{9AD4D99A-4AF2-4A7F-8DAE-F82B96C1A3A4}"/>
    <cellStyle name="Moeda 4 2 4 2 3 5" xfId="48033" xr:uid="{D5ACAAE7-7596-47C9-8588-36495EC1FD90}"/>
    <cellStyle name="Moeda 4 2 4 2 4" xfId="776" xr:uid="{F56980B3-C966-43FA-BA53-94F045D8AD25}"/>
    <cellStyle name="Moeda 4 2 4 2 4 2" xfId="2492" xr:uid="{DD99700D-7EB5-4CFB-805D-DCA0C4A1CA08}"/>
    <cellStyle name="Moeda 4 2 4 2 4 2 2" xfId="54636" xr:uid="{E6DCFC55-F14D-4519-AED3-A97CAE3745C2}"/>
    <cellStyle name="Moeda 4 2 4 2 4 2 3" xfId="51342" xr:uid="{DB82353C-7989-4DBD-B7D0-F8BBC5DCC3D5}"/>
    <cellStyle name="Moeda 4 2 4 2 4 3" xfId="49703" xr:uid="{678EE4CD-BE8C-4037-959B-2C90A51131BC}"/>
    <cellStyle name="Moeda 4 2 4 2 4 3 2" xfId="56647" xr:uid="{5208C1F5-A8CB-42D1-8948-D304816CACB2}"/>
    <cellStyle name="Moeda 4 2 4 2 4 4" xfId="52999" xr:uid="{1113C78B-9BCE-4466-B619-809B5A86C71A}"/>
    <cellStyle name="Moeda 4 2 4 2 4 5" xfId="48034" xr:uid="{A42D21CE-F506-4067-938F-781292A1206C}"/>
    <cellStyle name="Moeda 4 2 4 2 5" xfId="3656" xr:uid="{C496EDDA-9DEF-4D63-ADA9-FE73AA38B514}"/>
    <cellStyle name="Moeda 4 2 4 2 5 2" xfId="51339" xr:uid="{FA324066-3024-4576-B469-5683BD3DB4B6}"/>
    <cellStyle name="Moeda 4 2 4 2 5 3" xfId="54633" xr:uid="{183B7E27-A143-4F64-A645-316801CCFD04}"/>
    <cellStyle name="Moeda 4 2 4 2 5 4" xfId="48031" xr:uid="{868EA029-BF3D-4E48-A64E-48D9F061C0A5}"/>
    <cellStyle name="Moeda 4 2 4 2 6" xfId="2005" xr:uid="{E4A288BB-EF84-4775-AC30-46FACC52EB48}"/>
    <cellStyle name="Moeda 4 2 4 2 6 2" xfId="56238" xr:uid="{842E560E-1EB6-45A7-9EC0-FB718CF0DA09}"/>
    <cellStyle name="Moeda 4 2 4 2 6 3" xfId="49700" xr:uid="{D3A42845-2C24-4D70-B6B1-1A1EAFC4AC77}"/>
    <cellStyle name="Moeda 4 2 4 2 7" xfId="52996" xr:uid="{5AF113AB-539F-43EC-8D2F-EED336EB45F4}"/>
    <cellStyle name="Moeda 4 2 4 2 8" xfId="47370" xr:uid="{A5D1E528-43D0-477A-9A7C-4AE7113F299A}"/>
    <cellStyle name="Moeda 4 2 4 2 9" xfId="4648" xr:uid="{B3C4D61F-FC2B-4E30-9DEA-C3443846F05B}"/>
    <cellStyle name="Moeda 4 2 4 3" xfId="994" xr:uid="{276468AD-45C4-4559-B90D-7B4675D05E81}"/>
    <cellStyle name="Moeda 4 2 4 3 2" xfId="3547" xr:uid="{9C558115-7AEB-41D2-839E-DAA5818DD9CF}"/>
    <cellStyle name="Moeda 4 2 4 3 2 2" xfId="51343" xr:uid="{99195CBE-6C07-4EE4-8581-4E51BDB274CE}"/>
    <cellStyle name="Moeda 4 2 4 3 2 3" xfId="54637" xr:uid="{73B8F9E0-47BD-4847-AABB-C22CA118A2E6}"/>
    <cellStyle name="Moeda 4 2 4 3 2 4" xfId="48035" xr:uid="{04194323-50B6-4506-8105-40E5F967013D}"/>
    <cellStyle name="Moeda 4 2 4 3 3" xfId="1896" xr:uid="{CC11DA6D-83DD-48BF-9001-BE79E4D7B971}"/>
    <cellStyle name="Moeda 4 2 4 3 3 2" xfId="56865" xr:uid="{CAE0A2A0-DBB5-450D-A987-3DD3578B9743}"/>
    <cellStyle name="Moeda 4 2 4 3 3 3" xfId="49704" xr:uid="{5EF96635-CA48-49EF-909C-2898278BD35E}"/>
    <cellStyle name="Moeda 4 2 4 3 4" xfId="53000" xr:uid="{865C0EFD-F48B-41A8-BD98-0E83285F9B20}"/>
    <cellStyle name="Moeda 4 2 4 3 5" xfId="47496" xr:uid="{B5E5BAEF-3F07-4EBE-A1AB-B01E95D8D5A7}"/>
    <cellStyle name="Moeda 4 2 4 4" xfId="1400" xr:uid="{7E8E7D0D-36D8-4D94-9560-36D6456E664E}"/>
    <cellStyle name="Moeda 4 2 4 4 2" xfId="3765" xr:uid="{20266CFE-85CC-4A53-9616-0ED9E4E6B501}"/>
    <cellStyle name="Moeda 4 2 4 4 2 2" xfId="51344" xr:uid="{FA0DC44E-DE68-41F0-A603-3417B383106D}"/>
    <cellStyle name="Moeda 4 2 4 4 2 3" xfId="54638" xr:uid="{DFFA6F69-7BF8-492B-B1D6-A1406918D340}"/>
    <cellStyle name="Moeda 4 2 4 4 2 4" xfId="48036" xr:uid="{3A31DB6F-8E27-4926-A5A3-45B9917A2521}"/>
    <cellStyle name="Moeda 4 2 4 4 3" xfId="3061" xr:uid="{A35B7CC8-57DB-4BF7-B3D0-CC316168D8C3}"/>
    <cellStyle name="Moeda 4 2 4 4 3 2" xfId="57271" xr:uid="{59C2779C-3797-4BC6-BC29-53F1C88A0AE6}"/>
    <cellStyle name="Moeda 4 2 4 4 3 3" xfId="49705" xr:uid="{A81CE546-3408-43CE-BCB6-9E2CB0130838}"/>
    <cellStyle name="Moeda 4 2 4 4 4" xfId="53001" xr:uid="{FE4FE1F3-2300-475A-87C7-387CBA948D37}"/>
    <cellStyle name="Moeda 4 2 4 4 5" xfId="47622" xr:uid="{39994DAB-C8EF-486A-99D5-F0145E751E79}"/>
    <cellStyle name="Moeda 4 2 4 5" xfId="587" xr:uid="{B7669952-40EE-4CC6-A5EE-5651C22FF3A2}"/>
    <cellStyle name="Moeda 4 2 4 5 2" xfId="2303" xr:uid="{ACB67D38-5D9E-4EBA-9F19-FC7AD8080AFE}"/>
    <cellStyle name="Moeda 4 2 4 5 2 2" xfId="54639" xr:uid="{800EA50C-002C-4851-B4FA-02F27BAE69B2}"/>
    <cellStyle name="Moeda 4 2 4 5 2 3" xfId="51345" xr:uid="{DC6BDBAF-35F8-492D-9FA7-C59F3323A259}"/>
    <cellStyle name="Moeda 4 2 4 5 3" xfId="49706" xr:uid="{5B714E96-0B53-45BD-9435-BCE52B3E32CE}"/>
    <cellStyle name="Moeda 4 2 4 5 3 2" xfId="56458" xr:uid="{20C7744B-C66C-47AA-B536-AEC91A6CB7C2}"/>
    <cellStyle name="Moeda 4 2 4 5 4" xfId="53002" xr:uid="{0A2D8093-DF57-4AAB-BB3D-F60EABB97148}"/>
    <cellStyle name="Moeda 4 2 4 5 5" xfId="48037" xr:uid="{E6E424B3-F92B-4537-A7B0-1B7BB3AB8174}"/>
    <cellStyle name="Moeda 4 2 4 6" xfId="3437" xr:uid="{82A93AD3-C9A3-465F-8B1A-E683E31F0DBD}"/>
    <cellStyle name="Moeda 4 2 4 6 2" xfId="51338" xr:uid="{3A986712-432D-4D32-8820-A324F17D8277}"/>
    <cellStyle name="Moeda 4 2 4 6 3" xfId="54632" xr:uid="{EC19CB5C-69C1-4DE5-9D45-9D0E0EBA9BAB}"/>
    <cellStyle name="Moeda 4 2 4 6 4" xfId="48030" xr:uid="{35E8EEF5-FE7E-4EF0-9316-EA293A906F0E}"/>
    <cellStyle name="Moeda 4 2 4 7" xfId="4021" xr:uid="{6576F1E8-1AC7-43C7-8462-1DAFF6EB1148}"/>
    <cellStyle name="Moeda 4 2 4 7 2" xfId="56049" xr:uid="{0C38911D-44B2-4AB6-9FF9-307FA4A81008}"/>
    <cellStyle name="Moeda 4 2 4 7 3" xfId="49699" xr:uid="{E724D6A4-34B7-42E7-958C-4864F7B0A967}"/>
    <cellStyle name="Moeda 4 2 4 8" xfId="1786" xr:uid="{AD9636EA-DE38-4839-A792-2DC480FFEC25}"/>
    <cellStyle name="Moeda 4 2 4 8 2" xfId="52995" xr:uid="{17A56A60-D554-47C1-A239-FC178FF64825}"/>
    <cellStyle name="Moeda 4 2 4 9" xfId="32876" xr:uid="{454A7C7C-7770-4817-8AD8-67081006DACD}"/>
    <cellStyle name="Moeda 4 2 5" xfId="204" xr:uid="{0CC98CE0-D927-4345-8BB5-B950DB72D7FF}"/>
    <cellStyle name="Moeda 4 2 5 10" xfId="4485" xr:uid="{C091AD80-6EBD-4402-A230-19C54A7E49C4}"/>
    <cellStyle name="Moeda 4 2 5 2" xfId="393" xr:uid="{B83836EE-8B09-4C6C-A35B-F72834E87174}"/>
    <cellStyle name="Moeda 4 2 5 2 2" xfId="1209" xr:uid="{4230FA16-6E41-47A1-8424-2991276EBDEB}"/>
    <cellStyle name="Moeda 4 2 5 2 2 2" xfId="2870" xr:uid="{84CA0C5E-B70D-4D38-8DEE-4933E21D07D3}"/>
    <cellStyle name="Moeda 4 2 5 2 2 2 2" xfId="54642" xr:uid="{9B559741-2DB2-4278-B71C-80C82BFAA09C}"/>
    <cellStyle name="Moeda 4 2 5 2 2 2 3" xfId="51348" xr:uid="{166A0C52-7447-4149-BBAF-F121C7D34EAF}"/>
    <cellStyle name="Moeda 4 2 5 2 2 3" xfId="49709" xr:uid="{0699C0EA-F70D-4F07-B7F9-50E285BE074B}"/>
    <cellStyle name="Moeda 4 2 5 2 2 3 2" xfId="57080" xr:uid="{3DC6AB5C-B994-458E-9970-0F9D0B8E3667}"/>
    <cellStyle name="Moeda 4 2 5 2 2 4" xfId="53005" xr:uid="{74366411-BF02-415C-826E-58B53F28DE9B}"/>
    <cellStyle name="Moeda 4 2 5 2 2 5" xfId="48040" xr:uid="{434C6F17-6EE9-4FAE-9F92-AE1CB702309C}"/>
    <cellStyle name="Moeda 4 2 5 2 3" xfId="1615" xr:uid="{EDCC8439-7D6A-4EF4-8B9C-CBD1BC0F1DF7}"/>
    <cellStyle name="Moeda 4 2 5 2 3 2" xfId="3275" xr:uid="{46974ADA-FD03-4FAC-8B45-4B6581F2D02F}"/>
    <cellStyle name="Moeda 4 2 5 2 3 2 2" xfId="54643" xr:uid="{4FDF63F6-0EE9-4AB4-BC0B-6CC7148274CA}"/>
    <cellStyle name="Moeda 4 2 5 2 3 2 3" xfId="51349" xr:uid="{891520E1-8637-48F4-8CCC-8B2D5C516DAC}"/>
    <cellStyle name="Moeda 4 2 5 2 3 3" xfId="49710" xr:uid="{DB7E5B2D-BE50-40F5-AAE5-91A2FFF14551}"/>
    <cellStyle name="Moeda 4 2 5 2 3 3 2" xfId="57486" xr:uid="{D9044DD8-409B-41DD-AFAB-EC0D3C853508}"/>
    <cellStyle name="Moeda 4 2 5 2 3 4" xfId="53006" xr:uid="{ACBF5991-CF9E-488D-B418-883BBC6EEF24}"/>
    <cellStyle name="Moeda 4 2 5 2 3 5" xfId="48041" xr:uid="{8774D23C-0F43-4461-A31E-48FB0C17927E}"/>
    <cellStyle name="Moeda 4 2 5 2 4" xfId="802" xr:uid="{D23BEAAD-ADB0-4A52-AA45-EFA302A37581}"/>
    <cellStyle name="Moeda 4 2 5 2 4 2" xfId="2518" xr:uid="{6499A9AC-6A8D-45BF-A27F-CE4DE5DC23AE}"/>
    <cellStyle name="Moeda 4 2 5 2 4 2 2" xfId="54644" xr:uid="{02C33F13-3272-4314-B75C-7A4C10F23DDE}"/>
    <cellStyle name="Moeda 4 2 5 2 4 2 3" xfId="51350" xr:uid="{534CF8CE-5418-4E80-9A8F-B3340F6E3A06}"/>
    <cellStyle name="Moeda 4 2 5 2 4 3" xfId="49711" xr:uid="{04A9B441-DD76-42CD-B8E1-07B1361FE189}"/>
    <cellStyle name="Moeda 4 2 5 2 4 3 2" xfId="56673" xr:uid="{2BD17DBB-70DA-4326-AEBC-BCD803333D86}"/>
    <cellStyle name="Moeda 4 2 5 2 4 4" xfId="53007" xr:uid="{AB923671-78A8-4B11-B269-AEC3603C6359}"/>
    <cellStyle name="Moeda 4 2 5 2 4 5" xfId="48042" xr:uid="{98313CCB-3DE0-413E-9E7D-12430A0F3359}"/>
    <cellStyle name="Moeda 4 2 5 2 5" xfId="2137" xr:uid="{C5524594-8614-41A4-B8FE-E8B8E85A8090}"/>
    <cellStyle name="Moeda 4 2 5 2 5 2" xfId="54641" xr:uid="{689741F4-7D23-4628-91F5-3F34D1490D48}"/>
    <cellStyle name="Moeda 4 2 5 2 5 3" xfId="51347" xr:uid="{EF21A95C-6D20-4106-B43D-1A5A66922FDA}"/>
    <cellStyle name="Moeda 4 2 5 2 6" xfId="49708" xr:uid="{8908546E-CBC2-430D-90B0-BD772032CCA4}"/>
    <cellStyle name="Moeda 4 2 5 2 6 2" xfId="56264" xr:uid="{41E1B38C-A647-496D-9ECC-8EB7B1DFE10F}"/>
    <cellStyle name="Moeda 4 2 5 2 7" xfId="53004" xr:uid="{20D6F82F-974D-4D73-82D5-0B928829D6DA}"/>
    <cellStyle name="Moeda 4 2 5 2 8" xfId="48039" xr:uid="{396B2731-50DC-4C4B-A9CF-E3F31F18C96C}"/>
    <cellStyle name="Moeda 4 2 5 2 9" xfId="4674" xr:uid="{EB499CAA-F54B-4692-8439-EA2E258F24AB}"/>
    <cellStyle name="Moeda 4 2 5 3" xfId="1020" xr:uid="{09501E78-5D7E-497E-B19D-18E8509E6267}"/>
    <cellStyle name="Moeda 4 2 5 3 2" xfId="2709" xr:uid="{1E4F1185-E4BA-459E-B017-E68CD5AC6980}"/>
    <cellStyle name="Moeda 4 2 5 3 2 2" xfId="54645" xr:uid="{3A7A601B-FDED-436E-9D04-21B3EF4A112F}"/>
    <cellStyle name="Moeda 4 2 5 3 2 3" xfId="51351" xr:uid="{1226B06A-BC7A-44B2-A831-2C43CB9E3491}"/>
    <cellStyle name="Moeda 4 2 5 3 3" xfId="49712" xr:uid="{F8B19AD7-32AC-42D9-A840-12C958027E17}"/>
    <cellStyle name="Moeda 4 2 5 3 3 2" xfId="56891" xr:uid="{FFAF3978-79A6-4FEB-BB14-8F01C60155A5}"/>
    <cellStyle name="Moeda 4 2 5 3 4" xfId="53008" xr:uid="{3DCAB362-D176-49ED-B1A6-0483468DC815}"/>
    <cellStyle name="Moeda 4 2 5 3 5" xfId="48043" xr:uid="{EFD18EDC-FA79-4C5C-9C7A-C45918E347F4}"/>
    <cellStyle name="Moeda 4 2 5 4" xfId="1426" xr:uid="{52908DB8-CECE-45AE-B269-99B81B5EDF72}"/>
    <cellStyle name="Moeda 4 2 5 4 2" xfId="3087" xr:uid="{842BE961-23DA-409D-A7CD-BAE4B484BAE2}"/>
    <cellStyle name="Moeda 4 2 5 4 2 2" xfId="54646" xr:uid="{392CC600-06BA-407C-B00F-DA64BF7A2AB6}"/>
    <cellStyle name="Moeda 4 2 5 4 2 3" xfId="51352" xr:uid="{8414D3A3-2BBF-4D1C-BF42-82B6FC3AA592}"/>
    <cellStyle name="Moeda 4 2 5 4 3" xfId="49713" xr:uid="{D2827CAA-AD71-483A-9C4B-62EB2663763A}"/>
    <cellStyle name="Moeda 4 2 5 4 3 2" xfId="57297" xr:uid="{FE1907DF-5CD6-4910-B5B1-4193892E1393}"/>
    <cellStyle name="Moeda 4 2 5 4 4" xfId="53009" xr:uid="{0A8CF842-12E3-446C-AD0C-7CF9449E90C6}"/>
    <cellStyle name="Moeda 4 2 5 4 5" xfId="48044" xr:uid="{0565D7A8-3E9A-40AB-8D42-34A063E6B46C}"/>
    <cellStyle name="Moeda 4 2 5 5" xfId="613" xr:uid="{38B4E7D8-C20C-47FA-A621-9C6DD457284D}"/>
    <cellStyle name="Moeda 4 2 5 5 2" xfId="2329" xr:uid="{73B49F08-416D-4FB5-B88B-A930A2D48AF6}"/>
    <cellStyle name="Moeda 4 2 5 5 2 2" xfId="54647" xr:uid="{C945E828-12B2-4766-A7A2-38DCA0627657}"/>
    <cellStyle name="Moeda 4 2 5 5 2 3" xfId="51353" xr:uid="{996BFFCF-0134-4003-AE3E-23E91FEB6ADF}"/>
    <cellStyle name="Moeda 4 2 5 5 3" xfId="49714" xr:uid="{1EC44F26-7951-49A0-AF49-496C913FBEC2}"/>
    <cellStyle name="Moeda 4 2 5 5 3 2" xfId="56484" xr:uid="{B547FB3F-F392-4EBA-A3F2-E13B38BCC2B7}"/>
    <cellStyle name="Moeda 4 2 5 5 4" xfId="53010" xr:uid="{CE72A4F1-7776-4D08-B021-0204CD2B8282}"/>
    <cellStyle name="Moeda 4 2 5 5 5" xfId="48045" xr:uid="{8F1D1873-56AE-4723-A447-B3E5C708FA0C}"/>
    <cellStyle name="Moeda 4 2 5 6" xfId="3602" xr:uid="{95CB719A-0862-4279-9D7A-55B7854FDE4A}"/>
    <cellStyle name="Moeda 4 2 5 6 2" xfId="51346" xr:uid="{3F9F73BC-13BD-4A59-8691-D3628E71919D}"/>
    <cellStyle name="Moeda 4 2 5 6 3" xfId="54640" xr:uid="{5827F828-4E45-479E-A0FB-0994308225BA}"/>
    <cellStyle name="Moeda 4 2 5 6 4" xfId="48038" xr:uid="{67AB48E2-3E56-4E74-9A12-EA69DF519A9F}"/>
    <cellStyle name="Moeda 4 2 5 7" xfId="4193" xr:uid="{C565749B-D6A4-4AD4-B351-1DF6A3A6297A}"/>
    <cellStyle name="Moeda 4 2 5 7 2" xfId="56075" xr:uid="{3A8EE260-1090-419D-A8C3-851398DF84DA}"/>
    <cellStyle name="Moeda 4 2 5 7 3" xfId="49707" xr:uid="{1F490056-26A0-4CE8-9D12-CBE235ED6FCB}"/>
    <cellStyle name="Moeda 4 2 5 8" xfId="1951" xr:uid="{2DFBED76-944D-4E2A-8D02-9E96B3778163}"/>
    <cellStyle name="Moeda 4 2 5 8 2" xfId="53003" xr:uid="{A60037DB-B782-4824-A1F8-98BCDDABF214}"/>
    <cellStyle name="Moeda 4 2 5 9" xfId="47314" xr:uid="{35734062-9EEB-47ED-9360-B68FF499CB64}"/>
    <cellStyle name="Moeda 4 2 6" xfId="256" xr:uid="{FAE66C68-EDD0-4232-8F18-556AEADB18EE}"/>
    <cellStyle name="Moeda 4 2 6 10" xfId="4537" xr:uid="{AFEC434A-9249-49BC-8980-5286827982E8}"/>
    <cellStyle name="Moeda 4 2 6 2" xfId="445" xr:uid="{4A5D5411-0C6B-4DCC-BD46-1B4C9FADB53E}"/>
    <cellStyle name="Moeda 4 2 6 2 2" xfId="1261" xr:uid="{2E1E3C44-EC84-465D-876C-11328A041B69}"/>
    <cellStyle name="Moeda 4 2 6 2 2 2" xfId="2922" xr:uid="{0D8315C2-6F57-412F-91EF-530F83F1C31C}"/>
    <cellStyle name="Moeda 4 2 6 2 2 2 2" xfId="54650" xr:uid="{D5BD9BCF-E4F7-498D-BC71-66D2D28B3A02}"/>
    <cellStyle name="Moeda 4 2 6 2 2 2 3" xfId="51356" xr:uid="{5CC4B855-5AE2-45EE-A618-4B6EEE944A25}"/>
    <cellStyle name="Moeda 4 2 6 2 2 3" xfId="49717" xr:uid="{D3579E1D-080A-4EAA-B9C6-E5F7BBA46427}"/>
    <cellStyle name="Moeda 4 2 6 2 2 3 2" xfId="57132" xr:uid="{C15BB9D6-8499-4C41-B3CE-5761F476FC79}"/>
    <cellStyle name="Moeda 4 2 6 2 2 4" xfId="53013" xr:uid="{5E53667E-546D-4106-9023-333432453964}"/>
    <cellStyle name="Moeda 4 2 6 2 2 5" xfId="48048" xr:uid="{71DBD5B5-D42B-4AAD-9883-7FE154B90541}"/>
    <cellStyle name="Moeda 4 2 6 2 3" xfId="1667" xr:uid="{6EB1E28D-3ADE-4022-81AF-C869CAB24C5A}"/>
    <cellStyle name="Moeda 4 2 6 2 3 2" xfId="3327" xr:uid="{7994A7D0-3777-4612-80CC-28B6C348000B}"/>
    <cellStyle name="Moeda 4 2 6 2 3 2 2" xfId="54651" xr:uid="{D598B93D-16FE-4EB5-B06E-4703E4F439C8}"/>
    <cellStyle name="Moeda 4 2 6 2 3 2 3" xfId="51357" xr:uid="{5EA1AFDD-3C98-46A1-B741-4B902C34A100}"/>
    <cellStyle name="Moeda 4 2 6 2 3 3" xfId="49718" xr:uid="{4DB2A823-2A72-45FC-A7B0-229670F8267D}"/>
    <cellStyle name="Moeda 4 2 6 2 3 3 2" xfId="57538" xr:uid="{AE91E522-2FE7-46EE-A0FB-19683F533BFB}"/>
    <cellStyle name="Moeda 4 2 6 2 3 4" xfId="53014" xr:uid="{D7FEE31C-67F8-42FC-9726-091AD47714C1}"/>
    <cellStyle name="Moeda 4 2 6 2 3 5" xfId="48049" xr:uid="{9419C565-6051-411D-A2B9-856814EAE447}"/>
    <cellStyle name="Moeda 4 2 6 2 4" xfId="854" xr:uid="{F2DB7AE1-C006-4045-9A29-3A52787BE2FB}"/>
    <cellStyle name="Moeda 4 2 6 2 4 2" xfId="2570" xr:uid="{46454FA7-8110-4304-80B3-EF2EF78F0B3F}"/>
    <cellStyle name="Moeda 4 2 6 2 4 2 2" xfId="54652" xr:uid="{047921DA-41A1-4EBE-B5F5-ED690C8EA328}"/>
    <cellStyle name="Moeda 4 2 6 2 4 2 3" xfId="51358" xr:uid="{D5042B1A-FD0C-48D3-924D-37A37E479A93}"/>
    <cellStyle name="Moeda 4 2 6 2 4 3" xfId="49719" xr:uid="{0C3119CF-B10D-4AEC-9040-CAD53BF63993}"/>
    <cellStyle name="Moeda 4 2 6 2 4 3 2" xfId="56725" xr:uid="{D0ABAC68-87C6-4316-B9E4-D16088AB1AE0}"/>
    <cellStyle name="Moeda 4 2 6 2 4 4" xfId="53015" xr:uid="{54A43746-119F-4785-9BFB-6730CDAD0E70}"/>
    <cellStyle name="Moeda 4 2 6 2 4 5" xfId="48050" xr:uid="{42B3E99C-A2A2-4DBB-B056-88F4709B2C98}"/>
    <cellStyle name="Moeda 4 2 6 2 5" xfId="2163" xr:uid="{FDADDB4D-DFFA-432D-A177-C8FF68610177}"/>
    <cellStyle name="Moeda 4 2 6 2 5 2" xfId="54649" xr:uid="{EFEF4DFC-0EDF-43D4-A3FF-ECF20F707903}"/>
    <cellStyle name="Moeda 4 2 6 2 5 3" xfId="51355" xr:uid="{3DA5F942-4807-43E5-883F-7F9EB3D3A92A}"/>
    <cellStyle name="Moeda 4 2 6 2 6" xfId="49716" xr:uid="{10B6A3F3-C2CE-469C-984D-4F400125003C}"/>
    <cellStyle name="Moeda 4 2 6 2 6 2" xfId="56316" xr:uid="{BC2545BD-CDA3-4C2B-AFE8-DB6B5343CF3B}"/>
    <cellStyle name="Moeda 4 2 6 2 7" xfId="53012" xr:uid="{0B14242F-11D3-4026-8A7F-E13AB45C947E}"/>
    <cellStyle name="Moeda 4 2 6 2 8" xfId="48047" xr:uid="{5EE1D670-5631-49DE-9F9E-E004803CE890}"/>
    <cellStyle name="Moeda 4 2 6 2 9" xfId="4726" xr:uid="{88D797CC-4CC9-4266-8D2E-DBF778424FB1}"/>
    <cellStyle name="Moeda 4 2 6 3" xfId="1072" xr:uid="{C55D2450-A106-4284-A5EE-57C79E337F0F}"/>
    <cellStyle name="Moeda 4 2 6 3 2" xfId="2736" xr:uid="{C79BDC9D-7A79-41DA-917B-AFD5753CA9C5}"/>
    <cellStyle name="Moeda 4 2 6 3 2 2" xfId="54653" xr:uid="{9EF54668-4979-43F8-B0A3-181A0858B65F}"/>
    <cellStyle name="Moeda 4 2 6 3 2 3" xfId="51359" xr:uid="{69687EE4-8297-44FB-BF4A-1614A39D5D1F}"/>
    <cellStyle name="Moeda 4 2 6 3 3" xfId="49720" xr:uid="{81655498-EF44-4F03-A3CE-8D645BE89CBB}"/>
    <cellStyle name="Moeda 4 2 6 3 3 2" xfId="56943" xr:uid="{C42D16F2-793F-45CF-985C-61D49BF43ADD}"/>
    <cellStyle name="Moeda 4 2 6 3 4" xfId="53016" xr:uid="{1C376068-8BF6-4D60-BA4B-640C38E1E2AC}"/>
    <cellStyle name="Moeda 4 2 6 3 5" xfId="48051" xr:uid="{CAC9058A-47B1-4CAD-BC99-2619CB9CB2E3}"/>
    <cellStyle name="Moeda 4 2 6 4" xfId="1478" xr:uid="{88338C41-39B4-4FB3-9FC7-767B4AF89BDF}"/>
    <cellStyle name="Moeda 4 2 6 4 2" xfId="3139" xr:uid="{CD57E2D1-59C5-4EC8-805B-27DDF465B32F}"/>
    <cellStyle name="Moeda 4 2 6 4 2 2" xfId="54654" xr:uid="{5C8C7161-5328-4D1B-85AF-F499552E0D67}"/>
    <cellStyle name="Moeda 4 2 6 4 2 3" xfId="51360" xr:uid="{AE242EB8-FA9A-4729-9060-78F5FF98382D}"/>
    <cellStyle name="Moeda 4 2 6 4 3" xfId="49721" xr:uid="{859ACA49-4DFB-4AEF-AC7C-FBC6A81DCC59}"/>
    <cellStyle name="Moeda 4 2 6 4 3 2" xfId="57349" xr:uid="{5E3C5F2E-BAE5-4346-A767-E62B475328E5}"/>
    <cellStyle name="Moeda 4 2 6 4 4" xfId="53017" xr:uid="{E77E2A0E-8505-4594-AFD6-498AF133DB43}"/>
    <cellStyle name="Moeda 4 2 6 4 5" xfId="48052" xr:uid="{73DE4A0C-B4C8-4CFE-9F69-DFB96437CCF0}"/>
    <cellStyle name="Moeda 4 2 6 5" xfId="665" xr:uid="{4C1FDC65-E972-472B-80BC-3D2374F33270}"/>
    <cellStyle name="Moeda 4 2 6 5 2" xfId="2381" xr:uid="{A264CCBE-7307-4F75-AB4C-CBC69D59B5C6}"/>
    <cellStyle name="Moeda 4 2 6 5 2 2" xfId="54655" xr:uid="{87D81EF2-524F-493C-B851-7455E2C5C103}"/>
    <cellStyle name="Moeda 4 2 6 5 2 3" xfId="51361" xr:uid="{30B43109-8416-4A78-A34A-07C5D51EFCC9}"/>
    <cellStyle name="Moeda 4 2 6 5 3" xfId="49722" xr:uid="{FC1D413B-17CB-4CC0-B0B4-C6B8E59987A9}"/>
    <cellStyle name="Moeda 4 2 6 5 3 2" xfId="56536" xr:uid="{92529DBB-069F-4FCD-891A-A0CCDA67B38F}"/>
    <cellStyle name="Moeda 4 2 6 5 4" xfId="53018" xr:uid="{DE97C704-30EE-453A-A8E1-1B41F8E0B31B}"/>
    <cellStyle name="Moeda 4 2 6 5 5" xfId="48053" xr:uid="{80083BD8-1B3D-496B-89F6-FADBC681DB1C}"/>
    <cellStyle name="Moeda 4 2 6 6" xfId="3492" xr:uid="{BBAF4153-0F75-4493-8DE2-9A3671E1F077}"/>
    <cellStyle name="Moeda 4 2 6 6 2" xfId="51354" xr:uid="{59A1D4AA-3624-4C2D-92F9-FE10156326FA}"/>
    <cellStyle name="Moeda 4 2 6 6 3" xfId="54648" xr:uid="{888B4FBD-AD3D-4E57-ADC0-6F6D9FAEEA9C}"/>
    <cellStyle name="Moeda 4 2 6 6 4" xfId="48046" xr:uid="{68223CC8-56A1-4829-9F91-90F127F9F9F9}"/>
    <cellStyle name="Moeda 4 2 6 7" xfId="1841" xr:uid="{00360036-7526-4CCB-9383-095F8BD752F4}"/>
    <cellStyle name="Moeda 4 2 6 7 2" xfId="56127" xr:uid="{20813D10-EA87-43D5-933F-62049F333CCC}"/>
    <cellStyle name="Moeda 4 2 6 7 3" xfId="49715" xr:uid="{DE921B3D-62AF-4AE4-A28F-E767E32FFAC6}"/>
    <cellStyle name="Moeda 4 2 6 8" xfId="53011" xr:uid="{5472DB40-D559-4864-AF52-2BDE42A7D56E}"/>
    <cellStyle name="Moeda 4 2 6 9" xfId="47440" xr:uid="{E2F1F82D-8B0E-4992-89BA-B23CB9F129AF}"/>
    <cellStyle name="Moeda 4 2 7" xfId="311" xr:uid="{0E1DCA58-7A15-4CD7-9A6B-1693281821EF}"/>
    <cellStyle name="Moeda 4 2 7 2" xfId="1127" xr:uid="{FFD7E525-E7A6-467B-87CF-23992484B428}"/>
    <cellStyle name="Moeda 4 2 7 2 2" xfId="2789" xr:uid="{3383B55F-FA4F-4909-A3B6-F4975F207A77}"/>
    <cellStyle name="Moeda 4 2 7 2 2 2" xfId="54657" xr:uid="{07A71AF3-796F-4767-BCB8-E81CF55306CC}"/>
    <cellStyle name="Moeda 4 2 7 2 2 3" xfId="51363" xr:uid="{1150CED4-E303-418E-933A-02AD49A78DF8}"/>
    <cellStyle name="Moeda 4 2 7 2 3" xfId="49724" xr:uid="{E02E79C5-8F22-470E-A1A8-C06D6B3ED909}"/>
    <cellStyle name="Moeda 4 2 7 2 3 2" xfId="56998" xr:uid="{352C0183-7438-46D6-841E-CBE20E656208}"/>
    <cellStyle name="Moeda 4 2 7 2 4" xfId="53020" xr:uid="{6DBC9D88-7D9C-4CB3-8FE3-D07E6A34F630}"/>
    <cellStyle name="Moeda 4 2 7 2 5" xfId="48055" xr:uid="{7C9DBFEA-B06A-4A2D-A567-4675212E7161}"/>
    <cellStyle name="Moeda 4 2 7 3" xfId="1533" xr:uid="{290EFFB2-EC14-41A9-9D2C-231EFB7E96D1}"/>
    <cellStyle name="Moeda 4 2 7 3 2" xfId="3194" xr:uid="{A3B827DB-2323-4570-8A2E-021B624C3688}"/>
    <cellStyle name="Moeda 4 2 7 3 2 2" xfId="54658" xr:uid="{9DB0142D-112E-4C2D-B048-AF77E06F1225}"/>
    <cellStyle name="Moeda 4 2 7 3 2 3" xfId="51364" xr:uid="{593E6C52-8C97-43E1-898E-87D69D84B2CB}"/>
    <cellStyle name="Moeda 4 2 7 3 3" xfId="49725" xr:uid="{25FAC61C-1DD8-446E-BF1A-F05F26691B7A}"/>
    <cellStyle name="Moeda 4 2 7 3 3 2" xfId="57404" xr:uid="{D7CD0D79-6139-4C9B-AB41-1F975F6C24D1}"/>
    <cellStyle name="Moeda 4 2 7 3 4" xfId="53021" xr:uid="{CDFA1236-911E-47C3-9BBB-35F7EC0DBFCE}"/>
    <cellStyle name="Moeda 4 2 7 3 5" xfId="48056" xr:uid="{FEE879CB-6A61-4D18-B9DD-2F73B1475A3A}"/>
    <cellStyle name="Moeda 4 2 7 4" xfId="720" xr:uid="{D6CAF10B-57F8-4401-999D-F6753A2E2372}"/>
    <cellStyle name="Moeda 4 2 7 4 2" xfId="2436" xr:uid="{929119D0-2B9B-41FA-9078-E0DB99B9AE7F}"/>
    <cellStyle name="Moeda 4 2 7 4 2 2" xfId="54659" xr:uid="{14220D2F-187A-4A45-AE7E-B22430628E39}"/>
    <cellStyle name="Moeda 4 2 7 4 2 3" xfId="51365" xr:uid="{9AD549A2-717F-4F8D-B106-565C014810BE}"/>
    <cellStyle name="Moeda 4 2 7 4 3" xfId="49726" xr:uid="{ECA14A23-B965-42A6-A965-FDA75F375BE8}"/>
    <cellStyle name="Moeda 4 2 7 4 3 2" xfId="56591" xr:uid="{7CFD2F8A-3BC3-4786-81EC-F27BB4D57F1B}"/>
    <cellStyle name="Moeda 4 2 7 4 4" xfId="53022" xr:uid="{73BBA2BE-EA79-4C69-8B83-BBE3FDB6B7CF}"/>
    <cellStyle name="Moeda 4 2 7 4 5" xfId="48057" xr:uid="{E0A316DB-0147-4E16-AD47-993C05C78E65}"/>
    <cellStyle name="Moeda 4 2 7 5" xfId="3711" xr:uid="{99DC3666-A85E-46ED-AD87-E2757904B307}"/>
    <cellStyle name="Moeda 4 2 7 5 2" xfId="51362" xr:uid="{18282110-B71D-4D99-8A39-1F8EDCAE8D79}"/>
    <cellStyle name="Moeda 4 2 7 5 3" xfId="54656" xr:uid="{CB2A14BE-311B-4C98-9AAD-2DAA8AF14A99}"/>
    <cellStyle name="Moeda 4 2 7 5 4" xfId="48054" xr:uid="{E1E68784-EE23-44D3-9EF0-D44F501B9AF4}"/>
    <cellStyle name="Moeda 4 2 7 6" xfId="2112" xr:uid="{F2C9FD23-0AD0-4F78-B6B0-F62AF9809BAB}"/>
    <cellStyle name="Moeda 4 2 7 6 2" xfId="56182" xr:uid="{5C2B0411-45DE-41E1-83EF-4383F736A829}"/>
    <cellStyle name="Moeda 4 2 7 6 3" xfId="49723" xr:uid="{7081DE4A-84BF-4071-8454-44A3C3284021}"/>
    <cellStyle name="Moeda 4 2 7 7" xfId="53019" xr:uid="{40A60777-338E-418F-AFAD-6DAAA9A2BA76}"/>
    <cellStyle name="Moeda 4 2 7 8" xfId="47566" xr:uid="{1EBF40AD-4420-4B60-8170-5F6DA3C0B733}"/>
    <cellStyle name="Moeda 4 2 7 9" xfId="4592" xr:uid="{14B0FD53-11C1-4103-8C1B-B050210038D7}"/>
    <cellStyle name="Moeda 4 2 8" xfId="938" xr:uid="{4754E5D7-59FC-4C40-937C-70B20D05B917}"/>
    <cellStyle name="Moeda 4 2 8 2" xfId="2653" xr:uid="{B24B03EB-19E0-4ED7-9138-B7517DF5220A}"/>
    <cellStyle name="Moeda 4 2 8 2 2" xfId="54660" xr:uid="{2C44FEF5-C623-4687-A825-00DDB5F297DC}"/>
    <cellStyle name="Moeda 4 2 8 2 3" xfId="51366" xr:uid="{4F8F5BBB-8264-490A-873D-8BE3EC97D5C0}"/>
    <cellStyle name="Moeda 4 2 8 3" xfId="49727" xr:uid="{DE511CF6-98F8-4C1E-BB44-2FCA36F6E04E}"/>
    <cellStyle name="Moeda 4 2 8 3 2" xfId="56809" xr:uid="{290C9119-4290-49C8-9CEA-D1B3D1D6A4E3}"/>
    <cellStyle name="Moeda 4 2 8 4" xfId="53023" xr:uid="{98FFE42C-C94D-4691-8A30-8915C6BB3615}"/>
    <cellStyle name="Moeda 4 2 8 5" xfId="48058" xr:uid="{CCEE61A0-F3AF-4E85-961F-D419884A5131}"/>
    <cellStyle name="Moeda 4 2 9" xfId="1344" xr:uid="{EBACFFE3-A28E-409B-BF3B-C1D7B586F640}"/>
    <cellStyle name="Moeda 4 2 9 2" xfId="3005" xr:uid="{10D266F2-3CCB-40C1-8395-8DF8F5688318}"/>
    <cellStyle name="Moeda 4 2 9 2 2" xfId="54661" xr:uid="{94035593-8AB1-40D5-8229-8A1742AFC75A}"/>
    <cellStyle name="Moeda 4 2 9 2 3" xfId="51367" xr:uid="{EAC930C5-6F71-4FD6-A266-86CD60A77907}"/>
    <cellStyle name="Moeda 4 2 9 3" xfId="49728" xr:uid="{9954B664-14D7-40FC-9468-388879054245}"/>
    <cellStyle name="Moeda 4 2 9 3 2" xfId="57215" xr:uid="{FB2752E2-6887-4BA2-9704-6BD487FE848A}"/>
    <cellStyle name="Moeda 4 2 9 4" xfId="53024" xr:uid="{87FB93CB-93B4-41D6-8715-B9D0F7BA2D64}"/>
    <cellStyle name="Moeda 4 2 9 5" xfId="48059" xr:uid="{E2BEB641-9447-481E-B7AD-E5061482A910}"/>
    <cellStyle name="Moeda 4 3" xfId="130" xr:uid="{8574339C-ADC0-4310-AF50-0EEBB47141D8}"/>
    <cellStyle name="Moeda 4 3 10" xfId="3389" xr:uid="{F9A4EA60-98AD-4107-8E9A-84495733D3FE}"/>
    <cellStyle name="Moeda 4 3 10 2" xfId="51368" xr:uid="{7D48A33C-1DB2-4489-A7AB-BD4CDAE6E961}"/>
    <cellStyle name="Moeda 4 3 10 3" xfId="54662" xr:uid="{9516349F-4140-4D6F-8956-8451E8FB6352}"/>
    <cellStyle name="Moeda 4 3 10 4" xfId="48060" xr:uid="{5876D6F5-08AC-4F1A-A51D-4CC7B0A3129B}"/>
    <cellStyle name="Moeda 4 3 11" xfId="3864" xr:uid="{E670070A-55BD-4DF9-8F5B-E4B0508204DD}"/>
    <cellStyle name="Moeda 4 3 11 2" xfId="56001" xr:uid="{97B6E8C9-077A-425C-9595-5E17EDBAAE4D}"/>
    <cellStyle name="Moeda 4 3 11 3" xfId="49729" xr:uid="{06D4E6EB-6BEC-4232-B056-4756FB3E9CDA}"/>
    <cellStyle name="Moeda 4 3 12" xfId="1737" xr:uid="{D9A3219B-69DF-4D87-AEF6-1EA8B3A417C7}"/>
    <cellStyle name="Moeda 4 3 12 2" xfId="53025" xr:uid="{2D8B6413-B660-4FFF-84A1-75EF292D57D8}"/>
    <cellStyle name="Moeda 4 3 13" xfId="12542" xr:uid="{FB9A50F9-CD1A-4E83-B3A7-568765EA8AE3}"/>
    <cellStyle name="Moeda 4 3 14" xfId="4411" xr:uid="{1F6F1CC1-09A7-4989-A649-4D7AD43A63FD}"/>
    <cellStyle name="Moeda 4 3 2" xfId="159" xr:uid="{B7CD154D-56C8-4D58-B118-04D0D3761F5E}"/>
    <cellStyle name="Moeda 4 3 2 10" xfId="1763" xr:uid="{0B237CAF-13EC-4C11-A4B5-EB35304FF7B5}"/>
    <cellStyle name="Moeda 4 3 2 10 2" xfId="53026" xr:uid="{B8EF3E31-DF46-450C-B2FC-DD0AD6084531}"/>
    <cellStyle name="Moeda 4 3 2 11" xfId="12568" xr:uid="{38D72DF7-2761-4466-93CA-E52827A223A9}"/>
    <cellStyle name="Moeda 4 3 2 12" xfId="4440" xr:uid="{002E29A8-8E28-49A8-A4C3-F95B43D3636D}"/>
    <cellStyle name="Moeda 4 3 2 2" xfId="237" xr:uid="{595F7E4F-1CAB-4B71-AC9B-6A948FD0A305}"/>
    <cellStyle name="Moeda 4 3 2 2 10" xfId="4518" xr:uid="{537054AC-DDF8-4E81-B6FA-5A353A2C5FE1}"/>
    <cellStyle name="Moeda 4 3 2 2 2" xfId="426" xr:uid="{97381A2B-D1B9-4A18-8D56-E7177C28E8E6}"/>
    <cellStyle name="Moeda 4 3 2 2 2 2" xfId="1242" xr:uid="{E7729CAF-EF03-46E1-992A-81116658D50E}"/>
    <cellStyle name="Moeda 4 3 2 2 2 2 2" xfId="2903" xr:uid="{A870466F-805F-4032-8242-B82CD13613FB}"/>
    <cellStyle name="Moeda 4 3 2 2 2 2 2 2" xfId="54666" xr:uid="{D8EAC54A-8A92-411D-93B9-A9E3E290F66C}"/>
    <cellStyle name="Moeda 4 3 2 2 2 2 2 3" xfId="51372" xr:uid="{526C581F-3927-48BE-9794-4983FB05351B}"/>
    <cellStyle name="Moeda 4 3 2 2 2 2 3" xfId="49733" xr:uid="{FFDB27C9-136C-40CF-93BA-DFF1DBD38D45}"/>
    <cellStyle name="Moeda 4 3 2 2 2 2 3 2" xfId="57113" xr:uid="{E01C2D6D-AA9C-4F03-918B-2DB0579026B1}"/>
    <cellStyle name="Moeda 4 3 2 2 2 2 4" xfId="53029" xr:uid="{7B3B1249-363F-49F7-92E7-67B390F7FA77}"/>
    <cellStyle name="Moeda 4 3 2 2 2 2 5" xfId="48064" xr:uid="{CE27CA60-533D-431D-977C-9097B1833EC0}"/>
    <cellStyle name="Moeda 4 3 2 2 2 3" xfId="1648" xr:uid="{03CBB48D-F0A4-4960-9467-504852AA093F}"/>
    <cellStyle name="Moeda 4 3 2 2 2 3 2" xfId="3308" xr:uid="{C4741A87-31EF-40AB-A176-83B9BDB2EDDA}"/>
    <cellStyle name="Moeda 4 3 2 2 2 3 2 2" xfId="54667" xr:uid="{35AB59EB-7370-4B51-A5E7-D486DB625FD2}"/>
    <cellStyle name="Moeda 4 3 2 2 2 3 2 3" xfId="51373" xr:uid="{B0A0B0B3-97F4-4613-9534-3704CCF3CDD3}"/>
    <cellStyle name="Moeda 4 3 2 2 2 3 3" xfId="49734" xr:uid="{BFF36162-F76E-4E94-B2D0-8439D3FBE430}"/>
    <cellStyle name="Moeda 4 3 2 2 2 3 3 2" xfId="57519" xr:uid="{443D4E70-DDB3-4D59-899E-7610394ABECA}"/>
    <cellStyle name="Moeda 4 3 2 2 2 3 4" xfId="53030" xr:uid="{54A09382-1F57-41A2-8962-D7B75DB949EA}"/>
    <cellStyle name="Moeda 4 3 2 2 2 3 5" xfId="48065" xr:uid="{79FBE2F2-9F1C-4F0B-BF7C-66F6889447E7}"/>
    <cellStyle name="Moeda 4 3 2 2 2 4" xfId="835" xr:uid="{E48F2DD6-8DAF-42C0-A179-DC982E1519A8}"/>
    <cellStyle name="Moeda 4 3 2 2 2 4 2" xfId="2551" xr:uid="{9FC087ED-5ED6-4EEE-8503-AA4ECAC9D4D8}"/>
    <cellStyle name="Moeda 4 3 2 2 2 4 2 2" xfId="54668" xr:uid="{7EF2682B-2A64-4F0E-BEB7-D219EE65B370}"/>
    <cellStyle name="Moeda 4 3 2 2 2 4 2 3" xfId="51374" xr:uid="{42C6B2AD-3815-4AA2-B502-C2321F45AAD4}"/>
    <cellStyle name="Moeda 4 3 2 2 2 4 3" xfId="49735" xr:uid="{DB5F7EA3-F0D2-403A-ABF0-293FC758E34C}"/>
    <cellStyle name="Moeda 4 3 2 2 2 4 3 2" xfId="56706" xr:uid="{B83478A9-51D6-4F6D-B977-84A3F27A6449}"/>
    <cellStyle name="Moeda 4 3 2 2 2 4 4" xfId="53031" xr:uid="{318B6584-54C9-4162-A183-937778137571}"/>
    <cellStyle name="Moeda 4 3 2 2 2 4 5" xfId="48066" xr:uid="{FC65BF7D-16C6-464A-AD11-DDE2F8A9398F}"/>
    <cellStyle name="Moeda 4 3 2 2 2 5" xfId="3689" xr:uid="{C445C22E-6D2D-4E99-85B6-B1764FF200D7}"/>
    <cellStyle name="Moeda 4 3 2 2 2 5 2" xfId="51371" xr:uid="{C09087BC-B5FD-44D7-AC18-D26543148D67}"/>
    <cellStyle name="Moeda 4 3 2 2 2 5 3" xfId="54665" xr:uid="{35647985-A1AD-4016-B6A0-931228F9ACBF}"/>
    <cellStyle name="Moeda 4 3 2 2 2 5 4" xfId="48063" xr:uid="{C1AEB46C-9CC3-4060-9289-587D9B94C88A}"/>
    <cellStyle name="Moeda 4 3 2 2 2 6" xfId="2038" xr:uid="{39BEEF39-C080-4B4D-B4A4-5CB03801DE92}"/>
    <cellStyle name="Moeda 4 3 2 2 2 6 2" xfId="56297" xr:uid="{C889E457-A6AA-4EA7-94CB-044C7BA059DD}"/>
    <cellStyle name="Moeda 4 3 2 2 2 6 3" xfId="49732" xr:uid="{FFA1E301-16BB-4E88-9B68-DAB5C89F9C9E}"/>
    <cellStyle name="Moeda 4 3 2 2 2 7" xfId="53028" xr:uid="{B6470EF0-48ED-441D-9776-505662C04A15}"/>
    <cellStyle name="Moeda 4 3 2 2 2 8" xfId="47403" xr:uid="{C9A21335-8E56-43ED-B91E-951137DBC62A}"/>
    <cellStyle name="Moeda 4 3 2 2 2 9" xfId="4707" xr:uid="{1CA46F21-C1F1-4163-A586-716AFDD1B247}"/>
    <cellStyle name="Moeda 4 3 2 2 3" xfId="1053" xr:uid="{02EA865E-F1F4-419E-BB5C-83DDD968033A}"/>
    <cellStyle name="Moeda 4 3 2 2 3 2" xfId="3580" xr:uid="{7D3BBAB3-3D95-497B-9FDB-E115EDFBC626}"/>
    <cellStyle name="Moeda 4 3 2 2 3 2 2" xfId="51375" xr:uid="{B6012F1C-91F4-49A8-ADA8-BA0BEBD9955D}"/>
    <cellStyle name="Moeda 4 3 2 2 3 2 3" xfId="54669" xr:uid="{0BFACB4B-4750-48D8-B794-C9E0E2FA235C}"/>
    <cellStyle name="Moeda 4 3 2 2 3 2 4" xfId="48067" xr:uid="{5BB8D9A2-B4C2-4F9B-B9D7-49D149ACCFB7}"/>
    <cellStyle name="Moeda 4 3 2 2 3 3" xfId="1929" xr:uid="{279621B8-4018-4FF5-AF90-E73462FFF8DF}"/>
    <cellStyle name="Moeda 4 3 2 2 3 3 2" xfId="56924" xr:uid="{874610C7-A96A-4A6F-A860-B95B1D8207BC}"/>
    <cellStyle name="Moeda 4 3 2 2 3 3 3" xfId="49736" xr:uid="{2677F2E5-D16A-4CB9-BCDF-05134C85B482}"/>
    <cellStyle name="Moeda 4 3 2 2 3 4" xfId="53032" xr:uid="{FB78BDB5-27BF-48EA-B8A1-DBDB709F347A}"/>
    <cellStyle name="Moeda 4 3 2 2 3 5" xfId="47529" xr:uid="{9B7DFA9A-7F2D-4BD7-9EC0-2E98226B2620}"/>
    <cellStyle name="Moeda 4 3 2 2 4" xfId="1459" xr:uid="{748AED9F-A50D-4835-89CC-8989661B3D02}"/>
    <cellStyle name="Moeda 4 3 2 2 4 2" xfId="3798" xr:uid="{406C8005-813D-4F5F-9DB8-F23DEA96457F}"/>
    <cellStyle name="Moeda 4 3 2 2 4 2 2" xfId="51376" xr:uid="{64B39F46-C81D-4BB2-9370-9DCF36EB9CE0}"/>
    <cellStyle name="Moeda 4 3 2 2 4 2 3" xfId="54670" xr:uid="{0123B90C-6DB0-4607-A0AB-6579B73DC00C}"/>
    <cellStyle name="Moeda 4 3 2 2 4 2 4" xfId="48068" xr:uid="{6B089A47-B196-41BF-8FC9-871D0798DD53}"/>
    <cellStyle name="Moeda 4 3 2 2 4 3" xfId="3120" xr:uid="{79B58C20-CD8D-40F8-B76F-E47B170C880B}"/>
    <cellStyle name="Moeda 4 3 2 2 4 3 2" xfId="57330" xr:uid="{603EF681-CAA6-48F7-BA67-9A4E56BEC9FD}"/>
    <cellStyle name="Moeda 4 3 2 2 4 3 3" xfId="49737" xr:uid="{B48DF127-B5A7-400F-B7CB-C8F3E2AC2D9B}"/>
    <cellStyle name="Moeda 4 3 2 2 4 4" xfId="53033" xr:uid="{F6339D30-5AEC-4F89-8EC2-DA4A7DDAF9E9}"/>
    <cellStyle name="Moeda 4 3 2 2 4 5" xfId="47655" xr:uid="{CCF07CB4-29E4-4248-8777-3F46137EEFC3}"/>
    <cellStyle name="Moeda 4 3 2 2 5" xfId="646" xr:uid="{CD95B56B-F268-43E9-9D47-69C1DDB74A41}"/>
    <cellStyle name="Moeda 4 3 2 2 5 2" xfId="2362" xr:uid="{B53B7681-38F8-4672-9BBA-4CFC9993438B}"/>
    <cellStyle name="Moeda 4 3 2 2 5 2 2" xfId="54671" xr:uid="{709A4DCE-8F98-479F-96EA-880348D829CC}"/>
    <cellStyle name="Moeda 4 3 2 2 5 2 3" xfId="51377" xr:uid="{9F6CD8C1-E9B3-4C35-8BEE-27EACC5BEF71}"/>
    <cellStyle name="Moeda 4 3 2 2 5 3" xfId="49738" xr:uid="{9AA0589D-7B91-4054-A7FA-B6AB5D273F95}"/>
    <cellStyle name="Moeda 4 3 2 2 5 3 2" xfId="56517" xr:uid="{9C29A27D-9232-4BDE-B947-B853A5907918}"/>
    <cellStyle name="Moeda 4 3 2 2 5 4" xfId="53034" xr:uid="{ED52D039-E589-44F8-8869-EC1D682E402F}"/>
    <cellStyle name="Moeda 4 3 2 2 5 5" xfId="48069" xr:uid="{DB200783-DF24-4BE8-B9A7-39396F52E290}"/>
    <cellStyle name="Moeda 4 3 2 2 6" xfId="3470" xr:uid="{47A4C232-14E4-4F20-A355-8ADBD7C50812}"/>
    <cellStyle name="Moeda 4 3 2 2 6 2" xfId="51370" xr:uid="{72B2DFCA-9AFA-4890-86BF-4968A558F2E5}"/>
    <cellStyle name="Moeda 4 3 2 2 6 3" xfId="54664" xr:uid="{D6FA0C29-C161-4720-BBAE-CC4609F2E043}"/>
    <cellStyle name="Moeda 4 3 2 2 6 4" xfId="48062" xr:uid="{AF4DEA35-D9F2-4756-A2F8-3DC0BFF33B0A}"/>
    <cellStyle name="Moeda 4 3 2 2 7" xfId="4075" xr:uid="{3B48D569-56F5-43E2-86C5-912F3E43C931}"/>
    <cellStyle name="Moeda 4 3 2 2 7 2" xfId="56108" xr:uid="{171EAB4F-3A96-44A6-92A5-B0EC969AE127}"/>
    <cellStyle name="Moeda 4 3 2 2 7 3" xfId="49731" xr:uid="{F9A16A9A-60E4-434F-9C4D-DF1E6A1ED37A}"/>
    <cellStyle name="Moeda 4 3 2 2 8" xfId="1819" xr:uid="{510435F6-3FA8-480F-ABA4-947EAF5785E0}"/>
    <cellStyle name="Moeda 4 3 2 2 8 2" xfId="53027" xr:uid="{2E80D513-F273-456B-A2E9-7E9D2BD30577}"/>
    <cellStyle name="Moeda 4 3 2 2 9" xfId="32909" xr:uid="{EA89EE12-A0E1-4796-B7D5-E00C962F8CAE}"/>
    <cellStyle name="Moeda 4 3 2 3" xfId="289" xr:uid="{3D5A879A-24C5-40D0-9F7E-F8BC55680DE6}"/>
    <cellStyle name="Moeda 4 3 2 3 10" xfId="4570" xr:uid="{ECE794C7-F789-461C-A95D-081E16867C79}"/>
    <cellStyle name="Moeda 4 3 2 3 2" xfId="478" xr:uid="{6F96DC99-EF9D-4070-857A-9539B979E0A2}"/>
    <cellStyle name="Moeda 4 3 2 3 2 2" xfId="1294" xr:uid="{439E40D5-AF8A-49DC-99CD-54C926914671}"/>
    <cellStyle name="Moeda 4 3 2 3 2 2 2" xfId="2955" xr:uid="{61111161-D339-464B-82E6-B7BDF5214B62}"/>
    <cellStyle name="Moeda 4 3 2 3 2 2 2 2" xfId="54674" xr:uid="{3CE1DB4F-8783-4108-926F-4F97C449E486}"/>
    <cellStyle name="Moeda 4 3 2 3 2 2 2 3" xfId="51380" xr:uid="{93DBCE43-081A-4827-9390-14FD5F3A067A}"/>
    <cellStyle name="Moeda 4 3 2 3 2 2 3" xfId="49741" xr:uid="{33BE7D6E-1D6E-4233-80FC-B061445AF714}"/>
    <cellStyle name="Moeda 4 3 2 3 2 2 3 2" xfId="57165" xr:uid="{877B3F5E-2DE5-48FE-AC46-9E91D4FCB43A}"/>
    <cellStyle name="Moeda 4 3 2 3 2 2 4" xfId="53037" xr:uid="{A77992C2-FFDA-48F3-BCEF-104D3EB7B0E2}"/>
    <cellStyle name="Moeda 4 3 2 3 2 2 5" xfId="48072" xr:uid="{4E0B8513-B9A1-4A19-B51D-93B70D640D3B}"/>
    <cellStyle name="Moeda 4 3 2 3 2 3" xfId="1700" xr:uid="{A8FD8FF4-E66D-4F54-BA38-93CCF6EF6E77}"/>
    <cellStyle name="Moeda 4 3 2 3 2 3 2" xfId="3360" xr:uid="{D53D128C-DB22-49A0-9769-EDFD59A44AA7}"/>
    <cellStyle name="Moeda 4 3 2 3 2 3 2 2" xfId="54675" xr:uid="{495F17A5-EAEA-4672-937A-A01407A84A71}"/>
    <cellStyle name="Moeda 4 3 2 3 2 3 2 3" xfId="51381" xr:uid="{0B3BD260-8F73-4E72-B1C0-054B00BD43AB}"/>
    <cellStyle name="Moeda 4 3 2 3 2 3 3" xfId="49742" xr:uid="{890089F2-6ACF-4088-8B8D-D7F2F13829B6}"/>
    <cellStyle name="Moeda 4 3 2 3 2 3 3 2" xfId="57571" xr:uid="{39A39253-3A30-4DDC-A11F-F87C67414A58}"/>
    <cellStyle name="Moeda 4 3 2 3 2 3 4" xfId="53038" xr:uid="{7A7ED672-E7AA-44B9-9330-A56458EAA5D4}"/>
    <cellStyle name="Moeda 4 3 2 3 2 3 5" xfId="48073" xr:uid="{DC5469E6-82C4-4FAC-8960-767AC3873C2C}"/>
    <cellStyle name="Moeda 4 3 2 3 2 4" xfId="887" xr:uid="{8F076CAF-3D77-4691-877C-A41912A7F9DC}"/>
    <cellStyle name="Moeda 4 3 2 3 2 4 2" xfId="2603" xr:uid="{92F5E61A-F2E5-4C5D-ADDC-D4DAB30A5F3A}"/>
    <cellStyle name="Moeda 4 3 2 3 2 4 2 2" xfId="54676" xr:uid="{31F2513F-1428-4CA2-8327-726D1FB7B1D3}"/>
    <cellStyle name="Moeda 4 3 2 3 2 4 2 3" xfId="51382" xr:uid="{9CDB1695-50DC-4425-B2DF-2133829CD4DB}"/>
    <cellStyle name="Moeda 4 3 2 3 2 4 3" xfId="49743" xr:uid="{83B84C25-4392-4B44-BF35-E8F56BFFB95D}"/>
    <cellStyle name="Moeda 4 3 2 3 2 4 3 2" xfId="56758" xr:uid="{D89D21D0-C0E7-46EF-961A-1D560D2406EE}"/>
    <cellStyle name="Moeda 4 3 2 3 2 4 4" xfId="53039" xr:uid="{196E7852-F868-47E2-A1C2-2B1C16A05B33}"/>
    <cellStyle name="Moeda 4 3 2 3 2 4 5" xfId="48074" xr:uid="{D7C8C015-0C89-4E7F-A70E-789310D48B93}"/>
    <cellStyle name="Moeda 4 3 2 3 2 5" xfId="2195" xr:uid="{2B150120-5279-4151-9ECE-AF865DF97CEC}"/>
    <cellStyle name="Moeda 4 3 2 3 2 5 2" xfId="54673" xr:uid="{83D88674-B1C7-40D2-944E-8C2B61AECE54}"/>
    <cellStyle name="Moeda 4 3 2 3 2 5 3" xfId="51379" xr:uid="{346459A9-FC18-44DE-B87D-C5B55E3B41E7}"/>
    <cellStyle name="Moeda 4 3 2 3 2 6" xfId="49740" xr:uid="{53F4776D-620E-4C2A-86A0-0789DEC38A07}"/>
    <cellStyle name="Moeda 4 3 2 3 2 6 2" xfId="56349" xr:uid="{32571A54-AB98-434C-91DF-BDDAFB03479B}"/>
    <cellStyle name="Moeda 4 3 2 3 2 7" xfId="53036" xr:uid="{901E29B3-6E46-4C8A-B74C-14B17582AB5B}"/>
    <cellStyle name="Moeda 4 3 2 3 2 8" xfId="48071" xr:uid="{089D8C38-EF15-4AF3-A1A2-DD800513E779}"/>
    <cellStyle name="Moeda 4 3 2 3 2 9" xfId="4759" xr:uid="{D05A5937-2B98-4098-B354-27019E81CACD}"/>
    <cellStyle name="Moeda 4 3 2 3 3" xfId="1105" xr:uid="{1E2F36BD-D6A6-47B6-9874-4C30F13F5A10}"/>
    <cellStyle name="Moeda 4 3 2 3 3 2" xfId="2768" xr:uid="{B198D3F5-DEE6-4CB0-814A-0F41509B7B82}"/>
    <cellStyle name="Moeda 4 3 2 3 3 2 2" xfId="54677" xr:uid="{EC088BD8-3368-4634-9645-6D327D3E2045}"/>
    <cellStyle name="Moeda 4 3 2 3 3 2 3" xfId="51383" xr:uid="{2D15435A-AF87-40F4-A3E5-B1D32F8CBFBA}"/>
    <cellStyle name="Moeda 4 3 2 3 3 3" xfId="49744" xr:uid="{03556A69-8229-4BF8-A220-4429FB8AF53A}"/>
    <cellStyle name="Moeda 4 3 2 3 3 3 2" xfId="56976" xr:uid="{AA4748E3-944E-4D74-84A9-4AB89A48E283}"/>
    <cellStyle name="Moeda 4 3 2 3 3 4" xfId="53040" xr:uid="{530E4D2F-2623-4B33-9C7D-331E1783CF81}"/>
    <cellStyle name="Moeda 4 3 2 3 3 5" xfId="48075" xr:uid="{A41DF1F0-E907-4B51-AA84-DB24F7F5FE44}"/>
    <cellStyle name="Moeda 4 3 2 3 4" xfId="1511" xr:uid="{5ABC46B6-63A6-4AB9-BC09-415E536B0789}"/>
    <cellStyle name="Moeda 4 3 2 3 4 2" xfId="3172" xr:uid="{0BDBDE46-E659-4C12-893F-33AFAF00295B}"/>
    <cellStyle name="Moeda 4 3 2 3 4 2 2" xfId="54678" xr:uid="{61298EF8-F5A5-4D59-B786-260666FAB1DF}"/>
    <cellStyle name="Moeda 4 3 2 3 4 2 3" xfId="51384" xr:uid="{0587788D-507D-4FDC-BF3D-754595670511}"/>
    <cellStyle name="Moeda 4 3 2 3 4 3" xfId="49745" xr:uid="{2A6DDC5F-2EF1-41B8-9F9A-FCBB16D93848}"/>
    <cellStyle name="Moeda 4 3 2 3 4 3 2" xfId="57382" xr:uid="{3D58B14C-06DC-40F1-B475-BA529F5B87C9}"/>
    <cellStyle name="Moeda 4 3 2 3 4 4" xfId="53041" xr:uid="{98224A49-2BA8-4B49-9A69-A2AF08FBA965}"/>
    <cellStyle name="Moeda 4 3 2 3 4 5" xfId="48076" xr:uid="{D186B2DA-060A-44F0-9703-AABC9A6B8B24}"/>
    <cellStyle name="Moeda 4 3 2 3 5" xfId="698" xr:uid="{F91B3D44-B0B4-4848-A932-77CCDB0A91B9}"/>
    <cellStyle name="Moeda 4 3 2 3 5 2" xfId="2414" xr:uid="{189D0E8D-1EC9-41CB-B688-80FE05AB1FC7}"/>
    <cellStyle name="Moeda 4 3 2 3 5 2 2" xfId="54679" xr:uid="{1E74B487-20FD-48CE-B093-6DAB942E44F2}"/>
    <cellStyle name="Moeda 4 3 2 3 5 2 3" xfId="51385" xr:uid="{0D102571-8D15-4580-BBDD-094EDDE91591}"/>
    <cellStyle name="Moeda 4 3 2 3 5 3" xfId="49746" xr:uid="{CF06810A-53AA-49CF-A45F-53C2B001B343}"/>
    <cellStyle name="Moeda 4 3 2 3 5 3 2" xfId="56569" xr:uid="{B4AC7CD6-8D68-4E85-8C6D-5B6FB71244C0}"/>
    <cellStyle name="Moeda 4 3 2 3 5 4" xfId="53042" xr:uid="{9D0CC222-BCA8-47E4-87C1-902D42C9CC29}"/>
    <cellStyle name="Moeda 4 3 2 3 5 5" xfId="48077" xr:uid="{FE1A266D-7C3E-4F48-B4C7-0524A7F0674B}"/>
    <cellStyle name="Moeda 4 3 2 3 6" xfId="3634" xr:uid="{72F22D0A-A2FA-46EA-810A-A9276F93D950}"/>
    <cellStyle name="Moeda 4 3 2 3 6 2" xfId="51378" xr:uid="{60C55069-FF9E-4714-A3FF-87229F4E6308}"/>
    <cellStyle name="Moeda 4 3 2 3 6 3" xfId="54672" xr:uid="{C033801D-7591-4F6C-AE95-FA1E0A9A19B4}"/>
    <cellStyle name="Moeda 4 3 2 3 6 4" xfId="48070" xr:uid="{3D0BE10D-9469-4D35-8552-429B425B3759}"/>
    <cellStyle name="Moeda 4 3 2 3 7" xfId="4247" xr:uid="{CF145B43-F42F-4A7B-A609-9AFC443CF174}"/>
    <cellStyle name="Moeda 4 3 2 3 7 2" xfId="56160" xr:uid="{6448F6B5-0FF6-434C-AA2F-141FB8D6A75C}"/>
    <cellStyle name="Moeda 4 3 2 3 7 3" xfId="49739" xr:uid="{86794D9E-F4BE-4EAA-9631-D9DCD458D4F8}"/>
    <cellStyle name="Moeda 4 3 2 3 8" xfId="1983" xr:uid="{D6356ABD-D6BD-4B1F-8202-21A2D7A3FFD6}"/>
    <cellStyle name="Moeda 4 3 2 3 8 2" xfId="53035" xr:uid="{B445054F-5089-416C-ACE3-F3B7E93D162D}"/>
    <cellStyle name="Moeda 4 3 2 3 9" xfId="47347" xr:uid="{DAB0CEA4-00CE-43E1-90B4-0D1F9F5DDAC1}"/>
    <cellStyle name="Moeda 4 3 2 4" xfId="348" xr:uid="{F2F7B232-049A-4CF3-AF72-0B3F59E445A2}"/>
    <cellStyle name="Moeda 4 3 2 4 2" xfId="1164" xr:uid="{74F980C0-FB56-4059-A6CD-337991DDE5C6}"/>
    <cellStyle name="Moeda 4 3 2 4 2 2" xfId="2825" xr:uid="{34A65DDF-9336-4A90-8235-7FF3B3BEF7A7}"/>
    <cellStyle name="Moeda 4 3 2 4 2 2 2" xfId="54681" xr:uid="{9D9B1EFD-349D-4454-AA83-02640ED2857A}"/>
    <cellStyle name="Moeda 4 3 2 4 2 2 3" xfId="51387" xr:uid="{0FD8BF83-D535-4CAF-98D3-C24EB3EB4BC4}"/>
    <cellStyle name="Moeda 4 3 2 4 2 3" xfId="49748" xr:uid="{F5E0CFEB-B61C-4CE3-99F4-CF7F2F126BFD}"/>
    <cellStyle name="Moeda 4 3 2 4 2 3 2" xfId="57035" xr:uid="{794CC43B-C853-4EBC-9CB6-B12BC1A9AB78}"/>
    <cellStyle name="Moeda 4 3 2 4 2 4" xfId="53044" xr:uid="{291280ED-46B2-45B3-94A0-4B26D4DFDFD7}"/>
    <cellStyle name="Moeda 4 3 2 4 2 5" xfId="48079" xr:uid="{02BAD9E5-7FD4-40AF-AC9D-5D88FC34C826}"/>
    <cellStyle name="Moeda 4 3 2 4 3" xfId="1570" xr:uid="{9698D9E0-442C-4D95-B2F4-87062C250850}"/>
    <cellStyle name="Moeda 4 3 2 4 3 2" xfId="3230" xr:uid="{0B0DA6BC-0FED-4B9C-9EAA-783F8410404B}"/>
    <cellStyle name="Moeda 4 3 2 4 3 2 2" xfId="54682" xr:uid="{8040DC87-84CF-44DC-AB86-8B0AA33FF9E8}"/>
    <cellStyle name="Moeda 4 3 2 4 3 2 3" xfId="51388" xr:uid="{3A92E5E1-AEBD-4733-8330-D7743EED4A6B}"/>
    <cellStyle name="Moeda 4 3 2 4 3 3" xfId="49749" xr:uid="{05A84078-4183-42EF-AF12-CAF78E6B57D2}"/>
    <cellStyle name="Moeda 4 3 2 4 3 3 2" xfId="57441" xr:uid="{08BC48BB-95D1-49AB-A9F9-8F0C4EC8CE5B}"/>
    <cellStyle name="Moeda 4 3 2 4 3 4" xfId="53045" xr:uid="{90DD2A98-9656-46BE-9045-A82A5BB0DD54}"/>
    <cellStyle name="Moeda 4 3 2 4 3 5" xfId="48080" xr:uid="{23918834-770B-4FA7-9737-8AE6ABD3B6CF}"/>
    <cellStyle name="Moeda 4 3 2 4 4" xfId="757" xr:uid="{69A81AD2-3E7F-4520-A066-F45D62200EAA}"/>
    <cellStyle name="Moeda 4 3 2 4 4 2" xfId="2473" xr:uid="{7D7762BF-09F7-4FD0-AE71-C06F59C94C34}"/>
    <cellStyle name="Moeda 4 3 2 4 4 2 2" xfId="54683" xr:uid="{AB01D444-A16C-48F7-AEBC-136DD6324BBD}"/>
    <cellStyle name="Moeda 4 3 2 4 4 2 3" xfId="51389" xr:uid="{DFD3C88C-FBD2-4463-8D57-7B81F03BB954}"/>
    <cellStyle name="Moeda 4 3 2 4 4 3" xfId="49750" xr:uid="{62473403-EC68-4CA6-98ED-DDB8352616F6}"/>
    <cellStyle name="Moeda 4 3 2 4 4 3 2" xfId="56628" xr:uid="{13AA5E79-277D-4EEF-869F-19C5227F9D7B}"/>
    <cellStyle name="Moeda 4 3 2 4 4 4" xfId="53046" xr:uid="{8C04A376-67F5-49D5-99FD-D7DF70A16751}"/>
    <cellStyle name="Moeda 4 3 2 4 4 5" xfId="48081" xr:uid="{C4528E19-3D5C-46A9-85D7-6284362BD553}"/>
    <cellStyle name="Moeda 4 3 2 4 5" xfId="3525" xr:uid="{B4E51BA3-E0D5-4162-84B0-821BE5721351}"/>
    <cellStyle name="Moeda 4 3 2 4 5 2" xfId="51386" xr:uid="{1D315952-8FD7-42DA-816E-EB28841F2D17}"/>
    <cellStyle name="Moeda 4 3 2 4 5 3" xfId="54680" xr:uid="{95E9F83D-70A2-4BA8-9159-513E78E68BC4}"/>
    <cellStyle name="Moeda 4 3 2 4 5 4" xfId="48078" xr:uid="{F9BD06E2-F42A-4EEA-966C-108453CC379F}"/>
    <cellStyle name="Moeda 4 3 2 4 6" xfId="1874" xr:uid="{0A50F221-B8D5-4075-B0E5-85303BE57EBB}"/>
    <cellStyle name="Moeda 4 3 2 4 6 2" xfId="56219" xr:uid="{CDDFC98C-2F5E-4A14-90DE-004DA0B6A5D7}"/>
    <cellStyle name="Moeda 4 3 2 4 6 3" xfId="49747" xr:uid="{FA95BC25-0C7E-4D7A-8813-FA1767234058}"/>
    <cellStyle name="Moeda 4 3 2 4 7" xfId="53043" xr:uid="{816FDE85-B47C-4E3D-9B0B-15C82396E592}"/>
    <cellStyle name="Moeda 4 3 2 4 8" xfId="47473" xr:uid="{CF6AE46E-73E4-430F-A4E3-5BDA54DBC06E}"/>
    <cellStyle name="Moeda 4 3 2 4 9" xfId="4629" xr:uid="{23CF3F41-034E-4C69-9023-0D7286E28628}"/>
    <cellStyle name="Moeda 4 3 2 5" xfId="975" xr:uid="{0E01BB64-39CA-410D-AEA4-6EA21C6CE7ED}"/>
    <cellStyle name="Moeda 4 3 2 5 2" xfId="3743" xr:uid="{6602492E-39E0-4BF6-A77E-4E9CC481642D}"/>
    <cellStyle name="Moeda 4 3 2 5 2 2" xfId="51390" xr:uid="{DE5EE19A-7B82-47AA-B708-FDA9D722430C}"/>
    <cellStyle name="Moeda 4 3 2 5 2 3" xfId="54684" xr:uid="{2E704234-ED99-4B29-9A73-E52D48DC4B60}"/>
    <cellStyle name="Moeda 4 3 2 5 2 4" xfId="48082" xr:uid="{9B2EB57F-8081-4760-BBC9-750727606497}"/>
    <cellStyle name="Moeda 4 3 2 5 3" xfId="2689" xr:uid="{788849D9-9F4C-42F6-AA5C-5228B8CF27A3}"/>
    <cellStyle name="Moeda 4 3 2 5 3 2" xfId="56846" xr:uid="{BCAFDA1F-6A66-490F-AE26-8C3AF0ED4528}"/>
    <cellStyle name="Moeda 4 3 2 5 3 3" xfId="49751" xr:uid="{3F229D98-14A3-47BD-8AC2-720E21EFB3A3}"/>
    <cellStyle name="Moeda 4 3 2 5 4" xfId="53047" xr:uid="{1E68A429-0698-4EFC-AFF9-9F442C3AB0DE}"/>
    <cellStyle name="Moeda 4 3 2 5 5" xfId="47599" xr:uid="{5C0698E3-50BF-44A7-9E21-D11984ADDD7E}"/>
    <cellStyle name="Moeda 4 3 2 6" xfId="1381" xr:uid="{3408AFD5-3F2E-4DB6-B767-E71EF3E6ECB3}"/>
    <cellStyle name="Moeda 4 3 2 6 2" xfId="3042" xr:uid="{6D99ED45-4AD0-4FAD-9FA6-E4F484D88C9C}"/>
    <cellStyle name="Moeda 4 3 2 6 2 2" xfId="54685" xr:uid="{F588A7E5-DAC3-48D0-91E8-899CC2EEAFFF}"/>
    <cellStyle name="Moeda 4 3 2 6 2 3" xfId="51391" xr:uid="{FE659AEF-1976-4FAF-A17F-F74CB65F3D9D}"/>
    <cellStyle name="Moeda 4 3 2 6 3" xfId="49752" xr:uid="{2B0592B0-FDE8-496D-BC35-C91EF6E452F0}"/>
    <cellStyle name="Moeda 4 3 2 6 3 2" xfId="57252" xr:uid="{B299EC63-9CD5-491E-A079-0126ABB87D63}"/>
    <cellStyle name="Moeda 4 3 2 6 4" xfId="53048" xr:uid="{ED827C27-C6BB-48E4-A880-C91B2C262871}"/>
    <cellStyle name="Moeda 4 3 2 6 5" xfId="48083" xr:uid="{37A1BCDF-3FF1-4030-92B6-C340EA89EE36}"/>
    <cellStyle name="Moeda 4 3 2 7" xfId="568" xr:uid="{830AFE4F-6667-436C-A0F2-4D5F136CC329}"/>
    <cellStyle name="Moeda 4 3 2 7 2" xfId="2284" xr:uid="{D9EFCD21-F9B2-4586-B380-4126AB7D97B6}"/>
    <cellStyle name="Moeda 4 3 2 7 2 2" xfId="54686" xr:uid="{26826E58-7B2C-451D-9948-B780ABB3B506}"/>
    <cellStyle name="Moeda 4 3 2 7 2 3" xfId="51392" xr:uid="{0E348424-1A33-4EC1-9B12-32C99606C76F}"/>
    <cellStyle name="Moeda 4 3 2 7 3" xfId="49753" xr:uid="{D844D1A2-435A-4071-B1CA-5FBF736650D9}"/>
    <cellStyle name="Moeda 4 3 2 7 3 2" xfId="56439" xr:uid="{6D3CEA0D-B923-4F57-B07F-9E3B3707E17E}"/>
    <cellStyle name="Moeda 4 3 2 7 4" xfId="53049" xr:uid="{35A20903-1320-4FC9-8037-3D5FA2BFA1B1}"/>
    <cellStyle name="Moeda 4 3 2 7 5" xfId="48084" xr:uid="{FB3EDCFF-2CD2-445C-86F3-436175383610}"/>
    <cellStyle name="Moeda 4 3 2 8" xfId="3415" xr:uid="{788D139F-7CF9-400E-A7FF-88BE6B8F7829}"/>
    <cellStyle name="Moeda 4 3 2 8 2" xfId="51369" xr:uid="{808F33A2-225C-4225-8221-99C9133493F2}"/>
    <cellStyle name="Moeda 4 3 2 8 3" xfId="54663" xr:uid="{1BF4400F-6A3B-4160-A22F-88F7E61CAAFA}"/>
    <cellStyle name="Moeda 4 3 2 8 4" xfId="48061" xr:uid="{CA23A9DD-FA69-4588-B39F-6A87E6D72F95}"/>
    <cellStyle name="Moeda 4 3 2 9" xfId="3904" xr:uid="{A2BB08B9-7C15-43BA-AD6F-AE890EACE843}"/>
    <cellStyle name="Moeda 4 3 2 9 2" xfId="56030" xr:uid="{932EC2ED-4585-489A-9F62-8BE64E619665}"/>
    <cellStyle name="Moeda 4 3 2 9 3" xfId="49730" xr:uid="{1FC1675F-E350-4610-B8A5-03746C2A4E8F}"/>
    <cellStyle name="Moeda 4 3 3" xfId="185" xr:uid="{01C526F6-5F3E-4BF9-B924-1C4A1853359A}"/>
    <cellStyle name="Moeda 4 3 3 10" xfId="4466" xr:uid="{820A0DCD-2613-4468-9AF2-ED9249B50465}"/>
    <cellStyle name="Moeda 4 3 3 2" xfId="374" xr:uid="{5DA4D485-6017-4DDF-B596-CE95F85DB5F7}"/>
    <cellStyle name="Moeda 4 3 3 2 2" xfId="1190" xr:uid="{14B5822E-9A3D-42A2-8BBA-69ADB2CC0554}"/>
    <cellStyle name="Moeda 4 3 3 2 2 2" xfId="2851" xr:uid="{7D67C372-83A2-493D-9336-FC1C2D8FCF0A}"/>
    <cellStyle name="Moeda 4 3 3 2 2 2 2" xfId="54689" xr:uid="{36ABA334-B43A-4CD9-B1C9-7854BC00AB9F}"/>
    <cellStyle name="Moeda 4 3 3 2 2 2 3" xfId="51395" xr:uid="{FCADA3BC-72B2-448D-BAB1-38C6A524C20C}"/>
    <cellStyle name="Moeda 4 3 3 2 2 3" xfId="49756" xr:uid="{13FF0105-E18D-47B0-AD37-5F8B5A1BA925}"/>
    <cellStyle name="Moeda 4 3 3 2 2 3 2" xfId="57061" xr:uid="{2D7B7E2A-9B26-4B4A-9BF9-7B16DCC335CF}"/>
    <cellStyle name="Moeda 4 3 3 2 2 4" xfId="53052" xr:uid="{1518873F-D747-48EA-9CCD-5521532A21BF}"/>
    <cellStyle name="Moeda 4 3 3 2 2 5" xfId="48087" xr:uid="{C8B66717-F7A2-4140-B9DC-5701B4A7E84A}"/>
    <cellStyle name="Moeda 4 3 3 2 3" xfId="1596" xr:uid="{ACD874D3-2A83-4D72-BD10-3954CDFEADFB}"/>
    <cellStyle name="Moeda 4 3 3 2 3 2" xfId="3256" xr:uid="{F0BCCF1B-D59C-4044-BDD3-C4CB302474A4}"/>
    <cellStyle name="Moeda 4 3 3 2 3 2 2" xfId="54690" xr:uid="{51B2CFE1-8F3E-403A-A912-CB84134EE6E0}"/>
    <cellStyle name="Moeda 4 3 3 2 3 2 3" xfId="51396" xr:uid="{6DF64CF3-4A05-41F5-ADF7-176A4C4AE323}"/>
    <cellStyle name="Moeda 4 3 3 2 3 3" xfId="49757" xr:uid="{0BE01EE6-BBD4-4875-803B-36FE5FCEE39E}"/>
    <cellStyle name="Moeda 4 3 3 2 3 3 2" xfId="57467" xr:uid="{6449CDDF-90AF-4228-954B-50E03CFD72EB}"/>
    <cellStyle name="Moeda 4 3 3 2 3 4" xfId="53053" xr:uid="{411927A1-25DA-474A-A14D-F8C546F97B41}"/>
    <cellStyle name="Moeda 4 3 3 2 3 5" xfId="48088" xr:uid="{409F9605-F934-4D95-89F3-8F7F7442644B}"/>
    <cellStyle name="Moeda 4 3 3 2 4" xfId="783" xr:uid="{FD8CA371-EB72-4490-9B6E-980A1FD6A554}"/>
    <cellStyle name="Moeda 4 3 3 2 4 2" xfId="2499" xr:uid="{535728C1-F4F7-4DD3-88AA-2D7B3D613E54}"/>
    <cellStyle name="Moeda 4 3 3 2 4 2 2" xfId="54691" xr:uid="{3B3DDE06-E0B7-4418-BDB7-041EA1D874CD}"/>
    <cellStyle name="Moeda 4 3 3 2 4 2 3" xfId="51397" xr:uid="{864D6A0E-FA47-4495-BAD1-F9DFA46E4902}"/>
    <cellStyle name="Moeda 4 3 3 2 4 3" xfId="49758" xr:uid="{6CFB7FB8-6AAC-49A7-B07A-E4340E79027B}"/>
    <cellStyle name="Moeda 4 3 3 2 4 3 2" xfId="56654" xr:uid="{0EAD7EDB-56CF-4E0A-9901-FB7D13A6CC92}"/>
    <cellStyle name="Moeda 4 3 3 2 4 4" xfId="53054" xr:uid="{8A859892-5F74-4399-94CB-71528650C517}"/>
    <cellStyle name="Moeda 4 3 3 2 4 5" xfId="48089" xr:uid="{AF23117D-9B3B-43C7-8843-051FD7377C21}"/>
    <cellStyle name="Moeda 4 3 3 2 5" xfId="3663" xr:uid="{7A58ED14-2629-4580-A2B5-A3FDF8A9C601}"/>
    <cellStyle name="Moeda 4 3 3 2 5 2" xfId="51394" xr:uid="{5C5E710E-7A45-4873-BA29-ADD0487232BD}"/>
    <cellStyle name="Moeda 4 3 3 2 5 3" xfId="54688" xr:uid="{4DB3C9AD-4A2B-4048-A5D8-0E9AB0B06D75}"/>
    <cellStyle name="Moeda 4 3 3 2 5 4" xfId="48086" xr:uid="{F1C8DF1E-EB03-4425-965D-043D65B53ED3}"/>
    <cellStyle name="Moeda 4 3 3 2 6" xfId="4148" xr:uid="{7AFA12AA-4558-4FC8-A296-8779D7D2BBE8}"/>
    <cellStyle name="Moeda 4 3 3 2 6 2" xfId="56245" xr:uid="{56A38444-645E-4420-8922-23757A5E40CE}"/>
    <cellStyle name="Moeda 4 3 3 2 6 3" xfId="49755" xr:uid="{6506C20D-2136-4B47-9948-03AB90E0AFCE}"/>
    <cellStyle name="Moeda 4 3 3 2 7" xfId="2012" xr:uid="{6E817C18-8ABB-44FF-A2D2-CFDA2B00B5D5}"/>
    <cellStyle name="Moeda 4 3 3 2 7 2" xfId="53051" xr:uid="{FF92B41A-357F-477A-87A6-5417D8EE389F}"/>
    <cellStyle name="Moeda 4 3 3 2 8" xfId="47377" xr:uid="{DCFC6A7E-2EC7-4399-9C8F-F27C843A3A44}"/>
    <cellStyle name="Moeda 4 3 3 2 9" xfId="4655" xr:uid="{F69BC5D9-71BD-4869-B94B-3F27E30E5356}"/>
    <cellStyle name="Moeda 4 3 3 3" xfId="1001" xr:uid="{352FA986-0747-447D-ACA8-00B724744ED7}"/>
    <cellStyle name="Moeda 4 3 3 3 2" xfId="3554" xr:uid="{8CABD28C-7AD0-4A8F-BF53-68F13E010909}"/>
    <cellStyle name="Moeda 4 3 3 3 2 2" xfId="51398" xr:uid="{9E9CAF99-7397-4447-BA96-CFEC7A0691DA}"/>
    <cellStyle name="Moeda 4 3 3 3 2 3" xfId="54692" xr:uid="{A46B8C0A-F2A2-44B5-8186-0795A86CCC6F}"/>
    <cellStyle name="Moeda 4 3 3 3 2 4" xfId="48090" xr:uid="{C5BEE823-703A-40AE-9560-DFDE2E292CD2}"/>
    <cellStyle name="Moeda 4 3 3 3 3" xfId="4320" xr:uid="{565E0689-8396-4E58-9630-443CD714B49B}"/>
    <cellStyle name="Moeda 4 3 3 3 3 2" xfId="56872" xr:uid="{A629422C-BDF8-42EC-9F56-9C0260E07350}"/>
    <cellStyle name="Moeda 4 3 3 3 3 3" xfId="49759" xr:uid="{F4E617E5-2597-47F9-B7FF-45CC6F8A6453}"/>
    <cellStyle name="Moeda 4 3 3 3 4" xfId="1903" xr:uid="{0F891138-1C4D-4331-8232-B2E46E6AAFEF}"/>
    <cellStyle name="Moeda 4 3 3 3 4 2" xfId="53055" xr:uid="{F1C8798E-AA93-488D-8208-BF54EBE3E78E}"/>
    <cellStyle name="Moeda 4 3 3 3 5" xfId="47503" xr:uid="{56EE5EE7-B7C5-47D6-A69A-2C72C72D909B}"/>
    <cellStyle name="Moeda 4 3 3 4" xfId="1407" xr:uid="{46410CB1-D3CE-4AEE-A8F2-970C04D12401}"/>
    <cellStyle name="Moeda 4 3 3 4 2" xfId="3772" xr:uid="{1593FD0A-B536-4794-A240-C977E8F918CE}"/>
    <cellStyle name="Moeda 4 3 3 4 2 2" xfId="51399" xr:uid="{56A4A2EB-8221-49B6-9239-CAF4983E4258}"/>
    <cellStyle name="Moeda 4 3 3 4 2 3" xfId="54693" xr:uid="{CF3BC376-D1A0-4538-90BC-4F5CF44707A4}"/>
    <cellStyle name="Moeda 4 3 3 4 2 4" xfId="48091" xr:uid="{E23E9D6F-65C2-4427-8FC7-B3ECD382B00C}"/>
    <cellStyle name="Moeda 4 3 3 4 3" xfId="3068" xr:uid="{674420F9-810C-4728-89C2-B7DEC13FCFF6}"/>
    <cellStyle name="Moeda 4 3 3 4 3 2" xfId="57278" xr:uid="{59513E24-C95F-4964-8085-E8FE524073DC}"/>
    <cellStyle name="Moeda 4 3 3 4 3 3" xfId="49760" xr:uid="{07CA8161-D9B8-4352-9FE2-27966E162420}"/>
    <cellStyle name="Moeda 4 3 3 4 4" xfId="53056" xr:uid="{D9B55A90-1BB2-4620-849C-0A3B34BCE516}"/>
    <cellStyle name="Moeda 4 3 3 4 5" xfId="47629" xr:uid="{6C5E6FC2-ED50-4117-8AD2-96373DBA5014}"/>
    <cellStyle name="Moeda 4 3 3 5" xfId="594" xr:uid="{66D00115-F1FC-4B08-AEF5-123E6A4BD696}"/>
    <cellStyle name="Moeda 4 3 3 5 2" xfId="2310" xr:uid="{9CCCAC18-8D6A-4A02-BDF1-339E40D616DB}"/>
    <cellStyle name="Moeda 4 3 3 5 2 2" xfId="54694" xr:uid="{FE37A0B8-FE47-4E2C-BB6D-25F7617D72E3}"/>
    <cellStyle name="Moeda 4 3 3 5 2 3" xfId="51400" xr:uid="{52EAEE85-94FB-428A-BEA8-69090DF3B5C8}"/>
    <cellStyle name="Moeda 4 3 3 5 3" xfId="49761" xr:uid="{653B59A7-5B96-478B-8713-2B0F1EAB2A23}"/>
    <cellStyle name="Moeda 4 3 3 5 3 2" xfId="56465" xr:uid="{578AD135-2841-4768-B012-AF721D0B235C}"/>
    <cellStyle name="Moeda 4 3 3 5 4" xfId="53057" xr:uid="{89CE005B-6E28-4EA9-93E3-26779329C8B5}"/>
    <cellStyle name="Moeda 4 3 3 5 5" xfId="48092" xr:uid="{A64655B8-9CB8-46E9-B4EE-79C4561BD87E}"/>
    <cellStyle name="Moeda 4 3 3 6" xfId="3444" xr:uid="{4AEDE3F4-5604-4531-9FED-EA34ECCB6AFF}"/>
    <cellStyle name="Moeda 4 3 3 6 2" xfId="51393" xr:uid="{BF7FC115-FDD4-42A8-8273-29ED7F2BE5DF}"/>
    <cellStyle name="Moeda 4 3 3 6 3" xfId="54687" xr:uid="{33418492-2D63-4B20-BBBB-DBCE580B5C3B}"/>
    <cellStyle name="Moeda 4 3 3 6 4" xfId="48085" xr:uid="{6A2C542C-0568-413F-AA6A-F6936055DE2A}"/>
    <cellStyle name="Moeda 4 3 3 7" xfId="3976" xr:uid="{D3CFB116-DA75-4A13-A286-CF9D9B83327A}"/>
    <cellStyle name="Moeda 4 3 3 7 2" xfId="56056" xr:uid="{77FBFD37-6F61-40A2-AE14-A0DD578D1B70}"/>
    <cellStyle name="Moeda 4 3 3 7 3" xfId="49754" xr:uid="{CE9D0B58-5EA9-4F34-B859-0FF9EA4B0530}"/>
    <cellStyle name="Moeda 4 3 3 8" xfId="1793" xr:uid="{4C17A986-45C4-404D-AB41-5C41C1DD454D}"/>
    <cellStyle name="Moeda 4 3 3 8 2" xfId="53050" xr:uid="{194FA066-7C51-49D6-8DB3-72EE0042DB86}"/>
    <cellStyle name="Moeda 4 3 3 9" xfId="32883" xr:uid="{C1A0745E-5214-43AE-8D8B-7652D3A1A925}"/>
    <cellStyle name="Moeda 4 3 4" xfId="211" xr:uid="{5EC8E619-1C8C-4FF2-88B3-B711C2DE5B69}"/>
    <cellStyle name="Moeda 4 3 4 10" xfId="4492" xr:uid="{B69E54A7-053F-4936-BC93-8A9372C2BB47}"/>
    <cellStyle name="Moeda 4 3 4 2" xfId="400" xr:uid="{609CC2DF-8EC3-426D-BC96-B2B4E8CE0F18}"/>
    <cellStyle name="Moeda 4 3 4 2 2" xfId="1216" xr:uid="{099EFABF-06A1-465F-8D9C-6D7761DCC4DA}"/>
    <cellStyle name="Moeda 4 3 4 2 2 2" xfId="2877" xr:uid="{56B8EC51-AAC3-4511-B7CC-D6166BC7B43C}"/>
    <cellStyle name="Moeda 4 3 4 2 2 2 2" xfId="54697" xr:uid="{317E5EC8-C344-46C9-9081-EE7362F1DCC5}"/>
    <cellStyle name="Moeda 4 3 4 2 2 2 3" xfId="51403" xr:uid="{FB466941-8665-4F85-9B8D-F32CF6C79933}"/>
    <cellStyle name="Moeda 4 3 4 2 2 3" xfId="49764" xr:uid="{AAE81EFD-7786-4E6F-8583-2FF91A74F59E}"/>
    <cellStyle name="Moeda 4 3 4 2 2 3 2" xfId="57087" xr:uid="{90593137-6732-481F-82A4-373CFCAE5F1F}"/>
    <cellStyle name="Moeda 4 3 4 2 2 4" xfId="53060" xr:uid="{BF825173-5D43-4B2D-85A5-872811BBFD5B}"/>
    <cellStyle name="Moeda 4 3 4 2 2 5" xfId="48095" xr:uid="{9994C505-D187-4B00-B76C-D2F467960EF1}"/>
    <cellStyle name="Moeda 4 3 4 2 3" xfId="1622" xr:uid="{43E3148D-B14E-4B0D-950C-16DB31F24448}"/>
    <cellStyle name="Moeda 4 3 4 2 3 2" xfId="3282" xr:uid="{EAE0E227-C655-4568-976E-38483442DC09}"/>
    <cellStyle name="Moeda 4 3 4 2 3 2 2" xfId="54698" xr:uid="{7A442F63-3B81-4402-901F-02F57F4AA4DE}"/>
    <cellStyle name="Moeda 4 3 4 2 3 2 3" xfId="51404" xr:uid="{D3DE086B-036C-4F90-B60D-6B6B975F7053}"/>
    <cellStyle name="Moeda 4 3 4 2 3 3" xfId="49765" xr:uid="{61032BFC-059B-45AB-8DE7-5798982EDE20}"/>
    <cellStyle name="Moeda 4 3 4 2 3 3 2" xfId="57493" xr:uid="{D96C6575-E8B4-4C45-B569-72B3BDD556E7}"/>
    <cellStyle name="Moeda 4 3 4 2 3 4" xfId="53061" xr:uid="{9450C3D1-6FA6-4D38-BA0B-B6EBB13EE387}"/>
    <cellStyle name="Moeda 4 3 4 2 3 5" xfId="48096" xr:uid="{E7EE5823-B3E5-42C0-9048-E331501ABFED}"/>
    <cellStyle name="Moeda 4 3 4 2 4" xfId="809" xr:uid="{53F51E46-1201-4FDF-B88F-62C0D75D1923}"/>
    <cellStyle name="Moeda 4 3 4 2 4 2" xfId="2525" xr:uid="{9C63C9A1-C7C5-4055-9CD8-51A096B0E538}"/>
    <cellStyle name="Moeda 4 3 4 2 4 2 2" xfId="54699" xr:uid="{5428935A-A9E5-4711-8062-A95B778ADFEC}"/>
    <cellStyle name="Moeda 4 3 4 2 4 2 3" xfId="51405" xr:uid="{BCF0E93D-1D93-48C0-957E-193F5556B746}"/>
    <cellStyle name="Moeda 4 3 4 2 4 3" xfId="49766" xr:uid="{72312BE4-B97A-4A03-9F54-BF37B4C333A9}"/>
    <cellStyle name="Moeda 4 3 4 2 4 3 2" xfId="56680" xr:uid="{DD5B84B7-4A7A-49F3-87D7-D0F60E448324}"/>
    <cellStyle name="Moeda 4 3 4 2 4 4" xfId="53062" xr:uid="{8A1ED242-3901-4DEB-AF96-F0D78A6D213F}"/>
    <cellStyle name="Moeda 4 3 4 2 4 5" xfId="48097" xr:uid="{2382E957-53FE-4EEC-B6CA-E2646C94440E}"/>
    <cellStyle name="Moeda 4 3 4 2 5" xfId="2143" xr:uid="{1EB799E4-9FA8-478E-BCBD-CB6E02892775}"/>
    <cellStyle name="Moeda 4 3 4 2 5 2" xfId="54696" xr:uid="{4B53258C-1E0D-451F-A325-2A4F2AA9955E}"/>
    <cellStyle name="Moeda 4 3 4 2 5 3" xfId="51402" xr:uid="{70410164-AC46-4DA2-8826-B148962454B3}"/>
    <cellStyle name="Moeda 4 3 4 2 6" xfId="49763" xr:uid="{E39AF203-4A27-47CE-9273-E038DD96459E}"/>
    <cellStyle name="Moeda 4 3 4 2 6 2" xfId="56271" xr:uid="{4A614B15-646B-47C9-A7C2-024C94F42003}"/>
    <cellStyle name="Moeda 4 3 4 2 7" xfId="53059" xr:uid="{907D7F1F-512A-4934-9BAA-9578B69255A6}"/>
    <cellStyle name="Moeda 4 3 4 2 8" xfId="48094" xr:uid="{0B6F9F2A-798B-41BB-A87E-BD0D18F5D46F}"/>
    <cellStyle name="Moeda 4 3 4 2 9" xfId="4681" xr:uid="{D1EE069E-7579-4F3D-A6EB-84511B1A4DA3}"/>
    <cellStyle name="Moeda 4 3 4 3" xfId="1027" xr:uid="{A93ACDA5-A5AF-4B82-A0A7-2E605B855B39}"/>
    <cellStyle name="Moeda 4 3 4 3 2" xfId="2715" xr:uid="{F2F4BD2A-783A-482C-A773-1CA17300D39F}"/>
    <cellStyle name="Moeda 4 3 4 3 2 2" xfId="54700" xr:uid="{43F8C1CB-A21C-4432-AA71-68F99F27E554}"/>
    <cellStyle name="Moeda 4 3 4 3 2 3" xfId="51406" xr:uid="{C5B804ED-5295-44FA-87DF-EA355A4294BC}"/>
    <cellStyle name="Moeda 4 3 4 3 3" xfId="49767" xr:uid="{3A8F1B66-14FB-4D9F-BFDB-B01EB6EFCFFB}"/>
    <cellStyle name="Moeda 4 3 4 3 3 2" xfId="56898" xr:uid="{DA4794F4-F41D-4284-B4BC-FED47AD50F7A}"/>
    <cellStyle name="Moeda 4 3 4 3 4" xfId="53063" xr:uid="{E6DF75F7-F422-4888-8178-0CEC728BC0C3}"/>
    <cellStyle name="Moeda 4 3 4 3 5" xfId="48098" xr:uid="{37D6DC54-C8F7-46A0-B0AB-77448D474A0A}"/>
    <cellStyle name="Moeda 4 3 4 4" xfId="1433" xr:uid="{8F709A81-A797-4148-BD95-CD6E71FFA6C2}"/>
    <cellStyle name="Moeda 4 3 4 4 2" xfId="3094" xr:uid="{337247B4-00A1-4347-8563-298EBB337AF6}"/>
    <cellStyle name="Moeda 4 3 4 4 2 2" xfId="54701" xr:uid="{4F342B4E-3DA6-48AB-B402-60A81929D539}"/>
    <cellStyle name="Moeda 4 3 4 4 2 3" xfId="51407" xr:uid="{6736B616-FD3E-45FE-A351-CCAD66C04519}"/>
    <cellStyle name="Moeda 4 3 4 4 3" xfId="49768" xr:uid="{42152BB1-3049-42DB-A424-2D31CD074E5D}"/>
    <cellStyle name="Moeda 4 3 4 4 3 2" xfId="57304" xr:uid="{4EC3EDB1-0388-4565-9716-48337CAC54D5}"/>
    <cellStyle name="Moeda 4 3 4 4 4" xfId="53064" xr:uid="{E6D21420-D212-40A8-B7A6-EA00337C46EA}"/>
    <cellStyle name="Moeda 4 3 4 4 5" xfId="48099" xr:uid="{B5E01760-FE2F-48AE-8FF5-886AF6EEFC90}"/>
    <cellStyle name="Moeda 4 3 4 5" xfId="620" xr:uid="{20FBE840-32A5-400D-B1F9-B21D3E283B19}"/>
    <cellStyle name="Moeda 4 3 4 5 2" xfId="2336" xr:uid="{E01EA7EE-9E6B-44CD-A728-065D8D5E7A79}"/>
    <cellStyle name="Moeda 4 3 4 5 2 2" xfId="54702" xr:uid="{94D32655-A4BD-4F57-BAA2-77C586BABFD6}"/>
    <cellStyle name="Moeda 4 3 4 5 2 3" xfId="51408" xr:uid="{422C746A-AFB5-4E8D-B4F1-E9D3916A1B81}"/>
    <cellStyle name="Moeda 4 3 4 5 3" xfId="49769" xr:uid="{9BB66736-41AF-4F29-AF07-6451092E5764}"/>
    <cellStyle name="Moeda 4 3 4 5 3 2" xfId="56491" xr:uid="{8CBFD867-5A1B-40E1-999B-83B3BA8D7FE2}"/>
    <cellStyle name="Moeda 4 3 4 5 4" xfId="53065" xr:uid="{35060DB9-3E20-4F24-BE87-F5642504239B}"/>
    <cellStyle name="Moeda 4 3 4 5 5" xfId="48100" xr:uid="{0DE6A379-C734-4C53-A01F-875F239B3A0A}"/>
    <cellStyle name="Moeda 4 3 4 6" xfId="3608" xr:uid="{9CE84DE2-BBB6-4ECA-8809-FF6D357BB3C0}"/>
    <cellStyle name="Moeda 4 3 4 6 2" xfId="51401" xr:uid="{D9499BA7-149B-416C-9B4F-26D3CC9F06E4}"/>
    <cellStyle name="Moeda 4 3 4 6 3" xfId="54695" xr:uid="{E48F2342-AC8F-4BE5-A5D0-6C42FC5717B7}"/>
    <cellStyle name="Moeda 4 3 4 6 4" xfId="48093" xr:uid="{EFB0A1DE-3E6B-4F36-BBA6-0100C04FDC7D}"/>
    <cellStyle name="Moeda 4 3 4 7" xfId="4035" xr:uid="{B9DC5E5B-6DFE-49D0-8280-F7447A448C15}"/>
    <cellStyle name="Moeda 4 3 4 7 2" xfId="56082" xr:uid="{33287167-19FD-428F-AC9D-7644D7856B22}"/>
    <cellStyle name="Moeda 4 3 4 7 3" xfId="49762" xr:uid="{5ED2093D-89AA-4086-9F13-FF2881B5D4C7}"/>
    <cellStyle name="Moeda 4 3 4 8" xfId="1957" xr:uid="{64D7DEA7-99BE-45B7-AC9D-DD471653F44E}"/>
    <cellStyle name="Moeda 4 3 4 8 2" xfId="53058" xr:uid="{C1CF9A92-0E65-420C-A1CE-04BFC6CAD4B2}"/>
    <cellStyle name="Moeda 4 3 4 9" xfId="47321" xr:uid="{BB8A6DFB-8078-482A-974E-59EF0C3353AA}"/>
    <cellStyle name="Moeda 4 3 5" xfId="263" xr:uid="{96BCE68E-69C8-4D7E-AA66-C86D0A024357}"/>
    <cellStyle name="Moeda 4 3 5 10" xfId="4544" xr:uid="{5493500C-02B7-42DE-934B-FFC089127249}"/>
    <cellStyle name="Moeda 4 3 5 2" xfId="452" xr:uid="{DAB47299-EE04-4439-9014-DD6D9E8224B2}"/>
    <cellStyle name="Moeda 4 3 5 2 2" xfId="1268" xr:uid="{22E837B3-24FA-43CF-81EB-DB94BA5EA8F5}"/>
    <cellStyle name="Moeda 4 3 5 2 2 2" xfId="2929" xr:uid="{16E7AD03-A333-4158-AADF-1273B7C490CD}"/>
    <cellStyle name="Moeda 4 3 5 2 2 2 2" xfId="54705" xr:uid="{7B114D14-E13F-43AB-8154-47EE8F7905EE}"/>
    <cellStyle name="Moeda 4 3 5 2 2 2 3" xfId="51411" xr:uid="{DE6F749B-19BE-416D-9C0B-ECDBFA067FB7}"/>
    <cellStyle name="Moeda 4 3 5 2 2 3" xfId="49772" xr:uid="{8E68A1BC-3F2A-4039-9CAF-43BC108BA4C6}"/>
    <cellStyle name="Moeda 4 3 5 2 2 3 2" xfId="57139" xr:uid="{BCD423C7-7EEB-4069-8CD0-FF1E07CFA7F8}"/>
    <cellStyle name="Moeda 4 3 5 2 2 4" xfId="53068" xr:uid="{BCD4F867-7742-4770-AEB6-0B4FC7D169FA}"/>
    <cellStyle name="Moeda 4 3 5 2 2 5" xfId="48103" xr:uid="{46490D8E-A8F6-4C04-BC28-0EB780D9ABB4}"/>
    <cellStyle name="Moeda 4 3 5 2 3" xfId="1674" xr:uid="{6175E568-CF17-4DC2-8888-46843AE92A74}"/>
    <cellStyle name="Moeda 4 3 5 2 3 2" xfId="3334" xr:uid="{DC14DDE5-0AA6-49CC-87BE-0FC223BD6703}"/>
    <cellStyle name="Moeda 4 3 5 2 3 2 2" xfId="54706" xr:uid="{9F0F29F3-0FB0-44B2-AB62-044A8BE5B5EF}"/>
    <cellStyle name="Moeda 4 3 5 2 3 2 3" xfId="51412" xr:uid="{871D4571-C3D1-4E16-A44B-23E26F4A0AE8}"/>
    <cellStyle name="Moeda 4 3 5 2 3 3" xfId="49773" xr:uid="{438D04B7-8151-4437-9847-78F47BE6EE14}"/>
    <cellStyle name="Moeda 4 3 5 2 3 3 2" xfId="57545" xr:uid="{84502E0D-4F82-4088-9621-CCC97721C27E}"/>
    <cellStyle name="Moeda 4 3 5 2 3 4" xfId="53069" xr:uid="{12BD4F1F-8571-4FA2-A6E7-909B3DF124F8}"/>
    <cellStyle name="Moeda 4 3 5 2 3 5" xfId="48104" xr:uid="{A2D940DE-6721-4D82-BDBE-15AABE2443C5}"/>
    <cellStyle name="Moeda 4 3 5 2 4" xfId="861" xr:uid="{A5F9262C-5957-4A8F-A82A-3E146533EC77}"/>
    <cellStyle name="Moeda 4 3 5 2 4 2" xfId="2577" xr:uid="{4F1B59CD-296C-4A42-B34D-ECFAD877BC85}"/>
    <cellStyle name="Moeda 4 3 5 2 4 2 2" xfId="54707" xr:uid="{AA68DD9C-6F91-4E34-8B84-12662146F59E}"/>
    <cellStyle name="Moeda 4 3 5 2 4 2 3" xfId="51413" xr:uid="{8A660784-CD4D-4463-866A-2A468F001F7A}"/>
    <cellStyle name="Moeda 4 3 5 2 4 3" xfId="49774" xr:uid="{E956536A-9E81-4BC5-A457-BAAED404F8CF}"/>
    <cellStyle name="Moeda 4 3 5 2 4 3 2" xfId="56732" xr:uid="{AE533F83-B8DB-4BEC-8225-D4CB4E9B3E67}"/>
    <cellStyle name="Moeda 4 3 5 2 4 4" xfId="53070" xr:uid="{FC3FBF1A-AA22-4970-AAEA-42368AEFD474}"/>
    <cellStyle name="Moeda 4 3 5 2 4 5" xfId="48105" xr:uid="{ED8806EA-FE99-442F-B879-7621AD347114}"/>
    <cellStyle name="Moeda 4 3 5 2 5" xfId="2169" xr:uid="{D06CF265-46C2-419D-B6C8-A607C2D8D2F7}"/>
    <cellStyle name="Moeda 4 3 5 2 5 2" xfId="54704" xr:uid="{269BB363-81C4-4856-8DF6-02E1CAD89A3F}"/>
    <cellStyle name="Moeda 4 3 5 2 5 3" xfId="51410" xr:uid="{D02B75DC-3527-4387-B34B-219EAA7F697A}"/>
    <cellStyle name="Moeda 4 3 5 2 6" xfId="49771" xr:uid="{764907F5-0061-450A-9162-65068711A4B5}"/>
    <cellStyle name="Moeda 4 3 5 2 6 2" xfId="56323" xr:uid="{387C5E87-1B49-4D05-8658-CA0B956AE1CE}"/>
    <cellStyle name="Moeda 4 3 5 2 7" xfId="53067" xr:uid="{711382A1-4AA8-4A78-A541-F9E70277E8D3}"/>
    <cellStyle name="Moeda 4 3 5 2 8" xfId="48102" xr:uid="{D5D1C800-519D-40C1-A86C-8909F2D346A7}"/>
    <cellStyle name="Moeda 4 3 5 2 9" xfId="4733" xr:uid="{7703950A-6F4E-40F1-8EBD-F95770F035BB}"/>
    <cellStyle name="Moeda 4 3 5 3" xfId="1079" xr:uid="{84487642-2C1B-4C1F-B649-F46734E01FD6}"/>
    <cellStyle name="Moeda 4 3 5 3 2" xfId="2742" xr:uid="{8EF66184-293A-47CC-9716-C898CD721989}"/>
    <cellStyle name="Moeda 4 3 5 3 2 2" xfId="54708" xr:uid="{A4BDC3D4-4D13-4AE3-B64E-4FC8D0EA3BB6}"/>
    <cellStyle name="Moeda 4 3 5 3 2 3" xfId="51414" xr:uid="{C966DC70-5C1F-473F-824A-19AAD547E674}"/>
    <cellStyle name="Moeda 4 3 5 3 3" xfId="49775" xr:uid="{B2600A60-D7B2-4FAE-9A39-979BC4300DE8}"/>
    <cellStyle name="Moeda 4 3 5 3 3 2" xfId="56950" xr:uid="{6FAB6518-B565-44FF-8E67-932767961D79}"/>
    <cellStyle name="Moeda 4 3 5 3 4" xfId="53071" xr:uid="{B592CBF2-5226-420B-A977-78AF2807E07B}"/>
    <cellStyle name="Moeda 4 3 5 3 5" xfId="48106" xr:uid="{A69B7855-677B-4DEC-9569-3A99B43A8206}"/>
    <cellStyle name="Moeda 4 3 5 4" xfId="1485" xr:uid="{F7DB60D2-60DD-46EE-B205-069CDB8D5A5D}"/>
    <cellStyle name="Moeda 4 3 5 4 2" xfId="3146" xr:uid="{ED55DA43-BF53-434D-9B43-6641A1371E2B}"/>
    <cellStyle name="Moeda 4 3 5 4 2 2" xfId="54709" xr:uid="{12939259-2D57-414F-80D8-51AD8720A203}"/>
    <cellStyle name="Moeda 4 3 5 4 2 3" xfId="51415" xr:uid="{88250B1D-745E-4041-9CE7-B50A93AD89A3}"/>
    <cellStyle name="Moeda 4 3 5 4 3" xfId="49776" xr:uid="{2A5EF050-B36F-499D-A5BF-DEFB1527866B}"/>
    <cellStyle name="Moeda 4 3 5 4 3 2" xfId="57356" xr:uid="{F73603A5-719D-4B3E-A53E-9186D45362C9}"/>
    <cellStyle name="Moeda 4 3 5 4 4" xfId="53072" xr:uid="{44AEB4CA-1000-4175-95C8-D13472476CEB}"/>
    <cellStyle name="Moeda 4 3 5 4 5" xfId="48107" xr:uid="{B726C944-F105-469C-A8FE-B13B91A181D6}"/>
    <cellStyle name="Moeda 4 3 5 5" xfId="672" xr:uid="{BFBBF875-C7F5-42A3-9798-773BA4A8218B}"/>
    <cellStyle name="Moeda 4 3 5 5 2" xfId="2388" xr:uid="{0F804054-3D78-488E-BD04-A2C2CA6670CB}"/>
    <cellStyle name="Moeda 4 3 5 5 2 2" xfId="54710" xr:uid="{E56421BE-E68D-4BB8-800F-F35B89FB4CC6}"/>
    <cellStyle name="Moeda 4 3 5 5 2 3" xfId="51416" xr:uid="{DE587403-9C57-4BC6-AA69-DA7AF12D3C5B}"/>
    <cellStyle name="Moeda 4 3 5 5 3" xfId="49777" xr:uid="{CF31D0A4-8F49-428A-BC17-1A452063F630}"/>
    <cellStyle name="Moeda 4 3 5 5 3 2" xfId="56543" xr:uid="{49A06482-0912-4F1A-AD2C-D91DC92B63EB}"/>
    <cellStyle name="Moeda 4 3 5 5 4" xfId="53073" xr:uid="{E4E83102-7689-4C38-9C9C-DE2E937BBE1F}"/>
    <cellStyle name="Moeda 4 3 5 5 5" xfId="48108" xr:uid="{9EB73EE3-BF0A-4F59-89F7-6297C877CC47}"/>
    <cellStyle name="Moeda 4 3 5 6" xfId="3499" xr:uid="{EEEA7727-7D4F-4DF5-9204-240FAF37BB0C}"/>
    <cellStyle name="Moeda 4 3 5 6 2" xfId="51409" xr:uid="{E54E4214-B64D-48BF-B5B0-E5BC692117E0}"/>
    <cellStyle name="Moeda 4 3 5 6 3" xfId="54703" xr:uid="{B7F477AE-8297-4AB3-9241-9DF865BAE80F}"/>
    <cellStyle name="Moeda 4 3 5 6 4" xfId="48101" xr:uid="{71A75C0A-5FBD-4B61-86E5-46FE1290DBAF}"/>
    <cellStyle name="Moeda 4 3 5 7" xfId="4207" xr:uid="{FA5CEFB5-608E-4A28-A9B8-56779E191A97}"/>
    <cellStyle name="Moeda 4 3 5 7 2" xfId="56134" xr:uid="{A57303B6-D21A-47F3-B8A1-96A245989A1B}"/>
    <cellStyle name="Moeda 4 3 5 7 3" xfId="49770" xr:uid="{07D5096D-2DF4-4C32-B035-DEFE0FC621F3}"/>
    <cellStyle name="Moeda 4 3 5 8" xfId="1848" xr:uid="{6813EF3E-EACA-49DA-B47B-BB9C9A2779A3}"/>
    <cellStyle name="Moeda 4 3 5 8 2" xfId="53066" xr:uid="{F06BD608-9C8A-4E1D-8959-B170B27345AF}"/>
    <cellStyle name="Moeda 4 3 5 9" xfId="47447" xr:uid="{2436D818-565F-4C94-867F-EBF7E3F1DD5A}"/>
    <cellStyle name="Moeda 4 3 6" xfId="319" xr:uid="{3DC4685D-1EE1-4631-A0CE-708C8E9C6CFD}"/>
    <cellStyle name="Moeda 4 3 6 2" xfId="1135" xr:uid="{B71C92C0-36F5-457A-9492-10313DE12970}"/>
    <cellStyle name="Moeda 4 3 6 2 2" xfId="2797" xr:uid="{382C50EC-0D66-4177-90BD-CF5187A13906}"/>
    <cellStyle name="Moeda 4 3 6 2 2 2" xfId="54712" xr:uid="{0AAAEB75-CC05-4C62-994F-66477D13B63B}"/>
    <cellStyle name="Moeda 4 3 6 2 2 3" xfId="51418" xr:uid="{A70DA69E-669F-42E1-8877-6550F5C47293}"/>
    <cellStyle name="Moeda 4 3 6 2 3" xfId="49779" xr:uid="{A8BA0E15-7024-4F98-9672-640C0A153AD2}"/>
    <cellStyle name="Moeda 4 3 6 2 3 2" xfId="57006" xr:uid="{865BD53B-B2A4-4AB6-B1CE-65D1D72BD796}"/>
    <cellStyle name="Moeda 4 3 6 2 4" xfId="53075" xr:uid="{1D708BE3-B61B-4CA1-B05D-CED843E569EA}"/>
    <cellStyle name="Moeda 4 3 6 2 5" xfId="48110" xr:uid="{47574C8C-097A-4E18-9C9B-513B48145901}"/>
    <cellStyle name="Moeda 4 3 6 3" xfId="1541" xr:uid="{0A687D41-34CD-441F-A63E-CB91B62CAAC9}"/>
    <cellStyle name="Moeda 4 3 6 3 2" xfId="3202" xr:uid="{4CB8547A-2282-42B5-B3CE-554F81252082}"/>
    <cellStyle name="Moeda 4 3 6 3 2 2" xfId="54713" xr:uid="{2EBB3A22-813D-4481-80B0-63FD05AFA638}"/>
    <cellStyle name="Moeda 4 3 6 3 2 3" xfId="51419" xr:uid="{FE4E2C2F-10CC-403F-B3BF-E4070374316E}"/>
    <cellStyle name="Moeda 4 3 6 3 3" xfId="49780" xr:uid="{B248475A-19B1-4B10-A3BB-945679E0A37A}"/>
    <cellStyle name="Moeda 4 3 6 3 3 2" xfId="57412" xr:uid="{3BDA3B60-0DAF-4B14-879C-A745FB6886B2}"/>
    <cellStyle name="Moeda 4 3 6 3 4" xfId="53076" xr:uid="{C1561D5A-998B-4570-9A9F-ACD6CA43F5D6}"/>
    <cellStyle name="Moeda 4 3 6 3 5" xfId="48111" xr:uid="{5C2BF629-DF9A-4976-9962-CB42F0EF1326}"/>
    <cellStyle name="Moeda 4 3 6 4" xfId="728" xr:uid="{F32F3C56-DFBB-477B-AACF-2F1559DA401D}"/>
    <cellStyle name="Moeda 4 3 6 4 2" xfId="2444" xr:uid="{9370C659-857F-43DC-BC72-03910D585712}"/>
    <cellStyle name="Moeda 4 3 6 4 2 2" xfId="54714" xr:uid="{CA8C2425-DC1E-4759-9BAE-AE5FE33BA70F}"/>
    <cellStyle name="Moeda 4 3 6 4 2 3" xfId="51420" xr:uid="{8C9E2F5A-0A86-41EB-9E4D-D908D0C28EE3}"/>
    <cellStyle name="Moeda 4 3 6 4 3" xfId="49781" xr:uid="{96FEB0FA-478A-424E-ADB3-4097AB2F10F9}"/>
    <cellStyle name="Moeda 4 3 6 4 3 2" xfId="56599" xr:uid="{CC52CEE5-F15B-481E-9D87-E22CC2B6B627}"/>
    <cellStyle name="Moeda 4 3 6 4 4" xfId="53077" xr:uid="{6B6EEBD4-63C6-4852-B0EC-D7EA0EB753E9}"/>
    <cellStyle name="Moeda 4 3 6 4 5" xfId="48112" xr:uid="{AE14FF06-ECAB-46BB-8DC6-89AEB838466C}"/>
    <cellStyle name="Moeda 4 3 6 5" xfId="3717" xr:uid="{70D5D8AD-181D-4EB9-B97E-E916C871E259}"/>
    <cellStyle name="Moeda 4 3 6 5 2" xfId="51417" xr:uid="{23674852-E370-44E8-A53A-E8F6DC2134EE}"/>
    <cellStyle name="Moeda 4 3 6 5 3" xfId="54711" xr:uid="{647042B2-3789-402B-8298-874F24553C92}"/>
    <cellStyle name="Moeda 4 3 6 5 4" xfId="48109" xr:uid="{CCD69332-5B24-4FD5-9B8B-6139E9ECA637}"/>
    <cellStyle name="Moeda 4 3 6 6" xfId="2120" xr:uid="{A8191CF1-D3DD-488E-ACCB-56BADD62C198}"/>
    <cellStyle name="Moeda 4 3 6 6 2" xfId="56190" xr:uid="{0483DE4F-7380-475F-A190-9CF8D472D0C1}"/>
    <cellStyle name="Moeda 4 3 6 6 3" xfId="49778" xr:uid="{F59294C3-2D0A-4217-BD7F-7523079F0476}"/>
    <cellStyle name="Moeda 4 3 6 7" xfId="53074" xr:uid="{92A4851D-DDB7-4C38-AA2F-A5A2F1218D88}"/>
    <cellStyle name="Moeda 4 3 6 8" xfId="47573" xr:uid="{E76F9A8F-0D1C-4F61-8FE0-7BE1EA787FCD}"/>
    <cellStyle name="Moeda 4 3 6 9" xfId="4600" xr:uid="{637BB0B0-F099-4BF2-B558-835BE6855F93}"/>
    <cellStyle name="Moeda 4 3 7" xfId="946" xr:uid="{9970B95D-8F8C-47CA-A2FC-70C85B2C70FA}"/>
    <cellStyle name="Moeda 4 3 7 2" xfId="2661" xr:uid="{823BB444-0369-4246-A415-4F69E4A8785D}"/>
    <cellStyle name="Moeda 4 3 7 2 2" xfId="54715" xr:uid="{C83A3D58-2A31-4227-8714-E621D43640EF}"/>
    <cellStyle name="Moeda 4 3 7 2 3" xfId="51421" xr:uid="{F2BD30F4-5258-4BC4-A4B8-43FAE8D2E750}"/>
    <cellStyle name="Moeda 4 3 7 3" xfId="49782" xr:uid="{BD71E1F1-739D-4917-BCF1-6C174C75D2A4}"/>
    <cellStyle name="Moeda 4 3 7 3 2" xfId="56817" xr:uid="{8E6C8DF4-8F4D-455C-A549-14E3A4B808D8}"/>
    <cellStyle name="Moeda 4 3 7 4" xfId="53078" xr:uid="{AFFEC410-23AC-4152-94FD-8EF2DEB894E4}"/>
    <cellStyle name="Moeda 4 3 7 5" xfId="48113" xr:uid="{13C5D3F0-1310-4B77-B222-9879B6474399}"/>
    <cellStyle name="Moeda 4 3 8" xfId="1352" xr:uid="{5E8C8336-61AA-45BD-9339-98B9029DC12F}"/>
    <cellStyle name="Moeda 4 3 8 2" xfId="3013" xr:uid="{A33285EE-D09B-45ED-8081-1444FFBC3924}"/>
    <cellStyle name="Moeda 4 3 8 2 2" xfId="54716" xr:uid="{D3E50398-3974-4B66-B9D4-8AA39E555739}"/>
    <cellStyle name="Moeda 4 3 8 2 3" xfId="51422" xr:uid="{87DA2109-C6DC-4115-8B4E-D03185CF8CD5}"/>
    <cellStyle name="Moeda 4 3 8 3" xfId="49783" xr:uid="{CD0E1349-D984-41E0-9FA7-94D50DC6213F}"/>
    <cellStyle name="Moeda 4 3 8 3 2" xfId="57223" xr:uid="{43734A89-F310-4FF9-B5CB-B41BA6D21FD9}"/>
    <cellStyle name="Moeda 4 3 8 4" xfId="53079" xr:uid="{E87AF1EB-6231-4003-85BC-CAE83A508FC8}"/>
    <cellStyle name="Moeda 4 3 8 5" xfId="48114" xr:uid="{0EA7E952-C61E-40B3-883F-C129A31E839C}"/>
    <cellStyle name="Moeda 4 3 9" xfId="539" xr:uid="{801462F9-5A02-4D89-8B2E-46C19C4E4DF3}"/>
    <cellStyle name="Moeda 4 3 9 2" xfId="2255" xr:uid="{C2D5450E-00E2-4F73-89BB-D0BD400EBF57}"/>
    <cellStyle name="Moeda 4 3 9 2 2" xfId="54717" xr:uid="{B46657FD-8153-4A8B-9A22-605E6FF07A50}"/>
    <cellStyle name="Moeda 4 3 9 2 3" xfId="51423" xr:uid="{5CD753E0-5602-4E5D-B627-CE61737A07C6}"/>
    <cellStyle name="Moeda 4 3 9 3" xfId="49784" xr:uid="{7E00859C-04D3-4F84-8570-619CA8EC93B7}"/>
    <cellStyle name="Moeda 4 3 9 3 2" xfId="56410" xr:uid="{DB307CAC-F2A5-4DBF-834B-1F1707B16B7B}"/>
    <cellStyle name="Moeda 4 3 9 4" xfId="53080" xr:uid="{223BE4B9-2715-4B43-963B-7BECA556A058}"/>
    <cellStyle name="Moeda 4 3 9 5" xfId="48115" xr:uid="{90B5323F-0D98-4947-BA92-82BEAD10A37C}"/>
    <cellStyle name="Moeda 4 4" xfId="145" xr:uid="{57315A94-885B-4813-B995-BF2468BDD4B8}"/>
    <cellStyle name="Moeda 4 4 10" xfId="1750" xr:uid="{B9742181-115B-4292-9B60-F57458B740F4}"/>
    <cellStyle name="Moeda 4 4 10 2" xfId="53081" xr:uid="{E6ED64DB-F160-4708-9EF5-359EC5EF65AE}"/>
    <cellStyle name="Moeda 4 4 11" xfId="12555" xr:uid="{33127A60-CD92-46D7-8E3F-C89DB0DA4B0A}"/>
    <cellStyle name="Moeda 4 4 12" xfId="4426" xr:uid="{8FE3C39B-B62F-4E5A-9B69-D2E7030C8D10}"/>
    <cellStyle name="Moeda 4 4 2" xfId="224" xr:uid="{3BB1E377-0112-492D-92C3-0D50695E8DB7}"/>
    <cellStyle name="Moeda 4 4 2 10" xfId="4505" xr:uid="{76A77308-6C59-4520-9C23-83F78BA52359}"/>
    <cellStyle name="Moeda 4 4 2 2" xfId="413" xr:uid="{D0DE69D4-214D-44D3-AF0F-E4A7F37DFD31}"/>
    <cellStyle name="Moeda 4 4 2 2 2" xfId="1229" xr:uid="{C3B9BC1E-C2EB-482D-98B2-E641B4C23835}"/>
    <cellStyle name="Moeda 4 4 2 2 2 2" xfId="2890" xr:uid="{B10FD62B-0910-4582-817C-39D2B856F514}"/>
    <cellStyle name="Moeda 4 4 2 2 2 2 2" xfId="54721" xr:uid="{A2C0205C-5019-43BA-B873-9F55BA734B81}"/>
    <cellStyle name="Moeda 4 4 2 2 2 2 3" xfId="51427" xr:uid="{94CDC86A-FBC4-4015-ACDF-E482E544AC9A}"/>
    <cellStyle name="Moeda 4 4 2 2 2 3" xfId="49788" xr:uid="{2647F34F-4BAF-44D9-A1E6-F5F89C16E1FD}"/>
    <cellStyle name="Moeda 4 4 2 2 2 3 2" xfId="57100" xr:uid="{49F27EC5-5748-412E-AEB0-FF0C3C391656}"/>
    <cellStyle name="Moeda 4 4 2 2 2 4" xfId="53084" xr:uid="{CAA1F53F-9C29-40FA-A4AD-49CBEA55321F}"/>
    <cellStyle name="Moeda 4 4 2 2 2 5" xfId="48119" xr:uid="{3F73B2B3-C322-450C-B364-45986D985492}"/>
    <cellStyle name="Moeda 4 4 2 2 3" xfId="1635" xr:uid="{377592CA-668A-484C-9890-193F8C94FCE8}"/>
    <cellStyle name="Moeda 4 4 2 2 3 2" xfId="3295" xr:uid="{3303B787-9052-4019-A867-2C94ECC64038}"/>
    <cellStyle name="Moeda 4 4 2 2 3 2 2" xfId="54722" xr:uid="{4FB117D7-2DBF-4363-86D0-0773E2FF282D}"/>
    <cellStyle name="Moeda 4 4 2 2 3 2 3" xfId="51428" xr:uid="{282939E1-ECC7-46E2-A743-82359256D1CC}"/>
    <cellStyle name="Moeda 4 4 2 2 3 3" xfId="49789" xr:uid="{157104DE-3007-4D9E-910C-70CF5EB1B3D7}"/>
    <cellStyle name="Moeda 4 4 2 2 3 3 2" xfId="57506" xr:uid="{71466AC7-921C-4024-9B6C-8BC5861D4DEE}"/>
    <cellStyle name="Moeda 4 4 2 2 3 4" xfId="53085" xr:uid="{565075AB-E91B-4E0D-8993-23A5642331ED}"/>
    <cellStyle name="Moeda 4 4 2 2 3 5" xfId="48120" xr:uid="{E3B2DEF0-072C-4564-A98C-30730EAB8343}"/>
    <cellStyle name="Moeda 4 4 2 2 4" xfId="822" xr:uid="{820D034B-EDDB-44DD-9D01-AF69D3E510B7}"/>
    <cellStyle name="Moeda 4 4 2 2 4 2" xfId="2538" xr:uid="{5057F0DF-C25A-4EEC-A8F7-CD7C5116A94D}"/>
    <cellStyle name="Moeda 4 4 2 2 4 2 2" xfId="54723" xr:uid="{B6B5DAB5-D36A-4C6C-93AE-26C5D59BC97D}"/>
    <cellStyle name="Moeda 4 4 2 2 4 2 3" xfId="51429" xr:uid="{D8A15F10-1F68-4075-BA68-2C3AB9D80537}"/>
    <cellStyle name="Moeda 4 4 2 2 4 3" xfId="49790" xr:uid="{8A609C0C-8418-4786-873C-0E7AA7A841CA}"/>
    <cellStyle name="Moeda 4 4 2 2 4 3 2" xfId="56693" xr:uid="{13A511E5-3CA6-4EF6-8101-CD1450C6C5AA}"/>
    <cellStyle name="Moeda 4 4 2 2 4 4" xfId="53086" xr:uid="{41220B0C-76BB-4AC7-89F5-4401608C8DF6}"/>
    <cellStyle name="Moeda 4 4 2 2 4 5" xfId="48121" xr:uid="{4CC484A5-FEDC-4CCC-811D-BB361E442417}"/>
    <cellStyle name="Moeda 4 4 2 2 5" xfId="3676" xr:uid="{D01ABB21-288C-40EF-A127-4A35E9F0EC5B}"/>
    <cellStyle name="Moeda 4 4 2 2 5 2" xfId="51426" xr:uid="{FCEA06AC-4B25-4769-BCC6-9D6E4180C9A2}"/>
    <cellStyle name="Moeda 4 4 2 2 5 3" xfId="54720" xr:uid="{2BEC070B-DA2E-4EA4-A36B-8E135DE498F2}"/>
    <cellStyle name="Moeda 4 4 2 2 5 4" xfId="48118" xr:uid="{5585BCBC-6364-4CBA-8B83-6695C05FAB64}"/>
    <cellStyle name="Moeda 4 4 2 2 6" xfId="2025" xr:uid="{F65BC71D-F268-44FD-8D3B-6D40938C6E30}"/>
    <cellStyle name="Moeda 4 4 2 2 6 2" xfId="56284" xr:uid="{217B1DD3-AC0E-4D48-A794-DF3C7394DF3F}"/>
    <cellStyle name="Moeda 4 4 2 2 6 3" xfId="49787" xr:uid="{D9B0F987-53CE-49E9-9717-4025493EB72D}"/>
    <cellStyle name="Moeda 4 4 2 2 7" xfId="53083" xr:uid="{D8A0B988-CCBA-4E7D-AC23-0EFC2A99510C}"/>
    <cellStyle name="Moeda 4 4 2 2 8" xfId="47390" xr:uid="{11131288-2422-4272-9F2D-9453FBC390D3}"/>
    <cellStyle name="Moeda 4 4 2 2 9" xfId="4694" xr:uid="{D2BECFDB-41D7-41EF-B3E4-73918B76DC75}"/>
    <cellStyle name="Moeda 4 4 2 3" xfId="1040" xr:uid="{DDEF4D68-C8F6-4D13-86C5-010F6F2502F3}"/>
    <cellStyle name="Moeda 4 4 2 3 2" xfId="3567" xr:uid="{11A60F5E-E96B-4FEB-8C7B-01D6092B75F9}"/>
    <cellStyle name="Moeda 4 4 2 3 2 2" xfId="51430" xr:uid="{29FCA668-C949-4DA0-B915-CFAA8471F557}"/>
    <cellStyle name="Moeda 4 4 2 3 2 3" xfId="54724" xr:uid="{C98BF8A2-223F-49D9-94AD-22ECC4D69192}"/>
    <cellStyle name="Moeda 4 4 2 3 2 4" xfId="48122" xr:uid="{6BD2DE3D-BCB8-4602-94A3-B8346F466036}"/>
    <cellStyle name="Moeda 4 4 2 3 3" xfId="1916" xr:uid="{0913D261-2D51-420C-9AF9-5986A839C4E1}"/>
    <cellStyle name="Moeda 4 4 2 3 3 2" xfId="56911" xr:uid="{BD85A1B6-8C9D-47D0-8C6C-6F864DA94013}"/>
    <cellStyle name="Moeda 4 4 2 3 3 3" xfId="49791" xr:uid="{93047AAC-D076-40D9-92BB-F0F08FF2C1C5}"/>
    <cellStyle name="Moeda 4 4 2 3 4" xfId="53087" xr:uid="{7279BA1B-09D9-4F76-B181-009C96BDCA53}"/>
    <cellStyle name="Moeda 4 4 2 3 5" xfId="47516" xr:uid="{A6EB99E1-E731-4DE5-A3B3-F4D101823F66}"/>
    <cellStyle name="Moeda 4 4 2 4" xfId="1446" xr:uid="{0644187C-D8D0-4FF3-9445-E323188E9FA1}"/>
    <cellStyle name="Moeda 4 4 2 4 2" xfId="3785" xr:uid="{AF18AEEE-621B-4155-9099-3624A82E8164}"/>
    <cellStyle name="Moeda 4 4 2 4 2 2" xfId="51431" xr:uid="{C19A85ED-64C6-41C6-B2C3-F6DB49ECA8AA}"/>
    <cellStyle name="Moeda 4 4 2 4 2 3" xfId="54725" xr:uid="{BA21042F-D560-47CF-8459-CC049445B618}"/>
    <cellStyle name="Moeda 4 4 2 4 2 4" xfId="48123" xr:uid="{1B370E9E-F9DB-4061-9F7B-1F0B9CF3438E}"/>
    <cellStyle name="Moeda 4 4 2 4 3" xfId="3107" xr:uid="{1427643E-6C31-4D53-ACA6-4B121E4C5040}"/>
    <cellStyle name="Moeda 4 4 2 4 3 2" xfId="57317" xr:uid="{144F67E9-2757-461B-86B3-078F0D0A5686}"/>
    <cellStyle name="Moeda 4 4 2 4 3 3" xfId="49792" xr:uid="{6D796AC2-A8BF-4840-88EA-BFFE68D994A1}"/>
    <cellStyle name="Moeda 4 4 2 4 4" xfId="53088" xr:uid="{6BE38470-7804-4326-B42D-6CDD9EF96385}"/>
    <cellStyle name="Moeda 4 4 2 4 5" xfId="47642" xr:uid="{68B83D84-8929-4641-B19B-5A6E47EA0E30}"/>
    <cellStyle name="Moeda 4 4 2 5" xfId="633" xr:uid="{BECEEBF0-92F6-4872-BA40-85D4401800A7}"/>
    <cellStyle name="Moeda 4 4 2 5 2" xfId="2349" xr:uid="{FC6271CC-8EC5-461E-85B8-2109E651D518}"/>
    <cellStyle name="Moeda 4 4 2 5 2 2" xfId="54726" xr:uid="{594B6774-C6FF-47DD-8A5A-DC128A8BB99D}"/>
    <cellStyle name="Moeda 4 4 2 5 2 3" xfId="51432" xr:uid="{873A1E39-9418-42F2-B97A-6778793867AC}"/>
    <cellStyle name="Moeda 4 4 2 5 3" xfId="49793" xr:uid="{69D9BA7E-1D0C-4A1E-AB77-2E49D3104B14}"/>
    <cellStyle name="Moeda 4 4 2 5 3 2" xfId="56504" xr:uid="{5E5ACD03-3D53-48AC-A32F-0EC7B501B7F0}"/>
    <cellStyle name="Moeda 4 4 2 5 4" xfId="53089" xr:uid="{C6533E67-46DE-4B2C-87CB-ED90AEEF70B5}"/>
    <cellStyle name="Moeda 4 4 2 5 5" xfId="48124" xr:uid="{0E39197D-CB2A-4331-A1BC-2B8F3D0128F9}"/>
    <cellStyle name="Moeda 4 4 2 6" xfId="3457" xr:uid="{046FD714-A822-42F4-AF72-57211105AAE8}"/>
    <cellStyle name="Moeda 4 4 2 6 2" xfId="51425" xr:uid="{11AC2735-D79C-48A1-AD8C-E0796D235557}"/>
    <cellStyle name="Moeda 4 4 2 6 3" xfId="54719" xr:uid="{FABDBB02-6E11-4B65-8790-5B2BBE4EC0A3}"/>
    <cellStyle name="Moeda 4 4 2 6 4" xfId="48117" xr:uid="{D4CFE057-47F3-4124-AA4E-C6922EAA05A1}"/>
    <cellStyle name="Moeda 4 4 2 7" xfId="4049" xr:uid="{28692856-528A-41A7-9EF1-EA00BE67762F}"/>
    <cellStyle name="Moeda 4 4 2 7 2" xfId="56095" xr:uid="{B0AD4825-D253-46E4-8F4C-56E52EB44164}"/>
    <cellStyle name="Moeda 4 4 2 7 3" xfId="49786" xr:uid="{E81CF292-2774-43E5-95DA-BAA1D468CB4A}"/>
    <cellStyle name="Moeda 4 4 2 8" xfId="1806" xr:uid="{D3CA86A3-BF8C-4043-8762-A71A008BD2FA}"/>
    <cellStyle name="Moeda 4 4 2 8 2" xfId="53082" xr:uid="{E08A5390-C067-4526-A4D4-423C0CCDDDA6}"/>
    <cellStyle name="Moeda 4 4 2 9" xfId="32896" xr:uid="{D32198C0-76C1-49E0-8403-DBDA27584F99}"/>
    <cellStyle name="Moeda 4 4 3" xfId="276" xr:uid="{18140B4D-3C8A-45E0-AE59-97BF37C6C2EC}"/>
    <cellStyle name="Moeda 4 4 3 10" xfId="4557" xr:uid="{F49707C1-A10B-4B0A-ABBD-5FEF9F096D21}"/>
    <cellStyle name="Moeda 4 4 3 2" xfId="465" xr:uid="{2F7454A5-3E3C-4B59-937D-4CE56BC5D8E8}"/>
    <cellStyle name="Moeda 4 4 3 2 2" xfId="1281" xr:uid="{48E54CD7-7424-4CD2-93C1-E53B1308E73F}"/>
    <cellStyle name="Moeda 4 4 3 2 2 2" xfId="2942" xr:uid="{3E5DBFA0-056A-4717-8920-E19E849D3802}"/>
    <cellStyle name="Moeda 4 4 3 2 2 2 2" xfId="54729" xr:uid="{4C924C17-B367-4D92-9805-C0E2C11C105D}"/>
    <cellStyle name="Moeda 4 4 3 2 2 2 3" xfId="51435" xr:uid="{79D1966B-3746-44F6-B233-E39FAB648BF6}"/>
    <cellStyle name="Moeda 4 4 3 2 2 3" xfId="49796" xr:uid="{7C921D2C-A80B-4BA0-9CCE-BDEA3DB2FAC5}"/>
    <cellStyle name="Moeda 4 4 3 2 2 3 2" xfId="57152" xr:uid="{860570F5-5A8E-4715-A0AF-7AD1F6739A8B}"/>
    <cellStyle name="Moeda 4 4 3 2 2 4" xfId="53092" xr:uid="{27C6E1DC-3EC6-4479-82D0-E0D5192EC1AF}"/>
    <cellStyle name="Moeda 4 4 3 2 2 5" xfId="48127" xr:uid="{0EA8294F-155D-4488-9BC2-5AE51D0C40D0}"/>
    <cellStyle name="Moeda 4 4 3 2 3" xfId="1687" xr:uid="{FC619BDB-D0FF-4AA8-87AB-6FE26FA73BE7}"/>
    <cellStyle name="Moeda 4 4 3 2 3 2" xfId="3347" xr:uid="{A1413108-A55E-470E-8EA9-B8283216A231}"/>
    <cellStyle name="Moeda 4 4 3 2 3 2 2" xfId="54730" xr:uid="{2CC07500-7E0A-4932-BAA8-A95E9298C8B6}"/>
    <cellStyle name="Moeda 4 4 3 2 3 2 3" xfId="51436" xr:uid="{2ED696B9-B212-4980-939E-0D8C5128B2B1}"/>
    <cellStyle name="Moeda 4 4 3 2 3 3" xfId="49797" xr:uid="{7C874783-DA53-49E0-B861-B74C17A0662B}"/>
    <cellStyle name="Moeda 4 4 3 2 3 3 2" xfId="57558" xr:uid="{90B2029B-E35E-4B27-B668-FC984C37F7C5}"/>
    <cellStyle name="Moeda 4 4 3 2 3 4" xfId="53093" xr:uid="{6AE725A7-9BE2-4E98-8B89-28423F53961D}"/>
    <cellStyle name="Moeda 4 4 3 2 3 5" xfId="48128" xr:uid="{958003BB-EACB-4BC8-97E6-4B10C85A186C}"/>
    <cellStyle name="Moeda 4 4 3 2 4" xfId="874" xr:uid="{7DC5AB35-B364-4532-83D4-8674CD0D7D43}"/>
    <cellStyle name="Moeda 4 4 3 2 4 2" xfId="2590" xr:uid="{9560F074-69E3-41F3-A4C1-9728285614C4}"/>
    <cellStyle name="Moeda 4 4 3 2 4 2 2" xfId="54731" xr:uid="{1B73AA28-9727-4794-88FE-6C04F35880E4}"/>
    <cellStyle name="Moeda 4 4 3 2 4 2 3" xfId="51437" xr:uid="{4E015D36-8CEA-4AD6-9896-BB21A1E9DF5B}"/>
    <cellStyle name="Moeda 4 4 3 2 4 3" xfId="49798" xr:uid="{4B0A0059-C6B4-4685-8F62-9EBC38BA81A9}"/>
    <cellStyle name="Moeda 4 4 3 2 4 3 2" xfId="56745" xr:uid="{C094E539-7EB4-4721-8363-56577A286FB6}"/>
    <cellStyle name="Moeda 4 4 3 2 4 4" xfId="53094" xr:uid="{2443ADBE-02CD-41A3-96F1-45D8FB37BC44}"/>
    <cellStyle name="Moeda 4 4 3 2 4 5" xfId="48129" xr:uid="{8B7CF372-55CA-4549-AE0C-02C0DBC92D23}"/>
    <cellStyle name="Moeda 4 4 3 2 5" xfId="2182" xr:uid="{7E2FFE5B-7359-4752-9DA1-18D2B20504B8}"/>
    <cellStyle name="Moeda 4 4 3 2 5 2" xfId="54728" xr:uid="{87E92A69-0CDB-44C7-924B-49E1700AF1C1}"/>
    <cellStyle name="Moeda 4 4 3 2 5 3" xfId="51434" xr:uid="{8837AF50-1987-4BFF-AB5F-C7357281E524}"/>
    <cellStyle name="Moeda 4 4 3 2 6" xfId="49795" xr:uid="{AC58813C-5173-4E43-8490-8C27A677A9FE}"/>
    <cellStyle name="Moeda 4 4 3 2 6 2" xfId="56336" xr:uid="{5F32E5D3-AD22-4A09-AC14-D9BDBAD4373E}"/>
    <cellStyle name="Moeda 4 4 3 2 7" xfId="53091" xr:uid="{F8C59C99-2079-4695-A1DE-2498F90CD47E}"/>
    <cellStyle name="Moeda 4 4 3 2 8" xfId="48126" xr:uid="{76AC44AD-D502-46F4-AF93-CDF4807C0C30}"/>
    <cellStyle name="Moeda 4 4 3 2 9" xfId="4746" xr:uid="{D80D6D0A-766B-464B-AB64-750EF5BB5817}"/>
    <cellStyle name="Moeda 4 4 3 3" xfId="1092" xr:uid="{2BB38B32-DE32-47C5-AAB9-2561E39C863C}"/>
    <cellStyle name="Moeda 4 4 3 3 2" xfId="2755" xr:uid="{6B9F9B2C-D9BB-468B-8262-2864365AC42E}"/>
    <cellStyle name="Moeda 4 4 3 3 2 2" xfId="54732" xr:uid="{4AAC6F00-6F18-483D-9927-73F91A281183}"/>
    <cellStyle name="Moeda 4 4 3 3 2 3" xfId="51438" xr:uid="{E8390777-DA3C-468A-AA1D-4010097830F5}"/>
    <cellStyle name="Moeda 4 4 3 3 3" xfId="49799" xr:uid="{5AE14212-C4AE-4676-A337-42053E8AF29F}"/>
    <cellStyle name="Moeda 4 4 3 3 3 2" xfId="56963" xr:uid="{42497EB0-D0EC-46CC-9ACB-74A307FBD680}"/>
    <cellStyle name="Moeda 4 4 3 3 4" xfId="53095" xr:uid="{1A91003A-E69F-4EA3-82D0-50F0A055FA7F}"/>
    <cellStyle name="Moeda 4 4 3 3 5" xfId="48130" xr:uid="{FB5E1CC7-DBEE-4C58-A4EA-670E06FC1153}"/>
    <cellStyle name="Moeda 4 4 3 4" xfId="1498" xr:uid="{1FC94EF4-52A0-44AC-9788-CF275AB86DF7}"/>
    <cellStyle name="Moeda 4 4 3 4 2" xfId="3159" xr:uid="{23EECC8F-DEF7-45E8-84AE-0F7B115DCA48}"/>
    <cellStyle name="Moeda 4 4 3 4 2 2" xfId="54733" xr:uid="{DE088919-FA90-4D27-BF16-BFFDB0A06E47}"/>
    <cellStyle name="Moeda 4 4 3 4 2 3" xfId="51439" xr:uid="{22BB0A39-CA21-4AAB-B0AB-F1509F17E786}"/>
    <cellStyle name="Moeda 4 4 3 4 3" xfId="49800" xr:uid="{F78663F2-8D21-4246-99D5-71936981C7DB}"/>
    <cellStyle name="Moeda 4 4 3 4 3 2" xfId="57369" xr:uid="{9E0A5DDB-9FCC-4ED5-BC20-2E078CDA0148}"/>
    <cellStyle name="Moeda 4 4 3 4 4" xfId="53096" xr:uid="{9568AC02-AF34-498D-8EFE-8055F6334CA4}"/>
    <cellStyle name="Moeda 4 4 3 4 5" xfId="48131" xr:uid="{02CF8C7B-BFCC-4422-92DA-7CF423D8729E}"/>
    <cellStyle name="Moeda 4 4 3 5" xfId="685" xr:uid="{D01E7655-1237-47C3-952F-9F6A234BA763}"/>
    <cellStyle name="Moeda 4 4 3 5 2" xfId="2401" xr:uid="{4D2977A4-CC04-4BD6-B867-DC499350F038}"/>
    <cellStyle name="Moeda 4 4 3 5 2 2" xfId="54734" xr:uid="{C7F3AB1D-65A9-4846-955B-7663F69E93D7}"/>
    <cellStyle name="Moeda 4 4 3 5 2 3" xfId="51440" xr:uid="{379F192E-8101-41A6-B5B2-370C36090EDF}"/>
    <cellStyle name="Moeda 4 4 3 5 3" xfId="49801" xr:uid="{2D95BBB8-47C2-4B1D-8778-F3EF7386A860}"/>
    <cellStyle name="Moeda 4 4 3 5 3 2" xfId="56556" xr:uid="{CF0A1114-75B3-4196-A000-83861558218B}"/>
    <cellStyle name="Moeda 4 4 3 5 4" xfId="53097" xr:uid="{3EDA2B36-11BF-4EC0-BB91-C500E640061D}"/>
    <cellStyle name="Moeda 4 4 3 5 5" xfId="48132" xr:uid="{5C8DC78A-A935-4705-9C67-12BEF3DEC974}"/>
    <cellStyle name="Moeda 4 4 3 6" xfId="3621" xr:uid="{05CF9BA7-4D01-4153-B867-909E73786880}"/>
    <cellStyle name="Moeda 4 4 3 6 2" xfId="51433" xr:uid="{8CC160DE-D27D-4AB3-8B3B-0B4C1890EC80}"/>
    <cellStyle name="Moeda 4 4 3 6 3" xfId="54727" xr:uid="{EC6B3616-5722-4D41-8922-90B12FD36BC9}"/>
    <cellStyle name="Moeda 4 4 3 6 4" xfId="48125" xr:uid="{C582209F-D664-41B0-A6CD-6A88D476070E}"/>
    <cellStyle name="Moeda 4 4 3 7" xfId="4221" xr:uid="{F9A0279C-DE3C-404B-853B-FCE4828A4B32}"/>
    <cellStyle name="Moeda 4 4 3 7 2" xfId="56147" xr:uid="{F4E3405A-8248-4257-A6FE-E0958F49D7D8}"/>
    <cellStyle name="Moeda 4 4 3 7 3" xfId="49794" xr:uid="{E2E0ED4A-CA90-459B-BDD7-4D15BDD5C3C1}"/>
    <cellStyle name="Moeda 4 4 3 8" xfId="1970" xr:uid="{011B2FF7-9925-412B-9266-7849C00169C1}"/>
    <cellStyle name="Moeda 4 4 3 8 2" xfId="53090" xr:uid="{72085B97-211C-4E35-BB1D-53C458D2A804}"/>
    <cellStyle name="Moeda 4 4 3 9" xfId="47334" xr:uid="{EE6C00ED-507C-4B1D-9162-04F36403D21A}"/>
    <cellStyle name="Moeda 4 4 4" xfId="334" xr:uid="{D6F9B344-CE80-4327-BE1A-5173169D7EA7}"/>
    <cellStyle name="Moeda 4 4 4 2" xfId="1150" xr:uid="{F9D27D75-D8C6-4EFF-BBA1-DF02F7A3F2C9}"/>
    <cellStyle name="Moeda 4 4 4 2 2" xfId="2811" xr:uid="{6498D71A-B758-4992-89EA-189FFF97211C}"/>
    <cellStyle name="Moeda 4 4 4 2 2 2" xfId="54736" xr:uid="{51300F04-3BCD-4298-B23A-D0BCE601DABF}"/>
    <cellStyle name="Moeda 4 4 4 2 2 3" xfId="51442" xr:uid="{35416E14-F886-4ADE-9972-60D40C7C78F3}"/>
    <cellStyle name="Moeda 4 4 4 2 3" xfId="49803" xr:uid="{5E45D5E4-7819-46A5-8743-5D331E70E647}"/>
    <cellStyle name="Moeda 4 4 4 2 3 2" xfId="57021" xr:uid="{A8679ECF-9A44-4AD8-B7AC-2492922AB636}"/>
    <cellStyle name="Moeda 4 4 4 2 4" xfId="53099" xr:uid="{71EF9EBC-5D75-45C8-B0A9-8393C9A67FEF}"/>
    <cellStyle name="Moeda 4 4 4 2 5" xfId="48134" xr:uid="{714989F4-A801-488B-A3E0-76524C977171}"/>
    <cellStyle name="Moeda 4 4 4 3" xfId="1556" xr:uid="{9C04B54D-B8CA-42DB-8AF1-812027372A01}"/>
    <cellStyle name="Moeda 4 4 4 3 2" xfId="3216" xr:uid="{C65E3B6B-61E7-42FC-BF41-DD7CEBD99250}"/>
    <cellStyle name="Moeda 4 4 4 3 2 2" xfId="54737" xr:uid="{B97B3991-4ABB-412A-A647-2A5E9B15018C}"/>
    <cellStyle name="Moeda 4 4 4 3 2 3" xfId="51443" xr:uid="{AAE82B72-6915-4AD7-9092-3FB5F7551154}"/>
    <cellStyle name="Moeda 4 4 4 3 3" xfId="49804" xr:uid="{BF630DF7-53A2-4C5E-A550-ED143F6EC683}"/>
    <cellStyle name="Moeda 4 4 4 3 3 2" xfId="57427" xr:uid="{7316DBE0-7720-4C6A-8168-BC8EE8066D1F}"/>
    <cellStyle name="Moeda 4 4 4 3 4" xfId="53100" xr:uid="{0B838748-5BE4-4756-A684-DCC0ACA13D18}"/>
    <cellStyle name="Moeda 4 4 4 3 5" xfId="48135" xr:uid="{497216B0-2037-4273-8326-A25C32932563}"/>
    <cellStyle name="Moeda 4 4 4 4" xfId="743" xr:uid="{54B1FD8E-645F-45C1-BADE-8A5DD51C78BD}"/>
    <cellStyle name="Moeda 4 4 4 4 2" xfId="2459" xr:uid="{5513314C-7679-4EA9-B802-8492737602D5}"/>
    <cellStyle name="Moeda 4 4 4 4 2 2" xfId="54738" xr:uid="{BD6AD4A5-0BD8-49A9-844A-F818827A00C3}"/>
    <cellStyle name="Moeda 4 4 4 4 2 3" xfId="51444" xr:uid="{E367C096-A594-404C-8BD8-6E57139ACB27}"/>
    <cellStyle name="Moeda 4 4 4 4 3" xfId="49805" xr:uid="{5F063F2A-FD21-4A1C-8C06-04F3709B6599}"/>
    <cellStyle name="Moeda 4 4 4 4 3 2" xfId="56614" xr:uid="{CBBF47BD-DA94-4004-8C84-A4FEC00E5449}"/>
    <cellStyle name="Moeda 4 4 4 4 4" xfId="53101" xr:uid="{8244886F-382E-4059-921D-F7D38C2B5BA0}"/>
    <cellStyle name="Moeda 4 4 4 4 5" xfId="48136" xr:uid="{BD641DEE-F079-4F66-A6C1-473639BDBB1A}"/>
    <cellStyle name="Moeda 4 4 4 5" xfId="3512" xr:uid="{E2990B7E-3EFA-4321-A836-FD65EB0BACD7}"/>
    <cellStyle name="Moeda 4 4 4 5 2" xfId="51441" xr:uid="{0E61919E-D119-4DB2-B789-442B14639F44}"/>
    <cellStyle name="Moeda 4 4 4 5 3" xfId="54735" xr:uid="{DCC9E694-80F6-43E4-AC5A-A4F43CA3F0EC}"/>
    <cellStyle name="Moeda 4 4 4 5 4" xfId="48133" xr:uid="{28F05228-E32F-43BE-9F69-766C73B133E1}"/>
    <cellStyle name="Moeda 4 4 4 6" xfId="1861" xr:uid="{90CB3F9C-6B59-48EC-996C-D2C319D87404}"/>
    <cellStyle name="Moeda 4 4 4 6 2" xfId="56205" xr:uid="{56D4A466-B70D-4FFC-8E62-53D4719319EB}"/>
    <cellStyle name="Moeda 4 4 4 6 3" xfId="49802" xr:uid="{7649FAFE-EFA8-4E29-B192-8BCCFB287CD7}"/>
    <cellStyle name="Moeda 4 4 4 7" xfId="53098" xr:uid="{333C6D05-F00C-4587-A206-9ED88DBEFB0F}"/>
    <cellStyle name="Moeda 4 4 4 8" xfId="47460" xr:uid="{58371A54-1291-403E-9AD7-AE1990C2588C}"/>
    <cellStyle name="Moeda 4 4 4 9" xfId="4615" xr:uid="{B25E1DCB-6E6C-4417-A20F-EED06A774EEE}"/>
    <cellStyle name="Moeda 4 4 5" xfId="961" xr:uid="{DA9F4C1C-6213-4FCF-B083-C71D8A957FC4}"/>
    <cellStyle name="Moeda 4 4 5 2" xfId="3730" xr:uid="{8B69E750-F790-4FD7-9947-0F00B950C8BB}"/>
    <cellStyle name="Moeda 4 4 5 2 2" xfId="51445" xr:uid="{7899FF67-AAEF-4286-8B98-CB2EDB6C951D}"/>
    <cellStyle name="Moeda 4 4 5 2 3" xfId="54739" xr:uid="{7DDF023F-7CA5-4800-85AE-6B0E134806A4}"/>
    <cellStyle name="Moeda 4 4 5 2 4" xfId="48137" xr:uid="{13A81E2F-F75A-4AE0-BD18-261280363FE7}"/>
    <cellStyle name="Moeda 4 4 5 3" xfId="2676" xr:uid="{89BF9DD8-1AFF-4DBC-98ED-BD530C4A31C2}"/>
    <cellStyle name="Moeda 4 4 5 3 2" xfId="56832" xr:uid="{4AAC3FF5-89D4-461D-909D-266B0D6488F2}"/>
    <cellStyle name="Moeda 4 4 5 3 3" xfId="49806" xr:uid="{927052CB-D223-43F9-AE24-2C8AE65FD54D}"/>
    <cellStyle name="Moeda 4 4 5 4" xfId="53102" xr:uid="{56542C03-A1FC-48EE-9CA8-6656FBE63850}"/>
    <cellStyle name="Moeda 4 4 5 5" xfId="47586" xr:uid="{D59F4702-B03A-40A1-927E-990018BC11BF}"/>
    <cellStyle name="Moeda 4 4 6" xfId="1367" xr:uid="{8D92D514-886C-42FB-8C91-B9734DEFF761}"/>
    <cellStyle name="Moeda 4 4 6 2" xfId="3028" xr:uid="{0CD44FC0-7C79-4E92-9F3B-59E6643071B1}"/>
    <cellStyle name="Moeda 4 4 6 2 2" xfId="54740" xr:uid="{7742C581-F49F-47B7-A878-EB63102A2F42}"/>
    <cellStyle name="Moeda 4 4 6 2 3" xfId="51446" xr:uid="{77894500-E6E2-4A6E-887F-405278FE17F2}"/>
    <cellStyle name="Moeda 4 4 6 3" xfId="49807" xr:uid="{4E378A98-910A-44CA-82A3-4CF71480B00C}"/>
    <cellStyle name="Moeda 4 4 6 3 2" xfId="57238" xr:uid="{55374963-6C1D-4C3B-AF87-320ED42C5A21}"/>
    <cellStyle name="Moeda 4 4 6 4" xfId="53103" xr:uid="{EDB67269-CDF3-4938-BA08-76500FBE7150}"/>
    <cellStyle name="Moeda 4 4 6 5" xfId="48138" xr:uid="{C1A49CAA-7707-4FDF-8F94-1533AEE25FAF}"/>
    <cellStyle name="Moeda 4 4 7" xfId="554" xr:uid="{95C32F76-8E70-4CEF-AAE9-F8A1E574795D}"/>
    <cellStyle name="Moeda 4 4 7 2" xfId="2270" xr:uid="{671B50A0-6117-4959-A87C-6C7A87F3D4C7}"/>
    <cellStyle name="Moeda 4 4 7 2 2" xfId="54741" xr:uid="{C10CC342-1B7C-4CD4-9E66-BA673E6CFBB6}"/>
    <cellStyle name="Moeda 4 4 7 2 3" xfId="51447" xr:uid="{F72C4719-A887-429F-885D-75563B7CC5C9}"/>
    <cellStyle name="Moeda 4 4 7 3" xfId="49808" xr:uid="{3AF66A51-10D9-45F4-9CAB-5EEA34205EE8}"/>
    <cellStyle name="Moeda 4 4 7 3 2" xfId="56425" xr:uid="{133E8904-D321-4246-AB8E-A3AB779E8973}"/>
    <cellStyle name="Moeda 4 4 7 4" xfId="53104" xr:uid="{344BC478-02DE-423A-AEA0-6D1B5158FF89}"/>
    <cellStyle name="Moeda 4 4 7 5" xfId="48139" xr:uid="{52C22F6A-14DB-4C06-9B15-367173DCD6DD}"/>
    <cellStyle name="Moeda 4 4 8" xfId="3402" xr:uid="{C66BA4AD-DF2D-46EC-AFDF-7A5CBBEB98AB}"/>
    <cellStyle name="Moeda 4 4 8 2" xfId="51424" xr:uid="{5A964C39-794E-443E-BC2A-C423EAB095C4}"/>
    <cellStyle name="Moeda 4 4 8 3" xfId="54718" xr:uid="{2F27A96B-D0FB-4013-98C5-94AB762D9D6F}"/>
    <cellStyle name="Moeda 4 4 8 4" xfId="48116" xr:uid="{616A3202-BC60-4EA6-AECF-0418289B30C1}"/>
    <cellStyle name="Moeda 4 4 9" xfId="3878" xr:uid="{DC3C964E-7CB3-408D-AFA7-1EF530F63E3D}"/>
    <cellStyle name="Moeda 4 4 9 2" xfId="56016" xr:uid="{BB342F03-7668-4C35-87D7-3C4735BA10E8}"/>
    <cellStyle name="Moeda 4 4 9 3" xfId="49785" xr:uid="{1AF4AFDB-4A54-4AE7-AAD4-2B0DE4E113FB}"/>
    <cellStyle name="Moeda 4 5" xfId="172" xr:uid="{B3AEECFB-DE82-4A3A-9DC9-E07CF346F417}"/>
    <cellStyle name="Moeda 4 5 10" xfId="4453" xr:uid="{8AD7D1AE-20C3-4F30-9349-34299C6B41E2}"/>
    <cellStyle name="Moeda 4 5 2" xfId="361" xr:uid="{96AF3E9C-F981-43FC-A5CD-366002632EAA}"/>
    <cellStyle name="Moeda 4 5 2 2" xfId="1177" xr:uid="{4380D030-20B3-4812-8DD9-1252A61CE708}"/>
    <cellStyle name="Moeda 4 5 2 2 2" xfId="2838" xr:uid="{3CAD7909-6230-4DA9-AAE8-B5CE3C71ACC4}"/>
    <cellStyle name="Moeda 4 5 2 2 2 2" xfId="54744" xr:uid="{3B8D6E4A-4383-4C04-A9D3-7C8C15B5542D}"/>
    <cellStyle name="Moeda 4 5 2 2 2 3" xfId="51450" xr:uid="{30AE2AD6-AF9C-43C5-86C0-7C5DB9E3DDFA}"/>
    <cellStyle name="Moeda 4 5 2 2 3" xfId="49811" xr:uid="{0CAC7F04-E7B1-4567-A36A-7286F1FD552C}"/>
    <cellStyle name="Moeda 4 5 2 2 3 2" xfId="57048" xr:uid="{2BCF42CE-AE89-4C3C-98F7-A963319EC28B}"/>
    <cellStyle name="Moeda 4 5 2 2 4" xfId="53107" xr:uid="{3D919C23-C856-49FF-88AC-E6A6317AF367}"/>
    <cellStyle name="Moeda 4 5 2 2 5" xfId="48142" xr:uid="{F9619DAD-D57A-47FD-837B-A7BC2A208B38}"/>
    <cellStyle name="Moeda 4 5 2 3" xfId="1583" xr:uid="{6D38872D-86C1-49A2-90EB-A106C43B93BC}"/>
    <cellStyle name="Moeda 4 5 2 3 2" xfId="3243" xr:uid="{BB0957A7-08CB-49F5-BA44-1DE75174612A}"/>
    <cellStyle name="Moeda 4 5 2 3 2 2" xfId="54745" xr:uid="{E89AE5D2-B6F3-40EB-A250-EC281DF4136F}"/>
    <cellStyle name="Moeda 4 5 2 3 2 3" xfId="51451" xr:uid="{FDAA4276-F4F7-4613-98FF-C77109962B6B}"/>
    <cellStyle name="Moeda 4 5 2 3 3" xfId="49812" xr:uid="{7EAB12E4-0D6D-443F-9AB9-2AD9FF878E83}"/>
    <cellStyle name="Moeda 4 5 2 3 3 2" xfId="57454" xr:uid="{2152077C-B3DB-4238-BEF4-2A36C1CA01B6}"/>
    <cellStyle name="Moeda 4 5 2 3 4" xfId="53108" xr:uid="{FF262993-80B9-42D9-85FB-11F65B355DE2}"/>
    <cellStyle name="Moeda 4 5 2 3 5" xfId="48143" xr:uid="{C52B88BC-F265-490A-8A35-A85702A9EFEF}"/>
    <cellStyle name="Moeda 4 5 2 4" xfId="770" xr:uid="{E30A3EDD-163A-4750-BD61-FC2B204F2636}"/>
    <cellStyle name="Moeda 4 5 2 4 2" xfId="2486" xr:uid="{10404F1B-3D54-4660-A262-B8CC48C68A03}"/>
    <cellStyle name="Moeda 4 5 2 4 2 2" xfId="54746" xr:uid="{953C5757-903F-4EF4-B44D-80E153E1D049}"/>
    <cellStyle name="Moeda 4 5 2 4 2 3" xfId="51452" xr:uid="{689E61C3-E338-4A09-90F2-EECFD921BD63}"/>
    <cellStyle name="Moeda 4 5 2 4 3" xfId="49813" xr:uid="{2C9E9550-4F8F-47FD-996A-89132059B8B7}"/>
    <cellStyle name="Moeda 4 5 2 4 3 2" xfId="56641" xr:uid="{8DBB7229-FACB-4355-B2E8-FF5AC714B45A}"/>
    <cellStyle name="Moeda 4 5 2 4 4" xfId="53109" xr:uid="{F5BC8AAA-A863-418C-9D36-4EBB70D5EE4E}"/>
    <cellStyle name="Moeda 4 5 2 4 5" xfId="48144" xr:uid="{BC57CAFE-CEE0-4F94-B0D4-F7D487163751}"/>
    <cellStyle name="Moeda 4 5 2 5" xfId="3650" xr:uid="{A21D6E21-5B10-413D-88EA-7EE70F61A5F0}"/>
    <cellStyle name="Moeda 4 5 2 5 2" xfId="51449" xr:uid="{1F78046B-5164-4309-9A1F-5E54C76CD7F7}"/>
    <cellStyle name="Moeda 4 5 2 5 3" xfId="54743" xr:uid="{CB5CD394-5779-44A2-924F-4F81316E726A}"/>
    <cellStyle name="Moeda 4 5 2 5 4" xfId="48141" xr:uid="{34E4503B-FBCE-418D-AE39-D2C923502482}"/>
    <cellStyle name="Moeda 4 5 2 6" xfId="4122" xr:uid="{51799DE9-9496-46BB-84EE-DAB4746FC14C}"/>
    <cellStyle name="Moeda 4 5 2 6 2" xfId="56232" xr:uid="{B83067F5-4860-4144-A34F-7EBDE244C5B0}"/>
    <cellStyle name="Moeda 4 5 2 6 3" xfId="49810" xr:uid="{6690A9AC-BFB5-410B-9990-3E1189989C4C}"/>
    <cellStyle name="Moeda 4 5 2 7" xfId="1999" xr:uid="{83D98CD0-7FF3-46AD-BC65-A6B22905D861}"/>
    <cellStyle name="Moeda 4 5 2 7 2" xfId="53106" xr:uid="{6CF2BB2F-3AF2-4950-B60B-0221B3AB3E33}"/>
    <cellStyle name="Moeda 4 5 2 8" xfId="47364" xr:uid="{DE0AF349-8A27-480E-8B8B-4004975BE7F6}"/>
    <cellStyle name="Moeda 4 5 2 9" xfId="4642" xr:uid="{09AF51C0-6A69-46F9-8FB1-50244D4AC04A}"/>
    <cellStyle name="Moeda 4 5 3" xfId="988" xr:uid="{4409C727-9F6E-43F3-88DC-98444540DF13}"/>
    <cellStyle name="Moeda 4 5 3 2" xfId="3541" xr:uid="{840D5ADB-2DCA-440E-B369-DF21ADADC62F}"/>
    <cellStyle name="Moeda 4 5 3 2 2" xfId="51453" xr:uid="{F5AE0A9F-B5AA-472E-B4B6-E38ACB784E1C}"/>
    <cellStyle name="Moeda 4 5 3 2 3" xfId="54747" xr:uid="{7EF518C8-42D7-4ECD-9D20-20E15AD18D87}"/>
    <cellStyle name="Moeda 4 5 3 2 4" xfId="48145" xr:uid="{214CC72B-FE46-4551-80DB-F0DF2DE37822}"/>
    <cellStyle name="Moeda 4 5 3 3" xfId="4294" xr:uid="{2BDD3BB7-B199-4CF5-87A0-439FF24E9B7D}"/>
    <cellStyle name="Moeda 4 5 3 3 2" xfId="56859" xr:uid="{06460E0E-3813-455C-ACD3-D18F843709BF}"/>
    <cellStyle name="Moeda 4 5 3 3 3" xfId="49814" xr:uid="{26C4C709-C732-447C-B80C-0CB2DC8C28E8}"/>
    <cellStyle name="Moeda 4 5 3 4" xfId="1890" xr:uid="{0617334D-4E69-4AEB-8EC4-9C74E8A6A97D}"/>
    <cellStyle name="Moeda 4 5 3 4 2" xfId="53110" xr:uid="{E669DCF7-E3A4-46FD-ADC1-50BAAB0A4333}"/>
    <cellStyle name="Moeda 4 5 3 5" xfId="47490" xr:uid="{883BC210-530D-4830-BA3C-3090A2D65324}"/>
    <cellStyle name="Moeda 4 5 4" xfId="1394" xr:uid="{0F93EA61-06EA-43FB-95D3-D6887C246112}"/>
    <cellStyle name="Moeda 4 5 4 2" xfId="3759" xr:uid="{1EDE2EB6-CCA0-43E1-972E-B6DAC05ACE29}"/>
    <cellStyle name="Moeda 4 5 4 2 2" xfId="51454" xr:uid="{E6C9B594-6F03-41C6-87AB-CCCE0B8D5DDC}"/>
    <cellStyle name="Moeda 4 5 4 2 3" xfId="54748" xr:uid="{02436513-65C4-4EA4-891B-A0C382E62ED1}"/>
    <cellStyle name="Moeda 4 5 4 2 4" xfId="48146" xr:uid="{41CD82EB-C3A1-4D38-B130-41B1367A5EF1}"/>
    <cellStyle name="Moeda 4 5 4 3" xfId="3055" xr:uid="{9C99DCBC-8067-4FAA-A20D-FFE49EC7C1E7}"/>
    <cellStyle name="Moeda 4 5 4 3 2" xfId="57265" xr:uid="{2BD50BAA-B29C-44DA-966F-CBE80EBD76BB}"/>
    <cellStyle name="Moeda 4 5 4 3 3" xfId="49815" xr:uid="{B47DEA0B-AC3C-43B1-BD78-02F52A2141B1}"/>
    <cellStyle name="Moeda 4 5 4 4" xfId="53111" xr:uid="{DFBCF1E7-F4E9-4782-84B5-885F986FCA4B}"/>
    <cellStyle name="Moeda 4 5 4 5" xfId="47616" xr:uid="{05D46492-C6A1-48F8-8475-05F038EACC38}"/>
    <cellStyle name="Moeda 4 5 5" xfId="581" xr:uid="{C45B4872-18EB-4C61-856F-7F8FB680D809}"/>
    <cellStyle name="Moeda 4 5 5 2" xfId="2297" xr:uid="{6CF18B98-CD5E-4274-BA02-54F292CBE6B7}"/>
    <cellStyle name="Moeda 4 5 5 2 2" xfId="54749" xr:uid="{99868896-64AA-4ADF-94F3-ACF2F178759E}"/>
    <cellStyle name="Moeda 4 5 5 2 3" xfId="51455" xr:uid="{FA20C9D6-80D1-4BC8-A864-2D4F777F5F6A}"/>
    <cellStyle name="Moeda 4 5 5 3" xfId="49816" xr:uid="{03D6D15E-CB6C-4B9A-B3ED-A5366CBC76A6}"/>
    <cellStyle name="Moeda 4 5 5 3 2" xfId="56452" xr:uid="{36B2B8DF-4392-42F2-B149-FCA75E10916B}"/>
    <cellStyle name="Moeda 4 5 5 4" xfId="53112" xr:uid="{E69D2AFD-F442-4C64-8335-32E2F8079198}"/>
    <cellStyle name="Moeda 4 5 5 5" xfId="48147" xr:uid="{B7815C9C-EDD4-4AFE-8895-615B7E3FDE3A}"/>
    <cellStyle name="Moeda 4 5 6" xfId="3431" xr:uid="{A996AA67-982A-4E39-9534-9E3507FF608B}"/>
    <cellStyle name="Moeda 4 5 6 2" xfId="51448" xr:uid="{EBE918C0-1CBE-476F-B84C-D1330F9F8D07}"/>
    <cellStyle name="Moeda 4 5 6 3" xfId="54742" xr:uid="{32BC26D2-FEE8-4DE1-BCC4-58F44D7C52CE}"/>
    <cellStyle name="Moeda 4 5 6 4" xfId="48140" xr:uid="{3539EEEA-9D98-4467-8BCF-D1111871A045}"/>
    <cellStyle name="Moeda 4 5 7" xfId="3950" xr:uid="{B78647C9-31EC-4FF2-A9BB-F75E493C7467}"/>
    <cellStyle name="Moeda 4 5 7 2" xfId="56043" xr:uid="{26138A5C-D8B5-46B8-B9A1-56103AF177A7}"/>
    <cellStyle name="Moeda 4 5 7 3" xfId="49809" xr:uid="{427879C0-71A1-4BE8-AF81-F3850ED6495F}"/>
    <cellStyle name="Moeda 4 5 8" xfId="1780" xr:uid="{BD7D1DF7-DEF0-4992-8F6E-FB5921ABFE08}"/>
    <cellStyle name="Moeda 4 5 8 2" xfId="53105" xr:uid="{51559D3A-9721-467F-B2E4-C31925376051}"/>
    <cellStyle name="Moeda 4 5 9" xfId="32870" xr:uid="{1E1D1E46-8A27-4ED0-86B5-1E80814BFFDF}"/>
    <cellStyle name="Moeda 4 6" xfId="198" xr:uid="{72E58F38-DA67-4808-850E-81E6EC1EB713}"/>
    <cellStyle name="Moeda 4 6 10" xfId="4479" xr:uid="{23E11D89-5198-4CA9-9A5C-B2C356197E88}"/>
    <cellStyle name="Moeda 4 6 2" xfId="387" xr:uid="{875623A1-C807-43C4-A2E8-41C376AD3C2E}"/>
    <cellStyle name="Moeda 4 6 2 2" xfId="1203" xr:uid="{1E595013-F3D8-4BD1-AC8E-CD96E3AA2A39}"/>
    <cellStyle name="Moeda 4 6 2 2 2" xfId="2864" xr:uid="{443EA7DD-9DD0-426D-8AEF-C3904CED5435}"/>
    <cellStyle name="Moeda 4 6 2 2 2 2" xfId="54752" xr:uid="{702E29CF-86E1-44A1-B79B-993F0978E225}"/>
    <cellStyle name="Moeda 4 6 2 2 2 3" xfId="51458" xr:uid="{DFA4CD82-C158-48E0-9D63-D7D19DC3108A}"/>
    <cellStyle name="Moeda 4 6 2 2 3" xfId="49819" xr:uid="{92D81FEA-4457-44E5-9239-E1B9785A97BA}"/>
    <cellStyle name="Moeda 4 6 2 2 3 2" xfId="57074" xr:uid="{61AFB532-3FC0-443A-9301-545B79923DCD}"/>
    <cellStyle name="Moeda 4 6 2 2 4" xfId="53115" xr:uid="{9C03E8CB-A4A2-48B9-82D2-E4E4D812DEDB}"/>
    <cellStyle name="Moeda 4 6 2 2 5" xfId="48150" xr:uid="{65AD139B-1288-4E2A-A754-66AD1F3BA73F}"/>
    <cellStyle name="Moeda 4 6 2 3" xfId="1609" xr:uid="{C87CFC2D-C06C-4EE4-A025-4DFA90DBD5BF}"/>
    <cellStyle name="Moeda 4 6 2 3 2" xfId="3269" xr:uid="{DE5D1C29-C1A6-4EB8-8C99-B29FA30BE556}"/>
    <cellStyle name="Moeda 4 6 2 3 2 2" xfId="54753" xr:uid="{3468543F-61A5-4D5F-BDC3-CA07E1CD3A39}"/>
    <cellStyle name="Moeda 4 6 2 3 2 3" xfId="51459" xr:uid="{7B0B7B76-09A3-49B7-B2F1-3A78535D9352}"/>
    <cellStyle name="Moeda 4 6 2 3 3" xfId="49820" xr:uid="{B2845B81-95A8-4FD1-9611-893EE250EFA4}"/>
    <cellStyle name="Moeda 4 6 2 3 3 2" xfId="57480" xr:uid="{44176457-E9D8-4991-A52B-E2CAC3BD4013}"/>
    <cellStyle name="Moeda 4 6 2 3 4" xfId="53116" xr:uid="{FF9DF86A-2855-4D14-A017-37695ED3ACB2}"/>
    <cellStyle name="Moeda 4 6 2 3 5" xfId="48151" xr:uid="{C2CA1914-1D88-4254-8F2C-289317F6899F}"/>
    <cellStyle name="Moeda 4 6 2 4" xfId="796" xr:uid="{6E099DBB-6C96-4AD1-B281-033EA7FD62B1}"/>
    <cellStyle name="Moeda 4 6 2 4 2" xfId="2512" xr:uid="{D50F1E0F-56F7-4D86-9D01-31AB2022659B}"/>
    <cellStyle name="Moeda 4 6 2 4 2 2" xfId="54754" xr:uid="{02C3E876-F2CB-4CEB-904E-AD7646E064B6}"/>
    <cellStyle name="Moeda 4 6 2 4 2 3" xfId="51460" xr:uid="{9CA120FD-0D25-45FA-8C1D-A46939E1A468}"/>
    <cellStyle name="Moeda 4 6 2 4 3" xfId="49821" xr:uid="{598792C9-C75A-4D89-B881-F1062EB85EF5}"/>
    <cellStyle name="Moeda 4 6 2 4 3 2" xfId="56667" xr:uid="{923D3273-1A1E-4515-92F7-FE36840A31A2}"/>
    <cellStyle name="Moeda 4 6 2 4 4" xfId="53117" xr:uid="{C1509374-A00A-4499-9EE0-AE931A7CEF1D}"/>
    <cellStyle name="Moeda 4 6 2 4 5" xfId="48152" xr:uid="{29AAC76A-78F4-428B-A683-3E89C3F442C7}"/>
    <cellStyle name="Moeda 4 6 2 5" xfId="2133" xr:uid="{1CE1F1E0-7A18-4D7A-870B-ED3D4715D832}"/>
    <cellStyle name="Moeda 4 6 2 5 2" xfId="54751" xr:uid="{80605FF3-22E7-4B69-9EF1-72F1C51AAAAB}"/>
    <cellStyle name="Moeda 4 6 2 5 3" xfId="51457" xr:uid="{2ED50C6E-F479-4500-B869-45E6A60DB29B}"/>
    <cellStyle name="Moeda 4 6 2 6" xfId="49818" xr:uid="{2896258B-5A84-4B87-AC06-CCAF13EE63F5}"/>
    <cellStyle name="Moeda 4 6 2 6 2" xfId="56258" xr:uid="{B581CB80-A95E-477D-B027-AEF8B831C5A8}"/>
    <cellStyle name="Moeda 4 6 2 7" xfId="53114" xr:uid="{51082A8C-E66A-4C09-83AD-E2BF87CE079D}"/>
    <cellStyle name="Moeda 4 6 2 8" xfId="48149" xr:uid="{40B214E8-51AB-4256-ADE1-6C15CDEFD67B}"/>
    <cellStyle name="Moeda 4 6 2 9" xfId="4668" xr:uid="{5341978B-2E77-4311-BD6B-A00F5D4CB043}"/>
    <cellStyle name="Moeda 4 6 3" xfId="1014" xr:uid="{978C27D4-9984-4507-A2B0-0C0DB4C779E8}"/>
    <cellStyle name="Moeda 4 6 3 2" xfId="2703" xr:uid="{64096173-BB91-4357-91A9-2196A7A12727}"/>
    <cellStyle name="Moeda 4 6 3 2 2" xfId="54755" xr:uid="{FEC7BE7F-B190-48AF-A7EB-E4F08496C7D4}"/>
    <cellStyle name="Moeda 4 6 3 2 3" xfId="51461" xr:uid="{90BDA2F2-69C0-49A3-B5DA-30B3EB5473BE}"/>
    <cellStyle name="Moeda 4 6 3 3" xfId="49822" xr:uid="{5D680A23-BA33-4097-A38D-3A440665997B}"/>
    <cellStyle name="Moeda 4 6 3 3 2" xfId="56885" xr:uid="{7843C812-C6EA-4FE8-B3AF-B5CC9F7920EE}"/>
    <cellStyle name="Moeda 4 6 3 4" xfId="53118" xr:uid="{DBD4B08D-3B51-4625-85C3-264045737F82}"/>
    <cellStyle name="Moeda 4 6 3 5" xfId="48153" xr:uid="{D1274C22-F8E8-4DB7-8663-30EDEB95915A}"/>
    <cellStyle name="Moeda 4 6 4" xfId="1420" xr:uid="{8788462C-49F6-44CD-B6B1-AB797225D48C}"/>
    <cellStyle name="Moeda 4 6 4 2" xfId="3081" xr:uid="{8752A42E-DC2A-473F-AA33-62DA4F413C0A}"/>
    <cellStyle name="Moeda 4 6 4 2 2" xfId="54756" xr:uid="{69A62D27-7622-4EF5-AFD3-25180DE5DB68}"/>
    <cellStyle name="Moeda 4 6 4 2 3" xfId="51462" xr:uid="{324DDE62-F698-487C-8E3C-FA870E88F5B9}"/>
    <cellStyle name="Moeda 4 6 4 3" xfId="49823" xr:uid="{72534D16-BBD3-4CD6-BDC3-C90900157F69}"/>
    <cellStyle name="Moeda 4 6 4 3 2" xfId="57291" xr:uid="{FE818E3F-C4C6-4E17-95A9-F182904AAD1D}"/>
    <cellStyle name="Moeda 4 6 4 4" xfId="53119" xr:uid="{934F0A5A-DA49-4300-9AAB-67843904FAD9}"/>
    <cellStyle name="Moeda 4 6 4 5" xfId="48154" xr:uid="{C96DC894-ED3D-4249-BEC8-45FD117BF182}"/>
    <cellStyle name="Moeda 4 6 5" xfId="607" xr:uid="{8DF7942C-A896-403C-8539-CFA36A61B86D}"/>
    <cellStyle name="Moeda 4 6 5 2" xfId="2323" xr:uid="{119F376D-950C-486A-83B9-598809AD4B4C}"/>
    <cellStyle name="Moeda 4 6 5 2 2" xfId="54757" xr:uid="{36141109-B0EE-4C8C-8121-544E04A4964A}"/>
    <cellStyle name="Moeda 4 6 5 2 3" xfId="51463" xr:uid="{A137F9DC-357D-4B1F-BC7D-BD4BA8A777AE}"/>
    <cellStyle name="Moeda 4 6 5 3" xfId="49824" xr:uid="{3D6FA45F-957E-4EE7-B23C-651D1ACFD446}"/>
    <cellStyle name="Moeda 4 6 5 3 2" xfId="56478" xr:uid="{42ACB78E-C6DF-4B78-9432-80DD97E52742}"/>
    <cellStyle name="Moeda 4 6 5 4" xfId="53120" xr:uid="{DB5AD25E-D8A8-4491-9B96-3B118EE1BEEF}"/>
    <cellStyle name="Moeda 4 6 5 5" xfId="48155" xr:uid="{2E1E9B5E-9401-4D37-AF11-0BD483300D33}"/>
    <cellStyle name="Moeda 4 6 6" xfId="3596" xr:uid="{259874D7-D6E2-4A18-8B33-E530F9518106}"/>
    <cellStyle name="Moeda 4 6 6 2" xfId="51456" xr:uid="{B1BC8AF6-DBCD-4B4A-ABEA-78F9A7CE7244}"/>
    <cellStyle name="Moeda 4 6 6 3" xfId="54750" xr:uid="{44821121-06D4-4129-986A-E015EF0B3358}"/>
    <cellStyle name="Moeda 4 6 6 4" xfId="48148" xr:uid="{867D8F01-BE6D-46E0-BC58-6DD8EDE464D3}"/>
    <cellStyle name="Moeda 4 6 7" xfId="4009" xr:uid="{6911CF48-0CF9-4B79-A64D-B62764343588}"/>
    <cellStyle name="Moeda 4 6 7 2" xfId="56069" xr:uid="{790E761F-B20C-4463-8A09-4C8B4E09A5A1}"/>
    <cellStyle name="Moeda 4 6 7 3" xfId="49817" xr:uid="{D06163EC-0EB8-469C-AC24-34969ECC42B6}"/>
    <cellStyle name="Moeda 4 6 8" xfId="1945" xr:uid="{65E55A13-DBED-449C-AE5C-B9E353FF3888}"/>
    <cellStyle name="Moeda 4 6 8 2" xfId="53113" xr:uid="{99F4E0F6-A018-42E4-AAF7-7DD0BEC2D26D}"/>
    <cellStyle name="Moeda 4 6 9" xfId="47308" xr:uid="{A8043092-402B-43D7-885B-ED89B8AD825D}"/>
    <cellStyle name="Moeda 4 7" xfId="250" xr:uid="{8409D3BC-1207-4A1F-AFD7-3FD1CBF53E6D}"/>
    <cellStyle name="Moeda 4 7 10" xfId="4531" xr:uid="{423697E6-F2EE-4897-AA5A-5CAEB6966634}"/>
    <cellStyle name="Moeda 4 7 2" xfId="439" xr:uid="{EBCBB1E5-678E-44E8-A650-6B1CC8DE3602}"/>
    <cellStyle name="Moeda 4 7 2 2" xfId="1255" xr:uid="{61B76BBE-6542-4E6A-AB14-ABB0F5E5753E}"/>
    <cellStyle name="Moeda 4 7 2 2 2" xfId="2916" xr:uid="{C7BE3795-B359-4000-9EB4-E53D5766E3C3}"/>
    <cellStyle name="Moeda 4 7 2 2 2 2" xfId="54760" xr:uid="{506BFBA4-1FD1-4611-B996-F2E3DF3B9198}"/>
    <cellStyle name="Moeda 4 7 2 2 2 3" xfId="51466" xr:uid="{DEA54F4F-442D-4416-A0DF-4ABAC951403E}"/>
    <cellStyle name="Moeda 4 7 2 2 3" xfId="49827" xr:uid="{20F18621-19F0-4793-BBEA-E30A5A92F58D}"/>
    <cellStyle name="Moeda 4 7 2 2 3 2" xfId="57126" xr:uid="{0A2AC2AF-B460-405D-87C2-C8068A7D7960}"/>
    <cellStyle name="Moeda 4 7 2 2 4" xfId="53123" xr:uid="{5B2C5F7F-784C-480C-83BD-5B219428ADB8}"/>
    <cellStyle name="Moeda 4 7 2 2 5" xfId="48158" xr:uid="{AAB4D4B2-F167-4052-B153-CAB0A46CE5D4}"/>
    <cellStyle name="Moeda 4 7 2 3" xfId="1661" xr:uid="{C34EAF1B-FD73-4A0C-90B5-75B95E703560}"/>
    <cellStyle name="Moeda 4 7 2 3 2" xfId="3321" xr:uid="{B400C807-A65C-4B20-9538-4DB2FDF0EFBB}"/>
    <cellStyle name="Moeda 4 7 2 3 2 2" xfId="54761" xr:uid="{70A1ADE5-72FE-4F1A-B5EA-5C0B189591AB}"/>
    <cellStyle name="Moeda 4 7 2 3 2 3" xfId="51467" xr:uid="{FAA1F0DC-CF71-4E11-84FF-3E6569B762D6}"/>
    <cellStyle name="Moeda 4 7 2 3 3" xfId="49828" xr:uid="{A55B09F0-FEC3-4077-A6A5-4E5D4CAA0A0C}"/>
    <cellStyle name="Moeda 4 7 2 3 3 2" xfId="57532" xr:uid="{C2E08175-8F59-49C3-8858-E9E090E02E31}"/>
    <cellStyle name="Moeda 4 7 2 3 4" xfId="53124" xr:uid="{7E6CE19A-6F98-4C67-B2CA-8F347BB2ECB9}"/>
    <cellStyle name="Moeda 4 7 2 3 5" xfId="48159" xr:uid="{7DBE8F31-435B-448B-ABBE-AF33C61BB817}"/>
    <cellStyle name="Moeda 4 7 2 4" xfId="848" xr:uid="{8BEAD094-4901-4144-8536-2339C9BF162C}"/>
    <cellStyle name="Moeda 4 7 2 4 2" xfId="2564" xr:uid="{8E788B14-B2B8-4644-B425-82E54B843C39}"/>
    <cellStyle name="Moeda 4 7 2 4 2 2" xfId="54762" xr:uid="{75613677-5062-4C18-B9CB-0F42812DB3BF}"/>
    <cellStyle name="Moeda 4 7 2 4 2 3" xfId="51468" xr:uid="{03CEBD56-18C7-4486-9B3C-D28ACC170F37}"/>
    <cellStyle name="Moeda 4 7 2 4 3" xfId="49829" xr:uid="{0687B7C8-AEE8-4FBF-9B67-EA860B60EF87}"/>
    <cellStyle name="Moeda 4 7 2 4 3 2" xfId="56719" xr:uid="{63951F60-887D-45CB-9EC3-998CF92DA617}"/>
    <cellStyle name="Moeda 4 7 2 4 4" xfId="53125" xr:uid="{5F2020F5-814D-4040-8C03-36EE8875DE21}"/>
    <cellStyle name="Moeda 4 7 2 4 5" xfId="48160" xr:uid="{3249D64F-1A41-472A-B3C1-7E0ED7704F3A}"/>
    <cellStyle name="Moeda 4 7 2 5" xfId="2157" xr:uid="{7A5AD26A-9A19-4CC9-86AB-911B3B8D6612}"/>
    <cellStyle name="Moeda 4 7 2 5 2" xfId="54759" xr:uid="{606A2195-E687-49D4-92A6-18525BD797B7}"/>
    <cellStyle name="Moeda 4 7 2 5 3" xfId="51465" xr:uid="{2A3BCC19-13CB-40F7-BD89-3F34FDB9334E}"/>
    <cellStyle name="Moeda 4 7 2 6" xfId="49826" xr:uid="{09B08007-6726-4887-9748-2C3BF9316C42}"/>
    <cellStyle name="Moeda 4 7 2 6 2" xfId="56310" xr:uid="{4E5C5B31-7583-4743-A773-44278FFB365D}"/>
    <cellStyle name="Moeda 4 7 2 7" xfId="53122" xr:uid="{99E3B2F7-D749-44AC-A3A8-ADE3DDC30C17}"/>
    <cellStyle name="Moeda 4 7 2 8" xfId="48157" xr:uid="{94C37B7E-29DF-4FC8-A19D-0E6CF2B21754}"/>
    <cellStyle name="Moeda 4 7 2 9" xfId="4720" xr:uid="{A995BD17-9F66-4B8D-84FA-E68F87A77618}"/>
    <cellStyle name="Moeda 4 7 3" xfId="1066" xr:uid="{501C5D10-7793-4DB9-89F5-76C9B496F99F}"/>
    <cellStyle name="Moeda 4 7 3 2" xfId="2730" xr:uid="{DECD08AB-4A35-46CA-89FA-6957F4D9ED58}"/>
    <cellStyle name="Moeda 4 7 3 2 2" xfId="54763" xr:uid="{4D3D6F99-A06A-4128-9737-39B25572C99D}"/>
    <cellStyle name="Moeda 4 7 3 2 3" xfId="51469" xr:uid="{8706A0AD-FB67-49D5-B15F-31D1AB8B0F88}"/>
    <cellStyle name="Moeda 4 7 3 3" xfId="49830" xr:uid="{FE0A1E09-EE13-4EA0-85C7-C7D99804ABC5}"/>
    <cellStyle name="Moeda 4 7 3 3 2" xfId="56937" xr:uid="{16010A6E-A110-469E-908B-11ED523CFD71}"/>
    <cellStyle name="Moeda 4 7 3 4" xfId="53126" xr:uid="{1250D8AF-5D52-4499-A977-437D22772497}"/>
    <cellStyle name="Moeda 4 7 3 5" xfId="48161" xr:uid="{8D541002-3827-49E4-A3E8-F575C697522A}"/>
    <cellStyle name="Moeda 4 7 4" xfId="1472" xr:uid="{855779D7-706F-4104-AFE8-CF9A173F45A9}"/>
    <cellStyle name="Moeda 4 7 4 2" xfId="3133" xr:uid="{7841E78A-5B97-4E57-ACE2-B8306B54739D}"/>
    <cellStyle name="Moeda 4 7 4 2 2" xfId="54764" xr:uid="{1955DD55-FF9A-45AC-9F72-BAB2518836A2}"/>
    <cellStyle name="Moeda 4 7 4 2 3" xfId="51470" xr:uid="{F54F7A7D-F18B-4353-B1F1-5966D033413B}"/>
    <cellStyle name="Moeda 4 7 4 3" xfId="49831" xr:uid="{10866BEE-F5A3-4F91-AAE6-FC53C8BE971C}"/>
    <cellStyle name="Moeda 4 7 4 3 2" xfId="57343" xr:uid="{FDEDE00A-4B47-487A-B3E6-2A1FD0B9DCF8}"/>
    <cellStyle name="Moeda 4 7 4 4" xfId="53127" xr:uid="{3B494F48-7CB8-4060-A262-79E8BFACFE13}"/>
    <cellStyle name="Moeda 4 7 4 5" xfId="48162" xr:uid="{7CE88CD1-6727-42A9-AA8D-6F0884023FAD}"/>
    <cellStyle name="Moeda 4 7 5" xfId="659" xr:uid="{3627716D-6BF0-41FB-B255-001EBC826FF2}"/>
    <cellStyle name="Moeda 4 7 5 2" xfId="2375" xr:uid="{96A57816-F5D7-464A-BC95-59E92EE3A48F}"/>
    <cellStyle name="Moeda 4 7 5 2 2" xfId="54765" xr:uid="{75111AD4-B5B8-4E09-84BF-728B4918DD18}"/>
    <cellStyle name="Moeda 4 7 5 2 3" xfId="51471" xr:uid="{36694BDF-3826-4D3C-9741-C497A3227B03}"/>
    <cellStyle name="Moeda 4 7 5 3" xfId="49832" xr:uid="{DBF22CE1-C279-4864-B3F6-E2D98A6BCD21}"/>
    <cellStyle name="Moeda 4 7 5 3 2" xfId="56530" xr:uid="{9FB5A946-28D3-4E74-8DA7-26FD6E13FFB8}"/>
    <cellStyle name="Moeda 4 7 5 4" xfId="53128" xr:uid="{40DCE149-6AB0-41C0-812A-3A7B8A529A06}"/>
    <cellStyle name="Moeda 4 7 5 5" xfId="48163" xr:uid="{357DE400-0AAF-498D-92EF-0D4445D9E4C2}"/>
    <cellStyle name="Moeda 4 7 6" xfId="3486" xr:uid="{8D8E050D-54D4-49DE-BA7D-58617155C60D}"/>
    <cellStyle name="Moeda 4 7 6 2" xfId="51464" xr:uid="{E80ED177-9CF0-4AFA-94C0-DCC1128F35F0}"/>
    <cellStyle name="Moeda 4 7 6 3" xfId="54758" xr:uid="{442E617E-233E-4E89-A033-45993DE016CF}"/>
    <cellStyle name="Moeda 4 7 6 4" xfId="48156" xr:uid="{D2510243-6591-4E18-8189-1D2882EC70B5}"/>
    <cellStyle name="Moeda 4 7 7" xfId="4181" xr:uid="{388D2730-8799-4B14-9801-B147C4AD09BC}"/>
    <cellStyle name="Moeda 4 7 7 2" xfId="56121" xr:uid="{26C1CACE-3EB2-446B-BCCC-27DE01B14738}"/>
    <cellStyle name="Moeda 4 7 7 3" xfId="49825" xr:uid="{A6EECB1C-C75C-4DFF-BA09-D1CAD290ABEF}"/>
    <cellStyle name="Moeda 4 7 8" xfId="1835" xr:uid="{306CC76F-6266-4610-885B-76603C112F71}"/>
    <cellStyle name="Moeda 4 7 8 2" xfId="53121" xr:uid="{0539774E-F711-44F0-A682-66045EE866E2}"/>
    <cellStyle name="Moeda 4 7 9" xfId="47434" xr:uid="{AF832F9A-7971-4779-BFDA-849A9184B108}"/>
    <cellStyle name="Moeda 4 8" xfId="305" xr:uid="{BBF216A8-823A-4749-B70B-6E72ECBF81F7}"/>
    <cellStyle name="Moeda 4 8 2" xfId="1121" xr:uid="{007C0970-7A32-4F9A-94F9-B346D7D4F6F9}"/>
    <cellStyle name="Moeda 4 8 2 2" xfId="2783" xr:uid="{28C0733E-FEF6-4432-BF70-DD4459FA515A}"/>
    <cellStyle name="Moeda 4 8 2 2 2" xfId="54767" xr:uid="{9FF871EF-6EBC-4AAA-96D2-9DAC4EBC2A79}"/>
    <cellStyle name="Moeda 4 8 2 2 3" xfId="51473" xr:uid="{4782444D-D616-4898-890A-6FFC8BCD6AF0}"/>
    <cellStyle name="Moeda 4 8 2 3" xfId="49834" xr:uid="{97DE5762-6ABF-48B8-BB7C-4EC64667440A}"/>
    <cellStyle name="Moeda 4 8 2 3 2" xfId="56992" xr:uid="{E7B416E7-EB12-4114-B956-0BEB04DA085C}"/>
    <cellStyle name="Moeda 4 8 2 4" xfId="53130" xr:uid="{2284F45D-CA92-4090-B814-995EBAB9922F}"/>
    <cellStyle name="Moeda 4 8 2 5" xfId="48165" xr:uid="{DC19D640-82AE-45A6-AFE7-C03613F04D96}"/>
    <cellStyle name="Moeda 4 8 3" xfId="1527" xr:uid="{F7A6F69F-A8F2-4CBA-B661-0CD50C7CE6B4}"/>
    <cellStyle name="Moeda 4 8 3 2" xfId="3188" xr:uid="{A9300727-A33D-4B7F-8CEC-A0FDDE06E41C}"/>
    <cellStyle name="Moeda 4 8 3 2 2" xfId="54768" xr:uid="{62F44F40-2B17-4F33-8F7E-50119EA613C0}"/>
    <cellStyle name="Moeda 4 8 3 2 3" xfId="51474" xr:uid="{B6851A5A-D7FB-4165-84AF-B3F68133A09A}"/>
    <cellStyle name="Moeda 4 8 3 3" xfId="49835" xr:uid="{7706C1A4-683D-4509-B163-841E92185971}"/>
    <cellStyle name="Moeda 4 8 3 3 2" xfId="57398" xr:uid="{65AA5539-7EF5-4305-8AF1-ED277D581F5B}"/>
    <cellStyle name="Moeda 4 8 3 4" xfId="53131" xr:uid="{C15DFA39-DAA5-4860-B865-7D5488D7ADA4}"/>
    <cellStyle name="Moeda 4 8 3 5" xfId="48166" xr:uid="{93F98465-48E3-4D53-A005-4DA21604997D}"/>
    <cellStyle name="Moeda 4 8 4" xfId="714" xr:uid="{F9DBC6E1-131D-4A5D-9CC1-9D78E8D20DED}"/>
    <cellStyle name="Moeda 4 8 4 2" xfId="2430" xr:uid="{90302BB4-ABA6-4994-909B-E097519C2A37}"/>
    <cellStyle name="Moeda 4 8 4 2 2" xfId="54769" xr:uid="{8FC5623C-B10B-46CD-8B70-7205B0A2880C}"/>
    <cellStyle name="Moeda 4 8 4 2 3" xfId="51475" xr:uid="{0CB81AF2-A151-4D6F-816D-FD3E5091D463}"/>
    <cellStyle name="Moeda 4 8 4 3" xfId="49836" xr:uid="{39FFD5A2-A7E5-4375-84F9-BAAB850F9AA9}"/>
    <cellStyle name="Moeda 4 8 4 3 2" xfId="56585" xr:uid="{1B01BE24-3BF0-4335-B608-0170D37AAD83}"/>
    <cellStyle name="Moeda 4 8 4 4" xfId="53132" xr:uid="{3D8118F6-8E74-4BD7-9561-5019C205FA23}"/>
    <cellStyle name="Moeda 4 8 4 5" xfId="48167" xr:uid="{43501C54-3F45-4C91-87C0-8CAA2B340AD5}"/>
    <cellStyle name="Moeda 4 8 5" xfId="3705" xr:uid="{02C1DFB5-6C81-40CC-A381-926E17894F7F}"/>
    <cellStyle name="Moeda 4 8 5 2" xfId="51472" xr:uid="{E1AB488D-6E84-47E4-A023-983492D135AB}"/>
    <cellStyle name="Moeda 4 8 5 3" xfId="54766" xr:uid="{5FBCE9E8-CC15-4E01-A508-6BD028D56A7C}"/>
    <cellStyle name="Moeda 4 8 5 4" xfId="48164" xr:uid="{489025AC-A0C7-4C5D-923F-7FD053F31613}"/>
    <cellStyle name="Moeda 4 8 6" xfId="2106" xr:uid="{F23D8596-87E4-44B2-8F12-A0A244A688E0}"/>
    <cellStyle name="Moeda 4 8 6 2" xfId="56176" xr:uid="{DB8E0B2F-5D49-491F-BF57-B2B4BABC432D}"/>
    <cellStyle name="Moeda 4 8 6 3" xfId="49833" xr:uid="{FCE0378D-C1D5-45E4-BA69-6B96984E3C74}"/>
    <cellStyle name="Moeda 4 8 7" xfId="53129" xr:uid="{C7DE8070-35F2-463B-AC3A-8EA0110D1323}"/>
    <cellStyle name="Moeda 4 8 8" xfId="47560" xr:uid="{1AA61C23-912E-4F16-91E4-AC80FE871615}"/>
    <cellStyle name="Moeda 4 8 9" xfId="4586" xr:uid="{AEB260C3-63F7-41BE-9EE1-ED7E53B4F005}"/>
    <cellStyle name="Moeda 4 9" xfId="932" xr:uid="{AB5CD63D-5D29-437F-8EB9-84AD1CC4713A}"/>
    <cellStyle name="Moeda 4 9 2" xfId="2647" xr:uid="{DE3C807D-5E39-40B9-BC52-7F56761B4FCE}"/>
    <cellStyle name="Moeda 4 9 2 2" xfId="54770" xr:uid="{00F82783-9AC0-4895-97B7-2B75F0849DFC}"/>
    <cellStyle name="Moeda 4 9 2 3" xfId="51476" xr:uid="{3DD63F56-FB43-48B0-9C5D-0EF44A5BF44C}"/>
    <cellStyle name="Moeda 4 9 3" xfId="49837" xr:uid="{05D3E8AC-7B78-45F7-93E8-A9CAB016B94E}"/>
    <cellStyle name="Moeda 4 9 3 2" xfId="56803" xr:uid="{8D5AABA7-4F6E-4291-BF9D-ACDC46327596}"/>
    <cellStyle name="Moeda 4 9 4" xfId="53133" xr:uid="{A7ABD56D-A243-4690-A718-BFE0891FDA3E}"/>
    <cellStyle name="Moeda 4 9 5" xfId="48168" xr:uid="{DFBF0BC6-5F9A-481C-AC70-9CCC75153842}"/>
    <cellStyle name="Moeda 5" xfId="125" xr:uid="{D0E25981-B9B4-48C3-9E63-EA55D45537E0}"/>
    <cellStyle name="Moeda 5 10" xfId="3398" xr:uid="{C8DABE09-504E-4AE5-9F7E-6D906F090055}"/>
    <cellStyle name="Moeda 5 10 2" xfId="51477" xr:uid="{BBD7E69E-07E7-424B-934C-79A58F9BA8AB}"/>
    <cellStyle name="Moeda 5 10 3" xfId="54771" xr:uid="{B80A734F-9BD4-4E62-A30F-378AB4190E29}"/>
    <cellStyle name="Moeda 5 10 4" xfId="48169" xr:uid="{4964C367-EB3C-46A4-B9C6-EECA7B49733D}"/>
    <cellStyle name="Moeda 5 11" xfId="3840" xr:uid="{6211FCA0-A300-434E-A984-6764D85A8897}"/>
    <cellStyle name="Moeda 5 11 2" xfId="55996" xr:uid="{1BDD917C-1CF9-441A-8F44-9A16A0740996}"/>
    <cellStyle name="Moeda 5 11 3" xfId="49838" xr:uid="{F7431F41-60A8-409A-B993-C8DAF7E1FCF4}"/>
    <cellStyle name="Moeda 5 12" xfId="1746" xr:uid="{4E90C0C6-D6D4-421F-BA77-6DCAE0DFE69E}"/>
    <cellStyle name="Moeda 5 12 2" xfId="53134" xr:uid="{85AC4F59-AD9F-471F-85A4-CE6AECB20EDE}"/>
    <cellStyle name="Moeda 5 13" xfId="12551" xr:uid="{D5BD4B18-A704-4913-BFD2-D10D5BA6B31F}"/>
    <cellStyle name="Moeda 5 14" xfId="4406" xr:uid="{389F3E56-66E1-41EF-ABDF-E833CF7F71F5}"/>
    <cellStyle name="Moeda 5 2" xfId="154" xr:uid="{E2BE11CE-E080-4CCC-AAD2-D7785EE1AD0A}"/>
    <cellStyle name="Moeda 5 2 10" xfId="1772" xr:uid="{2F83C64D-2CB5-48C4-88C5-2194053129B9}"/>
    <cellStyle name="Moeda 5 2 10 2" xfId="53135" xr:uid="{6F9A0FAF-95B7-448A-AFF8-0DFF0EB429C0}"/>
    <cellStyle name="Moeda 5 2 11" xfId="12577" xr:uid="{2F997FDC-5285-4E3A-95FC-AA7D04E22C70}"/>
    <cellStyle name="Moeda 5 2 12" xfId="4435" xr:uid="{3106E43A-58F7-4FC6-9910-7C7CC7DF2F4B}"/>
    <cellStyle name="Moeda 5 2 2" xfId="246" xr:uid="{8B34DF63-03EF-429E-B10B-5B763CA06311}"/>
    <cellStyle name="Moeda 5 2 2 10" xfId="4527" xr:uid="{D7E80861-03C9-4D5A-8992-9EC3602A2D93}"/>
    <cellStyle name="Moeda 5 2 2 2" xfId="435" xr:uid="{DDFC6C97-5E4F-4C07-A9F1-BB321C3FFB88}"/>
    <cellStyle name="Moeda 5 2 2 2 2" xfId="1251" xr:uid="{BC6443C0-4BF0-4993-93D5-95DCCD0D0FD9}"/>
    <cellStyle name="Moeda 5 2 2 2 2 2" xfId="2912" xr:uid="{0AE3843E-EB20-4EE2-B76E-1CC2383FC4A3}"/>
    <cellStyle name="Moeda 5 2 2 2 2 2 2" xfId="54775" xr:uid="{F331A02D-AF28-484E-8E29-F1A8EFFBFFCD}"/>
    <cellStyle name="Moeda 5 2 2 2 2 2 3" xfId="51481" xr:uid="{024F272F-50D5-412A-80A0-EC9E15967553}"/>
    <cellStyle name="Moeda 5 2 2 2 2 3" xfId="49842" xr:uid="{0555AD13-0CA0-4E6F-9FD3-BE7108473693}"/>
    <cellStyle name="Moeda 5 2 2 2 2 3 2" xfId="57122" xr:uid="{E9D0E6B8-8328-46C9-A289-879491593C0F}"/>
    <cellStyle name="Moeda 5 2 2 2 2 4" xfId="53138" xr:uid="{F61AC403-9554-4122-94F7-A0C44EE4283E}"/>
    <cellStyle name="Moeda 5 2 2 2 2 5" xfId="48173" xr:uid="{6C195B8A-9B61-4957-84D4-0BD8AE647134}"/>
    <cellStyle name="Moeda 5 2 2 2 3" xfId="1657" xr:uid="{EDB355B8-7964-4036-B7E0-33E76E43B17C}"/>
    <cellStyle name="Moeda 5 2 2 2 3 2" xfId="3317" xr:uid="{A0D507BB-6A44-48AB-A44F-F6F1F52B046D}"/>
    <cellStyle name="Moeda 5 2 2 2 3 2 2" xfId="54776" xr:uid="{2DA21BC4-31EA-447A-B0FF-78210962EA5D}"/>
    <cellStyle name="Moeda 5 2 2 2 3 2 3" xfId="51482" xr:uid="{0B7D9F3E-AA41-481F-92F4-01690D0772EC}"/>
    <cellStyle name="Moeda 5 2 2 2 3 3" xfId="49843" xr:uid="{2ED3187E-BC86-4E8C-B4BA-68CB32C04DF7}"/>
    <cellStyle name="Moeda 5 2 2 2 3 3 2" xfId="57528" xr:uid="{780E786F-3878-4BCE-A49C-4E6A507711BF}"/>
    <cellStyle name="Moeda 5 2 2 2 3 4" xfId="53139" xr:uid="{0BA6AE53-464E-448C-842B-88449E5B682C}"/>
    <cellStyle name="Moeda 5 2 2 2 3 5" xfId="48174" xr:uid="{A12AFBAA-0707-4FBE-9013-D8CDC28132F5}"/>
    <cellStyle name="Moeda 5 2 2 2 4" xfId="844" xr:uid="{235F3A5F-A43E-4BAE-A7B7-E59D151AB62F}"/>
    <cellStyle name="Moeda 5 2 2 2 4 2" xfId="2560" xr:uid="{B5B28815-8BBB-4461-BB40-9AD28CE23757}"/>
    <cellStyle name="Moeda 5 2 2 2 4 2 2" xfId="54777" xr:uid="{5A99B3E0-A8B3-46E9-986A-8EB9CEB72B29}"/>
    <cellStyle name="Moeda 5 2 2 2 4 2 3" xfId="51483" xr:uid="{29C37C86-538E-433A-B1D8-5B5F0B4EC4A7}"/>
    <cellStyle name="Moeda 5 2 2 2 4 3" xfId="49844" xr:uid="{0E922A6A-E9CE-4021-9C59-20215269FDC4}"/>
    <cellStyle name="Moeda 5 2 2 2 4 3 2" xfId="56715" xr:uid="{E33F0D9E-8ADD-4ED0-B2A0-BA78EC939E9C}"/>
    <cellStyle name="Moeda 5 2 2 2 4 4" xfId="53140" xr:uid="{A5BDE7A7-1C29-4C65-8F4B-00B61F7032A2}"/>
    <cellStyle name="Moeda 5 2 2 2 4 5" xfId="48175" xr:uid="{A4BF013F-9A3C-4356-ABC5-2FD079C1F2FF}"/>
    <cellStyle name="Moeda 5 2 2 2 5" xfId="3698" xr:uid="{926AE99C-270E-40C9-ACDA-25E00DB44D4C}"/>
    <cellStyle name="Moeda 5 2 2 2 5 2" xfId="51480" xr:uid="{B73E2D65-C7A3-469B-8C41-95C296A5A738}"/>
    <cellStyle name="Moeda 5 2 2 2 5 3" xfId="54774" xr:uid="{1A53AD52-D2BC-495E-99C7-A0D1D95142AC}"/>
    <cellStyle name="Moeda 5 2 2 2 5 4" xfId="48172" xr:uid="{A5E32C80-F465-478C-9367-B42FF18D4B20}"/>
    <cellStyle name="Moeda 5 2 2 2 6" xfId="4063" xr:uid="{35296FD3-5D51-4D11-B69B-CCFB11CA990A}"/>
    <cellStyle name="Moeda 5 2 2 2 6 2" xfId="56306" xr:uid="{B78BA5B6-37BE-4588-B4DF-2820F1BDF09A}"/>
    <cellStyle name="Moeda 5 2 2 2 6 3" xfId="49841" xr:uid="{1A228C5F-89BC-44A5-97B2-9E4035E47553}"/>
    <cellStyle name="Moeda 5 2 2 2 7" xfId="2047" xr:uid="{E9B40547-5510-40F3-98F7-1594D9D850AE}"/>
    <cellStyle name="Moeda 5 2 2 2 7 2" xfId="53137" xr:uid="{87190D04-252F-4875-BF57-462D44D13787}"/>
    <cellStyle name="Moeda 5 2 2 2 8" xfId="47412" xr:uid="{B7FA553E-3A91-4321-95DE-5E01789348E7}"/>
    <cellStyle name="Moeda 5 2 2 2 9" xfId="4716" xr:uid="{66680CD0-89D1-4F61-9BEE-0D51AC4C350C}"/>
    <cellStyle name="Moeda 5 2 2 3" xfId="1062" xr:uid="{E66C26A5-A423-4E9C-A6EC-2205AC142B61}"/>
    <cellStyle name="Moeda 5 2 2 3 2" xfId="3589" xr:uid="{6EBB7CB0-8764-425D-B70D-9EABEC633A0E}"/>
    <cellStyle name="Moeda 5 2 2 3 2 2" xfId="51484" xr:uid="{3C69272A-8367-47E5-ACA6-D374B18CBB59}"/>
    <cellStyle name="Moeda 5 2 2 3 2 3" xfId="54778" xr:uid="{2FD98730-0AC1-4902-B30A-E24BE3AD595B}"/>
    <cellStyle name="Moeda 5 2 2 3 2 4" xfId="48176" xr:uid="{B0595D1D-F6B2-415C-8C11-135E7794B8D7}"/>
    <cellStyle name="Moeda 5 2 2 3 3" xfId="4235" xr:uid="{97FF3187-5BB2-4236-A425-87B145BD1434}"/>
    <cellStyle name="Moeda 5 2 2 3 3 2" xfId="56933" xr:uid="{CBB9026B-EE9D-406A-8E97-D0D0752A47AC}"/>
    <cellStyle name="Moeda 5 2 2 3 3 3" xfId="49845" xr:uid="{1F795A4F-ECBD-4261-8B95-C21EB6A4A256}"/>
    <cellStyle name="Moeda 5 2 2 3 4" xfId="1938" xr:uid="{6E2E8F1D-BD91-469A-9469-1DD2541C6062}"/>
    <cellStyle name="Moeda 5 2 2 3 4 2" xfId="53141" xr:uid="{EDFDC72E-B2D0-48A0-8765-FAE8BF1E5273}"/>
    <cellStyle name="Moeda 5 2 2 3 5" xfId="47538" xr:uid="{B6EF41F5-EC27-4C10-A5A5-50A9BF273F9B}"/>
    <cellStyle name="Moeda 5 2 2 4" xfId="1468" xr:uid="{C16BE5BD-62B3-4E05-A740-F179A73C8EFA}"/>
    <cellStyle name="Moeda 5 2 2 4 2" xfId="3807" xr:uid="{F5F69C51-F0ED-4CE0-A213-B196C8246A41}"/>
    <cellStyle name="Moeda 5 2 2 4 2 2" xfId="51485" xr:uid="{2587A86A-902C-4A04-8067-BE0AFC713813}"/>
    <cellStyle name="Moeda 5 2 2 4 2 3" xfId="54779" xr:uid="{C64A9332-23BA-43F7-BACB-DF85A0D3CE45}"/>
    <cellStyle name="Moeda 5 2 2 4 2 4" xfId="48177" xr:uid="{664D9264-25FB-4CD9-A61B-F02F196B76D4}"/>
    <cellStyle name="Moeda 5 2 2 4 3" xfId="3129" xr:uid="{227DDBA9-B40E-4797-A770-A26878DA5574}"/>
    <cellStyle name="Moeda 5 2 2 4 3 2" xfId="57339" xr:uid="{04253B34-A875-4425-B5EA-8A0D2D7CB5BE}"/>
    <cellStyle name="Moeda 5 2 2 4 3 3" xfId="49846" xr:uid="{75BFECC5-9559-4BBC-A3B1-6925BCEECBE3}"/>
    <cellStyle name="Moeda 5 2 2 4 4" xfId="53142" xr:uid="{DDBC6E66-8510-4D18-B2FB-80500AFC4053}"/>
    <cellStyle name="Moeda 5 2 2 4 5" xfId="47664" xr:uid="{E13BFA3B-787B-40E4-9046-6DEF60B81C83}"/>
    <cellStyle name="Moeda 5 2 2 5" xfId="655" xr:uid="{6798CEB9-3F68-4A9C-BBDF-B75B164E3FD9}"/>
    <cellStyle name="Moeda 5 2 2 5 2" xfId="2371" xr:uid="{9CF13CCC-ECFB-45AB-A8A5-09D354DC46AC}"/>
    <cellStyle name="Moeda 5 2 2 5 2 2" xfId="54780" xr:uid="{26C4BC97-6672-4C04-9D6E-23852BAAFE30}"/>
    <cellStyle name="Moeda 5 2 2 5 2 3" xfId="51486" xr:uid="{7826CB2F-5583-4DB2-ACEB-57AC9823E0E2}"/>
    <cellStyle name="Moeda 5 2 2 5 3" xfId="49847" xr:uid="{C6FD397A-5405-4138-A5F3-7DDE07A9318C}"/>
    <cellStyle name="Moeda 5 2 2 5 3 2" xfId="56526" xr:uid="{7A3C52F7-3C17-4293-B62D-3B14E48853EB}"/>
    <cellStyle name="Moeda 5 2 2 5 4" xfId="53143" xr:uid="{F2FA8A82-317D-4E2B-822A-26D8B8D24404}"/>
    <cellStyle name="Moeda 5 2 2 5 5" xfId="48178" xr:uid="{E1BDA9DE-572C-4E9F-8052-6A6CDCF8268D}"/>
    <cellStyle name="Moeda 5 2 2 6" xfId="3479" xr:uid="{A2062C09-EA12-4C5D-8BF3-CD63AFD19E30}"/>
    <cellStyle name="Moeda 5 2 2 6 2" xfId="51479" xr:uid="{7702F0A2-1EF2-4B65-9BD9-07C17B4DB289}"/>
    <cellStyle name="Moeda 5 2 2 6 3" xfId="54773" xr:uid="{7A2E1269-0B5B-4522-B6F3-17D657B816D6}"/>
    <cellStyle name="Moeda 5 2 2 6 4" xfId="48171" xr:uid="{4AC49B0A-5834-4A3A-9A30-7E6A9A1477F9}"/>
    <cellStyle name="Moeda 5 2 2 7" xfId="3892" xr:uid="{7ED975E7-52D9-409E-924D-6995FE9C06B4}"/>
    <cellStyle name="Moeda 5 2 2 7 2" xfId="56117" xr:uid="{0231ADC8-03D0-447B-84E0-D53B030BBE0E}"/>
    <cellStyle name="Moeda 5 2 2 7 3" xfId="49840" xr:uid="{33AE90E4-8829-4322-B887-36825FED352A}"/>
    <cellStyle name="Moeda 5 2 2 8" xfId="1828" xr:uid="{1597CA91-2043-44F7-8175-D9BFA618F840}"/>
    <cellStyle name="Moeda 5 2 2 8 2" xfId="53136" xr:uid="{B5F9561B-C151-4145-8DEE-EDEE14295F99}"/>
    <cellStyle name="Moeda 5 2 2 9" xfId="32918" xr:uid="{07C89983-A257-4BC5-B647-B48753FDBDAA}"/>
    <cellStyle name="Moeda 5 2 3" xfId="298" xr:uid="{F1D5A3F6-A15D-4094-8D87-958C806C5D03}"/>
    <cellStyle name="Moeda 5 2 3 10" xfId="4579" xr:uid="{A4E90D2D-9A17-4588-AEE1-F36F6E62017A}"/>
    <cellStyle name="Moeda 5 2 3 2" xfId="487" xr:uid="{24B39088-A782-4731-B1E7-1CEA38CE74AD}"/>
    <cellStyle name="Moeda 5 2 3 2 2" xfId="1303" xr:uid="{1E016855-FAF2-499C-ACF4-41A21913324B}"/>
    <cellStyle name="Moeda 5 2 3 2 2 2" xfId="2964" xr:uid="{B3788832-B2BD-485E-BC68-EEAD330DFA13}"/>
    <cellStyle name="Moeda 5 2 3 2 2 2 2" xfId="54783" xr:uid="{FF8CCB63-A0E7-46D2-BA82-5B9947D00D53}"/>
    <cellStyle name="Moeda 5 2 3 2 2 2 3" xfId="51489" xr:uid="{7A348DB8-86F3-4401-8B79-D1E411D34303}"/>
    <cellStyle name="Moeda 5 2 3 2 2 3" xfId="49850" xr:uid="{FF0EB37C-6B92-4517-B54E-3E24534D53FE}"/>
    <cellStyle name="Moeda 5 2 3 2 2 3 2" xfId="57174" xr:uid="{6D219DBA-435B-44EA-9C04-549EF5553519}"/>
    <cellStyle name="Moeda 5 2 3 2 2 4" xfId="53146" xr:uid="{7297E8ED-67D8-461A-BD94-7D45ECE14E1F}"/>
    <cellStyle name="Moeda 5 2 3 2 2 5" xfId="48181" xr:uid="{EDA7A63D-52F9-47A9-9406-3ACF6F4A26A3}"/>
    <cellStyle name="Moeda 5 2 3 2 3" xfId="1709" xr:uid="{774F24BB-9AE9-43F3-AB72-3EE9523CE2DC}"/>
    <cellStyle name="Moeda 5 2 3 2 3 2" xfId="3369" xr:uid="{7D6B9D00-7302-4EFA-9042-33969E913DD5}"/>
    <cellStyle name="Moeda 5 2 3 2 3 2 2" xfId="54784" xr:uid="{32DCDDFF-65AE-4A66-B6E9-E9E7BAF4CF83}"/>
    <cellStyle name="Moeda 5 2 3 2 3 2 3" xfId="51490" xr:uid="{E45EEA1C-039E-483D-9C11-1A0B10F4DDE5}"/>
    <cellStyle name="Moeda 5 2 3 2 3 3" xfId="49851" xr:uid="{D0853CF9-9EDB-4C80-B283-A74193507C5B}"/>
    <cellStyle name="Moeda 5 2 3 2 3 3 2" xfId="57580" xr:uid="{2BE5AC24-E081-42BD-95CC-A5B5E6A330D7}"/>
    <cellStyle name="Moeda 5 2 3 2 3 4" xfId="53147" xr:uid="{AEEEF8EC-80D0-4FD0-BA9F-BD8E375C5B92}"/>
    <cellStyle name="Moeda 5 2 3 2 3 5" xfId="48182" xr:uid="{D0800E95-E18B-4AE2-8F43-BB7567BDC715}"/>
    <cellStyle name="Moeda 5 2 3 2 4" xfId="896" xr:uid="{1EA01C50-A042-4F5D-AB5F-7D714B0D1214}"/>
    <cellStyle name="Moeda 5 2 3 2 4 2" xfId="2612" xr:uid="{C3C4E342-7DD2-487F-9312-153E7BCF5590}"/>
    <cellStyle name="Moeda 5 2 3 2 4 2 2" xfId="54785" xr:uid="{3A7BF13B-E405-4F45-A2EB-202A573B0845}"/>
    <cellStyle name="Moeda 5 2 3 2 4 2 3" xfId="51491" xr:uid="{6D8623AF-D387-4C29-A373-5A8711DEE58D}"/>
    <cellStyle name="Moeda 5 2 3 2 4 3" xfId="49852" xr:uid="{41F9BC5C-CF48-4280-B36F-F5455016F7C0}"/>
    <cellStyle name="Moeda 5 2 3 2 4 3 2" xfId="56767" xr:uid="{92ED1BCB-AC29-44DE-B7E3-F993D5DB8368}"/>
    <cellStyle name="Moeda 5 2 3 2 4 4" xfId="53148" xr:uid="{D3B09166-5233-4288-A463-2F4E92BC5EC8}"/>
    <cellStyle name="Moeda 5 2 3 2 4 5" xfId="48183" xr:uid="{94DBF62F-9B73-4016-9757-3600501E9EBA}"/>
    <cellStyle name="Moeda 5 2 3 2 5" xfId="4136" xr:uid="{34D17DAF-14E7-46F0-B6BF-2ACA5D96D163}"/>
    <cellStyle name="Moeda 5 2 3 2 5 2" xfId="54782" xr:uid="{63018553-7B63-4D92-8F2B-631CD08981FE}"/>
    <cellStyle name="Moeda 5 2 3 2 5 3" xfId="51488" xr:uid="{6E849518-CE46-47BD-A7F2-018608676A21}"/>
    <cellStyle name="Moeda 5 2 3 2 6" xfId="2204" xr:uid="{6E98BE4F-8A11-4D00-A67F-E0645A72A20E}"/>
    <cellStyle name="Moeda 5 2 3 2 6 2" xfId="56358" xr:uid="{FD2B577A-A594-4ADC-ACD3-85B4D92694AB}"/>
    <cellStyle name="Moeda 5 2 3 2 6 3" xfId="49849" xr:uid="{616FA732-A518-4517-94A3-35F2F3131698}"/>
    <cellStyle name="Moeda 5 2 3 2 7" xfId="53145" xr:uid="{5D205A11-1444-4039-B8EC-D7858A9F2310}"/>
    <cellStyle name="Moeda 5 2 3 2 8" xfId="48180" xr:uid="{E3B85239-CDC8-41F9-9EF6-5C31A4B5BFFF}"/>
    <cellStyle name="Moeda 5 2 3 2 9" xfId="4768" xr:uid="{7554DD6E-9C46-4D4A-A374-C0A4B99A5F5F}"/>
    <cellStyle name="Moeda 5 2 3 3" xfId="1114" xr:uid="{AD10000A-F6F3-46E1-AB9F-0403BE546BF2}"/>
    <cellStyle name="Moeda 5 2 3 3 2" xfId="4308" xr:uid="{407B0E03-73FD-406C-B876-3D3117226CB7}"/>
    <cellStyle name="Moeda 5 2 3 3 2 2" xfId="54786" xr:uid="{859BCE8E-742E-4018-B708-468D2B92056E}"/>
    <cellStyle name="Moeda 5 2 3 3 2 3" xfId="51492" xr:uid="{418D3A02-AB8F-4714-AB10-76CE892569D4}"/>
    <cellStyle name="Moeda 5 2 3 3 3" xfId="2777" xr:uid="{BAD6CFB1-7271-417D-A8B5-43601EFD518A}"/>
    <cellStyle name="Moeda 5 2 3 3 3 2" xfId="56985" xr:uid="{565EC631-F5F8-4BE3-B297-BB0E4EEB0656}"/>
    <cellStyle name="Moeda 5 2 3 3 3 3" xfId="49853" xr:uid="{2B3DBBE9-B07B-4A5A-AFB8-CD20BE0539BF}"/>
    <cellStyle name="Moeda 5 2 3 3 4" xfId="53149" xr:uid="{03DB5326-F9C7-45FF-B673-DA9AAC819E1A}"/>
    <cellStyle name="Moeda 5 2 3 3 5" xfId="48184" xr:uid="{CB3C9081-946B-4DCE-9371-FF260909C023}"/>
    <cellStyle name="Moeda 5 2 3 4" xfId="1520" xr:uid="{DF8648F9-1D28-4AA2-8F45-0870F25C6AFD}"/>
    <cellStyle name="Moeda 5 2 3 4 2" xfId="3181" xr:uid="{D4EB6D52-7F3D-4AA3-B760-9A6E25805523}"/>
    <cellStyle name="Moeda 5 2 3 4 2 2" xfId="54787" xr:uid="{564E0BD2-37DA-4AF7-BAB1-2B57CC60FC00}"/>
    <cellStyle name="Moeda 5 2 3 4 2 3" xfId="51493" xr:uid="{1EE21A7C-3F8A-400F-94BB-25FFA6825F9B}"/>
    <cellStyle name="Moeda 5 2 3 4 3" xfId="49854" xr:uid="{6D49F3D7-383C-4A8E-8C64-81D5831830DE}"/>
    <cellStyle name="Moeda 5 2 3 4 3 2" xfId="57391" xr:uid="{BBF280B7-8B8B-4E8B-A490-B1CF4715874D}"/>
    <cellStyle name="Moeda 5 2 3 4 4" xfId="53150" xr:uid="{55C89E3F-D9B0-4439-9B57-E4B2932C4F04}"/>
    <cellStyle name="Moeda 5 2 3 4 5" xfId="48185" xr:uid="{853D619B-2C2D-4EAA-A38E-C19D9493C22F}"/>
    <cellStyle name="Moeda 5 2 3 5" xfId="707" xr:uid="{E8493A29-62CE-4AE2-9988-3280DE9765ED}"/>
    <cellStyle name="Moeda 5 2 3 5 2" xfId="2423" xr:uid="{AE37D5DD-E614-4E0C-BFBF-4F0572857832}"/>
    <cellStyle name="Moeda 5 2 3 5 2 2" xfId="54788" xr:uid="{91EDE02E-2D04-46BB-ADD8-4B228230F2B6}"/>
    <cellStyle name="Moeda 5 2 3 5 2 3" xfId="51494" xr:uid="{C362D58F-C8D2-4C23-8330-C30F6926815F}"/>
    <cellStyle name="Moeda 5 2 3 5 3" xfId="49855" xr:uid="{BE4B4E2F-4288-483C-9574-517442A607AC}"/>
    <cellStyle name="Moeda 5 2 3 5 3 2" xfId="56578" xr:uid="{199282CB-F9BE-4AE2-8692-189DF4E5B721}"/>
    <cellStyle name="Moeda 5 2 3 5 4" xfId="53151" xr:uid="{513EA51E-6C3C-48DC-937B-2E9820100188}"/>
    <cellStyle name="Moeda 5 2 3 5 5" xfId="48186" xr:uid="{4EFDEC8A-E3B1-438B-AA80-FDBEAAC67F8D}"/>
    <cellStyle name="Moeda 5 2 3 6" xfId="3643" xr:uid="{9FA6D55D-A7D7-4F37-9C0E-393E76C0A4AC}"/>
    <cellStyle name="Moeda 5 2 3 6 2" xfId="51487" xr:uid="{DC2939A5-5687-4152-B387-50A26F643984}"/>
    <cellStyle name="Moeda 5 2 3 6 3" xfId="54781" xr:uid="{C8AA802C-5051-4853-9A59-ABF22F850C8D}"/>
    <cellStyle name="Moeda 5 2 3 6 4" xfId="48179" xr:uid="{A9431664-9EA0-4C23-B117-467345B987F9}"/>
    <cellStyle name="Moeda 5 2 3 7" xfId="3964" xr:uid="{7816449A-F74C-4F58-9605-24A66C7958A6}"/>
    <cellStyle name="Moeda 5 2 3 7 2" xfId="56169" xr:uid="{BB86E25F-7820-425F-B7BE-146C61F7E54D}"/>
    <cellStyle name="Moeda 5 2 3 7 3" xfId="49848" xr:uid="{FEAB196E-D6A1-4D51-875A-F83465D2DBEA}"/>
    <cellStyle name="Moeda 5 2 3 8" xfId="1992" xr:uid="{523AE0AF-C256-4C36-96D5-FBB9A7D3CEF5}"/>
    <cellStyle name="Moeda 5 2 3 8 2" xfId="53144" xr:uid="{C59A0EF8-887E-4DB2-8387-7424DC21D320}"/>
    <cellStyle name="Moeda 5 2 3 9" xfId="47356" xr:uid="{9300F354-F591-438F-ACB5-EEFA5E642009}"/>
    <cellStyle name="Moeda 5 2 4" xfId="343" xr:uid="{C74B6434-E0EF-4016-BEAB-5466B057EC74}"/>
    <cellStyle name="Moeda 5 2 4 2" xfId="1159" xr:uid="{2309AA0E-5666-4333-856E-714A5407435A}"/>
    <cellStyle name="Moeda 5 2 4 2 2" xfId="2820" xr:uid="{A6757E6B-99C8-47B7-8C06-2D1A687AE616}"/>
    <cellStyle name="Moeda 5 2 4 2 2 2" xfId="54790" xr:uid="{40F0C3B8-1C85-484F-8F7C-D45B4ECD47A2}"/>
    <cellStyle name="Moeda 5 2 4 2 2 3" xfId="51496" xr:uid="{9AA91087-15AA-4859-9D2B-2FEDC8ADB642}"/>
    <cellStyle name="Moeda 5 2 4 2 3" xfId="49857" xr:uid="{6DD0D2DE-C0FD-40EE-8509-F27C25E00FD4}"/>
    <cellStyle name="Moeda 5 2 4 2 3 2" xfId="57030" xr:uid="{4F1B7A26-B48C-4B9F-89B4-B2CF53A8D9F3}"/>
    <cellStyle name="Moeda 5 2 4 2 4" xfId="53153" xr:uid="{8E2B2B02-213C-4B9D-BF6A-4D3A484F3FA2}"/>
    <cellStyle name="Moeda 5 2 4 2 5" xfId="48188" xr:uid="{AF0AC29F-3439-4D5D-A7D7-FD2E4F047D89}"/>
    <cellStyle name="Moeda 5 2 4 3" xfId="1565" xr:uid="{D2713CE5-9ACD-4B25-AA7A-7D9E4FCD90FD}"/>
    <cellStyle name="Moeda 5 2 4 3 2" xfId="3225" xr:uid="{1621BBB9-E66D-4EDD-B7F4-6224D9B87F24}"/>
    <cellStyle name="Moeda 5 2 4 3 2 2" xfId="54791" xr:uid="{A1AFE991-F5A7-4AAD-9C2B-0950AD467C07}"/>
    <cellStyle name="Moeda 5 2 4 3 2 3" xfId="51497" xr:uid="{B72B4050-3885-49B4-AA92-32EA1833B7D6}"/>
    <cellStyle name="Moeda 5 2 4 3 3" xfId="49858" xr:uid="{59B060BD-6D7A-45A7-A1B7-D836B4695215}"/>
    <cellStyle name="Moeda 5 2 4 3 3 2" xfId="57436" xr:uid="{04F58361-0C9A-4DC0-8917-14F714285519}"/>
    <cellStyle name="Moeda 5 2 4 3 4" xfId="53154" xr:uid="{B28C7B78-004D-4338-95C4-326C558BDB60}"/>
    <cellStyle name="Moeda 5 2 4 3 5" xfId="48189" xr:uid="{2237DEA4-D0D1-441D-97B8-FE85EFC8626A}"/>
    <cellStyle name="Moeda 5 2 4 4" xfId="752" xr:uid="{91173625-D303-4300-8402-0005967BE0FC}"/>
    <cellStyle name="Moeda 5 2 4 4 2" xfId="2468" xr:uid="{ABF9E629-BB7F-43D3-8163-D3A9C4DFE848}"/>
    <cellStyle name="Moeda 5 2 4 4 2 2" xfId="54792" xr:uid="{8F0E440E-9EC5-4EDB-8143-A0A4DAF00371}"/>
    <cellStyle name="Moeda 5 2 4 4 2 3" xfId="51498" xr:uid="{DC8013D5-95F4-4440-875B-8AE1543BAD6D}"/>
    <cellStyle name="Moeda 5 2 4 4 3" xfId="49859" xr:uid="{3A074992-2A30-4394-850B-7AAEFD62C3AC}"/>
    <cellStyle name="Moeda 5 2 4 4 3 2" xfId="56623" xr:uid="{19A7D864-E1D8-4ED0-8B24-37E507B4AE99}"/>
    <cellStyle name="Moeda 5 2 4 4 4" xfId="53155" xr:uid="{36C5C9D0-42B4-46D9-A829-E536299E339D}"/>
    <cellStyle name="Moeda 5 2 4 4 5" xfId="48190" xr:uid="{3CC464B1-B6B0-45DF-8A6E-B1B623CD1C54}"/>
    <cellStyle name="Moeda 5 2 4 5" xfId="3534" xr:uid="{B202381B-A3BF-46A2-A471-568C4DFC1C71}"/>
    <cellStyle name="Moeda 5 2 4 5 2" xfId="51495" xr:uid="{76687B51-7A84-4AF5-AEAE-12F1E482FC74}"/>
    <cellStyle name="Moeda 5 2 4 5 3" xfId="54789" xr:uid="{BC3E9C02-0AA7-48C6-B173-B0235B353F39}"/>
    <cellStyle name="Moeda 5 2 4 5 4" xfId="48187" xr:uid="{31A4DF3F-7094-420E-B319-CB495947D984}"/>
    <cellStyle name="Moeda 5 2 4 6" xfId="4023" xr:uid="{52486C8F-039A-4243-9CE4-A91624FC92B5}"/>
    <cellStyle name="Moeda 5 2 4 6 2" xfId="56214" xr:uid="{F9E2E14E-C072-4768-A27B-1B9D62B97249}"/>
    <cellStyle name="Moeda 5 2 4 6 3" xfId="49856" xr:uid="{D50F65C7-8E28-451C-B254-CD0FF2ED480F}"/>
    <cellStyle name="Moeda 5 2 4 7" xfId="1883" xr:uid="{DD280131-9D35-4F7B-BCDC-C9B8C901633F}"/>
    <cellStyle name="Moeda 5 2 4 7 2" xfId="53152" xr:uid="{0DC230C9-3776-4A55-A196-7B223D51463B}"/>
    <cellStyle name="Moeda 5 2 4 8" xfId="47482" xr:uid="{B40E4AEF-A417-427E-B471-3431AD32C459}"/>
    <cellStyle name="Moeda 5 2 4 9" xfId="4624" xr:uid="{29BC80A6-E568-4578-AA9A-669A9309D5DD}"/>
    <cellStyle name="Moeda 5 2 5" xfId="970" xr:uid="{5E01B7D0-7CDB-4577-AE2D-945C8D5807F3}"/>
    <cellStyle name="Moeda 5 2 5 2" xfId="3752" xr:uid="{FF6B6BD6-B44A-469E-8D41-A81FC8368CE2}"/>
    <cellStyle name="Moeda 5 2 5 2 2" xfId="51499" xr:uid="{6B86E07A-6DDD-40A2-880F-C7DFFC669AAD}"/>
    <cellStyle name="Moeda 5 2 5 2 3" xfId="54793" xr:uid="{D066A7A0-C8B0-42C6-B29D-A9EAC534D3DE}"/>
    <cellStyle name="Moeda 5 2 5 2 4" xfId="48191" xr:uid="{6F5822D0-BB9A-4241-8B94-7E5C3360478C}"/>
    <cellStyle name="Moeda 5 2 5 3" xfId="4195" xr:uid="{C39ED843-D046-464A-871F-6FAE3A53DE00}"/>
    <cellStyle name="Moeda 5 2 5 3 2" xfId="56841" xr:uid="{CECD42E2-DDE4-458E-94BD-B878DA52CBAE}"/>
    <cellStyle name="Moeda 5 2 5 3 3" xfId="49860" xr:uid="{6AB52BE9-B765-42DE-BA14-DEF6EACEEF63}"/>
    <cellStyle name="Moeda 5 2 5 4" xfId="2685" xr:uid="{2485BE18-C153-4D24-BCBF-2A0D1CFECD47}"/>
    <cellStyle name="Moeda 5 2 5 4 2" xfId="53156" xr:uid="{2ED677EA-FB42-420F-BAD8-FA95FC8CF433}"/>
    <cellStyle name="Moeda 5 2 5 5" xfId="47608" xr:uid="{14C25F41-8E8F-4620-A800-06B9A501597E}"/>
    <cellStyle name="Moeda 5 2 6" xfId="1376" xr:uid="{A880C787-4159-4BBB-AA6A-67F59E4E92F0}"/>
    <cellStyle name="Moeda 5 2 6 2" xfId="3037" xr:uid="{BE48B8A3-722D-43A8-9119-D90BDEC81761}"/>
    <cellStyle name="Moeda 5 2 6 2 2" xfId="54794" xr:uid="{67EFAC27-14DA-479C-9805-1EC0FF8BDB1D}"/>
    <cellStyle name="Moeda 5 2 6 2 3" xfId="51500" xr:uid="{43CD5612-3E41-4E21-937B-6A9BDAF4DFAD}"/>
    <cellStyle name="Moeda 5 2 6 3" xfId="49861" xr:uid="{257CA4D8-0163-4AF6-8BF0-59CA995CB36F}"/>
    <cellStyle name="Moeda 5 2 6 3 2" xfId="57247" xr:uid="{493D4844-1897-42E6-BEF4-C51F747088A4}"/>
    <cellStyle name="Moeda 5 2 6 4" xfId="53157" xr:uid="{0F50996B-6A7F-4D9B-B186-6D904E91C7E7}"/>
    <cellStyle name="Moeda 5 2 6 5" xfId="48192" xr:uid="{C9B0DC18-482C-4AED-9311-36B26D7E7F7C}"/>
    <cellStyle name="Moeda 5 2 7" xfId="563" xr:uid="{F61B80ED-A6F0-4F20-8FBB-9A90E5D238B4}"/>
    <cellStyle name="Moeda 5 2 7 2" xfId="2279" xr:uid="{9166BF52-4D30-447A-BC72-7A96BA7C4AD8}"/>
    <cellStyle name="Moeda 5 2 7 2 2" xfId="54795" xr:uid="{5A945E32-B11C-4D24-8372-D4A83E626387}"/>
    <cellStyle name="Moeda 5 2 7 2 3" xfId="51501" xr:uid="{4684720C-B7A4-4879-8A99-0B17998CC4FF}"/>
    <cellStyle name="Moeda 5 2 7 3" xfId="49862" xr:uid="{74DBA6C8-1217-4CD7-A8A8-E4B8D7EE29F8}"/>
    <cellStyle name="Moeda 5 2 7 3 2" xfId="56434" xr:uid="{B7AF7D69-6DE2-4195-ACE5-220E90347CAE}"/>
    <cellStyle name="Moeda 5 2 7 4" xfId="53158" xr:uid="{A03B8419-FCDF-47E5-A2D8-FFB92224B035}"/>
    <cellStyle name="Moeda 5 2 7 5" xfId="48193" xr:uid="{3629C597-DE82-43F7-B457-FB147AEC1CD9}"/>
    <cellStyle name="Moeda 5 2 8" xfId="3424" xr:uid="{D3FE5D28-3181-44FD-841D-8982016FC223}"/>
    <cellStyle name="Moeda 5 2 8 2" xfId="51478" xr:uid="{E8D9CC0A-072A-4893-9DEE-E574BB8D4D87}"/>
    <cellStyle name="Moeda 5 2 8 3" xfId="54772" xr:uid="{6121D74F-183F-4F4A-8C0A-37E299BFFA81}"/>
    <cellStyle name="Moeda 5 2 8 4" xfId="48170" xr:uid="{7F6C6F96-D225-44D7-A90D-130D43413965}"/>
    <cellStyle name="Moeda 5 2 9" xfId="3852" xr:uid="{4D874600-AFA7-4A80-B1E6-7683685F5D20}"/>
    <cellStyle name="Moeda 5 2 9 2" xfId="56025" xr:uid="{55887DC2-1A62-4CC1-B318-9D1A385F0BC4}"/>
    <cellStyle name="Moeda 5 2 9 3" xfId="49839" xr:uid="{864DC39F-EB5D-400B-8AE5-E29658CE5F96}"/>
    <cellStyle name="Moeda 5 3" xfId="194" xr:uid="{4D50C53D-4030-4E21-A817-801B1379223D}"/>
    <cellStyle name="Moeda 5 3 10" xfId="4475" xr:uid="{F5DADBAE-6019-4EC4-AC45-124D0EC6E499}"/>
    <cellStyle name="Moeda 5 3 2" xfId="383" xr:uid="{AE9BE11F-111F-4A04-8417-510A9791EF7A}"/>
    <cellStyle name="Moeda 5 3 2 2" xfId="1199" xr:uid="{93562086-1235-467D-99F6-00F6222CA2E4}"/>
    <cellStyle name="Moeda 5 3 2 2 2" xfId="2860" xr:uid="{827791E5-BC7C-4843-8268-C27384D87FB8}"/>
    <cellStyle name="Moeda 5 3 2 2 2 2" xfId="54798" xr:uid="{C84B0E6A-387F-47DC-A85B-0C4E6D21EA4B}"/>
    <cellStyle name="Moeda 5 3 2 2 2 3" xfId="51504" xr:uid="{DF77C8F4-97AD-406A-A16A-ED471538755B}"/>
    <cellStyle name="Moeda 5 3 2 2 3" xfId="49865" xr:uid="{18664CC7-FEB0-4CB0-A749-03C6036307C9}"/>
    <cellStyle name="Moeda 5 3 2 2 3 2" xfId="57070" xr:uid="{4D8E7290-9426-4FB8-9C8C-0A68EB39E8E7}"/>
    <cellStyle name="Moeda 5 3 2 2 4" xfId="53161" xr:uid="{CDE36853-42B2-4CE3-9112-C4864B3E2172}"/>
    <cellStyle name="Moeda 5 3 2 2 5" xfId="48196" xr:uid="{E3475EB9-E567-4D35-94E4-96BC50024B66}"/>
    <cellStyle name="Moeda 5 3 2 3" xfId="1605" xr:uid="{FC2660A4-F9D1-4874-B808-4806ED01ACAB}"/>
    <cellStyle name="Moeda 5 3 2 3 2" xfId="3265" xr:uid="{34D000CE-C21E-49E5-8975-841CC0D8BC51}"/>
    <cellStyle name="Moeda 5 3 2 3 2 2" xfId="54799" xr:uid="{3C1E4696-F0C3-4C93-8D95-1FD708EAC526}"/>
    <cellStyle name="Moeda 5 3 2 3 2 3" xfId="51505" xr:uid="{F8CBE17B-5707-45A8-B39F-7904FC623895}"/>
    <cellStyle name="Moeda 5 3 2 3 3" xfId="49866" xr:uid="{D2782796-2F58-4E3C-9C03-C461355771EE}"/>
    <cellStyle name="Moeda 5 3 2 3 3 2" xfId="57476" xr:uid="{32715C94-111D-49F6-A787-896C7BBDAEFA}"/>
    <cellStyle name="Moeda 5 3 2 3 4" xfId="53162" xr:uid="{EBA2A6E8-A577-41D7-A57E-CA6BF51722C9}"/>
    <cellStyle name="Moeda 5 3 2 3 5" xfId="48197" xr:uid="{3F1AA27E-80C9-45D8-AED2-9256241D47BA}"/>
    <cellStyle name="Moeda 5 3 2 4" xfId="792" xr:uid="{9E64E828-9D10-4E8D-AA18-6445424CEB1E}"/>
    <cellStyle name="Moeda 5 3 2 4 2" xfId="2508" xr:uid="{2B85B00E-2965-4881-ACB3-02E611CEA7D0}"/>
    <cellStyle name="Moeda 5 3 2 4 2 2" xfId="54800" xr:uid="{33163887-B957-4C95-96DC-C07E64C2FF18}"/>
    <cellStyle name="Moeda 5 3 2 4 2 3" xfId="51506" xr:uid="{BD3D886A-A10F-41CD-9E5F-952DC990260B}"/>
    <cellStyle name="Moeda 5 3 2 4 3" xfId="49867" xr:uid="{64502391-A251-46A8-B2B1-F264959E18C6}"/>
    <cellStyle name="Moeda 5 3 2 4 3 2" xfId="56663" xr:uid="{A9A36E5C-9713-4DC9-BF4E-BC35053BC069}"/>
    <cellStyle name="Moeda 5 3 2 4 4" xfId="53163" xr:uid="{8475CC93-1F77-44D4-99B1-6836D4953693}"/>
    <cellStyle name="Moeda 5 3 2 4 5" xfId="48198" xr:uid="{E0212299-8A01-4DA0-8C77-06C47E2C7009}"/>
    <cellStyle name="Moeda 5 3 2 5" xfId="3672" xr:uid="{D669F534-098F-45FB-B6D1-8B39C24C10F3}"/>
    <cellStyle name="Moeda 5 3 2 5 2" xfId="51503" xr:uid="{1E0DD302-AC2F-4724-A931-F286DBF2891F}"/>
    <cellStyle name="Moeda 5 3 2 5 3" xfId="54797" xr:uid="{00E00C05-2827-45D6-B065-A6F55561ECAB}"/>
    <cellStyle name="Moeda 5 3 2 5 4" xfId="48195" xr:uid="{B7B87E19-1C5D-4F4C-A08B-55802BD9E3E0}"/>
    <cellStyle name="Moeda 5 3 2 6" xfId="4051" xr:uid="{8FA821E9-79B5-4A54-9A02-B209C973F550}"/>
    <cellStyle name="Moeda 5 3 2 6 2" xfId="56254" xr:uid="{31D18DFB-3771-4050-B09A-2486D3EEA534}"/>
    <cellStyle name="Moeda 5 3 2 6 3" xfId="49864" xr:uid="{49AD1D4F-8954-401C-8EFF-7113F8A1BDE7}"/>
    <cellStyle name="Moeda 5 3 2 7" xfId="2021" xr:uid="{AB1E5C24-997A-4FF5-8548-464624CF53F6}"/>
    <cellStyle name="Moeda 5 3 2 7 2" xfId="53160" xr:uid="{80BB6AEE-3AF5-4120-992E-56AB165C0490}"/>
    <cellStyle name="Moeda 5 3 2 8" xfId="47386" xr:uid="{CD2486C2-0EC6-4FBE-A240-8FE24E392A33}"/>
    <cellStyle name="Moeda 5 3 2 9" xfId="4664" xr:uid="{57C0EEF6-25C5-4E66-B4DE-DFA67359C47B}"/>
    <cellStyle name="Moeda 5 3 3" xfId="1010" xr:uid="{B0D291B7-D28F-4720-BCF5-59A4F616879D}"/>
    <cellStyle name="Moeda 5 3 3 2" xfId="3563" xr:uid="{C35D90F2-FCCA-4081-A9A7-0A9FBDDB377A}"/>
    <cellStyle name="Moeda 5 3 3 2 2" xfId="51507" xr:uid="{FE5BD21F-F4F9-4D26-A82B-DD3F7982E125}"/>
    <cellStyle name="Moeda 5 3 3 2 3" xfId="54801" xr:uid="{CB8C519A-0D1A-48F3-B183-B4219A1EDA76}"/>
    <cellStyle name="Moeda 5 3 3 2 4" xfId="48199" xr:uid="{E627A886-1DDE-41F8-BEB6-A1EAED433136}"/>
    <cellStyle name="Moeda 5 3 3 3" xfId="4223" xr:uid="{E18E3B01-40FD-4425-9BB9-77FB70A5AE2C}"/>
    <cellStyle name="Moeda 5 3 3 3 2" xfId="56881" xr:uid="{378CECD9-6927-4684-9678-AFBC2C7BD7F4}"/>
    <cellStyle name="Moeda 5 3 3 3 3" xfId="49868" xr:uid="{2B55F915-B6C4-41F3-9ECF-1F6B5A1803E4}"/>
    <cellStyle name="Moeda 5 3 3 4" xfId="1912" xr:uid="{3BA25327-649F-4262-BDD0-0DB5AC4650B1}"/>
    <cellStyle name="Moeda 5 3 3 4 2" xfId="53164" xr:uid="{A8A109A9-D8F4-4974-992C-A0E8BA578D42}"/>
    <cellStyle name="Moeda 5 3 3 5" xfId="47512" xr:uid="{3A5C07A5-ACFB-4A00-98FB-C2D2F7874686}"/>
    <cellStyle name="Moeda 5 3 4" xfId="1416" xr:uid="{473F559B-CC65-4BDD-B82B-D5903FB6B78A}"/>
    <cellStyle name="Moeda 5 3 4 2" xfId="3781" xr:uid="{79373ECF-FBE8-4DEB-B4D9-9B184306C44A}"/>
    <cellStyle name="Moeda 5 3 4 2 2" xfId="51508" xr:uid="{ADCDBB44-C9F7-4FFD-9507-67D616FA815A}"/>
    <cellStyle name="Moeda 5 3 4 2 3" xfId="54802" xr:uid="{149BC99B-965A-4995-A0C8-486E8DC4090C}"/>
    <cellStyle name="Moeda 5 3 4 2 4" xfId="48200" xr:uid="{659F16D6-FF69-4047-9E0C-E26CE275A0FC}"/>
    <cellStyle name="Moeda 5 3 4 3" xfId="3077" xr:uid="{444A3ACB-32CE-46EA-97B0-ECF984811E5E}"/>
    <cellStyle name="Moeda 5 3 4 3 2" xfId="57287" xr:uid="{3678B8BC-574A-4DA5-A5C4-593DE41A5730}"/>
    <cellStyle name="Moeda 5 3 4 3 3" xfId="49869" xr:uid="{F2E85C3D-E0A2-48A7-8DC2-08CA1C7EC71D}"/>
    <cellStyle name="Moeda 5 3 4 4" xfId="53165" xr:uid="{F0693293-61C9-4B08-BC34-4A90EBB29E41}"/>
    <cellStyle name="Moeda 5 3 4 5" xfId="47638" xr:uid="{B38B3128-B711-4D45-80AF-F9DB215E9DA1}"/>
    <cellStyle name="Moeda 5 3 5" xfId="603" xr:uid="{C30D957F-3867-4FA3-A25B-3C81D7705555}"/>
    <cellStyle name="Moeda 5 3 5 2" xfId="2319" xr:uid="{ED02EF29-6F6B-4EBA-A7C8-86FFBBEF490E}"/>
    <cellStyle name="Moeda 5 3 5 2 2" xfId="54803" xr:uid="{E479DF2B-0645-4A14-8E6D-8C5B624DC0EE}"/>
    <cellStyle name="Moeda 5 3 5 2 3" xfId="51509" xr:uid="{A87C13B9-ECD6-4008-B5BE-263D49240143}"/>
    <cellStyle name="Moeda 5 3 5 3" xfId="49870" xr:uid="{371C3B8D-4359-44F4-B87C-705105353740}"/>
    <cellStyle name="Moeda 5 3 5 3 2" xfId="56474" xr:uid="{5EC04AE6-7DEE-4565-83FC-38D55A260F34}"/>
    <cellStyle name="Moeda 5 3 5 4" xfId="53166" xr:uid="{6DCF0A88-2576-4D6F-B4E1-2FEED3781493}"/>
    <cellStyle name="Moeda 5 3 5 5" xfId="48201" xr:uid="{DF56611E-CB30-437E-8360-21331EC8F2E7}"/>
    <cellStyle name="Moeda 5 3 6" xfId="3453" xr:uid="{EDD3CF38-7C01-41A3-808D-DBE6F3DAE4FF}"/>
    <cellStyle name="Moeda 5 3 6 2" xfId="51502" xr:uid="{5FF5917D-9BDE-4EEB-A92E-694852BC0710}"/>
    <cellStyle name="Moeda 5 3 6 3" xfId="54796" xr:uid="{B4964803-27B3-41A4-BC76-F7B8FB1769E6}"/>
    <cellStyle name="Moeda 5 3 6 4" xfId="48194" xr:uid="{7B25A907-7BAE-4592-A203-F598459AAC1A}"/>
    <cellStyle name="Moeda 5 3 7" xfId="3880" xr:uid="{F97CF0B2-1C2C-4BFC-97B5-9F947B5174A3}"/>
    <cellStyle name="Moeda 5 3 7 2" xfId="56065" xr:uid="{B042A016-159C-4457-8B4C-F206D61919E9}"/>
    <cellStyle name="Moeda 5 3 7 3" xfId="49863" xr:uid="{37568DFC-0A56-420F-A422-37C178B1478C}"/>
    <cellStyle name="Moeda 5 3 8" xfId="1802" xr:uid="{F55FFD34-9EAB-4A09-90AE-AB7FD8C24F9B}"/>
    <cellStyle name="Moeda 5 3 8 2" xfId="53159" xr:uid="{E19D1F61-3267-4260-9B99-91AB5BC1F8A6}"/>
    <cellStyle name="Moeda 5 3 9" xfId="32892" xr:uid="{A4C88B8F-727D-4D6A-9184-280DAA2F526D}"/>
    <cellStyle name="Moeda 5 4" xfId="220" xr:uid="{D8A38E96-450D-4544-9774-89D4151B1621}"/>
    <cellStyle name="Moeda 5 4 10" xfId="4501" xr:uid="{88A2ACB9-B6D4-4387-A6CF-C85B035CDC7F}"/>
    <cellStyle name="Moeda 5 4 2" xfId="409" xr:uid="{DD0160D8-43E4-4855-9B09-968E4C468C5A}"/>
    <cellStyle name="Moeda 5 4 2 2" xfId="1225" xr:uid="{8AED677A-DBD5-469B-BE8A-B308A954F991}"/>
    <cellStyle name="Moeda 5 4 2 2 2" xfId="2886" xr:uid="{5708DC0B-1D2D-4AB2-82E9-8D7707EB7F05}"/>
    <cellStyle name="Moeda 5 4 2 2 2 2" xfId="54806" xr:uid="{499541D2-25C8-42BE-BA3E-BF4B0A89ED50}"/>
    <cellStyle name="Moeda 5 4 2 2 2 3" xfId="51512" xr:uid="{81F93800-742B-43F8-87BD-32ECB7B27AC9}"/>
    <cellStyle name="Moeda 5 4 2 2 3" xfId="49873" xr:uid="{09083051-3E98-4C90-BB68-A5102FB90578}"/>
    <cellStyle name="Moeda 5 4 2 2 3 2" xfId="57096" xr:uid="{75063F92-9A5A-4554-8BD6-FF650CE7BFC4}"/>
    <cellStyle name="Moeda 5 4 2 2 4" xfId="53169" xr:uid="{8452331C-C7E5-44DE-A220-06A7EC2F08A7}"/>
    <cellStyle name="Moeda 5 4 2 2 5" xfId="48204" xr:uid="{C69822B4-50FE-4028-89FE-E1C44893A564}"/>
    <cellStyle name="Moeda 5 4 2 3" xfId="1631" xr:uid="{1DD77F9D-D7B0-4150-9BAA-23450467FB48}"/>
    <cellStyle name="Moeda 5 4 2 3 2" xfId="3291" xr:uid="{605D37D2-BD4A-400D-9FB7-8E6690C425F9}"/>
    <cellStyle name="Moeda 5 4 2 3 2 2" xfId="54807" xr:uid="{2A6F226C-E8E1-4193-BEB3-7B987C9AFFF7}"/>
    <cellStyle name="Moeda 5 4 2 3 2 3" xfId="51513" xr:uid="{8DD27FD9-94FB-456F-9505-160302F096FB}"/>
    <cellStyle name="Moeda 5 4 2 3 3" xfId="49874" xr:uid="{DD4E638B-594A-4385-90D2-21C47D27F515}"/>
    <cellStyle name="Moeda 5 4 2 3 3 2" xfId="57502" xr:uid="{D327D409-5B25-4875-9D8C-BF16B8ADAD2C}"/>
    <cellStyle name="Moeda 5 4 2 3 4" xfId="53170" xr:uid="{8558ADDD-C09B-45DA-BF77-81323CAE33A3}"/>
    <cellStyle name="Moeda 5 4 2 3 5" xfId="48205" xr:uid="{9DA63C91-D761-481E-AE62-C32E7CD1FB43}"/>
    <cellStyle name="Moeda 5 4 2 4" xfId="818" xr:uid="{0DF7CDB4-B656-44DF-8200-424EE59F0095}"/>
    <cellStyle name="Moeda 5 4 2 4 2" xfId="2534" xr:uid="{F02E5195-88A9-4488-AE83-A40B5845FE1A}"/>
    <cellStyle name="Moeda 5 4 2 4 2 2" xfId="54808" xr:uid="{D93B0A3C-AC9C-4525-A495-6B8A1C1857D0}"/>
    <cellStyle name="Moeda 5 4 2 4 2 3" xfId="51514" xr:uid="{8384A19F-68BA-4C54-A733-4D8DB1C02F82}"/>
    <cellStyle name="Moeda 5 4 2 4 3" xfId="49875" xr:uid="{386E4319-FC58-4424-87F1-2717A4100528}"/>
    <cellStyle name="Moeda 5 4 2 4 3 2" xfId="56689" xr:uid="{CDDA6729-2BD6-4FDF-BDBA-0E0F394B3B5E}"/>
    <cellStyle name="Moeda 5 4 2 4 4" xfId="53171" xr:uid="{B64D0D82-D6BA-4383-B6BD-5CD54B03DD1E}"/>
    <cellStyle name="Moeda 5 4 2 4 5" xfId="48206" xr:uid="{D0923BB4-C3E5-4388-BEF1-4922AB830AD0}"/>
    <cellStyle name="Moeda 5 4 2 5" xfId="4124" xr:uid="{BEC67BC2-707E-478F-933B-16EED244BB73}"/>
    <cellStyle name="Moeda 5 4 2 5 2" xfId="54805" xr:uid="{34F0CB03-2951-4320-9969-5964E3FF77D5}"/>
    <cellStyle name="Moeda 5 4 2 5 3" xfId="51511" xr:uid="{0284411C-05AD-43C0-904C-906FC69F3E98}"/>
    <cellStyle name="Moeda 5 4 2 6" xfId="2152" xr:uid="{FE4B5624-8FA2-4489-8232-6CEF80857F7D}"/>
    <cellStyle name="Moeda 5 4 2 6 2" xfId="56280" xr:uid="{4445793A-9E73-48E9-B3A7-85841F199883}"/>
    <cellStyle name="Moeda 5 4 2 6 3" xfId="49872" xr:uid="{2F8F1219-07BD-4263-8C9A-73518B87876B}"/>
    <cellStyle name="Moeda 5 4 2 7" xfId="53168" xr:uid="{F0B9B8FC-FC4E-4AA4-BAFA-BE662AA86E92}"/>
    <cellStyle name="Moeda 5 4 2 8" xfId="48203" xr:uid="{44D13F1F-814A-493C-8B07-293C2DC6DDCD}"/>
    <cellStyle name="Moeda 5 4 2 9" xfId="4690" xr:uid="{583E2CA8-D37C-489C-98C7-3515168036D4}"/>
    <cellStyle name="Moeda 5 4 3" xfId="1036" xr:uid="{DEE2A970-8175-4E0C-920D-22A977720238}"/>
    <cellStyle name="Moeda 5 4 3 2" xfId="4296" xr:uid="{2C486AF7-6B64-4DA3-930B-DB7711F2CD00}"/>
    <cellStyle name="Moeda 5 4 3 2 2" xfId="54809" xr:uid="{BE41A67D-0835-49ED-ABBA-6A73727766C3}"/>
    <cellStyle name="Moeda 5 4 3 2 3" xfId="51515" xr:uid="{9887F5AE-57C1-4ECB-BB5F-0416353A92EC}"/>
    <cellStyle name="Moeda 5 4 3 3" xfId="2724" xr:uid="{AA1B7E0E-972F-4B04-9B92-5546F1152916}"/>
    <cellStyle name="Moeda 5 4 3 3 2" xfId="56907" xr:uid="{F71EA097-D4EB-4AB7-B7AA-CD7B2A166871}"/>
    <cellStyle name="Moeda 5 4 3 3 3" xfId="49876" xr:uid="{3151CB65-0A42-471D-B1A4-1476DCF2A868}"/>
    <cellStyle name="Moeda 5 4 3 4" xfId="53172" xr:uid="{769F95C2-3D81-430B-A6BB-883EDD083EF3}"/>
    <cellStyle name="Moeda 5 4 3 5" xfId="48207" xr:uid="{942C30E8-020A-4273-951C-4BB763344D9F}"/>
    <cellStyle name="Moeda 5 4 4" xfId="1442" xr:uid="{DBB9C9B2-5165-4428-B740-7A0E70E3D078}"/>
    <cellStyle name="Moeda 5 4 4 2" xfId="3103" xr:uid="{9ECEE925-BA6F-4B6E-B58E-2128AF6D9805}"/>
    <cellStyle name="Moeda 5 4 4 2 2" xfId="54810" xr:uid="{4F83701F-6AF2-4299-9E75-46B9291336A7}"/>
    <cellStyle name="Moeda 5 4 4 2 3" xfId="51516" xr:uid="{4D0D1452-EB8D-46A7-BDA9-A106D6F5976F}"/>
    <cellStyle name="Moeda 5 4 4 3" xfId="49877" xr:uid="{7E081FF7-3F2E-4E1C-B027-BEE184216F2D}"/>
    <cellStyle name="Moeda 5 4 4 3 2" xfId="57313" xr:uid="{178DEDF3-4CDB-4E02-9042-74A253764F5E}"/>
    <cellStyle name="Moeda 5 4 4 4" xfId="53173" xr:uid="{63143B5D-3D80-4337-9724-3F94A0462168}"/>
    <cellStyle name="Moeda 5 4 4 5" xfId="48208" xr:uid="{EFF2D2B0-1984-4C5C-9CA4-8FF37B3773F3}"/>
    <cellStyle name="Moeda 5 4 5" xfId="629" xr:uid="{A43215EA-9B72-4AE8-A9D0-ED52B662CAB0}"/>
    <cellStyle name="Moeda 5 4 5 2" xfId="2345" xr:uid="{E3CC5651-A7D3-413B-80EF-42CBDF112917}"/>
    <cellStyle name="Moeda 5 4 5 2 2" xfId="54811" xr:uid="{49A95341-74A7-4F9C-A8CA-74D18E769701}"/>
    <cellStyle name="Moeda 5 4 5 2 3" xfId="51517" xr:uid="{CD7C7CF8-21F1-4698-ABEE-766FBD2EF9E1}"/>
    <cellStyle name="Moeda 5 4 5 3" xfId="49878" xr:uid="{9B7E97AC-C532-40BB-B06C-B402A453A275}"/>
    <cellStyle name="Moeda 5 4 5 3 2" xfId="56500" xr:uid="{A340BEE4-5001-4449-9075-38D68988F022}"/>
    <cellStyle name="Moeda 5 4 5 4" xfId="53174" xr:uid="{04EE4E91-E8A6-4996-AE25-2F069B743CFA}"/>
    <cellStyle name="Moeda 5 4 5 5" xfId="48209" xr:uid="{9B647379-9317-438D-B8CE-D8AA933BC62A}"/>
    <cellStyle name="Moeda 5 4 6" xfId="3617" xr:uid="{83211A93-C45C-4322-9189-DB41135C7BAF}"/>
    <cellStyle name="Moeda 5 4 6 2" xfId="51510" xr:uid="{B58DE496-3B4F-4EA3-A060-D972F72E717C}"/>
    <cellStyle name="Moeda 5 4 6 3" xfId="54804" xr:uid="{9B77A138-80E6-4FB8-8425-FD38A6428D76}"/>
    <cellStyle name="Moeda 5 4 6 4" xfId="48202" xr:uid="{E5699A4B-BFC5-4CF5-AF40-957FA2B67E40}"/>
    <cellStyle name="Moeda 5 4 7" xfId="3952" xr:uid="{9B764DDA-4585-4AB4-9CAD-EE66EC0AE184}"/>
    <cellStyle name="Moeda 5 4 7 2" xfId="56091" xr:uid="{5879D4C6-D926-4B5D-8D0E-B160725DDB56}"/>
    <cellStyle name="Moeda 5 4 7 3" xfId="49871" xr:uid="{16CD75D2-FB28-463B-AE0E-58D2099CA32B}"/>
    <cellStyle name="Moeda 5 4 8" xfId="1966" xr:uid="{49628A30-E7AC-4974-AA7C-4A735E4F8D7C}"/>
    <cellStyle name="Moeda 5 4 8 2" xfId="53167" xr:uid="{95C85DC3-DA3A-43E6-93E9-663D1648AB3F}"/>
    <cellStyle name="Moeda 5 4 9" xfId="47330" xr:uid="{84D8A2F8-D369-448B-93F3-E0EF883EEBF7}"/>
    <cellStyle name="Moeda 5 5" xfId="272" xr:uid="{05E32255-7748-4632-9ADC-AEFC7236975E}"/>
    <cellStyle name="Moeda 5 5 10" xfId="4553" xr:uid="{FCAEDABD-38D0-4325-AFE1-C63E14845229}"/>
    <cellStyle name="Moeda 5 5 2" xfId="461" xr:uid="{5E85293A-797F-4488-B4CB-81D9E642CEAC}"/>
    <cellStyle name="Moeda 5 5 2 2" xfId="1277" xr:uid="{99E15112-7890-4A14-84D8-8B6B5140274C}"/>
    <cellStyle name="Moeda 5 5 2 2 2" xfId="2938" xr:uid="{258D1EF8-8373-46E6-AC04-0C28357BC473}"/>
    <cellStyle name="Moeda 5 5 2 2 2 2" xfId="54814" xr:uid="{AEA84514-0601-4FC7-B848-448423D65425}"/>
    <cellStyle name="Moeda 5 5 2 2 2 3" xfId="51520" xr:uid="{97B2849E-11D3-49FF-BBF5-AFFBFF01325F}"/>
    <cellStyle name="Moeda 5 5 2 2 3" xfId="49881" xr:uid="{F01F54B7-3779-40CF-B989-D0A782A2FE84}"/>
    <cellStyle name="Moeda 5 5 2 2 3 2" xfId="57148" xr:uid="{105FD8A1-827A-45D3-A67F-45A2B6375C9C}"/>
    <cellStyle name="Moeda 5 5 2 2 4" xfId="53177" xr:uid="{3737D4A4-26EF-46B8-985A-EF00EDE660F1}"/>
    <cellStyle name="Moeda 5 5 2 2 5" xfId="48212" xr:uid="{D2C70D18-8C1A-462D-936E-617C032222B6}"/>
    <cellStyle name="Moeda 5 5 2 3" xfId="1683" xr:uid="{3296E9E0-1DA9-48EF-8E24-4600090B98CC}"/>
    <cellStyle name="Moeda 5 5 2 3 2" xfId="3343" xr:uid="{D61EFB6B-60E6-4CCF-B1E3-0F36084C1527}"/>
    <cellStyle name="Moeda 5 5 2 3 2 2" xfId="54815" xr:uid="{7A1A4020-DAF7-4875-89DB-2FC7678E49E1}"/>
    <cellStyle name="Moeda 5 5 2 3 2 3" xfId="51521" xr:uid="{E9CEBD63-7652-45BE-B027-91C0F761C1FD}"/>
    <cellStyle name="Moeda 5 5 2 3 3" xfId="49882" xr:uid="{E6E37A2E-FB13-48CE-B51F-948F4C3E3B90}"/>
    <cellStyle name="Moeda 5 5 2 3 3 2" xfId="57554" xr:uid="{6215DC8E-CB4F-4A84-926F-FC161A473E5A}"/>
    <cellStyle name="Moeda 5 5 2 3 4" xfId="53178" xr:uid="{A1F2CD17-F84E-468D-83DE-FECE06F85FF7}"/>
    <cellStyle name="Moeda 5 5 2 3 5" xfId="48213" xr:uid="{CE86863E-9CF7-4CB8-97F1-7F0DF3C30B6C}"/>
    <cellStyle name="Moeda 5 5 2 4" xfId="870" xr:uid="{9A86AD6F-8C36-4A87-941D-4A3BB2D91D7B}"/>
    <cellStyle name="Moeda 5 5 2 4 2" xfId="2586" xr:uid="{907AC0D1-7EFF-4783-AE44-80017D5BE906}"/>
    <cellStyle name="Moeda 5 5 2 4 2 2" xfId="54816" xr:uid="{3F5533F0-1E41-40D5-B381-669EE4856526}"/>
    <cellStyle name="Moeda 5 5 2 4 2 3" xfId="51522" xr:uid="{658D4D33-B141-4C37-91BD-2D5F302B2E4C}"/>
    <cellStyle name="Moeda 5 5 2 4 3" xfId="49883" xr:uid="{D4E4562A-064C-413A-8A15-3E9023DB496E}"/>
    <cellStyle name="Moeda 5 5 2 4 3 2" xfId="56741" xr:uid="{4602308A-4458-4E11-9156-EA4E278288DC}"/>
    <cellStyle name="Moeda 5 5 2 4 4" xfId="53179" xr:uid="{5EFA790B-B2E3-4837-94C9-2089C287D131}"/>
    <cellStyle name="Moeda 5 5 2 4 5" xfId="48214" xr:uid="{A2BFF935-240A-43B1-9CA3-536B0FB3178D}"/>
    <cellStyle name="Moeda 5 5 2 5" xfId="2178" xr:uid="{7DE8F8DC-612B-4834-BE61-102E80D3CB0B}"/>
    <cellStyle name="Moeda 5 5 2 5 2" xfId="54813" xr:uid="{180C5676-B71B-432B-95A8-C7728D7CBFF3}"/>
    <cellStyle name="Moeda 5 5 2 5 3" xfId="51519" xr:uid="{92EFF081-5F75-46F2-9DD5-6B4E00197401}"/>
    <cellStyle name="Moeda 5 5 2 6" xfId="49880" xr:uid="{53E42967-B17F-411A-9B1B-48D9EA5BC2BD}"/>
    <cellStyle name="Moeda 5 5 2 6 2" xfId="56332" xr:uid="{8E60B6FC-0ACB-43C8-AB90-16781B975008}"/>
    <cellStyle name="Moeda 5 5 2 7" xfId="53176" xr:uid="{20211756-5E05-495C-968C-1C2135A4432C}"/>
    <cellStyle name="Moeda 5 5 2 8" xfId="48211" xr:uid="{819393D8-E959-4CC2-95FE-94A21682E030}"/>
    <cellStyle name="Moeda 5 5 2 9" xfId="4742" xr:uid="{EC3222AC-1EA1-4F25-BFC1-F4B02BED8855}"/>
    <cellStyle name="Moeda 5 5 3" xfId="1088" xr:uid="{64D9051E-66A7-458F-915F-0550CF34D701}"/>
    <cellStyle name="Moeda 5 5 3 2" xfId="2751" xr:uid="{EB342380-4CFE-4D7F-93D6-E90BA7293E15}"/>
    <cellStyle name="Moeda 5 5 3 2 2" xfId="54817" xr:uid="{D058FF87-92EC-46D6-A862-9395E1001B9B}"/>
    <cellStyle name="Moeda 5 5 3 2 3" xfId="51523" xr:uid="{C889B049-7DE0-484A-A12F-DB659928A493}"/>
    <cellStyle name="Moeda 5 5 3 3" xfId="49884" xr:uid="{4CA9D63D-9760-40AD-9B75-8A6AF50F4993}"/>
    <cellStyle name="Moeda 5 5 3 3 2" xfId="56959" xr:uid="{B9B39F4C-9EF5-482E-AC6A-AF9AD93FBBFD}"/>
    <cellStyle name="Moeda 5 5 3 4" xfId="53180" xr:uid="{B837970E-5542-48F6-B999-C07CCE05D467}"/>
    <cellStyle name="Moeda 5 5 3 5" xfId="48215" xr:uid="{28549F07-C098-4B21-8197-53A5687DF2D9}"/>
    <cellStyle name="Moeda 5 5 4" xfId="1494" xr:uid="{4F243235-906B-4FD2-9F13-0A008E9F2BB2}"/>
    <cellStyle name="Moeda 5 5 4 2" xfId="3155" xr:uid="{7BE72840-CA80-4C96-B5C9-E0639EB26B46}"/>
    <cellStyle name="Moeda 5 5 4 2 2" xfId="54818" xr:uid="{A5366162-BD60-4AAD-9E2D-A316D63ABAA4}"/>
    <cellStyle name="Moeda 5 5 4 2 3" xfId="51524" xr:uid="{7D2D539D-88E5-4C33-B52F-60150AFED3B8}"/>
    <cellStyle name="Moeda 5 5 4 3" xfId="49885" xr:uid="{7A81E20E-354C-407A-8E19-E4A4645FA396}"/>
    <cellStyle name="Moeda 5 5 4 3 2" xfId="57365" xr:uid="{B75A398A-0844-4483-981E-5199D1F72F1C}"/>
    <cellStyle name="Moeda 5 5 4 4" xfId="53181" xr:uid="{6CD20F42-83CB-4484-9CDF-5BC3DB0526C0}"/>
    <cellStyle name="Moeda 5 5 4 5" xfId="48216" xr:uid="{C6CB39B3-E72F-46C2-A3EE-E392698128A5}"/>
    <cellStyle name="Moeda 5 5 5" xfId="681" xr:uid="{067DFCF1-D4D3-4DDF-BD5D-FFC6D4FE6726}"/>
    <cellStyle name="Moeda 5 5 5 2" xfId="2397" xr:uid="{865C3E3C-5524-4E1B-BA47-6011EAE2658F}"/>
    <cellStyle name="Moeda 5 5 5 2 2" xfId="54819" xr:uid="{EBC3B7D5-D136-43D2-BADE-6D53FEB77895}"/>
    <cellStyle name="Moeda 5 5 5 2 3" xfId="51525" xr:uid="{EEB26BCA-FF54-4FEC-8CE2-C31B9C2E0F37}"/>
    <cellStyle name="Moeda 5 5 5 3" xfId="49886" xr:uid="{FB2FAD34-9D63-49D3-AD92-68A593A0399F}"/>
    <cellStyle name="Moeda 5 5 5 3 2" xfId="56552" xr:uid="{D3515D70-1DE6-4B8F-B9DB-63C375436732}"/>
    <cellStyle name="Moeda 5 5 5 4" xfId="53182" xr:uid="{22FD2C65-418D-4CAB-803A-56F21D87973C}"/>
    <cellStyle name="Moeda 5 5 5 5" xfId="48217" xr:uid="{28530E9B-B164-43D2-BB26-12A502ED6328}"/>
    <cellStyle name="Moeda 5 5 6" xfId="3508" xr:uid="{900F47E5-D05B-43D8-A258-CECC1A34B25B}"/>
    <cellStyle name="Moeda 5 5 6 2" xfId="51518" xr:uid="{1BFB8AFE-8E08-4414-A77D-FB927C881B06}"/>
    <cellStyle name="Moeda 5 5 6 3" xfId="54812" xr:uid="{1A5208A6-7FE6-4593-902F-BEDB8B7DB7BA}"/>
    <cellStyle name="Moeda 5 5 6 4" xfId="48210" xr:uid="{8B149B91-02F1-4D7A-A38A-77DAB5641739}"/>
    <cellStyle name="Moeda 5 5 7" xfId="4011" xr:uid="{BDD32086-B009-49D9-96B6-96A6203E4CB8}"/>
    <cellStyle name="Moeda 5 5 7 2" xfId="56143" xr:uid="{474E35B3-253F-476C-BFB8-3FEC60ACAE45}"/>
    <cellStyle name="Moeda 5 5 7 3" xfId="49879" xr:uid="{EC10DA7E-AB8D-4471-80DC-E1148C95EA18}"/>
    <cellStyle name="Moeda 5 5 8" xfId="1857" xr:uid="{5AB562B5-1317-47CB-AE08-A39FF36787E2}"/>
    <cellStyle name="Moeda 5 5 8 2" xfId="53175" xr:uid="{9E293977-0A56-46D6-AFF0-0441D888AB4E}"/>
    <cellStyle name="Moeda 5 5 9" xfId="47456" xr:uid="{89BC9669-12CA-4B55-AAE3-7E051436A711}"/>
    <cellStyle name="Moeda 5 6" xfId="314" xr:uid="{97C8241D-0B5E-42B8-B3D7-8196910AAFED}"/>
    <cellStyle name="Moeda 5 6 2" xfId="1130" xr:uid="{E277866C-BFE6-452D-B9F4-2BEF2867007C}"/>
    <cellStyle name="Moeda 5 6 2 2" xfId="2792" xr:uid="{F1DEC6B5-A957-49A8-83E0-AFBB831C95FD}"/>
    <cellStyle name="Moeda 5 6 2 2 2" xfId="54821" xr:uid="{DD530C6D-42EB-4C5C-B21A-B01405061931}"/>
    <cellStyle name="Moeda 5 6 2 2 3" xfId="51527" xr:uid="{D09D8D56-8AE4-4658-A966-E0F2ECDBDFA3}"/>
    <cellStyle name="Moeda 5 6 2 3" xfId="49888" xr:uid="{373ACF5F-8162-4C3A-BA9C-ECD1B4C20360}"/>
    <cellStyle name="Moeda 5 6 2 3 2" xfId="57001" xr:uid="{EEDA47A2-418C-4943-9838-28D3561B6BE0}"/>
    <cellStyle name="Moeda 5 6 2 4" xfId="53184" xr:uid="{5BF520F2-BF9A-41A8-9385-4CEDC94CBBD0}"/>
    <cellStyle name="Moeda 5 6 2 5" xfId="48219" xr:uid="{03566051-8AE5-4A5E-AE1F-FCDBBE80F887}"/>
    <cellStyle name="Moeda 5 6 3" xfId="1536" xr:uid="{2E1F2664-FC01-44D7-9CC0-3F679B3720A3}"/>
    <cellStyle name="Moeda 5 6 3 2" xfId="3197" xr:uid="{6FC0EA95-D3E4-4909-8846-6F0DCC948A9F}"/>
    <cellStyle name="Moeda 5 6 3 2 2" xfId="54822" xr:uid="{91EEB660-6B6E-44D7-A075-8F3184AA1A47}"/>
    <cellStyle name="Moeda 5 6 3 2 3" xfId="51528" xr:uid="{1CA645CC-1361-4D1F-9CF0-B315D2D086E0}"/>
    <cellStyle name="Moeda 5 6 3 3" xfId="49889" xr:uid="{F7221664-B1D7-4D7B-84E4-F652EC9E1CAF}"/>
    <cellStyle name="Moeda 5 6 3 3 2" xfId="57407" xr:uid="{5DE349C8-7936-473F-B74A-35124F60544F}"/>
    <cellStyle name="Moeda 5 6 3 4" xfId="53185" xr:uid="{DFE232DF-8D99-4BBE-BDDE-EB10EEF801EC}"/>
    <cellStyle name="Moeda 5 6 3 5" xfId="48220" xr:uid="{83F19D49-FC41-436B-8A84-C0DF3A06EB3B}"/>
    <cellStyle name="Moeda 5 6 4" xfId="723" xr:uid="{5F4217C5-0088-469E-A5A7-1DDA87E4B11A}"/>
    <cellStyle name="Moeda 5 6 4 2" xfId="2439" xr:uid="{6C3EF3B8-6633-4FAD-AB70-B1CFE1D124EC}"/>
    <cellStyle name="Moeda 5 6 4 2 2" xfId="54823" xr:uid="{98739F90-5D51-462D-8E8B-5ABD111F091B}"/>
    <cellStyle name="Moeda 5 6 4 2 3" xfId="51529" xr:uid="{A517015E-4CAE-4447-BBF2-9B29BB407EF7}"/>
    <cellStyle name="Moeda 5 6 4 3" xfId="49890" xr:uid="{7942A975-CB32-46CB-BE38-B03ABF0CC994}"/>
    <cellStyle name="Moeda 5 6 4 3 2" xfId="56594" xr:uid="{158AE86C-0440-4CF1-A25A-BA9CB8C433FE}"/>
    <cellStyle name="Moeda 5 6 4 4" xfId="53186" xr:uid="{81C052B5-7A8F-4D78-A49D-DD67FCD7C028}"/>
    <cellStyle name="Moeda 5 6 4 5" xfId="48221" xr:uid="{C1207EFD-ED4D-41D3-98DD-FDFEA4AFE0F3}"/>
    <cellStyle name="Moeda 5 6 5" xfId="3726" xr:uid="{47540231-82BE-4A77-9B7C-4C17759E1AC5}"/>
    <cellStyle name="Moeda 5 6 5 2" xfId="51526" xr:uid="{32C064A8-7CF8-4311-B4A6-C211178816EE}"/>
    <cellStyle name="Moeda 5 6 5 3" xfId="54820" xr:uid="{E1762158-2D4C-484B-A2A1-E54A6E2A24CD}"/>
    <cellStyle name="Moeda 5 6 5 4" xfId="48218" xr:uid="{3E73C84A-BA5B-4E47-A38E-59FF4CC56FB6}"/>
    <cellStyle name="Moeda 5 6 6" xfId="4183" xr:uid="{DF6745D5-B366-4A64-9411-7DEA151C038D}"/>
    <cellStyle name="Moeda 5 6 6 2" xfId="56185" xr:uid="{E5FC064F-3808-46A3-9B94-3A25CC0BEC2B}"/>
    <cellStyle name="Moeda 5 6 6 3" xfId="49887" xr:uid="{AA7BC3F4-F19B-4F56-9D8C-11CB9C25C3DF}"/>
    <cellStyle name="Moeda 5 6 7" xfId="2115" xr:uid="{F5461A07-B576-4003-BEB8-8D1EF0BAC165}"/>
    <cellStyle name="Moeda 5 6 7 2" xfId="53183" xr:uid="{6257F9FA-D7B5-4FC3-986D-7259A016DD10}"/>
    <cellStyle name="Moeda 5 6 8" xfId="47582" xr:uid="{BAEBB478-025E-4364-8387-E386BF3283FF}"/>
    <cellStyle name="Moeda 5 6 9" xfId="4595" xr:uid="{22166811-B22B-43B5-9E5E-19944FE0E420}"/>
    <cellStyle name="Moeda 5 7" xfId="941" xr:uid="{97BB93F7-96C8-4288-829C-A0CC02F4FE87}"/>
    <cellStyle name="Moeda 5 7 2" xfId="2656" xr:uid="{C6100322-CB4C-4F37-810A-5AD7317FEC7C}"/>
    <cellStyle name="Moeda 5 7 2 2" xfId="54824" xr:uid="{CF93362A-5585-4B48-A57D-4398F527717A}"/>
    <cellStyle name="Moeda 5 7 2 3" xfId="51530" xr:uid="{45B4501F-35ED-4D64-8114-B903FC2E4E8B}"/>
    <cellStyle name="Moeda 5 7 3" xfId="49891" xr:uid="{2728CB4F-8B1C-4406-89A0-454637A7C6F8}"/>
    <cellStyle name="Moeda 5 7 3 2" xfId="56812" xr:uid="{49483703-945A-47BD-8FC0-C23FE94FE759}"/>
    <cellStyle name="Moeda 5 7 4" xfId="53187" xr:uid="{5508F243-9C28-4CAE-BB9B-7A0FD478635A}"/>
    <cellStyle name="Moeda 5 7 5" xfId="48222" xr:uid="{033323E5-EC9A-4E20-A10A-4E3C97F717F9}"/>
    <cellStyle name="Moeda 5 8" xfId="1347" xr:uid="{9D11BEC3-AC22-470E-8160-2587B655E40A}"/>
    <cellStyle name="Moeda 5 8 2" xfId="3008" xr:uid="{7448608D-D8DA-45D4-93EE-F191B3BC9EC8}"/>
    <cellStyle name="Moeda 5 8 2 2" xfId="54825" xr:uid="{62BC7D2B-2FC8-40DA-8984-49E10CB01E0A}"/>
    <cellStyle name="Moeda 5 8 2 3" xfId="51531" xr:uid="{4327D304-2546-4DE0-BB10-FBB8C36F6B44}"/>
    <cellStyle name="Moeda 5 8 3" xfId="49892" xr:uid="{2D4102E2-496E-43B8-88AF-5FB80E81D04C}"/>
    <cellStyle name="Moeda 5 8 3 2" xfId="57218" xr:uid="{840728D7-27D0-419D-8270-A5E88D7DF247}"/>
    <cellStyle name="Moeda 5 8 4" xfId="53188" xr:uid="{42078A25-55AE-47B8-AADE-07B859F1626A}"/>
    <cellStyle name="Moeda 5 8 5" xfId="48223" xr:uid="{6FD1A38D-6E9F-4D17-A817-4DD103E45131}"/>
    <cellStyle name="Moeda 5 9" xfId="534" xr:uid="{B209CF6B-381C-4BDF-B204-1001E609B766}"/>
    <cellStyle name="Moeda 5 9 2" xfId="2250" xr:uid="{8F829D10-A0AC-4F3F-A794-D25F52669384}"/>
    <cellStyle name="Moeda 5 9 2 2" xfId="54826" xr:uid="{3603FB18-6186-4712-8C16-B3EC2CBD7961}"/>
    <cellStyle name="Moeda 5 9 2 3" xfId="51532" xr:uid="{B4AA808A-7896-4B21-8470-92A0EE70C5E5}"/>
    <cellStyle name="Moeda 5 9 3" xfId="49893" xr:uid="{5A6D596C-0592-4CDE-BBA6-5B837186AF87}"/>
    <cellStyle name="Moeda 5 9 3 2" xfId="56405" xr:uid="{83E699EA-90D4-4E58-A416-5D334082FDA1}"/>
    <cellStyle name="Moeda 5 9 4" xfId="53189" xr:uid="{9B0E0678-24AD-4869-B077-37DAF8F71309}"/>
    <cellStyle name="Moeda 5 9 5" xfId="48224" xr:uid="{AD9D8883-D333-4425-BF5E-E584D2628206}"/>
    <cellStyle name="Moeda 6" xfId="139" xr:uid="{3BA34D53-706F-4B2F-8500-6564B75BB816}"/>
    <cellStyle name="Moeda 6 10" xfId="3842" xr:uid="{945EA30D-623E-45E9-BDD7-F4FEA763C794}"/>
    <cellStyle name="Moeda 6 10 2" xfId="56010" xr:uid="{9D7E1E92-9305-4722-BC98-7961529574EA}"/>
    <cellStyle name="Moeda 6 10 3" xfId="49894" xr:uid="{569E5F0B-5C8F-4A2C-A6D0-1FC7F500CD3C}"/>
    <cellStyle name="Moeda 6 11" xfId="1759" xr:uid="{78462C5D-A54B-4FD5-95B8-5BDB69E7F86F}"/>
    <cellStyle name="Moeda 6 11 2" xfId="53190" xr:uid="{E79829FA-364F-472B-8E0E-EC2067B82DDE}"/>
    <cellStyle name="Moeda 6 12" xfId="12564" xr:uid="{A4D77CFA-360E-45D6-A878-E03326BE8786}"/>
    <cellStyle name="Moeda 6 13" xfId="4420" xr:uid="{95EC5F17-1545-44DD-AAFC-6C6B0D792D90}"/>
    <cellStyle name="Moeda 6 2" xfId="168" xr:uid="{75B2AD8B-75E7-4B95-8088-C81EC530F503}"/>
    <cellStyle name="Moeda 6 2 10" xfId="4449" xr:uid="{CFAAC602-6A01-4E22-80FF-654989E21DEE}"/>
    <cellStyle name="Moeda 6 2 2" xfId="357" xr:uid="{6DF1CF62-CDC5-4F17-979E-A58E8A8A83D8}"/>
    <cellStyle name="Moeda 6 2 2 2" xfId="1173" xr:uid="{833AFEDA-CA4D-48FA-98E7-3015D18F8EC1}"/>
    <cellStyle name="Moeda 6 2 2 2 2" xfId="4065" xr:uid="{A8A5FB17-FE59-434B-BA20-F32777FBDA09}"/>
    <cellStyle name="Moeda 6 2 2 2 2 2" xfId="54830" xr:uid="{08906B1A-B488-42D1-8919-1F9A256E0A28}"/>
    <cellStyle name="Moeda 6 2 2 2 2 3" xfId="51536" xr:uid="{A58A285A-7BD2-4101-941B-2318B31BB1F4}"/>
    <cellStyle name="Moeda 6 2 2 2 3" xfId="2834" xr:uid="{C8B7516E-AA58-46F1-A4A9-178C9A50A65C}"/>
    <cellStyle name="Moeda 6 2 2 2 3 2" xfId="57044" xr:uid="{4750E314-D275-4DCD-ABC2-E48E4DCB0E93}"/>
    <cellStyle name="Moeda 6 2 2 2 3 3" xfId="49897" xr:uid="{FE030DD0-A989-43CA-8F86-965E52ECC23A}"/>
    <cellStyle name="Moeda 6 2 2 2 4" xfId="53193" xr:uid="{54A628F9-B1F1-439A-BD5B-B5178D8D3123}"/>
    <cellStyle name="Moeda 6 2 2 2 5" xfId="48228" xr:uid="{534DAE37-3E01-4031-94E7-9AE3952E8765}"/>
    <cellStyle name="Moeda 6 2 2 3" xfId="1579" xr:uid="{FA01F622-7762-4A3E-AC86-E2390127C57E}"/>
    <cellStyle name="Moeda 6 2 2 3 2" xfId="4237" xr:uid="{901309CF-AB9F-40DE-9785-F69764B7AF6F}"/>
    <cellStyle name="Moeda 6 2 2 3 2 2" xfId="54831" xr:uid="{5F962532-B140-4626-926E-924CDD8F18A9}"/>
    <cellStyle name="Moeda 6 2 2 3 2 3" xfId="51537" xr:uid="{A5C0CAC0-AB20-49C5-9452-B7FC74E19C84}"/>
    <cellStyle name="Moeda 6 2 2 3 3" xfId="3239" xr:uid="{0AB6DD0B-5D1B-465E-ACC1-7D6DACDE1D49}"/>
    <cellStyle name="Moeda 6 2 2 3 3 2" xfId="57450" xr:uid="{891B03D3-97B9-46FF-8CD7-A8D7C7A9F062}"/>
    <cellStyle name="Moeda 6 2 2 3 3 3" xfId="49898" xr:uid="{5C39BE9E-9942-439E-A7CF-FC104ED5A0D5}"/>
    <cellStyle name="Moeda 6 2 2 3 4" xfId="53194" xr:uid="{5DDA8ED4-9C2C-41AA-97D6-23A34EEC1076}"/>
    <cellStyle name="Moeda 6 2 2 3 5" xfId="48229" xr:uid="{CD002011-93BD-4CF3-8FA8-54B4312150DB}"/>
    <cellStyle name="Moeda 6 2 2 4" xfId="766" xr:uid="{77B780DB-9938-42B9-9648-D9313B0BEC24}"/>
    <cellStyle name="Moeda 6 2 2 4 2" xfId="2482" xr:uid="{FAE8AAAC-4012-4C48-89BF-99A4BF2C0FA1}"/>
    <cellStyle name="Moeda 6 2 2 4 2 2" xfId="54832" xr:uid="{A12FE8BD-4009-4725-B4CF-E3017C4F8538}"/>
    <cellStyle name="Moeda 6 2 2 4 2 3" xfId="51538" xr:uid="{C044F24F-5DEB-4365-9878-8D61CA3ABBD1}"/>
    <cellStyle name="Moeda 6 2 2 4 3" xfId="49899" xr:uid="{CF9DCDD9-CED9-4F7E-B8CF-B3438F25926E}"/>
    <cellStyle name="Moeda 6 2 2 4 3 2" xfId="56637" xr:uid="{97BA35BB-EB92-447F-9755-6F79A3E33DEF}"/>
    <cellStyle name="Moeda 6 2 2 4 4" xfId="53195" xr:uid="{41FA3CFB-1B4B-42E2-AF84-8B60DDA732FE}"/>
    <cellStyle name="Moeda 6 2 2 4 5" xfId="48230" xr:uid="{F4984980-AA8E-4CC6-97B3-62F53442FB62}"/>
    <cellStyle name="Moeda 6 2 2 5" xfId="3685" xr:uid="{F5C8C66D-0982-4B54-9745-CF08C3592141}"/>
    <cellStyle name="Moeda 6 2 2 5 2" xfId="51535" xr:uid="{17E78244-FE6A-4E93-9406-D5070C2131C8}"/>
    <cellStyle name="Moeda 6 2 2 5 3" xfId="54829" xr:uid="{AC266E73-7554-49F1-9B23-9FF85F1C7453}"/>
    <cellStyle name="Moeda 6 2 2 5 4" xfId="48227" xr:uid="{B7C4A0E3-94D9-4149-A41F-1744100A5EF5}"/>
    <cellStyle name="Moeda 6 2 2 6" xfId="3894" xr:uid="{86F853D8-D4A9-45A4-B65D-111BB12A6ED9}"/>
    <cellStyle name="Moeda 6 2 2 6 2" xfId="56228" xr:uid="{E86D4B88-F158-488E-A292-F1AEF542F4F1}"/>
    <cellStyle name="Moeda 6 2 2 6 3" xfId="49896" xr:uid="{6ADC1A63-F123-4F5C-A409-16B4158A7FDE}"/>
    <cellStyle name="Moeda 6 2 2 7" xfId="2034" xr:uid="{7350F832-6689-4A1F-B488-0C39EF9977E2}"/>
    <cellStyle name="Moeda 6 2 2 7 2" xfId="53192" xr:uid="{8A9CD35A-2FBD-49B7-BE19-D5A2316535A5}"/>
    <cellStyle name="Moeda 6 2 2 8" xfId="47399" xr:uid="{7440814F-1E19-400D-B2DD-7B3D1EE92699}"/>
    <cellStyle name="Moeda 6 2 2 9" xfId="4638" xr:uid="{D0F7A30B-5374-4FFD-B2CD-3E29C40D9974}"/>
    <cellStyle name="Moeda 6 2 3" xfId="984" xr:uid="{9494BF23-6D4A-4368-A84B-E6E54F2C5A58}"/>
    <cellStyle name="Moeda 6 2 3 2" xfId="3576" xr:uid="{BF5D1DD2-BD66-46A1-90FC-72B37266A341}"/>
    <cellStyle name="Moeda 6 2 3 2 2" xfId="4138" xr:uid="{B5F2DFED-CC09-4588-9AF0-99DFDCD4E858}"/>
    <cellStyle name="Moeda 6 2 3 2 2 2" xfId="51539" xr:uid="{1137ADBC-90D2-4740-B2B5-A153BDA88650}"/>
    <cellStyle name="Moeda 6 2 3 2 3" xfId="54833" xr:uid="{643C0E78-5B43-44B1-B834-8C191F630566}"/>
    <cellStyle name="Moeda 6 2 3 2 4" xfId="48231" xr:uid="{A0FB10BB-2949-404E-B815-572AA423B77D}"/>
    <cellStyle name="Moeda 6 2 3 3" xfId="4310" xr:uid="{781A83F0-F9D7-48B2-8C7C-A60F4F31BF0F}"/>
    <cellStyle name="Moeda 6 2 3 3 2" xfId="56855" xr:uid="{A0987610-F1DD-480E-8FCE-3E3BD11BBF27}"/>
    <cellStyle name="Moeda 6 2 3 3 3" xfId="49900" xr:uid="{1157C493-3072-4C65-9B03-536260554DA4}"/>
    <cellStyle name="Moeda 6 2 3 4" xfId="3966" xr:uid="{01802627-51CF-44CD-B842-FE3DDE1C89CC}"/>
    <cellStyle name="Moeda 6 2 3 4 2" xfId="53196" xr:uid="{12965AC9-E223-4A9C-8E69-6D3EF26255E0}"/>
    <cellStyle name="Moeda 6 2 3 5" xfId="1925" xr:uid="{74330205-9846-404A-88F4-0D1BC1E06221}"/>
    <cellStyle name="Moeda 6 2 3 6" xfId="47525" xr:uid="{7C10140D-B0CA-4115-AB47-E0CEB3215695}"/>
    <cellStyle name="Moeda 6 2 4" xfId="1390" xr:uid="{CABCBEA1-981F-4125-B408-645277C86C1B}"/>
    <cellStyle name="Moeda 6 2 4 2" xfId="3794" xr:uid="{1134F5E6-3D7B-4EBB-98B3-0A0ECA03463C}"/>
    <cellStyle name="Moeda 6 2 4 2 2" xfId="51540" xr:uid="{81D0D36A-0782-49D3-866C-A5C69562FCF7}"/>
    <cellStyle name="Moeda 6 2 4 2 3" xfId="54834" xr:uid="{DCC241F7-E365-4AF3-9370-9DC2546873FC}"/>
    <cellStyle name="Moeda 6 2 4 2 4" xfId="48232" xr:uid="{C207BFD6-D614-4944-9699-287C76521B72}"/>
    <cellStyle name="Moeda 6 2 4 3" xfId="4025" xr:uid="{DE779267-5968-45A1-8890-091125FB07D2}"/>
    <cellStyle name="Moeda 6 2 4 3 2" xfId="57261" xr:uid="{3A96E8F8-A053-47F6-8A79-C1974B938925}"/>
    <cellStyle name="Moeda 6 2 4 3 3" xfId="49901" xr:uid="{9D16006F-7CB3-448A-819D-A68A05AB4E48}"/>
    <cellStyle name="Moeda 6 2 4 4" xfId="3051" xr:uid="{3C5CD2F1-521A-4587-B24B-01B7FFE36DBD}"/>
    <cellStyle name="Moeda 6 2 4 4 2" xfId="53197" xr:uid="{EE190992-2C31-4015-8956-D443984A6716}"/>
    <cellStyle name="Moeda 6 2 4 5" xfId="47651" xr:uid="{823A29AE-427E-4738-9C45-A827C0711EB7}"/>
    <cellStyle name="Moeda 6 2 5" xfId="577" xr:uid="{A6C3F09F-2550-4161-A6F0-66B09DABDC82}"/>
    <cellStyle name="Moeda 6 2 5 2" xfId="4197" xr:uid="{A1DADFCA-B68F-4739-A653-75B72B5FA5F1}"/>
    <cellStyle name="Moeda 6 2 5 2 2" xfId="54835" xr:uid="{BDD52598-A34F-4DF3-B9FA-063C0AE69C6D}"/>
    <cellStyle name="Moeda 6 2 5 2 3" xfId="51541" xr:uid="{9FCCD3DA-09C1-41BC-9BE7-D69FB7C2EBAC}"/>
    <cellStyle name="Moeda 6 2 5 3" xfId="2293" xr:uid="{10A6C012-3B5B-42BA-8A27-68C7DE03837F}"/>
    <cellStyle name="Moeda 6 2 5 3 2" xfId="56448" xr:uid="{2B909C40-9711-4FE3-9D76-EE38D4BA308C}"/>
    <cellStyle name="Moeda 6 2 5 3 3" xfId="49902" xr:uid="{9F5A6300-8638-41AE-9426-2D8262389A48}"/>
    <cellStyle name="Moeda 6 2 5 4" xfId="53198" xr:uid="{436D0CAE-96B3-4E45-B096-7C3B45C4010B}"/>
    <cellStyle name="Moeda 6 2 5 5" xfId="48233" xr:uid="{8169163A-49E7-4F36-94F3-5A891910BC01}"/>
    <cellStyle name="Moeda 6 2 6" xfId="3466" xr:uid="{246C6C5B-DA8C-4DA2-AF4E-E8BBA4B7D9AF}"/>
    <cellStyle name="Moeda 6 2 6 2" xfId="51534" xr:uid="{A7FAEC56-618B-42DA-ABCE-99BEA5616977}"/>
    <cellStyle name="Moeda 6 2 6 3" xfId="54828" xr:uid="{5F6EE88D-54B4-4756-8EF7-A4C836EEB945}"/>
    <cellStyle name="Moeda 6 2 6 4" xfId="48226" xr:uid="{C0E74A39-8638-42CB-A0D0-1D40CADEA731}"/>
    <cellStyle name="Moeda 6 2 7" xfId="3854" xr:uid="{70053EDA-0494-4C4C-BDFD-0AD0EAD5E415}"/>
    <cellStyle name="Moeda 6 2 7 2" xfId="56039" xr:uid="{970B6CE2-7016-4EA4-AC33-D111B387A36E}"/>
    <cellStyle name="Moeda 6 2 7 3" xfId="49895" xr:uid="{E8650D76-3C36-4B85-AA1A-71641AB98C0B}"/>
    <cellStyle name="Moeda 6 2 8" xfId="1815" xr:uid="{F99DB35F-C627-48A2-93EB-49FECC6E633E}"/>
    <cellStyle name="Moeda 6 2 8 2" xfId="53191" xr:uid="{8EE265F6-D7F6-42B8-B44C-572FC92A39C9}"/>
    <cellStyle name="Moeda 6 2 9" xfId="32905" xr:uid="{F06714E9-88EA-4CF0-A009-B9BAE4FDCBEA}"/>
    <cellStyle name="Moeda 6 3" xfId="233" xr:uid="{E6468B2E-DB28-4D9F-AC53-E7562596B99A}"/>
    <cellStyle name="Moeda 6 3 10" xfId="4514" xr:uid="{F3272FB3-7C7B-4B17-B1CD-40C7CD75B0AD}"/>
    <cellStyle name="Moeda 6 3 2" xfId="422" xr:uid="{1BAFD411-86EA-4538-B7FC-85106B1FB5A6}"/>
    <cellStyle name="Moeda 6 3 2 2" xfId="1238" xr:uid="{96D3F032-E660-4C4F-9D7A-FA8E736DB4BD}"/>
    <cellStyle name="Moeda 6 3 2 2 2" xfId="2899" xr:uid="{027F6722-E01C-4FD8-B460-FA6844406C3D}"/>
    <cellStyle name="Moeda 6 3 2 2 2 2" xfId="54838" xr:uid="{5D907449-B4C7-40AB-8DDD-712F960049BD}"/>
    <cellStyle name="Moeda 6 3 2 2 2 3" xfId="51544" xr:uid="{50FBB3B1-A969-4B6A-AFA5-55D4A847F35E}"/>
    <cellStyle name="Moeda 6 3 2 2 3" xfId="49905" xr:uid="{E689602B-9FEC-4B17-9A41-5FCBD5864DBD}"/>
    <cellStyle name="Moeda 6 3 2 2 3 2" xfId="57109" xr:uid="{D06E3138-F2A4-49EE-86DB-C2AB08C41BBE}"/>
    <cellStyle name="Moeda 6 3 2 2 4" xfId="53201" xr:uid="{0C1DC6B4-FFF4-47AA-9644-3EA35AE68D32}"/>
    <cellStyle name="Moeda 6 3 2 2 5" xfId="48236" xr:uid="{41C8E3DC-3822-470C-8B3F-54A61309BE6E}"/>
    <cellStyle name="Moeda 6 3 2 3" xfId="1644" xr:uid="{08C1D567-69EB-4E79-97F0-77E1DA8282F1}"/>
    <cellStyle name="Moeda 6 3 2 3 2" xfId="3304" xr:uid="{084F8F05-F408-4028-88A4-10A820DB505F}"/>
    <cellStyle name="Moeda 6 3 2 3 2 2" xfId="54839" xr:uid="{C3A16D15-0690-4B79-A76F-A4E473CF449C}"/>
    <cellStyle name="Moeda 6 3 2 3 2 3" xfId="51545" xr:uid="{ED148B65-CFA1-429D-9C8C-339DEE081ADD}"/>
    <cellStyle name="Moeda 6 3 2 3 3" xfId="49906" xr:uid="{C24476B2-C547-48E7-BB5B-09BD7F9A6178}"/>
    <cellStyle name="Moeda 6 3 2 3 3 2" xfId="57515" xr:uid="{8A4B9920-AFEB-4186-AC7F-D5C0C2D09D57}"/>
    <cellStyle name="Moeda 6 3 2 3 4" xfId="53202" xr:uid="{FB04CF90-2DDB-4736-9A0F-22B16343F1E4}"/>
    <cellStyle name="Moeda 6 3 2 3 5" xfId="48237" xr:uid="{8AC69F90-8F6D-44CD-8F65-8D1D9DFEADE9}"/>
    <cellStyle name="Moeda 6 3 2 4" xfId="831" xr:uid="{3B09613E-EF5C-4A3D-B0FD-AE49CF3D30C3}"/>
    <cellStyle name="Moeda 6 3 2 4 2" xfId="2547" xr:uid="{A3E8884A-6FC5-4C4A-BE7A-C18EB2B4C3DC}"/>
    <cellStyle name="Moeda 6 3 2 4 2 2" xfId="54840" xr:uid="{3868C7E5-00D9-4495-B1DD-9D9F1058E823}"/>
    <cellStyle name="Moeda 6 3 2 4 2 3" xfId="51546" xr:uid="{6654DA39-F615-4556-93F5-F07CE434DF10}"/>
    <cellStyle name="Moeda 6 3 2 4 3" xfId="49907" xr:uid="{B4268C4B-C861-4666-B628-8A4155810B2D}"/>
    <cellStyle name="Moeda 6 3 2 4 3 2" xfId="56702" xr:uid="{7BAF59EF-81FC-47C1-9CDF-AA06B9700730}"/>
    <cellStyle name="Moeda 6 3 2 4 4" xfId="53203" xr:uid="{18EC13B6-75B1-4467-B373-6CB56D9BC5F1}"/>
    <cellStyle name="Moeda 6 3 2 4 5" xfId="48238" xr:uid="{2783BFF6-CE3B-4654-9BBC-D959095D33B4}"/>
    <cellStyle name="Moeda 6 3 2 5" xfId="4053" xr:uid="{2C56788B-6794-497F-987D-56E8A690F94F}"/>
    <cellStyle name="Moeda 6 3 2 5 2" xfId="54837" xr:uid="{A5981E0F-8FEE-42EF-9325-44342D6A247D}"/>
    <cellStyle name="Moeda 6 3 2 5 3" xfId="51543" xr:uid="{3BF4946F-2427-48FF-900C-2696C8EF8366}"/>
    <cellStyle name="Moeda 6 3 2 6" xfId="2154" xr:uid="{FA362058-E19C-41A0-A7DC-2D4BD1B7CE81}"/>
    <cellStyle name="Moeda 6 3 2 6 2" xfId="56293" xr:uid="{94675240-FE35-4911-9432-56A5DA6D9F56}"/>
    <cellStyle name="Moeda 6 3 2 6 3" xfId="49904" xr:uid="{09C97784-2755-4F53-BECE-DACEC83FA8C5}"/>
    <cellStyle name="Moeda 6 3 2 7" xfId="53200" xr:uid="{BBAB988C-AF0F-4B5F-B2B1-E3995EF8DF21}"/>
    <cellStyle name="Moeda 6 3 2 8" xfId="48235" xr:uid="{E6999856-A01B-48EE-B8B1-532F2E1FFB52}"/>
    <cellStyle name="Moeda 6 3 2 9" xfId="4703" xr:uid="{6AE7669D-B528-4DAC-97F2-34BC9E9F96BD}"/>
    <cellStyle name="Moeda 6 3 3" xfId="1049" xr:uid="{7E150B9C-543F-4EE5-8E04-4164D5D65CDD}"/>
    <cellStyle name="Moeda 6 3 3 2" xfId="4225" xr:uid="{5F9A71FE-F395-487C-A6D6-3876DA4B54B4}"/>
    <cellStyle name="Moeda 6 3 3 2 2" xfId="54841" xr:uid="{7A03D1DF-9DFE-4286-B080-A3C025C10D16}"/>
    <cellStyle name="Moeda 6 3 3 2 3" xfId="51547" xr:uid="{7EE5119F-97DC-41BB-B47F-BEF8733666D2}"/>
    <cellStyle name="Moeda 6 3 3 3" xfId="2726" xr:uid="{A77ED3E6-8DF7-4090-BA6C-4DAB5DE599CF}"/>
    <cellStyle name="Moeda 6 3 3 3 2" xfId="56920" xr:uid="{41E329AC-A9DF-4081-B586-B22F4A00F354}"/>
    <cellStyle name="Moeda 6 3 3 3 3" xfId="49908" xr:uid="{39352215-89CE-4FC6-BB3F-5CAAF0C3F4A3}"/>
    <cellStyle name="Moeda 6 3 3 4" xfId="53204" xr:uid="{D7A10DF0-BF24-404F-82E4-31EBE6ACB333}"/>
    <cellStyle name="Moeda 6 3 3 5" xfId="48239" xr:uid="{9B450847-E18F-4113-B90B-C4F60B03510F}"/>
    <cellStyle name="Moeda 6 3 4" xfId="1455" xr:uid="{92C69B34-2297-4157-B3E7-F40A136CB414}"/>
    <cellStyle name="Moeda 6 3 4 2" xfId="3116" xr:uid="{40DF2C15-0103-4773-A373-46A61C082190}"/>
    <cellStyle name="Moeda 6 3 4 2 2" xfId="54842" xr:uid="{8EEE67F9-7346-4D0A-B6A8-1AB2314411DF}"/>
    <cellStyle name="Moeda 6 3 4 2 3" xfId="51548" xr:uid="{33D8A028-82DE-4818-8FC2-ECA50577F93C}"/>
    <cellStyle name="Moeda 6 3 4 3" xfId="49909" xr:uid="{B1EC7A14-8751-4DFE-AA91-68460D8A391F}"/>
    <cellStyle name="Moeda 6 3 4 3 2" xfId="57326" xr:uid="{2E708FE0-303B-409D-B294-BB3FCE65CDA4}"/>
    <cellStyle name="Moeda 6 3 4 4" xfId="53205" xr:uid="{A47F5672-2EA4-4A93-9BAC-BB6D0773B866}"/>
    <cellStyle name="Moeda 6 3 4 5" xfId="48240" xr:uid="{59946722-4BA2-4E12-87B9-3A03F4FC738B}"/>
    <cellStyle name="Moeda 6 3 5" xfId="642" xr:uid="{FC3213AA-EA87-4E25-B613-431618EE1F44}"/>
    <cellStyle name="Moeda 6 3 5 2" xfId="2358" xr:uid="{E892A126-642F-4645-8449-CC77360A0FBE}"/>
    <cellStyle name="Moeda 6 3 5 2 2" xfId="54843" xr:uid="{A2F32D21-906B-4F3D-9AD1-913B455A237D}"/>
    <cellStyle name="Moeda 6 3 5 2 3" xfId="51549" xr:uid="{9C729BFC-F49A-471A-A1F6-29F065139D58}"/>
    <cellStyle name="Moeda 6 3 5 3" xfId="49910" xr:uid="{DE0A00E0-497B-4747-8267-664B1A0DCD14}"/>
    <cellStyle name="Moeda 6 3 5 3 2" xfId="56513" xr:uid="{503B26F0-3675-4D98-9EBD-736AEF0C75C4}"/>
    <cellStyle name="Moeda 6 3 5 4" xfId="53206" xr:uid="{B3112C7E-6CBE-4ABE-80A2-700EF2B0CFEF}"/>
    <cellStyle name="Moeda 6 3 5 5" xfId="48241" xr:uid="{AFB84699-340E-4439-9BF9-9898A1001DD3}"/>
    <cellStyle name="Moeda 6 3 6" xfId="3630" xr:uid="{1A575ED0-EBB5-421F-8352-8F704095F556}"/>
    <cellStyle name="Moeda 6 3 6 2" xfId="51542" xr:uid="{70BB649F-2DFB-4837-BF86-A04988FD2459}"/>
    <cellStyle name="Moeda 6 3 6 3" xfId="54836" xr:uid="{282C3C28-3898-4268-B39D-DF6F538986FD}"/>
    <cellStyle name="Moeda 6 3 6 4" xfId="48234" xr:uid="{F3BB8025-8FEF-48C3-A033-5A19B2D6AC4B}"/>
    <cellStyle name="Moeda 6 3 7" xfId="3882" xr:uid="{0F4CE0BD-46F0-4AF2-9936-7E90D462250C}"/>
    <cellStyle name="Moeda 6 3 7 2" xfId="56104" xr:uid="{889259C0-7D17-424C-B2B4-DAFEFA57ACA6}"/>
    <cellStyle name="Moeda 6 3 7 3" xfId="49903" xr:uid="{1414A83A-DAA7-4D92-9E36-A0F527BC803C}"/>
    <cellStyle name="Moeda 6 3 8" xfId="1979" xr:uid="{496EEAB8-5334-468B-90EE-24AB3D5753B7}"/>
    <cellStyle name="Moeda 6 3 8 2" xfId="53199" xr:uid="{DFAEEB80-A008-49E8-B382-83C8DB39C635}"/>
    <cellStyle name="Moeda 6 3 9" xfId="47343" xr:uid="{9D95FC88-E029-417D-8496-3DEA23957A67}"/>
    <cellStyle name="Moeda 6 4" xfId="285" xr:uid="{D6494F35-F221-4FCB-A9C2-C488578B65F4}"/>
    <cellStyle name="Moeda 6 4 10" xfId="4566" xr:uid="{66302B6E-4D83-4C0C-B5B3-8E3B174602F3}"/>
    <cellStyle name="Moeda 6 4 2" xfId="474" xr:uid="{EF5B738C-5424-466A-8942-624A287A81E9}"/>
    <cellStyle name="Moeda 6 4 2 2" xfId="1290" xr:uid="{FB49168C-1568-4E6A-A850-C7711D9F4843}"/>
    <cellStyle name="Moeda 6 4 2 2 2" xfId="2951" xr:uid="{C2E803FF-A113-44F9-8253-AE3D9DAF95C4}"/>
    <cellStyle name="Moeda 6 4 2 2 2 2" xfId="54846" xr:uid="{F53A4D71-63CE-4DAC-8968-E4517C91586B}"/>
    <cellStyle name="Moeda 6 4 2 2 2 3" xfId="51552" xr:uid="{F0BD7871-6FA5-44F1-ABC6-0A4DEADA8E6E}"/>
    <cellStyle name="Moeda 6 4 2 2 3" xfId="49913" xr:uid="{10F91640-0ED2-456E-B2B7-4ABE1F92F70B}"/>
    <cellStyle name="Moeda 6 4 2 2 3 2" xfId="57161" xr:uid="{C5F60836-20A9-4ACA-A8EE-2903ECC1CF80}"/>
    <cellStyle name="Moeda 6 4 2 2 4" xfId="53209" xr:uid="{BB2C6E96-8047-455D-B3FA-5B0CC1A5C712}"/>
    <cellStyle name="Moeda 6 4 2 2 5" xfId="48244" xr:uid="{8811C555-5D21-452A-9571-853485C571DD}"/>
    <cellStyle name="Moeda 6 4 2 3" xfId="1696" xr:uid="{7176949C-74D6-4E04-AB48-4B1458D5197F}"/>
    <cellStyle name="Moeda 6 4 2 3 2" xfId="3356" xr:uid="{64232FFA-2950-4F7A-A2C5-483F7D0437AF}"/>
    <cellStyle name="Moeda 6 4 2 3 2 2" xfId="54847" xr:uid="{8EFD1A53-A60B-4FA8-BB55-510064FC311C}"/>
    <cellStyle name="Moeda 6 4 2 3 2 3" xfId="51553" xr:uid="{EBC2B1F7-8A9A-4588-9034-935D817B1307}"/>
    <cellStyle name="Moeda 6 4 2 3 3" xfId="49914" xr:uid="{E3995864-C554-4331-82BB-3AF52E852AA9}"/>
    <cellStyle name="Moeda 6 4 2 3 3 2" xfId="57567" xr:uid="{B103D7CC-B0D8-4D23-A621-BC40FCD8074A}"/>
    <cellStyle name="Moeda 6 4 2 3 4" xfId="53210" xr:uid="{2A48F1AF-F35D-48D3-8042-409B1458A0A8}"/>
    <cellStyle name="Moeda 6 4 2 3 5" xfId="48245" xr:uid="{9D41DEC9-3CA0-4307-82E1-0D972ACA8A1A}"/>
    <cellStyle name="Moeda 6 4 2 4" xfId="883" xr:uid="{E4A34E2C-D32E-4333-89E8-EEB16A6C26FD}"/>
    <cellStyle name="Moeda 6 4 2 4 2" xfId="2599" xr:uid="{99C30750-6D4A-41A8-A25F-2D58F919C6E2}"/>
    <cellStyle name="Moeda 6 4 2 4 2 2" xfId="54848" xr:uid="{2A034631-A344-4487-ACCA-464F9E323CAC}"/>
    <cellStyle name="Moeda 6 4 2 4 2 3" xfId="51554" xr:uid="{9DFC9920-D870-4AA3-BBBA-7D7B79DF4993}"/>
    <cellStyle name="Moeda 6 4 2 4 3" xfId="49915" xr:uid="{C97985A7-7BA1-45F9-8E95-22C5CDAFD57B}"/>
    <cellStyle name="Moeda 6 4 2 4 3 2" xfId="56754" xr:uid="{C19E2727-E0DE-46BE-A7C4-ABBD6E2284E1}"/>
    <cellStyle name="Moeda 6 4 2 4 4" xfId="53211" xr:uid="{469F8FD4-CE31-45CE-BC26-900AB908CDC1}"/>
    <cellStyle name="Moeda 6 4 2 4 5" xfId="48246" xr:uid="{BD20FB77-C0E6-49FA-AB8B-4D09D93483F1}"/>
    <cellStyle name="Moeda 6 4 2 5" xfId="4126" xr:uid="{7DA72E78-0A5A-4DFD-9CD9-5F3C56E3876E}"/>
    <cellStyle name="Moeda 6 4 2 5 2" xfId="54845" xr:uid="{F934F9CD-AFC2-4C9C-AC18-057C7B102319}"/>
    <cellStyle name="Moeda 6 4 2 5 3" xfId="51551" xr:uid="{7F9EAD3E-171F-452B-B66D-922E1822D8D6}"/>
    <cellStyle name="Moeda 6 4 2 6" xfId="2191" xr:uid="{91FA6758-0C4D-4083-9F83-21BFC670F311}"/>
    <cellStyle name="Moeda 6 4 2 6 2" xfId="56345" xr:uid="{209CA573-A837-497A-85CC-33462DAA2346}"/>
    <cellStyle name="Moeda 6 4 2 6 3" xfId="49912" xr:uid="{95F8698E-4A68-4180-99A7-940CDB14928A}"/>
    <cellStyle name="Moeda 6 4 2 7" xfId="53208" xr:uid="{5350F8FD-B8F0-46DB-AA7A-E4BE6E292417}"/>
    <cellStyle name="Moeda 6 4 2 8" xfId="48243" xr:uid="{A4CF47B3-6BCB-47E9-BB8A-A512E63BE0DF}"/>
    <cellStyle name="Moeda 6 4 2 9" xfId="4755" xr:uid="{623FC6D2-1010-4908-BC2E-E5279BB88487}"/>
    <cellStyle name="Moeda 6 4 3" xfId="1101" xr:uid="{F89DEE3E-9E45-42D1-A8C9-40E8FFC69974}"/>
    <cellStyle name="Moeda 6 4 3 2" xfId="4298" xr:uid="{21F7AE31-25DF-4D59-A400-7F136040CBC4}"/>
    <cellStyle name="Moeda 6 4 3 2 2" xfId="54849" xr:uid="{8D1A2B0B-9518-48D2-B2AE-E03DF59624BF}"/>
    <cellStyle name="Moeda 6 4 3 2 3" xfId="51555" xr:uid="{80E01C85-D7FC-4A7D-ACC8-0F302E0D795D}"/>
    <cellStyle name="Moeda 6 4 3 3" xfId="2764" xr:uid="{B1A23B17-D4EF-4A60-9FFF-C3C0E917FE6E}"/>
    <cellStyle name="Moeda 6 4 3 3 2" xfId="56972" xr:uid="{727104A0-2161-4E3F-A290-D5E5A868D76A}"/>
    <cellStyle name="Moeda 6 4 3 3 3" xfId="49916" xr:uid="{46395A5C-34D8-4539-9B42-B44666F8EDCD}"/>
    <cellStyle name="Moeda 6 4 3 4" xfId="53212" xr:uid="{D6E77E32-9635-4FBD-807E-73307DF2CF55}"/>
    <cellStyle name="Moeda 6 4 3 5" xfId="48247" xr:uid="{C97BC3FD-E0F1-458D-A698-E2C17EEA4D99}"/>
    <cellStyle name="Moeda 6 4 4" xfId="1507" xr:uid="{1DCB16F0-7815-493F-9369-A92F0A49E4CC}"/>
    <cellStyle name="Moeda 6 4 4 2" xfId="3168" xr:uid="{19503CE6-6A2C-4646-A1AA-B13141B0F9DD}"/>
    <cellStyle name="Moeda 6 4 4 2 2" xfId="54850" xr:uid="{7D996679-82B1-4AD1-8672-6A05A89E9F6D}"/>
    <cellStyle name="Moeda 6 4 4 2 3" xfId="51556" xr:uid="{A58C839C-3960-4223-A394-8E1E7BC7F896}"/>
    <cellStyle name="Moeda 6 4 4 3" xfId="49917" xr:uid="{399A10F3-E59B-4DBA-AAA7-D3F916E8B8FC}"/>
    <cellStyle name="Moeda 6 4 4 3 2" xfId="57378" xr:uid="{6A5AE243-99AA-4044-9FB7-7678B5E9F963}"/>
    <cellStyle name="Moeda 6 4 4 4" xfId="53213" xr:uid="{EE74556A-1291-49AB-B900-04D6F03E0B8D}"/>
    <cellStyle name="Moeda 6 4 4 5" xfId="48248" xr:uid="{9A265574-42BC-47AA-AC26-1D8BE9FBB2AC}"/>
    <cellStyle name="Moeda 6 4 5" xfId="694" xr:uid="{D308B5D3-96ED-4C23-A882-5D48B87D3C9A}"/>
    <cellStyle name="Moeda 6 4 5 2" xfId="2410" xr:uid="{3664B94A-733C-4FFC-9957-AE56B41AC1A6}"/>
    <cellStyle name="Moeda 6 4 5 2 2" xfId="54851" xr:uid="{AA8A9067-7363-4D24-92FB-B515E25FE03B}"/>
    <cellStyle name="Moeda 6 4 5 2 3" xfId="51557" xr:uid="{546C7402-39F2-48AA-B382-610FD9D177B0}"/>
    <cellStyle name="Moeda 6 4 5 3" xfId="49918" xr:uid="{445086F0-092A-496F-ABDB-2E5F4C943DE4}"/>
    <cellStyle name="Moeda 6 4 5 3 2" xfId="56565" xr:uid="{F72ED71E-0112-4378-B9DD-81A4EAF78F5C}"/>
    <cellStyle name="Moeda 6 4 5 4" xfId="53214" xr:uid="{0782B5D0-AA09-4175-9A57-43D96A59A334}"/>
    <cellStyle name="Moeda 6 4 5 5" xfId="48249" xr:uid="{981E756B-5409-4458-B360-55D7E7270E4B}"/>
    <cellStyle name="Moeda 6 4 6" xfId="3521" xr:uid="{A4D87B5E-1381-4F31-ABDB-D6BA201B9709}"/>
    <cellStyle name="Moeda 6 4 6 2" xfId="51550" xr:uid="{67461709-6AB3-4A82-8171-3525587E51BE}"/>
    <cellStyle name="Moeda 6 4 6 3" xfId="54844" xr:uid="{C1FF54AB-2522-4462-B24B-1D41C9848350}"/>
    <cellStyle name="Moeda 6 4 6 4" xfId="48242" xr:uid="{18ABF5B2-E56B-41B9-93F4-7F33F33EE394}"/>
    <cellStyle name="Moeda 6 4 7" xfId="3954" xr:uid="{C94F09F0-EA92-4184-8D4C-F9C1AA2F527E}"/>
    <cellStyle name="Moeda 6 4 7 2" xfId="56156" xr:uid="{3EEC4B96-0A8E-4B5A-8B00-D41DFE5D1966}"/>
    <cellStyle name="Moeda 6 4 7 3" xfId="49911" xr:uid="{7830339E-73B6-44A2-8084-612B3220E0B6}"/>
    <cellStyle name="Moeda 6 4 8" xfId="1870" xr:uid="{1E5566FA-D231-4DEA-B346-65CAB092BB7A}"/>
    <cellStyle name="Moeda 6 4 8 2" xfId="53207" xr:uid="{ABC6D48C-FBAA-4AEC-9D8F-E1D90A9C001E}"/>
    <cellStyle name="Moeda 6 4 9" xfId="47469" xr:uid="{438A01E7-3681-4C09-B08B-FE1E6A5DCFB4}"/>
    <cellStyle name="Moeda 6 5" xfId="328" xr:uid="{2825D663-5598-44A7-ABFE-856588BCFA41}"/>
    <cellStyle name="Moeda 6 5 2" xfId="1144" xr:uid="{B063A342-AA00-45EA-B0B0-EB791300FC9B}"/>
    <cellStyle name="Moeda 6 5 2 2" xfId="2806" xr:uid="{866E0885-D821-48A6-82FF-963B9F2B2C40}"/>
    <cellStyle name="Moeda 6 5 2 2 2" xfId="54853" xr:uid="{3002B59D-B51A-4397-A365-7DDF6880728B}"/>
    <cellStyle name="Moeda 6 5 2 2 3" xfId="51559" xr:uid="{2891423A-C132-447D-B2D0-02C6C6413493}"/>
    <cellStyle name="Moeda 6 5 2 3" xfId="49920" xr:uid="{68A17BC7-D0AD-44FD-9B9A-6B1291F6E7FA}"/>
    <cellStyle name="Moeda 6 5 2 3 2" xfId="57015" xr:uid="{371DD296-7AD7-4D7D-8127-42094EDBA961}"/>
    <cellStyle name="Moeda 6 5 2 4" xfId="53216" xr:uid="{0AFE9D68-659E-4C22-AD50-056DF55EADE4}"/>
    <cellStyle name="Moeda 6 5 2 5" xfId="48251" xr:uid="{7F20B61F-622E-46C7-9733-27A802D531E6}"/>
    <cellStyle name="Moeda 6 5 3" xfId="1550" xr:uid="{915A1243-F4EB-427A-A0FD-EEC94B685A61}"/>
    <cellStyle name="Moeda 6 5 3 2" xfId="3211" xr:uid="{BC0B8A5A-0E90-4C8C-AACD-67F46E7E0062}"/>
    <cellStyle name="Moeda 6 5 3 2 2" xfId="54854" xr:uid="{6C33EC65-7660-4672-959F-214DA211D450}"/>
    <cellStyle name="Moeda 6 5 3 2 3" xfId="51560" xr:uid="{4FEB29B2-334A-47D0-96A1-019615EC6708}"/>
    <cellStyle name="Moeda 6 5 3 3" xfId="49921" xr:uid="{9781E930-30CA-4723-9B01-C50880F03EF4}"/>
    <cellStyle name="Moeda 6 5 3 3 2" xfId="57421" xr:uid="{56918C80-5512-4E2C-A26C-3A1E66EB7A5B}"/>
    <cellStyle name="Moeda 6 5 3 4" xfId="53217" xr:uid="{4838D6F3-C906-4ED7-9220-2AA71D617A1A}"/>
    <cellStyle name="Moeda 6 5 3 5" xfId="48252" xr:uid="{06A07EFD-CBDA-419D-B225-E403D01CDB8C}"/>
    <cellStyle name="Moeda 6 5 4" xfId="737" xr:uid="{AADFABAC-8286-425E-AD13-C3138E0D644D}"/>
    <cellStyle name="Moeda 6 5 4 2" xfId="2453" xr:uid="{EFDA0EE3-0880-4090-9510-EA76DE65589D}"/>
    <cellStyle name="Moeda 6 5 4 2 2" xfId="54855" xr:uid="{90044A8A-AE6A-4367-891E-E71AD69C03D7}"/>
    <cellStyle name="Moeda 6 5 4 2 3" xfId="51561" xr:uid="{2031D2BB-4F31-4DDF-AF84-E37BA2D13C7E}"/>
    <cellStyle name="Moeda 6 5 4 3" xfId="49922" xr:uid="{9479688D-8CAD-41B9-BF2D-5B895EC9C657}"/>
    <cellStyle name="Moeda 6 5 4 3 2" xfId="56608" xr:uid="{5C6FD63E-77CE-4C8B-9B7A-B6517BA8C450}"/>
    <cellStyle name="Moeda 6 5 4 4" xfId="53218" xr:uid="{13E0721F-1E9D-40EB-8030-68C9B345F019}"/>
    <cellStyle name="Moeda 6 5 4 5" xfId="48253" xr:uid="{02E9F466-49F2-4610-8772-E423B344905F}"/>
    <cellStyle name="Moeda 6 5 5" xfId="3739" xr:uid="{5848141C-5F21-4FF7-A6E5-7CF1BD9D290F}"/>
    <cellStyle name="Moeda 6 5 5 2" xfId="51558" xr:uid="{8310105D-C225-45B7-9107-5FA4C97D646C}"/>
    <cellStyle name="Moeda 6 5 5 3" xfId="54852" xr:uid="{A12CC00F-9B96-4CAB-8F75-3CB470FFC40E}"/>
    <cellStyle name="Moeda 6 5 5 4" xfId="48250" xr:uid="{C43F7BB7-D3C4-4747-9C68-FB04E9F474E6}"/>
    <cellStyle name="Moeda 6 5 6" xfId="4013" xr:uid="{99ED9F3D-FF54-494C-AFAA-D2CD4CAAC56A}"/>
    <cellStyle name="Moeda 6 5 6 2" xfId="56199" xr:uid="{FF970C3E-8372-46DE-8A22-D427194A31FC}"/>
    <cellStyle name="Moeda 6 5 6 3" xfId="49919" xr:uid="{2DA8ECBA-19C2-45D2-B8D9-574D6392B8D1}"/>
    <cellStyle name="Moeda 6 5 7" xfId="2129" xr:uid="{A13CA5A6-6F11-44E6-8E8A-C9C333B2485F}"/>
    <cellStyle name="Moeda 6 5 7 2" xfId="53215" xr:uid="{59681DE6-EB5E-4149-877F-75722337BB52}"/>
    <cellStyle name="Moeda 6 5 8" xfId="47595" xr:uid="{E80C3DB6-743F-41FB-910F-111DD826B685}"/>
    <cellStyle name="Moeda 6 5 9" xfId="4609" xr:uid="{F8BEAFD5-A499-4820-AC3D-1DF3EFA30836}"/>
    <cellStyle name="Moeda 6 6" xfId="955" xr:uid="{19729E35-1F6D-4FAF-989A-54455D2539AE}"/>
    <cellStyle name="Moeda 6 6 2" xfId="4185" xr:uid="{CC3D8FB2-00CC-452A-9759-19C99FA04089}"/>
    <cellStyle name="Moeda 6 6 2 2" xfId="54856" xr:uid="{D27A31DC-63B1-466B-9BDC-7B5334C5B126}"/>
    <cellStyle name="Moeda 6 6 2 3" xfId="51562" xr:uid="{5D0D75FF-7204-4023-89C5-BD4979DD9833}"/>
    <cellStyle name="Moeda 6 6 3" xfId="2670" xr:uid="{40C8672C-FDE5-49AD-A95C-70F22818C24E}"/>
    <cellStyle name="Moeda 6 6 3 2" xfId="56826" xr:uid="{48698F5F-F9B3-402D-A697-DBA0ADD18804}"/>
    <cellStyle name="Moeda 6 6 3 3" xfId="49923" xr:uid="{FFCE15EF-8D12-458B-8128-1EF5A190D1DA}"/>
    <cellStyle name="Moeda 6 6 4" xfId="53219" xr:uid="{1F868D00-90F6-43EF-B702-53E3C5D49405}"/>
    <cellStyle name="Moeda 6 6 5" xfId="48254" xr:uid="{C5FAF32C-61FF-49B5-BADC-9AC9333BEEFE}"/>
    <cellStyle name="Moeda 6 7" xfId="1361" xr:uid="{8308B9B0-93E6-4B0E-B510-6A7C811FBA54}"/>
    <cellStyle name="Moeda 6 7 2" xfId="3022" xr:uid="{053B6940-2FDE-4B5A-880C-8AD806466CF9}"/>
    <cellStyle name="Moeda 6 7 2 2" xfId="54857" xr:uid="{8B3CED9D-C995-4205-A3AC-908B12438AC5}"/>
    <cellStyle name="Moeda 6 7 2 3" xfId="51563" xr:uid="{09DD48FA-D2AD-42E7-A795-484D61A8BB0E}"/>
    <cellStyle name="Moeda 6 7 3" xfId="49924" xr:uid="{E4C4CB4D-932D-4AB9-9838-835F14F23920}"/>
    <cellStyle name="Moeda 6 7 3 2" xfId="57232" xr:uid="{939C6D7B-93AC-406F-AF8F-BD7492098CAC}"/>
    <cellStyle name="Moeda 6 7 4" xfId="53220" xr:uid="{263C7698-872A-46D2-BC4F-5E2B24953B66}"/>
    <cellStyle name="Moeda 6 7 5" xfId="48255" xr:uid="{ED088DC5-5DCA-4895-9AC1-1733A80F25C5}"/>
    <cellStyle name="Moeda 6 8" xfId="548" xr:uid="{1E0EF50D-47BA-48EF-8C1E-CFB0FFE0BF85}"/>
    <cellStyle name="Moeda 6 8 2" xfId="2264" xr:uid="{02AF734D-F494-43CE-A8BD-BEAAA207CCA9}"/>
    <cellStyle name="Moeda 6 8 2 2" xfId="54858" xr:uid="{00032672-2332-4A83-8998-DC9707050CF5}"/>
    <cellStyle name="Moeda 6 8 2 3" xfId="51564" xr:uid="{FDACB153-C4D9-42EA-8587-207D54EE21CC}"/>
    <cellStyle name="Moeda 6 8 3" xfId="49925" xr:uid="{DD3E71C3-C9A8-426B-B9AC-AC64C3100C14}"/>
    <cellStyle name="Moeda 6 8 3 2" xfId="56419" xr:uid="{4693FD56-A1BC-4CFB-8690-B1E7D3491113}"/>
    <cellStyle name="Moeda 6 8 4" xfId="53221" xr:uid="{14ACCB48-7EB7-4804-AC81-E8EF6E163CE8}"/>
    <cellStyle name="Moeda 6 8 5" xfId="48256" xr:uid="{DBD16620-197D-4476-9B66-10F4C0A2CA29}"/>
    <cellStyle name="Moeda 6 9" xfId="3411" xr:uid="{4E300522-BA66-42F5-AF82-5BCBC34F376F}"/>
    <cellStyle name="Moeda 6 9 2" xfId="51533" xr:uid="{F23BB434-B358-4241-A5AE-8E7842AF38C9}"/>
    <cellStyle name="Moeda 6 9 3" xfId="54827" xr:uid="{451C19CF-B554-4872-B9DB-F968721A0B54}"/>
    <cellStyle name="Moeda 6 9 4" xfId="48225" xr:uid="{9AA3AD71-0626-4428-8EF1-1DF1A5F2969A}"/>
    <cellStyle name="Moeda 7" xfId="181" xr:uid="{7B1F0324-C0A1-4047-A298-76BDF4466999}"/>
    <cellStyle name="Moeda 7 10" xfId="12578" xr:uid="{61486B3B-E6B4-4B93-A8C3-9224D01CB944}"/>
    <cellStyle name="Moeda 7 11" xfId="4462" xr:uid="{956B1612-031A-4FC1-9274-F4397562FCDE}"/>
    <cellStyle name="Moeda 7 2" xfId="299" xr:uid="{0551DC42-B8C8-42F4-83BE-490A91F86017}"/>
    <cellStyle name="Moeda 7 2 10" xfId="4580" xr:uid="{A44765E8-FAF4-4988-8E00-0AA306D6A9AD}"/>
    <cellStyle name="Moeda 7 2 2" xfId="488" xr:uid="{E1C76430-7B09-4984-8A47-3404440BC307}"/>
    <cellStyle name="Moeda 7 2 2 2" xfId="1304" xr:uid="{828FA028-D91E-4D33-81AD-6A0A39158AE9}"/>
    <cellStyle name="Moeda 7 2 2 2 2" xfId="4067" xr:uid="{78DEB283-E8C7-4B47-84FD-0B0408DC0AE2}"/>
    <cellStyle name="Moeda 7 2 2 2 2 2" xfId="54862" xr:uid="{37BE9B37-0653-4D10-A430-4E123B8D9F2E}"/>
    <cellStyle name="Moeda 7 2 2 2 2 3" xfId="51568" xr:uid="{6B67F922-7D87-4308-AF15-B11992A993DF}"/>
    <cellStyle name="Moeda 7 2 2 2 3" xfId="2965" xr:uid="{7E60B9F7-C7EE-48D6-8FA3-81878272BC9C}"/>
    <cellStyle name="Moeda 7 2 2 2 3 2" xfId="57175" xr:uid="{D142E419-E0BF-4652-AA91-C1E277903F6F}"/>
    <cellStyle name="Moeda 7 2 2 2 3 3" xfId="49929" xr:uid="{C8EEFAB5-9D6B-43E2-851D-9FBABEF103E9}"/>
    <cellStyle name="Moeda 7 2 2 2 4" xfId="53225" xr:uid="{214E74E9-F1EA-4FA6-9D15-71D75D6AB6B9}"/>
    <cellStyle name="Moeda 7 2 2 2 5" xfId="48260" xr:uid="{BAC4B505-4F85-4AFB-AD83-8C81ED0B1291}"/>
    <cellStyle name="Moeda 7 2 2 3" xfId="1710" xr:uid="{2FBC8C6D-EE3B-472D-98C9-19D417E9D855}"/>
    <cellStyle name="Moeda 7 2 2 3 2" xfId="4239" xr:uid="{3FE5CFAD-F0D5-4F2E-9E02-916A2C1D9517}"/>
    <cellStyle name="Moeda 7 2 2 3 2 2" xfId="54863" xr:uid="{BB3F5FC9-5F4A-4DB2-B60E-5C96C31138C4}"/>
    <cellStyle name="Moeda 7 2 2 3 2 3" xfId="51569" xr:uid="{09F780A2-F5CD-4D4E-9A06-8CA5B0335D92}"/>
    <cellStyle name="Moeda 7 2 2 3 3" xfId="3370" xr:uid="{6A82A220-F97C-46FC-A287-5089AE9A93A0}"/>
    <cellStyle name="Moeda 7 2 2 3 3 2" xfId="57581" xr:uid="{CA5A56BA-7D65-44D7-9B8F-A4628260EF87}"/>
    <cellStyle name="Moeda 7 2 2 3 3 3" xfId="49930" xr:uid="{866D2379-D4C5-4285-A16E-738670D6D6BF}"/>
    <cellStyle name="Moeda 7 2 2 3 4" xfId="53226" xr:uid="{8BC13816-ABDA-4A7D-8954-BBFFE05AE684}"/>
    <cellStyle name="Moeda 7 2 2 3 5" xfId="48261" xr:uid="{2DDE0E54-2E75-4695-B3ED-50E2E794F957}"/>
    <cellStyle name="Moeda 7 2 2 4" xfId="897" xr:uid="{5DB0A96D-B6D5-4936-87C9-91401B30F31D}"/>
    <cellStyle name="Moeda 7 2 2 4 2" xfId="2613" xr:uid="{8624948B-6A6E-4632-A4E0-590B00071989}"/>
    <cellStyle name="Moeda 7 2 2 4 2 2" xfId="54864" xr:uid="{D23CEEA9-C381-4272-BE6A-5EA20C0CD0C5}"/>
    <cellStyle name="Moeda 7 2 2 4 2 3" xfId="51570" xr:uid="{A6D3A92D-9BC7-4F10-83C7-12925E3FBCD5}"/>
    <cellStyle name="Moeda 7 2 2 4 3" xfId="49931" xr:uid="{3DEEED32-B134-4A1D-8A30-28ED78B53284}"/>
    <cellStyle name="Moeda 7 2 2 4 3 2" xfId="56768" xr:uid="{9FB954BC-F291-4159-A1EB-60830DACACA7}"/>
    <cellStyle name="Moeda 7 2 2 4 4" xfId="53227" xr:uid="{7BA34C26-74E2-4748-9646-A908A44D7963}"/>
    <cellStyle name="Moeda 7 2 2 4 5" xfId="48262" xr:uid="{37C5CDE8-1E20-4D5B-9B15-6A9BDDA1BBD4}"/>
    <cellStyle name="Moeda 7 2 2 5" xfId="3699" xr:uid="{E46A4F8C-D821-48BD-BD5A-6315B1CB2965}"/>
    <cellStyle name="Moeda 7 2 2 5 2" xfId="51567" xr:uid="{531B9A3D-C75F-4FBB-A9C2-5742558072DB}"/>
    <cellStyle name="Moeda 7 2 2 5 3" xfId="54861" xr:uid="{1431D372-C489-41A9-B7EF-0A5A1B224A3D}"/>
    <cellStyle name="Moeda 7 2 2 5 4" xfId="48259" xr:uid="{27DD0370-43AC-41CC-839B-9602CF14F879}"/>
    <cellStyle name="Moeda 7 2 2 6" xfId="3896" xr:uid="{C1F1CBE9-03C2-4827-8360-6F62DC322B56}"/>
    <cellStyle name="Moeda 7 2 2 6 2" xfId="56359" xr:uid="{AA822DE3-8D63-4AC6-BB7B-414A1370ACF1}"/>
    <cellStyle name="Moeda 7 2 2 6 3" xfId="49928" xr:uid="{6CD8290E-328F-4FBC-B269-F9CBE4D04761}"/>
    <cellStyle name="Moeda 7 2 2 7" xfId="2048" xr:uid="{4A0F1275-CFEE-42BB-8C12-7F7A74AFB43E}"/>
    <cellStyle name="Moeda 7 2 2 7 2" xfId="53224" xr:uid="{A9DC36CB-82E5-4E60-9B31-07D224FFA776}"/>
    <cellStyle name="Moeda 7 2 2 8" xfId="47413" xr:uid="{888B096D-CF5D-4716-944A-B88D43C55EC0}"/>
    <cellStyle name="Moeda 7 2 2 9" xfId="4769" xr:uid="{D2240C6B-7D13-4891-AEBB-BE93ABAB70C9}"/>
    <cellStyle name="Moeda 7 2 3" xfId="1115" xr:uid="{A3F449FC-1679-4465-BB7A-319B8BA5D237}"/>
    <cellStyle name="Moeda 7 2 3 2" xfId="3590" xr:uid="{BCE1833A-8D63-4C76-9AB5-F5DFC86BF40D}"/>
    <cellStyle name="Moeda 7 2 3 2 2" xfId="4140" xr:uid="{EB55BAA1-BFFD-4720-B830-06F174D56EF1}"/>
    <cellStyle name="Moeda 7 2 3 2 2 2" xfId="51571" xr:uid="{9BB8B1AB-8F21-4911-A31F-8C28BC25175D}"/>
    <cellStyle name="Moeda 7 2 3 2 3" xfId="54865" xr:uid="{98D71565-EADF-4DD0-97EF-9BA695B32B98}"/>
    <cellStyle name="Moeda 7 2 3 2 4" xfId="48263" xr:uid="{3EB9900C-BB13-42EC-83FE-7AAC80EA6E54}"/>
    <cellStyle name="Moeda 7 2 3 3" xfId="4312" xr:uid="{9D56AC4D-558B-4E1F-8797-428ACC9539F6}"/>
    <cellStyle name="Moeda 7 2 3 3 2" xfId="56986" xr:uid="{74AF112F-A9CF-4FF6-8866-2B6CB9758A6F}"/>
    <cellStyle name="Moeda 7 2 3 3 3" xfId="49932" xr:uid="{6E167ADE-5A6D-48DE-91AF-99FB26411850}"/>
    <cellStyle name="Moeda 7 2 3 4" xfId="3968" xr:uid="{BCACCCE5-1ECD-40ED-910C-74C602109278}"/>
    <cellStyle name="Moeda 7 2 3 4 2" xfId="53228" xr:uid="{C40E9DDC-0643-47E9-98C5-3FE94829E91F}"/>
    <cellStyle name="Moeda 7 2 3 5" xfId="1939" xr:uid="{BE1A95EB-CE80-442A-BD94-F085C2940E83}"/>
    <cellStyle name="Moeda 7 2 3 6" xfId="47539" xr:uid="{928E3A94-DB3A-4A3A-82C4-06D127BECE2F}"/>
    <cellStyle name="Moeda 7 2 4" xfId="1521" xr:uid="{C76762ED-E704-4AAC-9360-2CF2A387103F}"/>
    <cellStyle name="Moeda 7 2 4 2" xfId="3808" xr:uid="{81478F1C-DAC0-4F69-B38B-C7FE21B35196}"/>
    <cellStyle name="Moeda 7 2 4 2 2" xfId="51572" xr:uid="{D0F74FA5-C0D9-4C8B-A401-AB0019FD0727}"/>
    <cellStyle name="Moeda 7 2 4 2 3" xfId="54866" xr:uid="{7497B415-0BFE-425A-BAAC-3C6A825B34FC}"/>
    <cellStyle name="Moeda 7 2 4 2 4" xfId="48264" xr:uid="{FC3910A9-1178-4931-BFB6-BA2E0570F6DC}"/>
    <cellStyle name="Moeda 7 2 4 3" xfId="4027" xr:uid="{26A7B544-EB35-44AB-A44D-B58D5750FDDD}"/>
    <cellStyle name="Moeda 7 2 4 3 2" xfId="57392" xr:uid="{B46E0043-661A-421F-AA33-D7247E707FC5}"/>
    <cellStyle name="Moeda 7 2 4 3 3" xfId="49933" xr:uid="{04F601A7-FE54-45C2-92BA-86DD7CD47127}"/>
    <cellStyle name="Moeda 7 2 4 4" xfId="3182" xr:uid="{FE259FC4-A764-4B97-9DDB-D01E58E7424E}"/>
    <cellStyle name="Moeda 7 2 4 4 2" xfId="53229" xr:uid="{9ECCF69F-E792-4413-A92B-6620320860FF}"/>
    <cellStyle name="Moeda 7 2 4 5" xfId="47665" xr:uid="{654F788F-EB39-49B8-9F70-BE8508559D95}"/>
    <cellStyle name="Moeda 7 2 5" xfId="708" xr:uid="{128E321E-872A-4F55-BB93-2DB7277272B9}"/>
    <cellStyle name="Moeda 7 2 5 2" xfId="4199" xr:uid="{0B9B07D2-A278-4CA1-BCDA-247D5ACFAD98}"/>
    <cellStyle name="Moeda 7 2 5 2 2" xfId="54867" xr:uid="{F491F9FC-E60F-44FF-9DB3-91B9AE300197}"/>
    <cellStyle name="Moeda 7 2 5 2 3" xfId="51573" xr:uid="{234C96FA-E88B-4BD4-A689-3B0FA40940CD}"/>
    <cellStyle name="Moeda 7 2 5 3" xfId="2424" xr:uid="{7F564297-EFE3-46A2-A183-8A5C89076F5D}"/>
    <cellStyle name="Moeda 7 2 5 3 2" xfId="56579" xr:uid="{FA0C3585-372F-47B1-B612-2F8B48B8202D}"/>
    <cellStyle name="Moeda 7 2 5 3 3" xfId="49934" xr:uid="{75AF4143-EF9E-489F-8469-61FE38BFBBC7}"/>
    <cellStyle name="Moeda 7 2 5 4" xfId="53230" xr:uid="{B6BA9D2D-32F2-4DB8-818A-E4A141D4E2E4}"/>
    <cellStyle name="Moeda 7 2 5 5" xfId="48265" xr:uid="{98EF04D5-6FE5-481F-BFC5-B3A7A6BC4250}"/>
    <cellStyle name="Moeda 7 2 6" xfId="3480" xr:uid="{92D1CAE9-2940-436F-AA06-D32DEDB81ADE}"/>
    <cellStyle name="Moeda 7 2 6 2" xfId="51566" xr:uid="{D755844A-7C24-4D6A-9339-E040625BDA1A}"/>
    <cellStyle name="Moeda 7 2 6 3" xfId="54860" xr:uid="{D900EC99-0E22-451F-B497-AB9A4CD87B2E}"/>
    <cellStyle name="Moeda 7 2 6 4" xfId="48258" xr:uid="{46991F6E-A954-4856-B671-487D4CFFA79B}"/>
    <cellStyle name="Moeda 7 2 7" xfId="3856" xr:uid="{F5F33DF7-DDA8-4AB9-AD29-3AC77B2527DB}"/>
    <cellStyle name="Moeda 7 2 7 2" xfId="56170" xr:uid="{DDE43B4A-CFD9-4077-89A8-DF24930F8C13}"/>
    <cellStyle name="Moeda 7 2 7 3" xfId="49927" xr:uid="{9F424441-E06C-4F39-BE6F-B7D012D2B7D4}"/>
    <cellStyle name="Moeda 7 2 8" xfId="1829" xr:uid="{5D69EFBC-330C-4A43-B9D2-EFA156E4FCD5}"/>
    <cellStyle name="Moeda 7 2 8 2" xfId="53223" xr:uid="{83A228A9-F058-4289-98B1-F22627490788}"/>
    <cellStyle name="Moeda 7 2 9" xfId="32919" xr:uid="{B990A273-C950-476E-A91C-F0E6B9D2229C}"/>
    <cellStyle name="Moeda 7 3" xfId="370" xr:uid="{3478C50E-689A-407F-A9E6-45FAE9006738}"/>
    <cellStyle name="Moeda 7 3 2" xfId="1186" xr:uid="{39441672-8DD2-4462-99BF-26049F27A0F4}"/>
    <cellStyle name="Moeda 7 3 2 2" xfId="4055" xr:uid="{98880777-FEC8-4959-B5B5-5837AF205EC8}"/>
    <cellStyle name="Moeda 7 3 2 2 2" xfId="54869" xr:uid="{B6195A3F-B48E-4C95-8E90-B65D2D66A80A}"/>
    <cellStyle name="Moeda 7 3 2 2 3" xfId="51575" xr:uid="{77F3BC01-BB47-448A-8784-96CF89E4369D}"/>
    <cellStyle name="Moeda 7 3 2 3" xfId="2847" xr:uid="{B05CE9B1-82F6-4D1B-BA46-82EBF951A154}"/>
    <cellStyle name="Moeda 7 3 2 3 2" xfId="57057" xr:uid="{A9A8D5E3-F823-4844-B9CD-5CF37C9A9D53}"/>
    <cellStyle name="Moeda 7 3 2 3 3" xfId="49936" xr:uid="{425D3977-4DF3-4D92-BAB3-D515C07AA32A}"/>
    <cellStyle name="Moeda 7 3 2 4" xfId="53232" xr:uid="{AC428393-603A-4FB2-8CE2-ABF25EEFC597}"/>
    <cellStyle name="Moeda 7 3 2 5" xfId="48267" xr:uid="{F6F1E628-2FC9-4574-8CC1-15E6BA810920}"/>
    <cellStyle name="Moeda 7 3 3" xfId="1592" xr:uid="{BC5D4808-B9BE-4DE1-B6CC-BEAF8C376991}"/>
    <cellStyle name="Moeda 7 3 3 2" xfId="4227" xr:uid="{604E056B-8B8B-4E5D-8D42-33F2346D0A20}"/>
    <cellStyle name="Moeda 7 3 3 2 2" xfId="54870" xr:uid="{7DA4DC9D-27A0-4197-8E16-20F564958A5F}"/>
    <cellStyle name="Moeda 7 3 3 2 3" xfId="51576" xr:uid="{4137A2BD-4C81-4295-809D-9BC9135F09B8}"/>
    <cellStyle name="Moeda 7 3 3 3" xfId="3252" xr:uid="{BC56EBBF-31DD-4B1E-B303-79A8519CE0B9}"/>
    <cellStyle name="Moeda 7 3 3 3 2" xfId="57463" xr:uid="{9C04FBC4-F437-431D-B4E8-76A4889A23BE}"/>
    <cellStyle name="Moeda 7 3 3 3 3" xfId="49937" xr:uid="{E3E3AA76-F7F1-451E-8578-928826FFCDF6}"/>
    <cellStyle name="Moeda 7 3 3 4" xfId="53233" xr:uid="{15D70C58-6CC8-4D53-B1DC-7500D60E99C4}"/>
    <cellStyle name="Moeda 7 3 3 5" xfId="48268" xr:uid="{91AE7B15-455F-4BF1-9B81-B187A15A5D13}"/>
    <cellStyle name="Moeda 7 3 4" xfId="779" xr:uid="{3BB45A08-DC05-4EC4-83F4-E45906A1001E}"/>
    <cellStyle name="Moeda 7 3 4 2" xfId="2495" xr:uid="{2CB1662D-06AB-41D8-A8F4-68A92BD72F81}"/>
    <cellStyle name="Moeda 7 3 4 2 2" xfId="54871" xr:uid="{71486F13-F222-4BE6-869A-32BE0B7BA2AE}"/>
    <cellStyle name="Moeda 7 3 4 2 3" xfId="51577" xr:uid="{0D28145B-731A-4628-9D23-4E705A686B59}"/>
    <cellStyle name="Moeda 7 3 4 3" xfId="49938" xr:uid="{292DEAE5-5C80-4D85-8989-7E7B3E69E70B}"/>
    <cellStyle name="Moeda 7 3 4 3 2" xfId="56650" xr:uid="{4D61C476-CE0B-43AA-B753-B856CCF5F1A1}"/>
    <cellStyle name="Moeda 7 3 4 4" xfId="53234" xr:uid="{B186F6FF-D350-4A11-B4EB-B576EEA0B108}"/>
    <cellStyle name="Moeda 7 3 4 5" xfId="48269" xr:uid="{FCC137A8-7417-4A63-A2E4-51C0DE677E71}"/>
    <cellStyle name="Moeda 7 3 5" xfId="3644" xr:uid="{99D7FD5D-A951-4FEB-9C1C-7B9357A33719}"/>
    <cellStyle name="Moeda 7 3 5 2" xfId="51574" xr:uid="{4661EA5F-50D6-407D-925F-E067B1074593}"/>
    <cellStyle name="Moeda 7 3 5 3" xfId="54868" xr:uid="{01C7FA80-B396-44D4-B817-BBDDB4995005}"/>
    <cellStyle name="Moeda 7 3 5 4" xfId="48266" xr:uid="{A9E35877-42C8-44CD-BD75-D2FD0E63111B}"/>
    <cellStyle name="Moeda 7 3 6" xfId="3884" xr:uid="{1D20E86D-BA00-4F12-B3EE-CB0E2D659AF3}"/>
    <cellStyle name="Moeda 7 3 6 2" xfId="56241" xr:uid="{CD4D9BA8-4B17-466E-8F75-4476B0E3B8A0}"/>
    <cellStyle name="Moeda 7 3 6 3" xfId="49935" xr:uid="{94C72980-954F-4720-A3F3-36BA02C4E6B3}"/>
    <cellStyle name="Moeda 7 3 7" xfId="1993" xr:uid="{BA6462DA-6C55-4803-BCA4-65D24061068F}"/>
    <cellStyle name="Moeda 7 3 7 2" xfId="53231" xr:uid="{65A3C078-B0E6-4D74-9CEE-B61C9BDDCAC4}"/>
    <cellStyle name="Moeda 7 3 8" xfId="47357" xr:uid="{EF763B9A-F040-4F64-9E48-ED342CD6DDEB}"/>
    <cellStyle name="Moeda 7 3 9" xfId="4651" xr:uid="{A0EEEC41-E3A2-4359-A4BD-A3E5CDC3DD37}"/>
    <cellStyle name="Moeda 7 4" xfId="997" xr:uid="{3A9D7345-4BB9-487D-A1FC-E6F918E1AE99}"/>
    <cellStyle name="Moeda 7 4 2" xfId="3535" xr:uid="{58B9AB9F-E176-4921-85E0-52C2E4311D16}"/>
    <cellStyle name="Moeda 7 4 2 2" xfId="4128" xr:uid="{00D14D98-D083-4A05-A1D2-8DE4D35E157C}"/>
    <cellStyle name="Moeda 7 4 2 2 2" xfId="51578" xr:uid="{5ACBBCB5-B60D-45AE-A166-17612F35B887}"/>
    <cellStyle name="Moeda 7 4 2 3" xfId="54872" xr:uid="{E2AE1CB1-28B2-4E9F-98BF-B34CCFA9BEB3}"/>
    <cellStyle name="Moeda 7 4 2 4" xfId="48270" xr:uid="{33E42350-ABD6-42D6-BB00-D9E69CF10279}"/>
    <cellStyle name="Moeda 7 4 3" xfId="4300" xr:uid="{3B5C6CDD-8622-4249-A17F-88BFBEA6D0C3}"/>
    <cellStyle name="Moeda 7 4 3 2" xfId="56868" xr:uid="{7D160981-0F10-4300-AE34-3E11C747D237}"/>
    <cellStyle name="Moeda 7 4 3 3" xfId="49939" xr:uid="{9A2F6A00-161E-41BA-ADD6-D6E8D31CD838}"/>
    <cellStyle name="Moeda 7 4 4" xfId="3956" xr:uid="{BC605456-D738-4497-B563-227DB1396475}"/>
    <cellStyle name="Moeda 7 4 4 2" xfId="53235" xr:uid="{5065883F-59A3-4925-B239-0689EC687D88}"/>
    <cellStyle name="Moeda 7 4 5" xfId="1884" xr:uid="{9EA5777B-91E6-420A-BE18-960941CB9D5A}"/>
    <cellStyle name="Moeda 7 4 6" xfId="47483" xr:uid="{2232822B-0C99-4EB6-9B08-8B550291B4D3}"/>
    <cellStyle name="Moeda 7 5" xfId="1403" xr:uid="{F91F7A9A-1D83-4EFA-A834-66E3ADEEAD71}"/>
    <cellStyle name="Moeda 7 5 2" xfId="3753" xr:uid="{906C3D2D-E0F8-4415-AD22-505494B041A0}"/>
    <cellStyle name="Moeda 7 5 2 2" xfId="51579" xr:uid="{F95A10EF-716A-427E-85B3-91FE25E17B17}"/>
    <cellStyle name="Moeda 7 5 2 3" xfId="54873" xr:uid="{736F7D0B-B4F2-44C0-8AE0-47F71BCCB165}"/>
    <cellStyle name="Moeda 7 5 2 4" xfId="48271" xr:uid="{0124B875-7CEA-477E-A4CA-C345DC2E695E}"/>
    <cellStyle name="Moeda 7 5 3" xfId="4015" xr:uid="{60579116-7FBC-4CC8-9BD3-8AF0001CD75C}"/>
    <cellStyle name="Moeda 7 5 3 2" xfId="57274" xr:uid="{179ED137-E861-492C-9775-67622D06464E}"/>
    <cellStyle name="Moeda 7 5 3 3" xfId="49940" xr:uid="{291F0741-E753-4111-A3BF-220D8697583A}"/>
    <cellStyle name="Moeda 7 5 4" xfId="3064" xr:uid="{3C68E178-AF4F-4CF3-B606-ED69B3A7425D}"/>
    <cellStyle name="Moeda 7 5 4 2" xfId="53236" xr:uid="{6A576443-C9ED-4AC0-9925-D333221E7EE7}"/>
    <cellStyle name="Moeda 7 5 5" xfId="47609" xr:uid="{B666FD5A-1ABD-45E6-B0E4-0FC8F1BE4AEF}"/>
    <cellStyle name="Moeda 7 6" xfId="590" xr:uid="{7D313FDE-0754-4E4A-A618-28261FB69B76}"/>
    <cellStyle name="Moeda 7 6 2" xfId="4187" xr:uid="{AF585527-E5FC-4621-9024-3BD42F2DA311}"/>
    <cellStyle name="Moeda 7 6 2 2" xfId="54874" xr:uid="{70E2B4C9-83FB-410A-B93C-4D580FACA089}"/>
    <cellStyle name="Moeda 7 6 2 3" xfId="51580" xr:uid="{56856BC4-4417-4E2B-B29F-98E334279A09}"/>
    <cellStyle name="Moeda 7 6 3" xfId="2306" xr:uid="{C90C779E-B389-4C1C-94D6-C67357C960E4}"/>
    <cellStyle name="Moeda 7 6 3 2" xfId="56461" xr:uid="{51CE5ABF-DB47-4A52-BC35-8359E93118C2}"/>
    <cellStyle name="Moeda 7 6 3 3" xfId="49941" xr:uid="{2C28F939-39A7-4C1F-A6C6-DA24995676D7}"/>
    <cellStyle name="Moeda 7 6 4" xfId="53237" xr:uid="{30415E78-BD4B-49E1-93BC-F0B3D82259B4}"/>
    <cellStyle name="Moeda 7 6 5" xfId="48272" xr:uid="{1562D417-B38C-4EBE-BA68-7BDA9A1C726A}"/>
    <cellStyle name="Moeda 7 7" xfId="3425" xr:uid="{79344618-E38C-43A1-9CE4-16BCBA191C68}"/>
    <cellStyle name="Moeda 7 7 2" xfId="51565" xr:uid="{15FCEE17-E4E3-4A75-B939-BF5F1A47456E}"/>
    <cellStyle name="Moeda 7 7 3" xfId="54859" xr:uid="{8E0FCA1E-60B4-4B53-86D5-0FF128F1306B}"/>
    <cellStyle name="Moeda 7 7 4" xfId="48257" xr:uid="{8AA1E020-142A-4433-BAAA-8F9A125666AD}"/>
    <cellStyle name="Moeda 7 8" xfId="3844" xr:uid="{66B5788F-35FB-475C-B171-A841E41841E3}"/>
    <cellStyle name="Moeda 7 8 2" xfId="56052" xr:uid="{89492DA5-F32D-4729-B4A9-C0B5E80AB541}"/>
    <cellStyle name="Moeda 7 8 3" xfId="49926" xr:uid="{7CA4BCAF-D849-432E-8F4B-3924D2BCA785}"/>
    <cellStyle name="Moeda 7 9" xfId="1773" xr:uid="{9EB9D124-6A93-4AF1-92A0-216B46E70B37}"/>
    <cellStyle name="Moeda 7 9 2" xfId="53222" xr:uid="{0D989F72-F2A0-46E0-8BB1-1152FDB99C82}"/>
    <cellStyle name="Moeda 8" xfId="207" xr:uid="{75A80F61-887C-4CB5-BE07-73DAFA6FA482}"/>
    <cellStyle name="Moeda 8 10" xfId="4488" xr:uid="{676578B7-326C-4B24-BFBF-CFF8A8798CFC}"/>
    <cellStyle name="Moeda 8 2" xfId="396" xr:uid="{8D4629C9-AC9A-4F25-BA6E-98618EBEED73}"/>
    <cellStyle name="Moeda 8 2 2" xfId="1212" xr:uid="{44313BC6-66D9-4523-9579-24763A97DF6B}"/>
    <cellStyle name="Moeda 8 2 2 2" xfId="4069" xr:uid="{E5E4EA1B-4ED7-44C7-9351-C38378FD3C26}"/>
    <cellStyle name="Moeda 8 2 2 2 2" xfId="54877" xr:uid="{0797DC84-2430-457F-B1F6-EFCDE72B9520}"/>
    <cellStyle name="Moeda 8 2 2 2 3" xfId="51583" xr:uid="{FA00CCFB-E6FE-4CF2-AB93-6B605BF37CBE}"/>
    <cellStyle name="Moeda 8 2 2 3" xfId="2873" xr:uid="{BC13AB77-6FB9-466B-960A-634F48B504BD}"/>
    <cellStyle name="Moeda 8 2 2 3 2" xfId="57083" xr:uid="{F0CB8CB8-3DFF-4D74-830F-739BDD45BF4B}"/>
    <cellStyle name="Moeda 8 2 2 3 3" xfId="49944" xr:uid="{6AB2CCAB-F476-411C-A64E-EFF7422E978B}"/>
    <cellStyle name="Moeda 8 2 2 4" xfId="53240" xr:uid="{C8287951-EFD2-4A02-9DDF-9AC199AD3F02}"/>
    <cellStyle name="Moeda 8 2 2 5" xfId="48275" xr:uid="{F0724BBD-A1FD-4DF7-8BA0-E83CF7B35A1A}"/>
    <cellStyle name="Moeda 8 2 3" xfId="1618" xr:uid="{BA289AD7-0855-4DB4-BC51-78938A9F72F4}"/>
    <cellStyle name="Moeda 8 2 3 2" xfId="4241" xr:uid="{E5809C38-4E22-4D55-A7BA-AD4A1CDCE72A}"/>
    <cellStyle name="Moeda 8 2 3 2 2" xfId="54878" xr:uid="{5867ED82-E925-40D6-9C8E-CC65FD77AD49}"/>
    <cellStyle name="Moeda 8 2 3 2 3" xfId="51584" xr:uid="{5F838F63-2167-48C9-B3D2-B759DA8BC0AB}"/>
    <cellStyle name="Moeda 8 2 3 3" xfId="3278" xr:uid="{0A5A353A-B1F9-4228-BBB0-FAA4A4E5CABA}"/>
    <cellStyle name="Moeda 8 2 3 3 2" xfId="57489" xr:uid="{98B07A18-78AE-4CEF-AA73-6D178ECA011D}"/>
    <cellStyle name="Moeda 8 2 3 3 3" xfId="49945" xr:uid="{333F120A-6A5B-43D6-B28F-68317134A25A}"/>
    <cellStyle name="Moeda 8 2 3 4" xfId="53241" xr:uid="{B29D6E7F-E027-4BF0-A3DC-148B26774BAF}"/>
    <cellStyle name="Moeda 8 2 3 5" xfId="48276" xr:uid="{5561C8B6-D7C7-4160-A97C-5386FDD38F85}"/>
    <cellStyle name="Moeda 8 2 4" xfId="805" xr:uid="{9634445D-8A8F-4B47-BF2F-277872543702}"/>
    <cellStyle name="Moeda 8 2 4 2" xfId="2521" xr:uid="{92C21946-970D-4D4D-BF87-AE16DBD3F6BF}"/>
    <cellStyle name="Moeda 8 2 4 2 2" xfId="54879" xr:uid="{94793447-E46E-4B60-8830-554974DB3320}"/>
    <cellStyle name="Moeda 8 2 4 2 3" xfId="51585" xr:uid="{3D08DE5D-43A2-4F17-BA2E-A850A988B38C}"/>
    <cellStyle name="Moeda 8 2 4 3" xfId="49946" xr:uid="{1C76BA2B-91E6-4988-A761-F07AA4DF56C0}"/>
    <cellStyle name="Moeda 8 2 4 3 2" xfId="56676" xr:uid="{1972118E-E12A-43CD-9E5D-E4E72211D2E6}"/>
    <cellStyle name="Moeda 8 2 4 4" xfId="53242" xr:uid="{FC9324B8-F667-4656-B482-DC173157644A}"/>
    <cellStyle name="Moeda 8 2 4 5" xfId="48277" xr:uid="{B48D55C5-232B-4B92-90AF-3E063DC28E80}"/>
    <cellStyle name="Moeda 8 2 5" xfId="3659" xr:uid="{41D4F488-CCD3-48FE-A115-0B02C838B042}"/>
    <cellStyle name="Moeda 8 2 5 2" xfId="51582" xr:uid="{1DD035E9-D60A-45FA-91D4-7CD91980930A}"/>
    <cellStyle name="Moeda 8 2 5 3" xfId="54876" xr:uid="{8A107382-C31C-4D25-86D1-036F391E1F2E}"/>
    <cellStyle name="Moeda 8 2 5 4" xfId="48274" xr:uid="{F8D2DF4F-7CBC-4107-A861-4867C2683E4D}"/>
    <cellStyle name="Moeda 8 2 6" xfId="3898" xr:uid="{96602D8D-E235-449A-88FF-BC09C74A487F}"/>
    <cellStyle name="Moeda 8 2 6 2" xfId="56267" xr:uid="{4568AB31-4099-4E93-A7B7-2754BD272A16}"/>
    <cellStyle name="Moeda 8 2 6 3" xfId="49943" xr:uid="{6F3437FA-8043-4007-A84A-6F814887E792}"/>
    <cellStyle name="Moeda 8 2 7" xfId="2008" xr:uid="{7CE0130D-252A-4EB6-A3E2-CD8A32E6C26C}"/>
    <cellStyle name="Moeda 8 2 7 2" xfId="53239" xr:uid="{9257C4C0-497A-416F-8E9F-99756A60EE45}"/>
    <cellStyle name="Moeda 8 2 8" xfId="32879" xr:uid="{1AFD0B27-46D3-49A8-BD09-3CE9B7B2A146}"/>
    <cellStyle name="Moeda 8 2 9" xfId="4677" xr:uid="{57C08814-5E39-4F46-AA7B-9870A2191EEA}"/>
    <cellStyle name="Moeda 8 3" xfId="1023" xr:uid="{34898583-3C0D-4BD4-94CF-61178D507CF0}"/>
    <cellStyle name="Moeda 8 3 2" xfId="3550" xr:uid="{C1195A0E-0410-43FB-B07F-F4D316CF1FE7}"/>
    <cellStyle name="Moeda 8 3 2 2" xfId="4142" xr:uid="{1B3249CA-5982-46EC-A0FF-CF12BD7F5063}"/>
    <cellStyle name="Moeda 8 3 2 2 2" xfId="51586" xr:uid="{F2EB34B7-AD3D-45FA-8E22-3DF770A523C6}"/>
    <cellStyle name="Moeda 8 3 2 3" xfId="54880" xr:uid="{867A0B0F-9D3A-4D98-BA35-0A881C401FA1}"/>
    <cellStyle name="Moeda 8 3 2 4" xfId="48278" xr:uid="{F0E0D41D-8789-4447-8172-3E5B22E9FBEB}"/>
    <cellStyle name="Moeda 8 3 3" xfId="4314" xr:uid="{C076B1EC-3186-4978-978A-7F4757207BC7}"/>
    <cellStyle name="Moeda 8 3 3 2" xfId="56894" xr:uid="{9C21F6A0-1CE2-42C1-8FD0-0C8BFAD223D5}"/>
    <cellStyle name="Moeda 8 3 3 3" xfId="49947" xr:uid="{2150B557-AD30-4303-87F7-B83EA3F87A29}"/>
    <cellStyle name="Moeda 8 3 4" xfId="3970" xr:uid="{23B7F1D7-529E-45E6-B719-3D7E1690E96E}"/>
    <cellStyle name="Moeda 8 3 4 2" xfId="53243" xr:uid="{54A346E2-EA4E-4432-A96A-405BE5D26214}"/>
    <cellStyle name="Moeda 8 3 5" xfId="1899" xr:uid="{D7F49770-D751-410E-804A-5AFF3FFC5086}"/>
    <cellStyle name="Moeda 8 3 6" xfId="47373" xr:uid="{9033AD7A-47E9-4192-8CC3-060B1FC0BC70}"/>
    <cellStyle name="Moeda 8 4" xfId="1429" xr:uid="{754B2DE8-84BC-471A-872A-A2A5B4EDEFEC}"/>
    <cellStyle name="Moeda 8 4 2" xfId="3768" xr:uid="{A9530793-45C4-4193-A98D-057723171189}"/>
    <cellStyle name="Moeda 8 4 2 2" xfId="51587" xr:uid="{B3FD6F71-492D-49AF-8936-CB843E1F3F27}"/>
    <cellStyle name="Moeda 8 4 2 3" xfId="54881" xr:uid="{403E1FF5-6C3C-4777-B23E-138AA0E83159}"/>
    <cellStyle name="Moeda 8 4 2 4" xfId="48279" xr:uid="{7DD8065B-9FA1-4E2D-9A2F-3E0B6C9227D1}"/>
    <cellStyle name="Moeda 8 4 3" xfId="4029" xr:uid="{42FCD7CF-53FB-4E3D-8D20-CF0A41EBA431}"/>
    <cellStyle name="Moeda 8 4 3 2" xfId="57300" xr:uid="{52855EA7-E9CE-447B-B5C8-FDA6A9CD2507}"/>
    <cellStyle name="Moeda 8 4 3 3" xfId="49948" xr:uid="{E69CBE8E-9B16-4ACF-A170-19B41648C15A}"/>
    <cellStyle name="Moeda 8 4 4" xfId="3090" xr:uid="{FEA5CF37-700D-4891-8876-66CE327F8AAA}"/>
    <cellStyle name="Moeda 8 4 4 2" xfId="53244" xr:uid="{249156E8-FB7E-49A2-A611-C0F96EA28423}"/>
    <cellStyle name="Moeda 8 4 5" xfId="47499" xr:uid="{56AD6AA8-C114-42FE-85F4-3CD70741F127}"/>
    <cellStyle name="Moeda 8 5" xfId="616" xr:uid="{CD1B6B91-9C33-4DD4-8F89-7FEC173E865C}"/>
    <cellStyle name="Moeda 8 5 2" xfId="4201" xr:uid="{905EE34D-AB1A-4C64-89F9-470877F707E4}"/>
    <cellStyle name="Moeda 8 5 2 2" xfId="51588" xr:uid="{BDEE6829-AF53-4DA7-A699-E325C68F10D1}"/>
    <cellStyle name="Moeda 8 5 2 3" xfId="54882" xr:uid="{B61ADDC3-CA3F-4930-A1A2-75876DB2174B}"/>
    <cellStyle name="Moeda 8 5 2 4" xfId="48280" xr:uid="{202E8E50-8F50-4D2C-90D2-AF45AE55C48B}"/>
    <cellStyle name="Moeda 8 5 3" xfId="2332" xr:uid="{B3F0A6EB-7743-4DCE-BAE9-BFF26F1903DF}"/>
    <cellStyle name="Moeda 8 5 3 2" xfId="56487" xr:uid="{536FB4E3-EFB5-4DA6-A31B-AB1AAE59CF31}"/>
    <cellStyle name="Moeda 8 5 3 3" xfId="49949" xr:uid="{CF9FF46F-F776-4C32-981A-458E6E4A109B}"/>
    <cellStyle name="Moeda 8 5 4" xfId="53245" xr:uid="{F0444A49-C3C2-423F-BFDC-92EE04D80178}"/>
    <cellStyle name="Moeda 8 5 5" xfId="47625" xr:uid="{068EBA2D-B846-4A54-A6B5-08D030DB8EA6}"/>
    <cellStyle name="Moeda 8 6" xfId="3440" xr:uid="{E9EA7121-7854-4018-A969-448378D80E74}"/>
    <cellStyle name="Moeda 8 6 2" xfId="51581" xr:uid="{24041CB9-745D-4891-940D-5C5647CF8588}"/>
    <cellStyle name="Moeda 8 6 3" xfId="54875" xr:uid="{6C4DCB09-AB46-402F-A016-00A76C4FA1C9}"/>
    <cellStyle name="Moeda 8 6 4" xfId="48273" xr:uid="{4B8891A2-2EB1-4D5B-80B0-AC0015357C14}"/>
    <cellStyle name="Moeda 8 7" xfId="3858" xr:uid="{2DDE5EFA-C03E-4822-840C-FDBBCFEFC9AF}"/>
    <cellStyle name="Moeda 8 7 2" xfId="56078" xr:uid="{E6A96F57-A2A2-4372-B295-7F01D72C8D9B}"/>
    <cellStyle name="Moeda 8 7 3" xfId="49942" xr:uid="{270D3392-20BD-4B55-A3F2-2F002AD0ADC3}"/>
    <cellStyle name="Moeda 8 8" xfId="1789" xr:uid="{5EE32A1A-7176-4FC1-AA0D-C3A7BE034D28}"/>
    <cellStyle name="Moeda 8 8 2" xfId="53238" xr:uid="{8D793326-CB9F-4CDF-AC83-CC7935D8AFC5}"/>
    <cellStyle name="Moeda 8 9" xfId="12538" xr:uid="{4D83C144-6752-4F2B-969F-C85AE39D10A9}"/>
    <cellStyle name="Moeda 9" xfId="259" xr:uid="{C4A6932E-6F29-415E-B92E-9056793E0C0A}"/>
    <cellStyle name="Moeda 9 10" xfId="4540" xr:uid="{22840E8F-85C0-453F-B77D-831E6FEE6DF1}"/>
    <cellStyle name="Moeda 9 2" xfId="448" xr:uid="{5C27AD3D-3BB9-4393-A729-31BED2C060C4}"/>
    <cellStyle name="Moeda 9 2 2" xfId="1264" xr:uid="{CE806A08-9791-4A18-B105-5D7D307AB59B}"/>
    <cellStyle name="Moeda 9 2 2 2" xfId="4077" xr:uid="{319FF30E-3E30-4714-A381-DB2E6D5A51DF}"/>
    <cellStyle name="Moeda 9 2 2 2 2" xfId="54885" xr:uid="{857835FB-8A2D-4A47-B077-D4C19E1C30C4}"/>
    <cellStyle name="Moeda 9 2 2 2 3" xfId="51591" xr:uid="{705F71A2-4F24-422F-BE94-80C62E5EE3AB}"/>
    <cellStyle name="Moeda 9 2 2 3" xfId="2925" xr:uid="{8C38C05C-59C2-493A-AEC2-1F0297105981}"/>
    <cellStyle name="Moeda 9 2 2 3 2" xfId="57135" xr:uid="{2F91AC5F-C1EF-438F-BF05-54DFA38E3B47}"/>
    <cellStyle name="Moeda 9 2 2 3 3" xfId="49952" xr:uid="{F7481B19-25CF-422F-8BD7-6A57FF9EF5B3}"/>
    <cellStyle name="Moeda 9 2 2 4" xfId="53248" xr:uid="{CF906321-04D6-4701-8CCD-D4E7D4DF695E}"/>
    <cellStyle name="Moeda 9 2 2 5" xfId="48283" xr:uid="{46681518-D114-4081-A2AD-BC552893A504}"/>
    <cellStyle name="Moeda 9 2 3" xfId="1670" xr:uid="{D87E55EF-AFA5-497A-9792-08ED51272AFC}"/>
    <cellStyle name="Moeda 9 2 3 2" xfId="4249" xr:uid="{1EDCCD15-3AE8-4DA2-BBCE-3AC050523629}"/>
    <cellStyle name="Moeda 9 2 3 2 2" xfId="54886" xr:uid="{DEA537DE-6C32-45F9-A116-4546CEC41E68}"/>
    <cellStyle name="Moeda 9 2 3 2 3" xfId="51592" xr:uid="{3A1D579A-A0E1-4B60-94DF-A3368970606C}"/>
    <cellStyle name="Moeda 9 2 3 3" xfId="3330" xr:uid="{610FDDDF-3873-4297-8FD8-4050DB083A05}"/>
    <cellStyle name="Moeda 9 2 3 3 2" xfId="57541" xr:uid="{244D9BFF-2497-4FE1-8F88-1FCC7B1C1B2D}"/>
    <cellStyle name="Moeda 9 2 3 3 3" xfId="49953" xr:uid="{A70DDFEE-9923-4459-9A61-A80D9FBAF799}"/>
    <cellStyle name="Moeda 9 2 3 4" xfId="53249" xr:uid="{9613A7C8-0C9C-4FB2-BF7E-1EA5C9BD461B}"/>
    <cellStyle name="Moeda 9 2 3 5" xfId="48284" xr:uid="{6B3AD497-7641-4424-9382-BD938709F096}"/>
    <cellStyle name="Moeda 9 2 4" xfId="857" xr:uid="{8B585A5C-B26D-47FB-B140-0D8E85B62EE8}"/>
    <cellStyle name="Moeda 9 2 4 2" xfId="2573" xr:uid="{0B81547E-A985-4B63-9582-08BA7FFF557D}"/>
    <cellStyle name="Moeda 9 2 4 2 2" xfId="54887" xr:uid="{47930377-3D88-49EB-80EE-3D8FF3B7BBE6}"/>
    <cellStyle name="Moeda 9 2 4 2 3" xfId="51593" xr:uid="{4210299B-1F39-4F3F-83D8-B3CCA46B8DFA}"/>
    <cellStyle name="Moeda 9 2 4 3" xfId="49954" xr:uid="{40699203-709B-4E66-A319-5924FC7D2B4A}"/>
    <cellStyle name="Moeda 9 2 4 3 2" xfId="56728" xr:uid="{1CD7E992-BC30-4C33-9B24-1E1715610A2C}"/>
    <cellStyle name="Moeda 9 2 4 4" xfId="53250" xr:uid="{90FA973D-9F3F-4C22-A46B-9C2D5CCD71C2}"/>
    <cellStyle name="Moeda 9 2 4 5" xfId="48285" xr:uid="{B8E23F86-0527-4E26-B4E6-F52F7F32F2DF}"/>
    <cellStyle name="Moeda 9 2 5" xfId="3701" xr:uid="{CE92A6FB-0782-4D61-B47B-1F05681BC0FB}"/>
    <cellStyle name="Moeda 9 2 5 2" xfId="51590" xr:uid="{313D3730-333D-4DC3-BEF3-F620E57F7714}"/>
    <cellStyle name="Moeda 9 2 5 3" xfId="54884" xr:uid="{0A534664-9CAE-443C-A844-5537110C74DD}"/>
    <cellStyle name="Moeda 9 2 5 4" xfId="48282" xr:uid="{B9BAA8C0-716E-4543-AF52-CEACADC88418}"/>
    <cellStyle name="Moeda 9 2 6" xfId="3906" xr:uid="{FB8EB04B-DF1F-40AC-BCF5-905C8A3535AE}"/>
    <cellStyle name="Moeda 9 2 6 2" xfId="56319" xr:uid="{95D57A59-C677-4A1E-834D-27EA0471D52F}"/>
    <cellStyle name="Moeda 9 2 6 3" xfId="49951" xr:uid="{E5B0E495-80B9-4D94-951F-7845E0671645}"/>
    <cellStyle name="Moeda 9 2 7" xfId="2050" xr:uid="{A7954793-0274-4501-8090-042277A8B9D8}"/>
    <cellStyle name="Moeda 9 2 7 2" xfId="53247" xr:uid="{9B7511E4-7CE0-4E8A-9C8A-82C4A5D8854D}"/>
    <cellStyle name="Moeda 9 2 8" xfId="47415" xr:uid="{E623656F-3F15-4B9D-A2D2-4F1B76455756}"/>
    <cellStyle name="Moeda 9 2 9" xfId="4729" xr:uid="{0CAEBF08-976C-45E2-926D-BA62B64DF2F4}"/>
    <cellStyle name="Moeda 9 3" xfId="1075" xr:uid="{03DD9BD1-4DCB-4559-93C7-261A5F2E575D}"/>
    <cellStyle name="Moeda 9 3 2" xfId="3592" xr:uid="{ACAF1F97-708A-48C2-B61E-638D2DB26A9D}"/>
    <cellStyle name="Moeda 9 3 2 2" xfId="4150" xr:uid="{4EC2AA76-B045-48BC-B0DC-2E7651B4C787}"/>
    <cellStyle name="Moeda 9 3 2 2 2" xfId="51594" xr:uid="{65BBF481-60B7-4375-B259-EFF1D61DFBBC}"/>
    <cellStyle name="Moeda 9 3 2 3" xfId="54888" xr:uid="{BBF813F2-26C6-4E33-A40D-9E8FE90784DE}"/>
    <cellStyle name="Moeda 9 3 2 4" xfId="48286" xr:uid="{875DFC82-74E4-4599-AB84-7C8BF107A2E3}"/>
    <cellStyle name="Moeda 9 3 3" xfId="4322" xr:uid="{BF0EA321-9654-48A8-AE58-F6DA6809A0DA}"/>
    <cellStyle name="Moeda 9 3 3 2" xfId="56946" xr:uid="{AB245DF8-9453-480B-9593-4ADC138559AC}"/>
    <cellStyle name="Moeda 9 3 3 3" xfId="49955" xr:uid="{102FC066-B34C-4573-A796-639CE5859550}"/>
    <cellStyle name="Moeda 9 3 4" xfId="3978" xr:uid="{51AE1206-FD63-48B1-B27D-6BBE52751B62}"/>
    <cellStyle name="Moeda 9 3 4 2" xfId="53251" xr:uid="{E0AF9AA6-630C-446B-A09C-D367CC4CA890}"/>
    <cellStyle name="Moeda 9 3 5" xfId="1941" xr:uid="{737B5BCC-DA7D-4C22-9931-657EB3F51CAD}"/>
    <cellStyle name="Moeda 9 3 6" xfId="47541" xr:uid="{E15A5F6D-2F62-48A7-98A5-BA260B371BA8}"/>
    <cellStyle name="Moeda 9 4" xfId="1481" xr:uid="{2EA0EF9D-67DA-4241-8225-B432F36B35B1}"/>
    <cellStyle name="Moeda 9 4 2" xfId="3810" xr:uid="{082EB948-C7E3-49C4-BF60-A668AE711B5B}"/>
    <cellStyle name="Moeda 9 4 2 2" xfId="51595" xr:uid="{A6E0EFE3-D9DE-49B9-B867-28C6A2A5E5B5}"/>
    <cellStyle name="Moeda 9 4 2 3" xfId="54889" xr:uid="{EFD880F7-51A8-4826-94A2-F2BB9A6BD662}"/>
    <cellStyle name="Moeda 9 4 2 4" xfId="48287" xr:uid="{D6917518-2D4D-4845-858A-D519FEAEF071}"/>
    <cellStyle name="Moeda 9 4 3" xfId="4037" xr:uid="{22EE6E28-42D9-42C7-8B8F-3A6F874DF24E}"/>
    <cellStyle name="Moeda 9 4 3 2" xfId="57352" xr:uid="{85FC037A-47BC-45AF-8360-26161A1BADCB}"/>
    <cellStyle name="Moeda 9 4 3 3" xfId="49956" xr:uid="{80FC9940-35A2-48D5-95A5-D6F3C1C3F87C}"/>
    <cellStyle name="Moeda 9 4 4" xfId="3142" xr:uid="{E680B0B2-C123-424D-A8ED-B47ECF4F50AF}"/>
    <cellStyle name="Moeda 9 4 4 2" xfId="53252" xr:uid="{D9DD7236-7A8F-4E8A-B226-FF8BB0EC4F0B}"/>
    <cellStyle name="Moeda 9 4 5" xfId="47667" xr:uid="{09AB87B7-B4B5-4A4D-8D92-EDC086376B0A}"/>
    <cellStyle name="Moeda 9 5" xfId="668" xr:uid="{774DCB81-521A-4F0F-8604-FF7E0935C70C}"/>
    <cellStyle name="Moeda 9 5 2" xfId="4209" xr:uid="{9AB63D08-9D54-438F-B93D-0E1B91AE4A7D}"/>
    <cellStyle name="Moeda 9 5 2 2" xfId="54890" xr:uid="{1AE1F0DF-AED7-4975-AD8E-97B0FF312BFA}"/>
    <cellStyle name="Moeda 9 5 2 3" xfId="51596" xr:uid="{81FAC2B0-E211-4D2D-BBB0-CD1AE668BC95}"/>
    <cellStyle name="Moeda 9 5 3" xfId="2384" xr:uid="{92C34DAD-0F2B-44C2-BE00-8A2AF8AD563F}"/>
    <cellStyle name="Moeda 9 5 3 2" xfId="56539" xr:uid="{C8F2D371-05C4-4D71-893D-6E3F63EF0310}"/>
    <cellStyle name="Moeda 9 5 3 3" xfId="49957" xr:uid="{673E2725-4876-468B-B4CB-B12252459B06}"/>
    <cellStyle name="Moeda 9 5 4" xfId="53253" xr:uid="{9E634252-488B-45B8-A74D-93EDC3102712}"/>
    <cellStyle name="Moeda 9 5 5" xfId="48288" xr:uid="{475275A0-A0A2-4CE1-8FE4-1DB057335F3B}"/>
    <cellStyle name="Moeda 9 6" xfId="3482" xr:uid="{CD401429-DCBF-43E2-A377-C2794AAF0792}"/>
    <cellStyle name="Moeda 9 6 2" xfId="51589" xr:uid="{2ACACB39-124D-4899-A2B0-016CB53A55B9}"/>
    <cellStyle name="Moeda 9 6 3" xfId="54883" xr:uid="{812059E7-2B01-4B55-A37F-C3C32A26DF63}"/>
    <cellStyle name="Moeda 9 6 4" xfId="48281" xr:uid="{203F1A89-2869-4CBC-94E2-742B6A28F379}"/>
    <cellStyle name="Moeda 9 7" xfId="3866" xr:uid="{2EEBF428-CBE3-45AE-BCB5-F6FAD4BC90A9}"/>
    <cellStyle name="Moeda 9 7 2" xfId="56130" xr:uid="{B56F5521-F95F-41C6-835B-1D441BA9AC40}"/>
    <cellStyle name="Moeda 9 7 3" xfId="49950" xr:uid="{B6A832AE-96F9-477F-A789-1AA11990305A}"/>
    <cellStyle name="Moeda 9 8" xfId="1831" xr:uid="{6FBB3046-708A-4D97-BF03-F68B6AC3886E}"/>
    <cellStyle name="Moeda 9 8 2" xfId="53246" xr:uid="{302D8DDC-492C-49FD-9703-106F6E7551AB}"/>
    <cellStyle name="Moeda 9 9" xfId="47280" xr:uid="{4AF2BCCB-BBD7-4235-962F-1BACCA25D909}"/>
    <cellStyle name="Neutral" xfId="98" xr:uid="{E230D9AA-6727-4873-885D-1C5596A459C6}"/>
    <cellStyle name="Neutral 2" xfId="5199" xr:uid="{3857903F-A02A-4A87-827A-8D814DE757B4}"/>
    <cellStyle name="Normal" xfId="0" builtinId="0"/>
    <cellStyle name="Normal 10" xfId="56" xr:uid="{56A1A0FD-43F5-4015-9958-608E8CABDB50}"/>
    <cellStyle name="Normal 10 10" xfId="18979" xr:uid="{DEEDCDBE-2C17-4DEF-BC97-6B55A244222E}"/>
    <cellStyle name="Normal 10 10 2" xfId="39318" xr:uid="{5EFE7867-0C4B-4074-B9B1-8487F93B2BB9}"/>
    <cellStyle name="Normal 10 11" xfId="22234" xr:uid="{74410AF9-F3FA-4EC0-A706-F63E2BA02F9C}"/>
    <cellStyle name="Normal 10 11 2" xfId="42569" xr:uid="{4D3D2C4B-786B-4ED1-89B5-8A3DBCC79A23}"/>
    <cellStyle name="Normal 10 12" xfId="11951" xr:uid="{C19EAA02-7D41-4828-8BF1-6F1FC2117DCD}"/>
    <cellStyle name="Normal 10 12 2" xfId="32292" xr:uid="{9BE647E1-1E51-4F23-BD68-63B10E896A7C}"/>
    <cellStyle name="Normal 10 13" xfId="8690" xr:uid="{CBD7B6E8-E441-4655-B2D0-ED66F552CE03}"/>
    <cellStyle name="Normal 10 13 2" xfId="29033" xr:uid="{5710A8C7-9541-4E2D-88AE-6F64E34D2621}"/>
    <cellStyle name="Normal 10 14" xfId="25535" xr:uid="{3453F773-243D-4D1B-A650-A66A2113E8C7}"/>
    <cellStyle name="Normal 10 15" xfId="5215" xr:uid="{0246AB41-8155-421E-81BA-6E7EA5AE6D60}"/>
    <cellStyle name="Normal 10 2" xfId="5336" xr:uid="{B14B3A76-7169-4AD6-8830-52F0D3ECF2BE}"/>
    <cellStyle name="Normal 10 2 10" xfId="12066" xr:uid="{C2F71AE7-7BD3-4205-8879-BB61CFCF5AF5}"/>
    <cellStyle name="Normal 10 2 10 2" xfId="32407" xr:uid="{DAFA63A2-E112-4D92-B62E-07E2BE2AF8C5}"/>
    <cellStyle name="Normal 10 2 11" xfId="8805" xr:uid="{2F32F4E0-5D7D-4C0E-8B0B-C7788181E870}"/>
    <cellStyle name="Normal 10 2 11 2" xfId="29148" xr:uid="{EEF116B3-B85B-4965-A728-D35EC662B672}"/>
    <cellStyle name="Normal 10 2 12" xfId="25654" xr:uid="{E11F7775-F5A9-4E62-B757-00EB6BF08F13}"/>
    <cellStyle name="Normal 10 2 2" xfId="5887" xr:uid="{DFEF5C64-4C16-4CCD-A496-262928D60EF0}"/>
    <cellStyle name="Normal 10 2 2 2" xfId="7045" xr:uid="{2C239DFD-F9AA-4626-93EF-F4A75F806D14}"/>
    <cellStyle name="Normal 10 2 2 2 2" xfId="17331" xr:uid="{12132DEB-0885-4FE2-9755-EAA1FB4A4B41}"/>
    <cellStyle name="Normal 10 2 2 2 2 2" xfId="37671" xr:uid="{CB6EA5E3-C04A-4982-B192-995D96E37C8C}"/>
    <cellStyle name="Normal 10 2 2 2 3" xfId="20833" xr:uid="{3E7EB718-4EAA-4D84-93D7-DE2E42056074}"/>
    <cellStyle name="Normal 10 2 2 2 3 2" xfId="41172" xr:uid="{51083244-5C7B-431F-BE41-252687502FFA}"/>
    <cellStyle name="Normal 10 2 2 2 4" xfId="24088" xr:uid="{9FD598AA-5299-4A87-89DB-444F20C1BB59}"/>
    <cellStyle name="Normal 10 2 2 2 4 2" xfId="44423" xr:uid="{D50C2C19-3188-4D2E-B632-5C06F53D8B25}"/>
    <cellStyle name="Normal 10 2 2 2 5" xfId="14422" xr:uid="{99DEFC25-6009-4185-A7E2-50213C2186CD}"/>
    <cellStyle name="Normal 10 2 2 2 5 2" xfId="34763" xr:uid="{FD3E9097-E0FB-4F1D-BEB1-32ED8BAF622D}"/>
    <cellStyle name="Normal 10 2 2 2 6" xfId="10544" xr:uid="{B203CFF2-B695-4B85-8DAF-AAD12872979A}"/>
    <cellStyle name="Normal 10 2 2 2 6 2" xfId="30887" xr:uid="{B7CF28D3-E6DB-4368-82B3-46B8C7C28B2C}"/>
    <cellStyle name="Normal 10 2 2 2 7" xfId="27393" xr:uid="{581F32BA-75E9-49B1-9F07-4848BEB1DF57}"/>
    <cellStyle name="Normal 10 2 2 3" xfId="16173" xr:uid="{1E7BE9A4-76BE-4AF8-9DAD-E4151A63C680}"/>
    <cellStyle name="Normal 10 2 2 3 2" xfId="36513" xr:uid="{1B000FFF-7A05-4E99-8B96-AE68D0B88828}"/>
    <cellStyle name="Normal 10 2 2 4" xfId="19675" xr:uid="{A65F734C-257A-49DB-8EBA-478FC2FDB90C}"/>
    <cellStyle name="Normal 10 2 2 4 2" xfId="40014" xr:uid="{B887163A-6F6B-4DDB-BADF-E0B861B83DF5}"/>
    <cellStyle name="Normal 10 2 2 5" xfId="22930" xr:uid="{5BA7ACCF-CD94-4EBC-83E3-D72227537356}"/>
    <cellStyle name="Normal 10 2 2 5 2" xfId="43265" xr:uid="{29D88A7C-78DB-45B6-ADDE-4B42DAD2BABC}"/>
    <cellStyle name="Normal 10 2 2 6" xfId="13266" xr:uid="{4B730F91-D3FC-4D94-8FA9-BCFCC709BE37}"/>
    <cellStyle name="Normal 10 2 2 6 2" xfId="33607" xr:uid="{6C4AF9A3-3972-4B3F-BFAE-2B6E0C42A39B}"/>
    <cellStyle name="Normal 10 2 2 7" xfId="9386" xr:uid="{C82807E7-46DB-445C-BF73-039C53EBA34F}"/>
    <cellStyle name="Normal 10 2 2 7 2" xfId="29729" xr:uid="{7BC8EC68-E8D8-4A23-A1FC-3A9C93240415}"/>
    <cellStyle name="Normal 10 2 2 8" xfId="26235" xr:uid="{13111720-7F71-41E3-8D9C-2A14B8535D0C}"/>
    <cellStyle name="Normal 10 2 3" xfId="6464" xr:uid="{508D915A-E0D7-4FFC-8E6E-F7E789817BB7}"/>
    <cellStyle name="Normal 10 2 3 2" xfId="16750" xr:uid="{C77F228C-55D4-4D1D-9ADC-79CC21C21441}"/>
    <cellStyle name="Normal 10 2 3 2 2" xfId="37090" xr:uid="{08269A64-9FE9-46C9-8E24-60C4A083F70D}"/>
    <cellStyle name="Normal 10 2 3 3" xfId="20252" xr:uid="{D99BDF1C-CDBB-46F4-93D7-DB4187A7F2B1}"/>
    <cellStyle name="Normal 10 2 3 3 2" xfId="40591" xr:uid="{92F65694-2EC5-4B4A-8811-101E43C7D2D8}"/>
    <cellStyle name="Normal 10 2 3 4" xfId="23507" xr:uid="{B52E8F1A-0929-45F1-B222-3F5D362A2892}"/>
    <cellStyle name="Normal 10 2 3 4 2" xfId="43842" xr:uid="{CB646C16-1B79-435D-9252-FA550D764000}"/>
    <cellStyle name="Normal 10 2 3 5" xfId="13841" xr:uid="{1A5B8CD1-47C0-4351-BC63-8B7D2F58A889}"/>
    <cellStyle name="Normal 10 2 3 5 2" xfId="34182" xr:uid="{8A08692B-49D5-43CD-9374-E96FBC1E4739}"/>
    <cellStyle name="Normal 10 2 3 6" xfId="9963" xr:uid="{58F733EC-C931-4306-BF72-DEBC63D9EA69}"/>
    <cellStyle name="Normal 10 2 3 6 2" xfId="30306" xr:uid="{17781CC8-4A12-42B3-8C40-13602F89CE48}"/>
    <cellStyle name="Normal 10 2 3 7" xfId="26812" xr:uid="{7BACE3DD-C8FB-4F64-904D-0D09F522A48A}"/>
    <cellStyle name="Normal 10 2 4" xfId="7628" xr:uid="{17FD41DF-3550-422B-B5E8-C6E729D544A4}"/>
    <cellStyle name="Normal 10 2 4 2" xfId="17913" xr:uid="{8FE9B38B-5230-4022-AC46-3D98550E43EE}"/>
    <cellStyle name="Normal 10 2 4 2 2" xfId="38253" xr:uid="{8F8FAD46-BA0D-4142-814A-881FAEA6640E}"/>
    <cellStyle name="Normal 10 2 4 3" xfId="21415" xr:uid="{E6BF2661-892D-4A5C-8FBC-4DA732206A0F}"/>
    <cellStyle name="Normal 10 2 4 3 2" xfId="41754" xr:uid="{1274D453-6266-4D0C-833F-158C31D83507}"/>
    <cellStyle name="Normal 10 2 4 4" xfId="24670" xr:uid="{1DD9347E-ABB3-4E94-B15A-35D93092FC24}"/>
    <cellStyle name="Normal 10 2 4 4 2" xfId="45005" xr:uid="{857DB9C4-0C54-4AD7-9D69-0D1127ECE18B}"/>
    <cellStyle name="Normal 10 2 4 5" xfId="15005" xr:uid="{1C6CE254-C6D4-4A00-BC48-827FA2C3416C}"/>
    <cellStyle name="Normal 10 2 4 5 2" xfId="35345" xr:uid="{10CC7901-E9FE-496F-BFC6-2B33904656AF}"/>
    <cellStyle name="Normal 10 2 4 6" xfId="11126" xr:uid="{DD640805-166B-48A8-9733-3836848338AB}"/>
    <cellStyle name="Normal 10 2 4 6 2" xfId="31469" xr:uid="{163666A4-02F6-44FE-83D2-908B1A0D323D}"/>
    <cellStyle name="Normal 10 2 4 7" xfId="27975" xr:uid="{F6089B68-3A82-4D4A-8FDC-921971D23557}"/>
    <cellStyle name="Normal 10 2 5" xfId="8088" xr:uid="{7951C7A3-324B-4F07-B5E2-7FE76575E9A0}"/>
    <cellStyle name="Normal 10 2 5 2" xfId="21875" xr:uid="{B8262A24-1121-4F8B-8414-14D4D338D2EA}"/>
    <cellStyle name="Normal 10 2 5 3" xfId="12697" xr:uid="{C1AFCD6E-BCE1-4524-8A9A-8E2A2565DA73}"/>
    <cellStyle name="Normal 10 2 5 3 2" xfId="33038" xr:uid="{3D7B4C10-4A6F-4D12-883A-813F763440BC}"/>
    <cellStyle name="Normal 10 2 6" xfId="15592" xr:uid="{B373402C-DEB5-4F22-A0FA-F628B320F470}"/>
    <cellStyle name="Normal 10 2 6 2" xfId="35932" xr:uid="{78357E11-D284-4AEE-BA7C-AB9AF5BD06B5}"/>
    <cellStyle name="Normal 10 2 7" xfId="18506" xr:uid="{5BB9BFC1-5385-4DD5-B509-CEB6017D2B0A}"/>
    <cellStyle name="Normal 10 2 7 2" xfId="38846" xr:uid="{B7052AD0-14BC-43EF-AD10-63A7BBB625F8}"/>
    <cellStyle name="Normal 10 2 8" xfId="19094" xr:uid="{AA0FCADE-8201-445E-AB97-AC68AFDE5E43}"/>
    <cellStyle name="Normal 10 2 8 2" xfId="39433" xr:uid="{6F58B660-D5C2-417C-BC77-CB283B075777}"/>
    <cellStyle name="Normal 10 2 9" xfId="22349" xr:uid="{9B28E0C0-A604-421C-945B-D43AD56940CD}"/>
    <cellStyle name="Normal 10 2 9 2" xfId="42684" xr:uid="{C91DA2EA-BAE6-45D5-810D-81E44A40C687}"/>
    <cellStyle name="Normal 10 3" xfId="5544" xr:uid="{2A92598B-F795-40CA-975D-9E0A6382781B}"/>
    <cellStyle name="Normal 10 3 10" xfId="12295" xr:uid="{D059D740-B95E-45BF-B711-58D8E1708531}"/>
    <cellStyle name="Normal 10 3 10 2" xfId="32636" xr:uid="{EE0FA0B3-6949-4F04-BAA3-B1E0D2E5D22A}"/>
    <cellStyle name="Normal 10 3 11" xfId="9034" xr:uid="{D1E8D94B-8ECF-43D2-91A8-B390ABD86386}"/>
    <cellStyle name="Normal 10 3 11 2" xfId="29377" xr:uid="{8CFF1C31-57C6-457A-A3C8-74E56435B4A1}"/>
    <cellStyle name="Normal 10 3 12" xfId="25883" xr:uid="{F3562C29-D378-492C-BF8B-8A908A4D8A43}"/>
    <cellStyle name="Normal 10 3 2" xfId="6116" xr:uid="{D892AF37-3ABD-4619-ABEE-C0BEA890FBA9}"/>
    <cellStyle name="Normal 10 3 2 2" xfId="7274" xr:uid="{C8442B32-51BE-4BB5-BD43-8E886329781B}"/>
    <cellStyle name="Normal 10 3 2 2 2" xfId="17560" xr:uid="{7D5485BD-A8B0-4F7D-81E2-869778EB4A9A}"/>
    <cellStyle name="Normal 10 3 2 2 2 2" xfId="37900" xr:uid="{64995990-15AD-4920-B780-8FC92C6DE1FF}"/>
    <cellStyle name="Normal 10 3 2 2 3" xfId="21062" xr:uid="{6DD9EFA5-C724-42AA-A255-6980DDED2AB5}"/>
    <cellStyle name="Normal 10 3 2 2 3 2" xfId="41401" xr:uid="{D1CC2C0E-BF07-4347-9668-C6669C96E8B0}"/>
    <cellStyle name="Normal 10 3 2 2 4" xfId="24317" xr:uid="{43450827-EF71-4443-BC6F-A04901508504}"/>
    <cellStyle name="Normal 10 3 2 2 4 2" xfId="44652" xr:uid="{96827E78-557C-4334-A276-1E604560114A}"/>
    <cellStyle name="Normal 10 3 2 2 5" xfId="14651" xr:uid="{910FACBA-5BC1-46B7-AC83-14590D7EB9AB}"/>
    <cellStyle name="Normal 10 3 2 2 5 2" xfId="34992" xr:uid="{37953E5D-BC0C-4381-B74B-3FB0885197C0}"/>
    <cellStyle name="Normal 10 3 2 2 6" xfId="10773" xr:uid="{4897BA85-B6F6-4896-97A3-9AC03BD16CF3}"/>
    <cellStyle name="Normal 10 3 2 2 6 2" xfId="31116" xr:uid="{9DB3F767-4313-4E11-A52A-B0ED322BACEA}"/>
    <cellStyle name="Normal 10 3 2 2 7" xfId="27622" xr:uid="{6FAAB936-B02F-4984-ADD5-B669287B1DE3}"/>
    <cellStyle name="Normal 10 3 2 3" xfId="16402" xr:uid="{B1F99B45-35FD-4AE1-A586-DC76D109260C}"/>
    <cellStyle name="Normal 10 3 2 3 2" xfId="36742" xr:uid="{B87702E4-449B-4741-8105-C306080375CA}"/>
    <cellStyle name="Normal 10 3 2 4" xfId="19904" xr:uid="{156AE6ED-9BD7-4A35-83B2-5F60EB2843B9}"/>
    <cellStyle name="Normal 10 3 2 4 2" xfId="40243" xr:uid="{2C9995BC-40F8-40B2-8315-3F62813F633D}"/>
    <cellStyle name="Normal 10 3 2 5" xfId="23159" xr:uid="{5E43ADFE-45AB-4FBB-9085-07E515365B07}"/>
    <cellStyle name="Normal 10 3 2 5 2" xfId="43494" xr:uid="{DC62FB98-343C-4106-834B-62061FBAB365}"/>
    <cellStyle name="Normal 10 3 2 6" xfId="13493" xr:uid="{EBCCE328-6955-411C-AAFA-8A4486290ABB}"/>
    <cellStyle name="Normal 10 3 2 6 2" xfId="33834" xr:uid="{918CFD74-FA6F-492D-AFD5-3FA6D8C1339C}"/>
    <cellStyle name="Normal 10 3 2 7" xfId="9615" xr:uid="{0F693984-9DAB-4727-9722-50F570288376}"/>
    <cellStyle name="Normal 10 3 2 7 2" xfId="29958" xr:uid="{B793A818-BF31-4E15-BC5B-A3707CFA472A}"/>
    <cellStyle name="Normal 10 3 2 8" xfId="26464" xr:uid="{DF5F001D-F500-42A2-BBDE-F2DDF2481BA4}"/>
    <cellStyle name="Normal 10 3 3" xfId="6693" xr:uid="{76B0CCDC-4790-4906-9C77-8C02F4497590}"/>
    <cellStyle name="Normal 10 3 3 2" xfId="16979" xr:uid="{44241586-1333-409B-A672-65745C3A7E51}"/>
    <cellStyle name="Normal 10 3 3 2 2" xfId="37319" xr:uid="{E70AE734-9C5C-4967-8EA1-F52729A8B414}"/>
    <cellStyle name="Normal 10 3 3 3" xfId="20481" xr:uid="{FC80F439-61B5-4E5A-A215-CE925B52B59A}"/>
    <cellStyle name="Normal 10 3 3 3 2" xfId="40820" xr:uid="{CCF85DD5-9F08-49AF-8A34-B189BCDF4E18}"/>
    <cellStyle name="Normal 10 3 3 4" xfId="23736" xr:uid="{343F47E0-E7AB-43F1-88C6-E47FF942F63B}"/>
    <cellStyle name="Normal 10 3 3 4 2" xfId="44071" xr:uid="{E45B4389-0D5C-4E88-95EB-6F02E2A29783}"/>
    <cellStyle name="Normal 10 3 3 5" xfId="14070" xr:uid="{3BA2B650-F4B2-41DD-BECA-92056BBF0D43}"/>
    <cellStyle name="Normal 10 3 3 5 2" xfId="34411" xr:uid="{30FDECCF-9A4F-43DF-A5BD-12E5CB4AD457}"/>
    <cellStyle name="Normal 10 3 3 6" xfId="10192" xr:uid="{189CD2CC-AED4-4F78-9D5C-245054B53539}"/>
    <cellStyle name="Normal 10 3 3 6 2" xfId="30535" xr:uid="{8DB3BA13-D68A-401E-B4DE-15FFD4171DF0}"/>
    <cellStyle name="Normal 10 3 3 7" xfId="27041" xr:uid="{B4CFB3B2-1D72-45F6-B2E1-717B7F056F8E}"/>
    <cellStyle name="Normal 10 3 4" xfId="7857" xr:uid="{CE09F2E0-7F17-453F-9F8A-953177C1A4FD}"/>
    <cellStyle name="Normal 10 3 4 2" xfId="18142" xr:uid="{DA4626F6-875C-454F-8067-DFB4AD92850D}"/>
    <cellStyle name="Normal 10 3 4 2 2" xfId="38482" xr:uid="{1D07F386-BE1A-4FDE-8D5B-0BDC8BD851B8}"/>
    <cellStyle name="Normal 10 3 4 3" xfId="21644" xr:uid="{BB636DAA-35C8-4B20-9D64-CCC04BB5CA04}"/>
    <cellStyle name="Normal 10 3 4 3 2" xfId="41983" xr:uid="{FD8ACE37-E7E8-4BF7-A4A0-4407BCF02201}"/>
    <cellStyle name="Normal 10 3 4 4" xfId="24899" xr:uid="{9B1A8BAF-FC47-4E8E-BEBD-4296749A8B2C}"/>
    <cellStyle name="Normal 10 3 4 4 2" xfId="45234" xr:uid="{7B0C9036-54C0-4B8F-827F-71E8C498BCB4}"/>
    <cellStyle name="Normal 10 3 4 5" xfId="15234" xr:uid="{FE652FA3-816B-48C4-9434-263CED798232}"/>
    <cellStyle name="Normal 10 3 4 5 2" xfId="35574" xr:uid="{4CAAB66A-52D3-4414-BA79-B1705EFDCA8B}"/>
    <cellStyle name="Normal 10 3 4 6" xfId="11355" xr:uid="{65B78382-DA2E-4592-9A6B-E4A9322E7668}"/>
    <cellStyle name="Normal 10 3 4 6 2" xfId="31698" xr:uid="{37299C54-CE99-4EC0-8110-27FAF5E388D3}"/>
    <cellStyle name="Normal 10 3 4 7" xfId="28204" xr:uid="{2E928157-FAC3-4FFB-9235-C1C4BA85A696}"/>
    <cellStyle name="Normal 10 3 5" xfId="12924" xr:uid="{70911C57-EA45-4BE6-AA46-6B6178631476}"/>
    <cellStyle name="Normal 10 3 5 2" xfId="33265" xr:uid="{CECAA9AE-7161-46FD-951E-86D272CB58A1}"/>
    <cellStyle name="Normal 10 3 6" xfId="15821" xr:uid="{C4472937-9DD8-42E4-971D-55ED00D4FD74}"/>
    <cellStyle name="Normal 10 3 6 2" xfId="36161" xr:uid="{18C7A217-2C0B-489B-87E8-D3BE9C9E7BAE}"/>
    <cellStyle name="Normal 10 3 7" xfId="18735" xr:uid="{A0EE28A6-AD43-49C9-BA5E-663083E72897}"/>
    <cellStyle name="Normal 10 3 7 2" xfId="39075" xr:uid="{ADAE5C42-D20E-47CB-B866-B252A0293C6F}"/>
    <cellStyle name="Normal 10 3 8" xfId="19323" xr:uid="{056C902A-6571-4AF6-851E-7CC239182A6E}"/>
    <cellStyle name="Normal 10 3 8 2" xfId="39662" xr:uid="{4E346F07-C322-4B5A-B7CB-F66FC94BDFD4}"/>
    <cellStyle name="Normal 10 3 9" xfId="22578" xr:uid="{CA6A0ADD-9B4B-48C8-AF79-B22C443F080D}"/>
    <cellStyle name="Normal 10 3 9 2" xfId="42913" xr:uid="{1F2A87BD-6891-485E-9013-D594651E4776}"/>
    <cellStyle name="Normal 10 4" xfId="5772" xr:uid="{79EFAD61-6BF0-470C-9A5B-164651B84579}"/>
    <cellStyle name="Normal 10 4 2" xfId="6930" xr:uid="{80D4612B-D221-4599-BC5E-83392306D099}"/>
    <cellStyle name="Normal 10 4 2 2" xfId="17216" xr:uid="{A404169F-D7B3-4D8C-BDE7-C3FC1F083F8A}"/>
    <cellStyle name="Normal 10 4 2 2 2" xfId="37556" xr:uid="{C816157C-B0EA-4E68-BD37-65A94211CD05}"/>
    <cellStyle name="Normal 10 4 2 3" xfId="20718" xr:uid="{234DB561-C6DB-4B95-82C3-0FA5B9108709}"/>
    <cellStyle name="Normal 10 4 2 3 2" xfId="41057" xr:uid="{245A0892-DD36-4697-9D59-AE9977BF0EEC}"/>
    <cellStyle name="Normal 10 4 2 4" xfId="23973" xr:uid="{F3F7AF80-1604-4CB3-BD98-E8ADB594666E}"/>
    <cellStyle name="Normal 10 4 2 4 2" xfId="44308" xr:uid="{1AD8E7C7-F796-4ED2-ABDC-91499C1DB4C1}"/>
    <cellStyle name="Normal 10 4 2 5" xfId="14307" xr:uid="{7D4FA3C5-C4CC-44BA-8BC4-F552BA9E9BFB}"/>
    <cellStyle name="Normal 10 4 2 5 2" xfId="34648" xr:uid="{588030E8-1FAB-4E11-BB35-62D702AC4366}"/>
    <cellStyle name="Normal 10 4 2 6" xfId="10429" xr:uid="{35FD77F6-0C7C-4CF1-844A-72A539271C23}"/>
    <cellStyle name="Normal 10 4 2 6 2" xfId="30772" xr:uid="{36A4C9F7-0D52-4EDC-BA72-2CEBC382F966}"/>
    <cellStyle name="Normal 10 4 2 7" xfId="27278" xr:uid="{B17B64A6-3618-4F14-9A98-B1879E94E8EC}"/>
    <cellStyle name="Normal 10 4 3" xfId="16058" xr:uid="{66CF2DBE-1A22-4752-A1E2-EE69FB6534E4}"/>
    <cellStyle name="Normal 10 4 3 2" xfId="36398" xr:uid="{F1B798D1-F11C-4334-A643-A453166FDBA8}"/>
    <cellStyle name="Normal 10 4 4" xfId="19560" xr:uid="{CDFBE926-6982-4C2F-8EBD-D3138E4F62AB}"/>
    <cellStyle name="Normal 10 4 4 2" xfId="39899" xr:uid="{3BEC0F73-3259-47D4-A15A-7CF1388BEFDC}"/>
    <cellStyle name="Normal 10 4 5" xfId="22815" xr:uid="{35085457-516B-4078-8882-063B7453D5D2}"/>
    <cellStyle name="Normal 10 4 5 2" xfId="43150" xr:uid="{42292044-F6CB-4FDD-9F0F-31010E07C5B3}"/>
    <cellStyle name="Normal 10 4 6" xfId="13160" xr:uid="{C478D146-B99F-4F72-8F00-3C84FF44E9B2}"/>
    <cellStyle name="Normal 10 4 6 2" xfId="33501" xr:uid="{62E557E4-1FE7-457A-92C9-234492968991}"/>
    <cellStyle name="Normal 10 4 7" xfId="9271" xr:uid="{1922CE1E-F486-484A-82F6-7CCA62A8A2ED}"/>
    <cellStyle name="Normal 10 4 7 2" xfId="29614" xr:uid="{03549958-3ECB-422B-BB7A-7FFBE3B44238}"/>
    <cellStyle name="Normal 10 4 8" xfId="26120" xr:uid="{C5165E71-DFB5-4827-9CF3-A7CA4A45E8FF}"/>
    <cellStyle name="Normal 10 5" xfId="6349" xr:uid="{FBC950EF-8A55-42B5-8269-83934A10B2F7}"/>
    <cellStyle name="Normal 10 5 2" xfId="16635" xr:uid="{B8CAF071-AD52-4243-BEB4-408A6BE1EF80}"/>
    <cellStyle name="Normal 10 5 2 2" xfId="36975" xr:uid="{488778DD-77DD-428F-9E4B-6B849C1E0798}"/>
    <cellStyle name="Normal 10 5 3" xfId="20137" xr:uid="{45CB2B57-301F-44F8-8B03-2370A0DC013C}"/>
    <cellStyle name="Normal 10 5 3 2" xfId="40476" xr:uid="{FB5A03D8-B2EC-4EC6-A72E-E1839E9B0914}"/>
    <cellStyle name="Normal 10 5 4" xfId="23392" xr:uid="{82153AB4-9B3D-4654-A36B-F69C882371D3}"/>
    <cellStyle name="Normal 10 5 4 2" xfId="43727" xr:uid="{A21F51E6-6773-4CA2-82C8-1A7AD67C51F9}"/>
    <cellStyle name="Normal 10 5 5" xfId="13726" xr:uid="{7A8ED42A-762D-4E56-84D0-876182EC60F9}"/>
    <cellStyle name="Normal 10 5 5 2" xfId="34067" xr:uid="{322C61D1-7C79-4BCB-8973-0E849B889C8B}"/>
    <cellStyle name="Normal 10 5 6" xfId="9848" xr:uid="{204E3DB9-74EB-4BD3-8C8A-80447E894695}"/>
    <cellStyle name="Normal 10 5 6 2" xfId="30191" xr:uid="{7C1D9601-556C-4B40-A6F9-3381DA361B34}"/>
    <cellStyle name="Normal 10 5 7" xfId="26697" xr:uid="{7247076B-08A2-4012-8128-863C8C59331E}"/>
    <cellStyle name="Normal 10 6" xfId="7513" xr:uid="{30E67017-0E10-4D9A-AA53-8F6B2A9BC53C}"/>
    <cellStyle name="Normal 10 6 2" xfId="17798" xr:uid="{CA0EEB20-6B25-469D-9265-28517BC20716}"/>
    <cellStyle name="Normal 10 6 2 2" xfId="38138" xr:uid="{2B3C764E-C267-428E-9C8D-AE55955A4CDF}"/>
    <cellStyle name="Normal 10 6 3" xfId="21300" xr:uid="{EC9084EE-553A-4179-82B7-2B5A8E61E74C}"/>
    <cellStyle name="Normal 10 6 3 2" xfId="41639" xr:uid="{EE0DBC7F-56AE-493A-82B8-BFCBC45B911B}"/>
    <cellStyle name="Normal 10 6 4" xfId="24555" xr:uid="{9F3CA0C5-017D-4C77-AE81-557A5593ECE9}"/>
    <cellStyle name="Normal 10 6 4 2" xfId="44890" xr:uid="{79B16BB9-7DD3-4205-8AAA-2DB952CCE944}"/>
    <cellStyle name="Normal 10 6 5" xfId="14890" xr:uid="{D0E70EF6-05C0-403E-9ED3-5CD0864C0F09}"/>
    <cellStyle name="Normal 10 6 5 2" xfId="35230" xr:uid="{FFC61A03-10F9-4FE3-8963-4166B8C7D9A8}"/>
    <cellStyle name="Normal 10 6 6" xfId="11011" xr:uid="{55F85A43-5FD2-42E1-A21B-7B860AE97226}"/>
    <cellStyle name="Normal 10 6 6 2" xfId="31354" xr:uid="{9ADB9DA2-8B24-4DA5-AC55-B1DF13606C04}"/>
    <cellStyle name="Normal 10 6 7" xfId="27860" xr:uid="{732F3907-99F9-4200-B30F-9A4C4D92E717}"/>
    <cellStyle name="Normal 10 7" xfId="8087" xr:uid="{0255EF1E-0F88-4C69-9A5C-2D65C03A1521}"/>
    <cellStyle name="Normal 10 7 2" xfId="21874" xr:uid="{C2E0DABF-F524-4F88-825C-04424A3616FE}"/>
    <cellStyle name="Normal 10 7 3" xfId="12591" xr:uid="{3795EDA0-8219-4CC7-96F0-3432BE62856F}"/>
    <cellStyle name="Normal 10 7 3 2" xfId="32932" xr:uid="{6537507A-446E-4F05-9B87-61FCE095B1CB}"/>
    <cellStyle name="Normal 10 8" xfId="15477" xr:uid="{89A6D721-A506-41FE-92A9-E9CD6F77B86D}"/>
    <cellStyle name="Normal 10 8 2" xfId="35817" xr:uid="{6979F3A0-0A17-47C1-94B0-4BF41283E6EF}"/>
    <cellStyle name="Normal 10 9" xfId="18391" xr:uid="{93FFC46D-B467-40DB-9993-A331EB91FF98}"/>
    <cellStyle name="Normal 10 9 2" xfId="38731" xr:uid="{F9ABFFA6-47C3-4C8E-B807-ED5682BA9608}"/>
    <cellStyle name="Normal 11" xfId="4952" xr:uid="{5EB58F7F-2AC9-452E-A85C-E83802654F1C}"/>
    <cellStyle name="Normal 11 10" xfId="18980" xr:uid="{6473B2A8-D2FE-4EF3-ABF6-B492570E8C5F}"/>
    <cellStyle name="Normal 11 10 2" xfId="39319" xr:uid="{07ED5198-24FD-4451-BF2F-680B51A57947}"/>
    <cellStyle name="Normal 11 11" xfId="22235" xr:uid="{C5C23CE0-4CCD-47B7-9CFC-2FA6493C988C}"/>
    <cellStyle name="Normal 11 11 2" xfId="42570" xr:uid="{9AA50100-B59B-4FC9-A5FC-33D43A8DDBAB}"/>
    <cellStyle name="Normal 11 12" xfId="11952" xr:uid="{04705426-CB24-463F-8E54-13B8D3C838A7}"/>
    <cellStyle name="Normal 11 12 2" xfId="32293" xr:uid="{AF3E9804-AC66-41D5-957E-E027B4EA380B}"/>
    <cellStyle name="Normal 11 13" xfId="8691" xr:uid="{F473065B-41BC-490E-BBB0-96E66D9A0B36}"/>
    <cellStyle name="Normal 11 13 2" xfId="29034" xr:uid="{0E1403DF-FF51-44BA-998B-086F563C9A4C}"/>
    <cellStyle name="Normal 11 14" xfId="25536" xr:uid="{957ED4B9-F261-4C84-8B66-FCC84C741C1D}"/>
    <cellStyle name="Normal 11 15" xfId="47273" xr:uid="{C2D6652F-92DD-4C18-877D-F4C7543DC20C}"/>
    <cellStyle name="Normal 11 16" xfId="5216" xr:uid="{043B8882-A88F-4736-9C0E-C93C0DFA6244}"/>
    <cellStyle name="Normal 11 2" xfId="5337" xr:uid="{E9261D47-4263-4F0A-8092-CE8C3D245D28}"/>
    <cellStyle name="Normal 11 2 10" xfId="12067" xr:uid="{0BC8AAFB-5E4B-4009-9286-252CD2710A1E}"/>
    <cellStyle name="Normal 11 2 10 2" xfId="32408" xr:uid="{2851BB4E-4AF1-44A1-8F2A-E338D6838774}"/>
    <cellStyle name="Normal 11 2 11" xfId="8806" xr:uid="{73AADB99-FD40-4D91-BC67-1A5837F09A54}"/>
    <cellStyle name="Normal 11 2 11 2" xfId="29149" xr:uid="{8F4308DC-1DE0-4206-8B77-E76816D5B36B}"/>
    <cellStyle name="Normal 11 2 12" xfId="25655" xr:uid="{84091623-879D-41FD-9AAA-03FBC62AA8B9}"/>
    <cellStyle name="Normal 11 2 2" xfId="5888" xr:uid="{20143218-30E4-4F27-8494-1479E89FAFCD}"/>
    <cellStyle name="Normal 11 2 2 2" xfId="7046" xr:uid="{4346F927-E2F8-4B99-8ADC-BF67FA445F45}"/>
    <cellStyle name="Normal 11 2 2 2 2" xfId="17332" xr:uid="{AB8CF18C-C94B-4916-8517-6673933D3E07}"/>
    <cellStyle name="Normal 11 2 2 2 2 2" xfId="37672" xr:uid="{B18B2244-5382-4327-9773-589714D6D887}"/>
    <cellStyle name="Normal 11 2 2 2 3" xfId="20834" xr:uid="{E46B513B-74EA-4FC4-A047-227469F786D3}"/>
    <cellStyle name="Normal 11 2 2 2 3 2" xfId="41173" xr:uid="{B32BFF63-9E80-4708-ACC6-69C4B91D8BA1}"/>
    <cellStyle name="Normal 11 2 2 2 4" xfId="24089" xr:uid="{7B6D7E34-A500-4F50-9E48-94FB80E4E144}"/>
    <cellStyle name="Normal 11 2 2 2 4 2" xfId="44424" xr:uid="{B6AFD423-A7ED-4811-B0BC-FCE3FCEB0982}"/>
    <cellStyle name="Normal 11 2 2 2 5" xfId="14423" xr:uid="{A86BAA31-7580-405F-B871-8081C242CFC8}"/>
    <cellStyle name="Normal 11 2 2 2 5 2" xfId="34764" xr:uid="{BAFBB3F9-D05E-4688-B60A-2B46B03C4365}"/>
    <cellStyle name="Normal 11 2 2 2 6" xfId="10545" xr:uid="{DEBA245A-B863-4119-BBEC-4D5A60C1E4DB}"/>
    <cellStyle name="Normal 11 2 2 2 6 2" xfId="30888" xr:uid="{AF7D389D-D452-4F3F-9771-0BCE53AD9611}"/>
    <cellStyle name="Normal 11 2 2 2 7" xfId="27394" xr:uid="{D826E099-2EEF-4F53-9A94-36D0D008EBC1}"/>
    <cellStyle name="Normal 11 2 2 3" xfId="16174" xr:uid="{086E7A91-A167-4725-B725-7FFFEA334B22}"/>
    <cellStyle name="Normal 11 2 2 3 2" xfId="36514" xr:uid="{8F769D49-7531-44F7-9C88-82C2F5C7E8F7}"/>
    <cellStyle name="Normal 11 2 2 4" xfId="19676" xr:uid="{97F1D10E-A24E-4735-AF83-4F7F63B0A4D7}"/>
    <cellStyle name="Normal 11 2 2 4 2" xfId="40015" xr:uid="{8E8FABAC-F2AA-4F61-AB56-DCD6D5F8FC10}"/>
    <cellStyle name="Normal 11 2 2 5" xfId="22931" xr:uid="{D27F4765-10C0-42AA-91F9-3A1D0090C675}"/>
    <cellStyle name="Normal 11 2 2 5 2" xfId="43266" xr:uid="{0B010A5E-80A8-4EAB-BA07-3EBAB1DC96AE}"/>
    <cellStyle name="Normal 11 2 2 6" xfId="13267" xr:uid="{1C312E56-00C8-4BC0-A2B9-5A0FB0734D70}"/>
    <cellStyle name="Normal 11 2 2 6 2" xfId="33608" xr:uid="{7AE825B4-6A5E-4688-8A0D-7F4F221D0FAA}"/>
    <cellStyle name="Normal 11 2 2 7" xfId="9387" xr:uid="{2025919E-CC4A-4EDD-946C-F999FA7A92D7}"/>
    <cellStyle name="Normal 11 2 2 7 2" xfId="29730" xr:uid="{A99FEAF2-D68B-4CB7-93F5-EEB8290B32BB}"/>
    <cellStyle name="Normal 11 2 2 8" xfId="26236" xr:uid="{81776978-2C2B-4E5B-92F5-569A9B804C58}"/>
    <cellStyle name="Normal 11 2 3" xfId="6465" xr:uid="{A101CDCC-326F-4FB7-ACA5-14894C535448}"/>
    <cellStyle name="Normal 11 2 3 2" xfId="16751" xr:uid="{8C6C1ED7-B484-4BEB-8EA1-D415CBF79F9F}"/>
    <cellStyle name="Normal 11 2 3 2 2" xfId="37091" xr:uid="{F8651233-EFF9-4D03-AE77-ACAA9D0D9303}"/>
    <cellStyle name="Normal 11 2 3 3" xfId="20253" xr:uid="{1FC159FC-18B0-4A55-8E83-F50B6351AF45}"/>
    <cellStyle name="Normal 11 2 3 3 2" xfId="40592" xr:uid="{AE642840-8E6E-4496-A754-18DACBCCC871}"/>
    <cellStyle name="Normal 11 2 3 4" xfId="23508" xr:uid="{9538A9F9-F8AB-4784-9787-EBF05C786F11}"/>
    <cellStyle name="Normal 11 2 3 4 2" xfId="43843" xr:uid="{DB0B9954-580C-4C78-BDE6-1329A8C5D088}"/>
    <cellStyle name="Normal 11 2 3 5" xfId="13842" xr:uid="{367B0BD1-ABAA-4902-99BC-5C386E036B79}"/>
    <cellStyle name="Normal 11 2 3 5 2" xfId="34183" xr:uid="{6826BEFA-D535-4917-8BC6-C4BFCD61BEE5}"/>
    <cellStyle name="Normal 11 2 3 6" xfId="9964" xr:uid="{96F18CE2-86F4-43FD-AFE2-68D2544F2F7D}"/>
    <cellStyle name="Normal 11 2 3 6 2" xfId="30307" xr:uid="{06615F17-072B-438A-A44C-D8C304BA3269}"/>
    <cellStyle name="Normal 11 2 3 7" xfId="26813" xr:uid="{875F0782-97F6-426C-9315-CBCE78536868}"/>
    <cellStyle name="Normal 11 2 4" xfId="7629" xr:uid="{BB12F8DE-D6DE-465A-BCE0-111B07E3DFBC}"/>
    <cellStyle name="Normal 11 2 4 2" xfId="17914" xr:uid="{8BE34D47-2FFB-4DE0-870E-B648081D4CC1}"/>
    <cellStyle name="Normal 11 2 4 2 2" xfId="38254" xr:uid="{52267702-F4AF-4FE8-9E42-A18FEBB00A22}"/>
    <cellStyle name="Normal 11 2 4 3" xfId="21416" xr:uid="{89CBE07D-96C7-47E8-91E2-9BE43755AA14}"/>
    <cellStyle name="Normal 11 2 4 3 2" xfId="41755" xr:uid="{1EB75823-1F1C-4BBE-B27A-AC4AA4209334}"/>
    <cellStyle name="Normal 11 2 4 4" xfId="24671" xr:uid="{D338D671-340B-4D12-B8AC-9B5C078D9179}"/>
    <cellStyle name="Normal 11 2 4 4 2" xfId="45006" xr:uid="{0844C4D5-06CC-4696-A5CF-5F4976B63A62}"/>
    <cellStyle name="Normal 11 2 4 5" xfId="15006" xr:uid="{134E8958-53A9-47AB-B47F-25EF86A367D1}"/>
    <cellStyle name="Normal 11 2 4 5 2" xfId="35346" xr:uid="{FB1605B7-27AB-48E8-9A59-3B66F3F86217}"/>
    <cellStyle name="Normal 11 2 4 6" xfId="11127" xr:uid="{E38FC8B6-3C44-4FC4-AEED-0EACF58BDE8E}"/>
    <cellStyle name="Normal 11 2 4 6 2" xfId="31470" xr:uid="{315BB227-3550-43F4-A19C-DAE8D79111C1}"/>
    <cellStyle name="Normal 11 2 4 7" xfId="27976" xr:uid="{BE983B6B-14D7-4D17-81BB-50B5528460B8}"/>
    <cellStyle name="Normal 11 2 5" xfId="12698" xr:uid="{3401CE3B-5391-4BF2-B6C5-E5977012EE30}"/>
    <cellStyle name="Normal 11 2 5 2" xfId="33039" xr:uid="{8694CA71-9C21-47EC-AFE3-D2A79FA41850}"/>
    <cellStyle name="Normal 11 2 6" xfId="15593" xr:uid="{46838215-C1B9-4190-8EFA-E7372F256665}"/>
    <cellStyle name="Normal 11 2 6 2" xfId="35933" xr:uid="{4143495B-DC8B-46EC-9DE9-BCFD14B92B8A}"/>
    <cellStyle name="Normal 11 2 7" xfId="18507" xr:uid="{D000D1F3-AE08-4634-9658-E282D4C04FE4}"/>
    <cellStyle name="Normal 11 2 7 2" xfId="38847" xr:uid="{13867360-803F-4DFA-B271-03E867E210F3}"/>
    <cellStyle name="Normal 11 2 8" xfId="19095" xr:uid="{E6F5B73C-79BA-47F3-BEDD-2CE025F33BFC}"/>
    <cellStyle name="Normal 11 2 8 2" xfId="39434" xr:uid="{CE590736-473C-4B00-8582-057EAD271E25}"/>
    <cellStyle name="Normal 11 2 9" xfId="22350" xr:uid="{B73A0FAE-1D81-4E34-93E0-BA815E3A262C}"/>
    <cellStyle name="Normal 11 2 9 2" xfId="42685" xr:uid="{255011C0-A928-42B5-BAD6-8F9CC7710446}"/>
    <cellStyle name="Normal 11 3" xfId="5545" xr:uid="{28237076-5809-4765-87B1-7425559DDCB0}"/>
    <cellStyle name="Normal 11 3 10" xfId="12296" xr:uid="{442E37D4-9C46-4D0E-91F7-D39F6DE2DAF7}"/>
    <cellStyle name="Normal 11 3 10 2" xfId="32637" xr:uid="{4EE3BBBF-D480-47DC-918B-557AC3B548D7}"/>
    <cellStyle name="Normal 11 3 11" xfId="9035" xr:uid="{052CA55A-F04C-4226-9D5E-B6A8D71DA0C5}"/>
    <cellStyle name="Normal 11 3 11 2" xfId="29378" xr:uid="{8E64FAA7-5030-432C-9616-7C81AB78CB96}"/>
    <cellStyle name="Normal 11 3 12" xfId="25884" xr:uid="{3934BECF-488A-489C-BFC4-6472021431FD}"/>
    <cellStyle name="Normal 11 3 2" xfId="6117" xr:uid="{C4DDC874-A607-4062-AB17-AAFE821C92F9}"/>
    <cellStyle name="Normal 11 3 2 2" xfId="7275" xr:uid="{8EA5C2B5-4927-4DF3-98A6-4B2BA378B958}"/>
    <cellStyle name="Normal 11 3 2 2 2" xfId="17561" xr:uid="{84B49113-694F-42A8-933B-0B282163FB0F}"/>
    <cellStyle name="Normal 11 3 2 2 2 2" xfId="37901" xr:uid="{59D3D0DB-800F-426D-ACA2-94FA1B76F1D2}"/>
    <cellStyle name="Normal 11 3 2 2 3" xfId="21063" xr:uid="{0EA81F43-A9F0-47AA-B305-FB1DF18D0581}"/>
    <cellStyle name="Normal 11 3 2 2 3 2" xfId="41402" xr:uid="{2644FC66-1305-4C25-984C-54D421B22BA3}"/>
    <cellStyle name="Normal 11 3 2 2 4" xfId="24318" xr:uid="{B072C996-F8FC-49BE-B25D-0987BCB544F7}"/>
    <cellStyle name="Normal 11 3 2 2 4 2" xfId="44653" xr:uid="{EBDE58D6-52EF-4B3E-82CE-61F754619669}"/>
    <cellStyle name="Normal 11 3 2 2 5" xfId="14652" xr:uid="{DBB2809C-8952-430E-A754-BB6C7225D8E2}"/>
    <cellStyle name="Normal 11 3 2 2 5 2" xfId="34993" xr:uid="{AD8379EF-5BBD-4FE6-99C1-3EED879DCBE2}"/>
    <cellStyle name="Normal 11 3 2 2 6" xfId="10774" xr:uid="{B0887BBA-0FAE-42B6-AAE1-F587AED2D574}"/>
    <cellStyle name="Normal 11 3 2 2 6 2" xfId="31117" xr:uid="{432B6165-88FA-4DDF-8912-5744F883B065}"/>
    <cellStyle name="Normal 11 3 2 2 7" xfId="27623" xr:uid="{4C767454-AEDA-448C-A3B7-D8C8EFFFCA6C}"/>
    <cellStyle name="Normal 11 3 2 3" xfId="16403" xr:uid="{64A45DC4-FB41-4266-BE73-6A571F39D1BF}"/>
    <cellStyle name="Normal 11 3 2 3 2" xfId="36743" xr:uid="{BD44CB7F-7C88-4AFF-9206-1B73F24104C7}"/>
    <cellStyle name="Normal 11 3 2 4" xfId="19905" xr:uid="{4FC27158-FD33-4C6B-A0A8-8FD15A2970B8}"/>
    <cellStyle name="Normal 11 3 2 4 2" xfId="40244" xr:uid="{0A792DA8-DFD3-4B53-9D25-9AF7FC9A090D}"/>
    <cellStyle name="Normal 11 3 2 5" xfId="23160" xr:uid="{0022DB22-8C6C-457C-BA52-EF49734DA9E3}"/>
    <cellStyle name="Normal 11 3 2 5 2" xfId="43495" xr:uid="{7CBCD9A5-B8FF-4677-98F1-C301BC0AE14E}"/>
    <cellStyle name="Normal 11 3 2 6" xfId="13494" xr:uid="{B983BA19-0B2C-4182-AEB7-9F701BB11619}"/>
    <cellStyle name="Normal 11 3 2 6 2" xfId="33835" xr:uid="{3D15E55F-23E9-4BC0-A6C0-18C209B73809}"/>
    <cellStyle name="Normal 11 3 2 7" xfId="9616" xr:uid="{9EDF52CD-59BD-473D-83C2-4BD36534BE47}"/>
    <cellStyle name="Normal 11 3 2 7 2" xfId="29959" xr:uid="{980FF057-98EA-4D02-8C78-36A9541AB7CD}"/>
    <cellStyle name="Normal 11 3 2 8" xfId="26465" xr:uid="{BAC946E1-773F-4080-8C51-258FE338F006}"/>
    <cellStyle name="Normal 11 3 3" xfId="6694" xr:uid="{8EF8AEB7-327B-45DC-8416-9ED1432ECB08}"/>
    <cellStyle name="Normal 11 3 3 2" xfId="16980" xr:uid="{11640D76-1902-4086-A1D2-F3DE5875E1E3}"/>
    <cellStyle name="Normal 11 3 3 2 2" xfId="37320" xr:uid="{F95E6E8F-8B5E-4FE0-996C-6A2F56403608}"/>
    <cellStyle name="Normal 11 3 3 3" xfId="20482" xr:uid="{26708F52-77BA-416D-9676-22FD407D828D}"/>
    <cellStyle name="Normal 11 3 3 3 2" xfId="40821" xr:uid="{4C7E2B0F-1961-48E5-8E92-4C3CD773908B}"/>
    <cellStyle name="Normal 11 3 3 4" xfId="23737" xr:uid="{B2535081-DEE8-4566-B84C-1C9A550A7EC5}"/>
    <cellStyle name="Normal 11 3 3 4 2" xfId="44072" xr:uid="{CAEF7E76-93D5-4D0D-9CD3-F8D6F3EF92AD}"/>
    <cellStyle name="Normal 11 3 3 5" xfId="14071" xr:uid="{000C2469-23E3-4F81-B5B4-85C8A0DEA1BF}"/>
    <cellStyle name="Normal 11 3 3 5 2" xfId="34412" xr:uid="{11F93B62-1E19-4355-8987-2A75A04B4361}"/>
    <cellStyle name="Normal 11 3 3 6" xfId="10193" xr:uid="{78653BEA-462E-434B-9BA6-58F7831C152D}"/>
    <cellStyle name="Normal 11 3 3 6 2" xfId="30536" xr:uid="{E7CA2DD4-9BCB-4F77-BB64-C26AE2E7DB1A}"/>
    <cellStyle name="Normal 11 3 3 7" xfId="27042" xr:uid="{A3FC4DA9-7480-4CE2-AF50-E3A1D96A6AE4}"/>
    <cellStyle name="Normal 11 3 4" xfId="7858" xr:uid="{FADC5CB1-1606-41AF-AD5F-C6D7141C7CD2}"/>
    <cellStyle name="Normal 11 3 4 2" xfId="18143" xr:uid="{7B41AC2F-0622-4484-9E75-D9C122C27F59}"/>
    <cellStyle name="Normal 11 3 4 2 2" xfId="38483" xr:uid="{194DC63D-C512-4FB8-B82C-880D1ADE8599}"/>
    <cellStyle name="Normal 11 3 4 3" xfId="21645" xr:uid="{95BC945E-F29E-4D9F-8B31-BE0DD25D1BBA}"/>
    <cellStyle name="Normal 11 3 4 3 2" xfId="41984" xr:uid="{366FDBB4-3AEB-4511-9A39-590D88E62E4E}"/>
    <cellStyle name="Normal 11 3 4 4" xfId="24900" xr:uid="{F8B4FF68-334A-4DEC-9440-6A165A4C509D}"/>
    <cellStyle name="Normal 11 3 4 4 2" xfId="45235" xr:uid="{7EC5FF3E-42C2-44CF-BB71-3A11FC6AD1C4}"/>
    <cellStyle name="Normal 11 3 4 5" xfId="15235" xr:uid="{D0F72D5E-8520-4107-A9E6-2F5071A6E668}"/>
    <cellStyle name="Normal 11 3 4 5 2" xfId="35575" xr:uid="{58D20FFF-BC56-49F3-8F18-ABB36ADDBA4D}"/>
    <cellStyle name="Normal 11 3 4 6" xfId="11356" xr:uid="{68C1E4C6-C849-4281-A393-50C81F95103F}"/>
    <cellStyle name="Normal 11 3 4 6 2" xfId="31699" xr:uid="{0309A17D-32C2-4DDC-B1C9-23D21B7FD6DC}"/>
    <cellStyle name="Normal 11 3 4 7" xfId="28205" xr:uid="{3677CFB4-11F7-4733-AC96-9CFFA31538C1}"/>
    <cellStyle name="Normal 11 3 5" xfId="12925" xr:uid="{9B338548-A902-411B-BE25-3B6C9D57A3ED}"/>
    <cellStyle name="Normal 11 3 5 2" xfId="33266" xr:uid="{C3DC7671-2E0D-40C3-AD60-9F1C6D5263E3}"/>
    <cellStyle name="Normal 11 3 6" xfId="15822" xr:uid="{DBB4B9E3-FF9B-4291-8069-2CF6592CAD9A}"/>
    <cellStyle name="Normal 11 3 6 2" xfId="36162" xr:uid="{31C18BB2-6141-44B0-BF83-BA705E8131E6}"/>
    <cellStyle name="Normal 11 3 7" xfId="18736" xr:uid="{ACA1EA72-429A-47AF-B85C-AF9EAC8A8D43}"/>
    <cellStyle name="Normal 11 3 7 2" xfId="39076" xr:uid="{99D88092-4881-4F32-B1A5-9FEFDF2F0F6F}"/>
    <cellStyle name="Normal 11 3 8" xfId="19324" xr:uid="{271D986E-B268-4309-B44B-E9F10ABC55D6}"/>
    <cellStyle name="Normal 11 3 8 2" xfId="39663" xr:uid="{F6C20D86-D78C-4F9B-A841-5B6063D48B70}"/>
    <cellStyle name="Normal 11 3 9" xfId="22579" xr:uid="{8C7C2198-78B0-4176-99BD-92D1BC77FD14}"/>
    <cellStyle name="Normal 11 3 9 2" xfId="42914" xr:uid="{055E2EC5-4346-4548-93CD-826B2897CB1C}"/>
    <cellStyle name="Normal 11 4" xfId="5773" xr:uid="{7767330F-45D1-4CE9-BF94-90E8ADBFA302}"/>
    <cellStyle name="Normal 11 4 2" xfId="6931" xr:uid="{D4A49A84-C183-4AB3-BD6A-F2E7301DC753}"/>
    <cellStyle name="Normal 11 4 2 2" xfId="17217" xr:uid="{01C657BA-F58C-4954-8D14-98CE5887A489}"/>
    <cellStyle name="Normal 11 4 2 2 2" xfId="37557" xr:uid="{F63B9816-B58F-4E6B-AD34-3690082D5C82}"/>
    <cellStyle name="Normal 11 4 2 3" xfId="20719" xr:uid="{B69DB87A-F305-4203-BE04-FCE493B9B7CB}"/>
    <cellStyle name="Normal 11 4 2 3 2" xfId="41058" xr:uid="{354A376F-2E01-412E-8E2C-D824C35AEB34}"/>
    <cellStyle name="Normal 11 4 2 4" xfId="23974" xr:uid="{B7F47D45-AA94-457C-8218-366FCA8A4D7A}"/>
    <cellStyle name="Normal 11 4 2 4 2" xfId="44309" xr:uid="{8B244A8A-013C-4068-B137-6F2C122ABC29}"/>
    <cellStyle name="Normal 11 4 2 5" xfId="14308" xr:uid="{BC611984-0448-4281-A0BA-9CC7448DCF48}"/>
    <cellStyle name="Normal 11 4 2 5 2" xfId="34649" xr:uid="{01D70079-5E3A-4F34-85B3-6556841F497F}"/>
    <cellStyle name="Normal 11 4 2 6" xfId="10430" xr:uid="{F7F0B70E-92F1-42C8-B975-5FF1816C94E6}"/>
    <cellStyle name="Normal 11 4 2 6 2" xfId="30773" xr:uid="{A8199E0B-E25D-4A68-83FC-C504CACCF66D}"/>
    <cellStyle name="Normal 11 4 2 7" xfId="27279" xr:uid="{71410C2E-EB86-4812-8998-F49095327D26}"/>
    <cellStyle name="Normal 11 4 3" xfId="16059" xr:uid="{0950A42E-1BDA-4C41-AACC-3C626136BADF}"/>
    <cellStyle name="Normal 11 4 3 2" xfId="36399" xr:uid="{EC6B846B-86C3-46AE-9A07-0EE98F657CFF}"/>
    <cellStyle name="Normal 11 4 4" xfId="19561" xr:uid="{B7243332-3E34-448B-B34A-A4C50EE34FB1}"/>
    <cellStyle name="Normal 11 4 4 2" xfId="39900" xr:uid="{AF8CC5EE-36B2-4B7C-ACD1-85F112277B2E}"/>
    <cellStyle name="Normal 11 4 5" xfId="22816" xr:uid="{1D1B97FB-297E-41EC-9C7F-F269D5137080}"/>
    <cellStyle name="Normal 11 4 5 2" xfId="43151" xr:uid="{4A0B8EDE-1412-4A61-A577-D8B8F5967A9D}"/>
    <cellStyle name="Normal 11 4 6" xfId="13161" xr:uid="{7EAAABC9-CE64-4180-90CA-8AFAA52C5E64}"/>
    <cellStyle name="Normal 11 4 6 2" xfId="33502" xr:uid="{44CE583C-CDE5-4177-8951-9BBFEA38EC2E}"/>
    <cellStyle name="Normal 11 4 7" xfId="9272" xr:uid="{528CBAD0-B2CD-4BE3-8C33-D3EDDF782D06}"/>
    <cellStyle name="Normal 11 4 7 2" xfId="29615" xr:uid="{695A35E0-C15F-4E1B-BA1B-F5E36C8FFBFB}"/>
    <cellStyle name="Normal 11 4 8" xfId="26121" xr:uid="{757533E9-B26C-4A18-801C-51D8D491DD3E}"/>
    <cellStyle name="Normal 11 5" xfId="6350" xr:uid="{9B64FBE9-1E58-4C89-A293-FB6C7E45D0A1}"/>
    <cellStyle name="Normal 11 5 2" xfId="16636" xr:uid="{EDA9DA03-E3BA-4D54-A930-F9E063FAB0EA}"/>
    <cellStyle name="Normal 11 5 2 2" xfId="36976" xr:uid="{F131814D-718B-4499-ACC9-FE5982143A28}"/>
    <cellStyle name="Normal 11 5 3" xfId="20138" xr:uid="{5A82C33F-B873-4069-9F26-BE248B386B33}"/>
    <cellStyle name="Normal 11 5 3 2" xfId="40477" xr:uid="{64DD1FA9-D28E-435C-9E20-2E4AB695792B}"/>
    <cellStyle name="Normal 11 5 4" xfId="23393" xr:uid="{ECF39E4F-3D3F-46D2-B474-1DCEC4188763}"/>
    <cellStyle name="Normal 11 5 4 2" xfId="43728" xr:uid="{CC68B5C4-0D78-4F26-A400-3F33A90E94F1}"/>
    <cellStyle name="Normal 11 5 5" xfId="13727" xr:uid="{3B255610-2A58-41FB-8161-595265AC5749}"/>
    <cellStyle name="Normal 11 5 5 2" xfId="34068" xr:uid="{A1ABBAF5-3971-47D6-83F9-C585B3C2EF21}"/>
    <cellStyle name="Normal 11 5 6" xfId="9849" xr:uid="{312365D0-DBFF-4008-9AF2-6407D29702B8}"/>
    <cellStyle name="Normal 11 5 6 2" xfId="30192" xr:uid="{FA9D0400-AFBF-4C63-99C3-0BA960EC250E}"/>
    <cellStyle name="Normal 11 5 7" xfId="26698" xr:uid="{0F303924-6773-4CBB-B99C-13B336B7EB9E}"/>
    <cellStyle name="Normal 11 6" xfId="7514" xr:uid="{94384EAB-0126-4CCE-8AFE-736D40244A51}"/>
    <cellStyle name="Normal 11 6 2" xfId="17799" xr:uid="{96DCBDF4-3CC3-4C0C-B0CA-E92850E82C18}"/>
    <cellStyle name="Normal 11 6 2 2" xfId="38139" xr:uid="{9B5A0287-B61B-4D13-9142-B8CFA7FA81EA}"/>
    <cellStyle name="Normal 11 6 3" xfId="21301" xr:uid="{59E4CF22-FAB5-4217-AAF4-83A2106640B1}"/>
    <cellStyle name="Normal 11 6 3 2" xfId="41640" xr:uid="{CF433E8B-4F3B-41CF-9D08-55FA7906B9E0}"/>
    <cellStyle name="Normal 11 6 4" xfId="24556" xr:uid="{94A739DD-9FEF-41B0-A408-67FCD9DFA3DE}"/>
    <cellStyle name="Normal 11 6 4 2" xfId="44891" xr:uid="{3C657C40-AEBB-466C-B7F1-788480F5B420}"/>
    <cellStyle name="Normal 11 6 5" xfId="14891" xr:uid="{C7F84B3A-C428-406B-8765-BE409BB45960}"/>
    <cellStyle name="Normal 11 6 5 2" xfId="35231" xr:uid="{D4B220E5-547C-4157-9A90-808907400E99}"/>
    <cellStyle name="Normal 11 6 6" xfId="11012" xr:uid="{561B1DB1-1337-45BA-86B1-55293CB689FC}"/>
    <cellStyle name="Normal 11 6 6 2" xfId="31355" xr:uid="{3B37ADFF-9DB9-440C-A5E9-6D68FE0A0A41}"/>
    <cellStyle name="Normal 11 6 7" xfId="27861" xr:uid="{042DDC8D-E1B4-4ED1-BD0D-102945389C26}"/>
    <cellStyle name="Normal 11 7" xfId="8089" xr:uid="{CD62E096-7469-4CD4-8B67-D0A6A49C1CDA}"/>
    <cellStyle name="Normal 11 7 2" xfId="21876" xr:uid="{9FE68183-35AE-435A-B9FE-97A9F20A9C26}"/>
    <cellStyle name="Normal 11 7 3" xfId="12592" xr:uid="{DE233E14-9A39-4822-B253-5E23588370A0}"/>
    <cellStyle name="Normal 11 7 3 2" xfId="32933" xr:uid="{ED4F3507-74B4-4CDA-88A1-3508E92B10CE}"/>
    <cellStyle name="Normal 11 7 4" xfId="11585" xr:uid="{CD836311-DCB1-4F1B-9834-D31C86667106}"/>
    <cellStyle name="Normal 11 8" xfId="15478" xr:uid="{1E731BCE-818C-4650-A13B-5A0CBAAF070C}"/>
    <cellStyle name="Normal 11 8 2" xfId="35818" xr:uid="{9E09565F-71A9-4586-A97E-9FF14E3ABD5D}"/>
    <cellStyle name="Normal 11 9" xfId="18392" xr:uid="{CA2B8333-4D86-465A-8DF9-0A5896CAF927}"/>
    <cellStyle name="Normal 11 9 2" xfId="38732" xr:uid="{CD3B5896-F220-4C01-84D2-B7AA747CEC9B}"/>
    <cellStyle name="Normal 12" xfId="1719" xr:uid="{BC6334DA-4BB5-4755-8A39-0111FD3BEA54}"/>
    <cellStyle name="Normal 12 10" xfId="18981" xr:uid="{38047D93-C1C8-47C8-875A-F06D4B20EC22}"/>
    <cellStyle name="Normal 12 10 2" xfId="39320" xr:uid="{F4532A15-5674-468A-84B2-979D78D04C14}"/>
    <cellStyle name="Normal 12 11" xfId="22236" xr:uid="{4AE6EEFF-B7DE-4EFA-90D9-F8519E5ECEE1}"/>
    <cellStyle name="Normal 12 11 2" xfId="42571" xr:uid="{9A9CA7FE-FF48-4CAB-926C-5CAD94214AE5}"/>
    <cellStyle name="Normal 12 12" xfId="11953" xr:uid="{1D716DBA-1576-4661-B29B-4868EE65BA6A}"/>
    <cellStyle name="Normal 12 12 2" xfId="32294" xr:uid="{A5BA9D1B-6B30-4576-A14A-E43BDCF448EF}"/>
    <cellStyle name="Normal 12 13" xfId="8692" xr:uid="{B48D499C-D097-4915-AA35-EBAE769115AC}"/>
    <cellStyle name="Normal 12 13 2" xfId="29035" xr:uid="{7DBB4E9D-BC87-420A-AD5D-065589941A50}"/>
    <cellStyle name="Normal 12 14" xfId="25537" xr:uid="{FD1C27A6-400E-4F7C-960E-9FBA6120EF00}"/>
    <cellStyle name="Normal 12 15" xfId="47276" xr:uid="{E30663EE-712E-4BAD-83D9-DCC77B6838FE}"/>
    <cellStyle name="Normal 12 2" xfId="5338" xr:uid="{BE4A3E56-5A42-4124-8E57-93B59D265C24}"/>
    <cellStyle name="Normal 12 2 10" xfId="12068" xr:uid="{694611E4-AEAB-4441-B070-C4325F86029B}"/>
    <cellStyle name="Normal 12 2 10 2" xfId="32409" xr:uid="{485DB9FE-C2BD-43A7-BC01-18898D3234C3}"/>
    <cellStyle name="Normal 12 2 11" xfId="8807" xr:uid="{E822F668-B4CA-4448-B7A9-E719436ABAB1}"/>
    <cellStyle name="Normal 12 2 11 2" xfId="29150" xr:uid="{A1A9342A-1EE2-42E3-B240-C825F709399C}"/>
    <cellStyle name="Normal 12 2 12" xfId="25656" xr:uid="{FE9A2758-A586-4258-AE0E-1C22786FC17C}"/>
    <cellStyle name="Normal 12 2 2" xfId="5889" xr:uid="{02076102-1EE8-4089-A900-B01D7FA61AB0}"/>
    <cellStyle name="Normal 12 2 2 2" xfId="7047" xr:uid="{46970762-7B91-4072-8469-E1C1E6C08A00}"/>
    <cellStyle name="Normal 12 2 2 2 2" xfId="17333" xr:uid="{1DB03B9F-F395-4524-9734-46BC645A1CE4}"/>
    <cellStyle name="Normal 12 2 2 2 2 2" xfId="37673" xr:uid="{8517F11D-B861-4113-9B87-F753B923FDBA}"/>
    <cellStyle name="Normal 12 2 2 2 3" xfId="20835" xr:uid="{A0426C01-7C62-4377-BBC4-18F6550712DC}"/>
    <cellStyle name="Normal 12 2 2 2 3 2" xfId="41174" xr:uid="{9E85D0BB-4623-4562-AA87-CE4AFB8F2C08}"/>
    <cellStyle name="Normal 12 2 2 2 4" xfId="24090" xr:uid="{20BC0B58-CDDD-4CAB-81D0-36DD29AA9AE9}"/>
    <cellStyle name="Normal 12 2 2 2 4 2" xfId="44425" xr:uid="{EAC85475-ADB2-49FF-BD42-569FD78F00F0}"/>
    <cellStyle name="Normal 12 2 2 2 5" xfId="14424" xr:uid="{6BD80FD1-214F-4E80-9FAE-9D754D35F790}"/>
    <cellStyle name="Normal 12 2 2 2 5 2" xfId="34765" xr:uid="{69F56CD6-15D7-4F11-9B0A-F1119E7AF764}"/>
    <cellStyle name="Normal 12 2 2 2 6" xfId="10546" xr:uid="{80DAFBC4-FC67-43D6-AF4F-FF94594E8C15}"/>
    <cellStyle name="Normal 12 2 2 2 6 2" xfId="30889" xr:uid="{8495F757-DEEC-4D26-90C7-33203A0BEA54}"/>
    <cellStyle name="Normal 12 2 2 2 7" xfId="27395" xr:uid="{D3CFE5A6-4AE8-4928-8421-32AFE6CCD951}"/>
    <cellStyle name="Normal 12 2 2 3" xfId="16175" xr:uid="{B427382A-0346-4A64-908E-5CD585D67601}"/>
    <cellStyle name="Normal 12 2 2 3 2" xfId="36515" xr:uid="{DDFA85A0-FDB3-422D-AE7B-F881178FB3F7}"/>
    <cellStyle name="Normal 12 2 2 4" xfId="19677" xr:uid="{020B1561-1D2B-4912-B8CF-1C1748B56557}"/>
    <cellStyle name="Normal 12 2 2 4 2" xfId="40016" xr:uid="{16427236-BDB5-45B2-89E8-F9956CF089BF}"/>
    <cellStyle name="Normal 12 2 2 5" xfId="22932" xr:uid="{D017FCE5-4EC4-4B5C-8580-97E697630092}"/>
    <cellStyle name="Normal 12 2 2 5 2" xfId="43267" xr:uid="{4EBF7FAD-11CA-4324-B10B-536798209CA5}"/>
    <cellStyle name="Normal 12 2 2 6" xfId="13268" xr:uid="{2A69A9B9-9E66-406B-A459-FCD67FD36A9A}"/>
    <cellStyle name="Normal 12 2 2 6 2" xfId="33609" xr:uid="{08FCEA63-DF23-4845-9722-42A8578C1D91}"/>
    <cellStyle name="Normal 12 2 2 7" xfId="9388" xr:uid="{091D0E36-7F29-448C-B531-A860A7E29A85}"/>
    <cellStyle name="Normal 12 2 2 7 2" xfId="29731" xr:uid="{BF21B8EF-7BB6-436F-820D-8FE13F4E41E8}"/>
    <cellStyle name="Normal 12 2 2 8" xfId="26237" xr:uid="{4FCE9603-2F55-4A74-9082-D8BA1EB8DA4E}"/>
    <cellStyle name="Normal 12 2 3" xfId="6466" xr:uid="{DF3A290D-7504-4DD0-9F85-EE0934084035}"/>
    <cellStyle name="Normal 12 2 3 2" xfId="16752" xr:uid="{08393C7D-1F3C-4731-BEC8-297F045F8F7C}"/>
    <cellStyle name="Normal 12 2 3 2 2" xfId="37092" xr:uid="{7D428AD0-F6F0-4929-B71A-15C61434355F}"/>
    <cellStyle name="Normal 12 2 3 3" xfId="20254" xr:uid="{B6F24008-94F7-4F13-B509-CF98C0A3C4B5}"/>
    <cellStyle name="Normal 12 2 3 3 2" xfId="40593" xr:uid="{6B894D05-2C3D-4FE8-BD03-96F07AEFB97B}"/>
    <cellStyle name="Normal 12 2 3 4" xfId="23509" xr:uid="{477759DD-1139-44C5-BBD9-2B699951BB0E}"/>
    <cellStyle name="Normal 12 2 3 4 2" xfId="43844" xr:uid="{FA705519-B6A4-48C8-A806-9CC2132926B9}"/>
    <cellStyle name="Normal 12 2 3 5" xfId="13843" xr:uid="{4295FFA2-C109-4079-8DB6-3950D0594965}"/>
    <cellStyle name="Normal 12 2 3 5 2" xfId="34184" xr:uid="{D8A820C3-FE0F-4B1D-9DE7-6BCF3FB6B6AC}"/>
    <cellStyle name="Normal 12 2 3 6" xfId="9965" xr:uid="{B5902BDC-BE64-4DB6-A53D-9E06604B3174}"/>
    <cellStyle name="Normal 12 2 3 6 2" xfId="30308" xr:uid="{BA9FF72B-F04A-4925-8E4E-8AD6354A4650}"/>
    <cellStyle name="Normal 12 2 3 7" xfId="26814" xr:uid="{D7BC8F7B-254F-48AD-8DD0-1FD2A9A90EAD}"/>
    <cellStyle name="Normal 12 2 4" xfId="7630" xr:uid="{FADC5111-206D-43A8-A3DE-871498639BE9}"/>
    <cellStyle name="Normal 12 2 4 2" xfId="17915" xr:uid="{0A481EF3-0133-4A63-B0FA-388FBEC81499}"/>
    <cellStyle name="Normal 12 2 4 2 2" xfId="38255" xr:uid="{DCCB8005-02DB-4263-A68A-A2762319F619}"/>
    <cellStyle name="Normal 12 2 4 3" xfId="21417" xr:uid="{84E58D72-142D-41E9-BDF5-DA06EC6612DA}"/>
    <cellStyle name="Normal 12 2 4 3 2" xfId="41756" xr:uid="{59A384FA-F902-4611-B7AD-D944D00DFD61}"/>
    <cellStyle name="Normal 12 2 4 4" xfId="24672" xr:uid="{8C52FBD7-B267-4125-A375-898B131F19F1}"/>
    <cellStyle name="Normal 12 2 4 4 2" xfId="45007" xr:uid="{5AD1E0D0-2127-4E93-B757-79F2DA0A6BFB}"/>
    <cellStyle name="Normal 12 2 4 5" xfId="15007" xr:uid="{8263B902-2E81-4647-818D-F8D1A6F24965}"/>
    <cellStyle name="Normal 12 2 4 5 2" xfId="35347" xr:uid="{C6AA6645-3B6A-4331-9B9C-60CCAE7ECE34}"/>
    <cellStyle name="Normal 12 2 4 6" xfId="11128" xr:uid="{9CED6173-981B-4E54-93DA-D0153E28E3EC}"/>
    <cellStyle name="Normal 12 2 4 6 2" xfId="31471" xr:uid="{F86C1710-A719-47AE-ADC2-1F8860BCEC49}"/>
    <cellStyle name="Normal 12 2 4 7" xfId="27977" xr:uid="{7B513C43-7831-4779-9A02-FF001B0EE645}"/>
    <cellStyle name="Normal 12 2 5" xfId="12699" xr:uid="{C716DA59-748F-43FF-ADD2-A05DA7381E4A}"/>
    <cellStyle name="Normal 12 2 5 2" xfId="33040" xr:uid="{A70D08A3-B6CA-4C3C-A375-3096EFF251CA}"/>
    <cellStyle name="Normal 12 2 6" xfId="15594" xr:uid="{ECCD47C2-D6D9-44FE-87C4-4BF806A192C1}"/>
    <cellStyle name="Normal 12 2 6 2" xfId="35934" xr:uid="{8D91A8B6-17F9-4471-B9A2-F2FBFD4D8505}"/>
    <cellStyle name="Normal 12 2 7" xfId="18508" xr:uid="{E371E887-C634-44FB-893B-F37B9F3EC824}"/>
    <cellStyle name="Normal 12 2 7 2" xfId="38848" xr:uid="{777B1C4D-E59E-4610-B150-1E4A3CB1EA4A}"/>
    <cellStyle name="Normal 12 2 8" xfId="19096" xr:uid="{545AC7C4-5A7C-463E-A22E-E98B71107B90}"/>
    <cellStyle name="Normal 12 2 8 2" xfId="39435" xr:uid="{A5E78A7F-C751-4D7F-B884-46BB38098B03}"/>
    <cellStyle name="Normal 12 2 9" xfId="22351" xr:uid="{8A728AFC-20B2-45E6-A684-815EEB66C8E6}"/>
    <cellStyle name="Normal 12 2 9 2" xfId="42686" xr:uid="{D515DA70-8966-4B28-BA6B-CDE121E564F7}"/>
    <cellStyle name="Normal 12 3" xfId="5546" xr:uid="{D57B49BD-CDD9-4BB7-B715-140C49129F74}"/>
    <cellStyle name="Normal 12 3 10" xfId="12297" xr:uid="{8DA5E86B-8466-42ED-8DA5-4D4588700DB7}"/>
    <cellStyle name="Normal 12 3 10 2" xfId="32638" xr:uid="{C5CA06B8-D237-4C77-AD71-A917463D2511}"/>
    <cellStyle name="Normal 12 3 11" xfId="9036" xr:uid="{1B9504A4-5BC7-4FAF-A643-6E280800C010}"/>
    <cellStyle name="Normal 12 3 11 2" xfId="29379" xr:uid="{6ED1B218-8DE0-4CFE-B690-B51E54E345C0}"/>
    <cellStyle name="Normal 12 3 12" xfId="25885" xr:uid="{B8F4017F-BEEC-43FF-ACC4-B55E73B6E1BF}"/>
    <cellStyle name="Normal 12 3 2" xfId="6118" xr:uid="{90DED49E-57F4-4C21-B6B3-3713457CA5F3}"/>
    <cellStyle name="Normal 12 3 2 2" xfId="7276" xr:uid="{5D90DFC2-5D91-4EDD-9879-F4C5A7AE748E}"/>
    <cellStyle name="Normal 12 3 2 2 2" xfId="17562" xr:uid="{EF8EE85F-0922-4556-86F1-BAF2F647858C}"/>
    <cellStyle name="Normal 12 3 2 2 2 2" xfId="37902" xr:uid="{91007BB4-30C1-4351-93EB-FD7214C8D82D}"/>
    <cellStyle name="Normal 12 3 2 2 3" xfId="21064" xr:uid="{D250CE0D-1F03-40AD-B6F8-2130AB1F4A30}"/>
    <cellStyle name="Normal 12 3 2 2 3 2" xfId="41403" xr:uid="{02F27C90-3B8C-4191-B8AE-F626830CB602}"/>
    <cellStyle name="Normal 12 3 2 2 4" xfId="24319" xr:uid="{2EAE323A-1513-4150-88F4-7E00FAA4720C}"/>
    <cellStyle name="Normal 12 3 2 2 4 2" xfId="44654" xr:uid="{BEA42228-7F5E-4628-A7FE-BAB8B0EACF15}"/>
    <cellStyle name="Normal 12 3 2 2 5" xfId="14653" xr:uid="{0F2089E1-8042-4001-A0A7-78816F10959E}"/>
    <cellStyle name="Normal 12 3 2 2 5 2" xfId="34994" xr:uid="{9D3F766E-DEC2-44B9-8422-93CA590A22F9}"/>
    <cellStyle name="Normal 12 3 2 2 6" xfId="10775" xr:uid="{22832859-3767-4B44-97A8-C7124BE4EC39}"/>
    <cellStyle name="Normal 12 3 2 2 6 2" xfId="31118" xr:uid="{504AC33E-EF95-490F-B1C6-069645AAB094}"/>
    <cellStyle name="Normal 12 3 2 2 7" xfId="27624" xr:uid="{1525904C-ABAA-46E6-9FFC-4F759291E835}"/>
    <cellStyle name="Normal 12 3 2 3" xfId="16404" xr:uid="{E8F97C7F-393D-4AC4-9A7F-4C2601A6E52C}"/>
    <cellStyle name="Normal 12 3 2 3 2" xfId="36744" xr:uid="{C9FDE1D5-FF15-4D17-A804-9CD633735569}"/>
    <cellStyle name="Normal 12 3 2 4" xfId="19906" xr:uid="{93E60D7E-5C8D-4DA1-BB65-0692F6973B45}"/>
    <cellStyle name="Normal 12 3 2 4 2" xfId="40245" xr:uid="{236D8878-60FF-47E4-B4DA-7C65368F2AE1}"/>
    <cellStyle name="Normal 12 3 2 5" xfId="23161" xr:uid="{474F0C80-5C43-404F-81BE-2DB9EB749B44}"/>
    <cellStyle name="Normal 12 3 2 5 2" xfId="43496" xr:uid="{AF9ABDFD-4E10-412D-9431-B35ACBA018A6}"/>
    <cellStyle name="Normal 12 3 2 6" xfId="13495" xr:uid="{FCBAB023-8BD9-48E5-ABF0-70F0D07FD90C}"/>
    <cellStyle name="Normal 12 3 2 6 2" xfId="33836" xr:uid="{4716A0A0-EEB4-43F6-BC67-B07BF58F53FA}"/>
    <cellStyle name="Normal 12 3 2 7" xfId="9617" xr:uid="{257E16B1-B401-4879-A003-2E24F198E157}"/>
    <cellStyle name="Normal 12 3 2 7 2" xfId="29960" xr:uid="{4C616392-A062-41DD-A7DD-68C55B8B9E3D}"/>
    <cellStyle name="Normal 12 3 2 8" xfId="26466" xr:uid="{B66B4F52-19DA-4804-B05B-4779A457B3D3}"/>
    <cellStyle name="Normal 12 3 3" xfId="6695" xr:uid="{BE724209-911A-4C26-8190-62D97B37AFA7}"/>
    <cellStyle name="Normal 12 3 3 2" xfId="16981" xr:uid="{411B5FE9-3937-42A6-A25E-3942FDBD39AE}"/>
    <cellStyle name="Normal 12 3 3 2 2" xfId="37321" xr:uid="{8D5DA353-98DA-4852-BFCE-FB6B339A886D}"/>
    <cellStyle name="Normal 12 3 3 3" xfId="20483" xr:uid="{4CE6AE8C-752E-4495-8703-2160E7B4CDE3}"/>
    <cellStyle name="Normal 12 3 3 3 2" xfId="40822" xr:uid="{789602EF-B8E7-4353-88F6-CE2C465A77F7}"/>
    <cellStyle name="Normal 12 3 3 4" xfId="23738" xr:uid="{E9520C84-76D2-410F-A0C0-A3B2AE120114}"/>
    <cellStyle name="Normal 12 3 3 4 2" xfId="44073" xr:uid="{23A1E1B0-5C5C-455C-9051-10F6777633B9}"/>
    <cellStyle name="Normal 12 3 3 5" xfId="14072" xr:uid="{175BBAE8-F294-4F88-8BB6-50EA60D087CC}"/>
    <cellStyle name="Normal 12 3 3 5 2" xfId="34413" xr:uid="{81E38B15-6F0C-4BAC-91D2-C75DFB6258C5}"/>
    <cellStyle name="Normal 12 3 3 6" xfId="10194" xr:uid="{439E48F0-5F8F-4DAF-8C68-DD673AA3EC26}"/>
    <cellStyle name="Normal 12 3 3 6 2" xfId="30537" xr:uid="{14E3AAEB-6DB8-43BC-BBDC-70358BDC5994}"/>
    <cellStyle name="Normal 12 3 3 7" xfId="27043" xr:uid="{8DAD46A3-D697-4C77-9B2E-CCBD04C0860B}"/>
    <cellStyle name="Normal 12 3 4" xfId="7859" xr:uid="{37ABF6D3-12F9-47A4-B890-960F839C6851}"/>
    <cellStyle name="Normal 12 3 4 2" xfId="18144" xr:uid="{9AE991FB-3539-4AD0-867E-5CF4384BD90D}"/>
    <cellStyle name="Normal 12 3 4 2 2" xfId="38484" xr:uid="{B046EDD8-E3A1-4E67-86B1-8E8C9FE73351}"/>
    <cellStyle name="Normal 12 3 4 3" xfId="21646" xr:uid="{A3927463-D9C7-4422-A624-CC47F6F785BD}"/>
    <cellStyle name="Normal 12 3 4 3 2" xfId="41985" xr:uid="{48B20259-0308-4E0C-A86E-4C375B14C97A}"/>
    <cellStyle name="Normal 12 3 4 4" xfId="24901" xr:uid="{7BA29F9E-C0D5-436F-8568-4F763AAF6651}"/>
    <cellStyle name="Normal 12 3 4 4 2" xfId="45236" xr:uid="{9AC59A87-B933-44E9-B44D-4892691969A9}"/>
    <cellStyle name="Normal 12 3 4 5" xfId="15236" xr:uid="{325939ED-247E-410E-81D3-42590E915ED9}"/>
    <cellStyle name="Normal 12 3 4 5 2" xfId="35576" xr:uid="{E6A9A09C-6636-4879-B684-D2AD4E971EA5}"/>
    <cellStyle name="Normal 12 3 4 6" xfId="11357" xr:uid="{09450025-28DA-413F-9033-CFD72B1B358A}"/>
    <cellStyle name="Normal 12 3 4 6 2" xfId="31700" xr:uid="{E29C7326-3327-4932-A388-7D8761BC1CDC}"/>
    <cellStyle name="Normal 12 3 4 7" xfId="28206" xr:uid="{D6849CFB-99B8-4018-9484-6A3D6ABEF63D}"/>
    <cellStyle name="Normal 12 3 5" xfId="12926" xr:uid="{9550649E-C2E5-48CA-ACF0-A2FA797215EA}"/>
    <cellStyle name="Normal 12 3 5 2" xfId="33267" xr:uid="{3CA34584-0998-459A-954C-43851B317FFF}"/>
    <cellStyle name="Normal 12 3 6" xfId="15823" xr:uid="{BBEAD51E-4892-40C5-818C-5EFFFC0BC4B0}"/>
    <cellStyle name="Normal 12 3 6 2" xfId="36163" xr:uid="{F0E1FC00-B487-4288-B3E0-EDAC1BD1130B}"/>
    <cellStyle name="Normal 12 3 7" xfId="18737" xr:uid="{3AF591F3-72BA-49DA-A155-6AFE2125E4CC}"/>
    <cellStyle name="Normal 12 3 7 2" xfId="39077" xr:uid="{38226943-F783-4693-AE2D-595C26E04161}"/>
    <cellStyle name="Normal 12 3 8" xfId="19325" xr:uid="{246E32C1-95BD-49DF-AA9B-67F89CA39240}"/>
    <cellStyle name="Normal 12 3 8 2" xfId="39664" xr:uid="{96F40D67-7E63-4170-B684-C24A80005528}"/>
    <cellStyle name="Normal 12 3 9" xfId="22580" xr:uid="{E65AFB61-5249-46F4-AE08-0132057A8D86}"/>
    <cellStyle name="Normal 12 3 9 2" xfId="42915" xr:uid="{B66888CD-49D0-4627-BA0D-D68F7E713819}"/>
    <cellStyle name="Normal 12 4" xfId="5774" xr:uid="{86D91B17-E7ED-4E47-8CB9-B7E506B6BE7F}"/>
    <cellStyle name="Normal 12 4 2" xfId="6932" xr:uid="{87D89B7B-46DD-46B0-9EC9-19999CEB0185}"/>
    <cellStyle name="Normal 12 4 2 2" xfId="17218" xr:uid="{AF1CB027-23AF-42EB-B261-CF30D7E871FF}"/>
    <cellStyle name="Normal 12 4 2 2 2" xfId="37558" xr:uid="{AB900431-37DC-4123-9FE4-477F771131B4}"/>
    <cellStyle name="Normal 12 4 2 3" xfId="20720" xr:uid="{FAE9816E-C364-41A4-8BA2-E03B383A99C9}"/>
    <cellStyle name="Normal 12 4 2 3 2" xfId="41059" xr:uid="{719C747F-72DF-4940-91B3-A791EEFA5A90}"/>
    <cellStyle name="Normal 12 4 2 4" xfId="23975" xr:uid="{91909A2A-214D-4F63-A93C-2668F6D1ABEA}"/>
    <cellStyle name="Normal 12 4 2 4 2" xfId="44310" xr:uid="{1F9F5F3D-7750-4D62-BD52-04230CF1BEC0}"/>
    <cellStyle name="Normal 12 4 2 5" xfId="14309" xr:uid="{C7602D3A-CCA3-4872-A23C-1F72C30B7854}"/>
    <cellStyle name="Normal 12 4 2 5 2" xfId="34650" xr:uid="{CFA15E02-A9C3-4203-B0EC-50DC136C7C48}"/>
    <cellStyle name="Normal 12 4 2 6" xfId="10431" xr:uid="{EFD1067E-2963-4BEF-A49F-2DBFF2D608CA}"/>
    <cellStyle name="Normal 12 4 2 6 2" xfId="30774" xr:uid="{335B1496-0EC5-47A4-A651-7AB423F640E0}"/>
    <cellStyle name="Normal 12 4 2 7" xfId="27280" xr:uid="{A88D78B9-017B-4AC9-97D7-EB8FF898BAA0}"/>
    <cellStyle name="Normal 12 4 3" xfId="16060" xr:uid="{9FE90399-5B66-4C96-84F4-D1E5FD38AF73}"/>
    <cellStyle name="Normal 12 4 3 2" xfId="36400" xr:uid="{5E6C99B8-CA9C-4FCB-B2C1-F80FFEBA742A}"/>
    <cellStyle name="Normal 12 4 4" xfId="19562" xr:uid="{023F20CA-3C25-483E-B653-08740B3D83B0}"/>
    <cellStyle name="Normal 12 4 4 2" xfId="39901" xr:uid="{D87B5793-3477-485E-AFE0-49073D433C1A}"/>
    <cellStyle name="Normal 12 4 5" xfId="22817" xr:uid="{162B8C5B-12F0-4008-8936-7766FF079D59}"/>
    <cellStyle name="Normal 12 4 5 2" xfId="43152" xr:uid="{04A8B6FE-E84E-4620-864E-5CDEC90C2F62}"/>
    <cellStyle name="Normal 12 4 6" xfId="13162" xr:uid="{1EFD94EC-0CEA-44AF-B61D-E86DCDDCEC7A}"/>
    <cellStyle name="Normal 12 4 6 2" xfId="33503" xr:uid="{62559010-7FBF-42BD-A28E-09A558B83D24}"/>
    <cellStyle name="Normal 12 4 7" xfId="9273" xr:uid="{0D031A33-1727-4DA9-BD9C-BD6D35FE495A}"/>
    <cellStyle name="Normal 12 4 7 2" xfId="29616" xr:uid="{EE878D2B-B0AB-48A4-BCA3-46E99D555EF2}"/>
    <cellStyle name="Normal 12 4 8" xfId="26122" xr:uid="{F4A52578-1515-4A8E-8CDC-D4B5A96F3449}"/>
    <cellStyle name="Normal 12 5" xfId="6351" xr:uid="{11BB8D78-3514-4AA4-B1F9-9BDE95388255}"/>
    <cellStyle name="Normal 12 5 2" xfId="16637" xr:uid="{03453918-7577-4431-B017-B1FEA143B4ED}"/>
    <cellStyle name="Normal 12 5 2 2" xfId="36977" xr:uid="{0719C35D-1A6A-4DC4-8AF4-96DAFE068269}"/>
    <cellStyle name="Normal 12 5 3" xfId="20139" xr:uid="{C86FAD03-E0BA-4C5A-BE19-098EC77D1FFC}"/>
    <cellStyle name="Normal 12 5 3 2" xfId="40478" xr:uid="{45C5D9E6-1BED-4F10-8CD9-563027448515}"/>
    <cellStyle name="Normal 12 5 4" xfId="23394" xr:uid="{4EC6AC0E-00C1-484E-9855-D8B2293810C0}"/>
    <cellStyle name="Normal 12 5 4 2" xfId="43729" xr:uid="{AA95B1DF-A3F7-45A2-A28C-782E6C6FC4F5}"/>
    <cellStyle name="Normal 12 5 5" xfId="13728" xr:uid="{8021179E-BC3A-4AFD-BD64-757620CE3BAA}"/>
    <cellStyle name="Normal 12 5 5 2" xfId="34069" xr:uid="{700DC62E-3DBE-464E-AA18-C52F212A71CF}"/>
    <cellStyle name="Normal 12 5 6" xfId="9850" xr:uid="{7BB3E927-A410-4882-8785-E50D27D0E19F}"/>
    <cellStyle name="Normal 12 5 6 2" xfId="30193" xr:uid="{4514C038-6D47-4400-AFCB-04802B6F645C}"/>
    <cellStyle name="Normal 12 5 7" xfId="26699" xr:uid="{96DEB2E2-1B10-4E14-838D-766F76F6AE1A}"/>
    <cellStyle name="Normal 12 6" xfId="7515" xr:uid="{DAFEC9BC-4FF0-427C-9464-BAE49E998082}"/>
    <cellStyle name="Normal 12 6 2" xfId="17800" xr:uid="{98964FFD-E00E-402E-B33C-C4BDE466AA47}"/>
    <cellStyle name="Normal 12 6 2 2" xfId="38140" xr:uid="{F72CF924-D24C-4EEF-A397-E4B6B8214A67}"/>
    <cellStyle name="Normal 12 6 3" xfId="21302" xr:uid="{7DA2E89D-2712-4B09-BFC1-C121665D2753}"/>
    <cellStyle name="Normal 12 6 3 2" xfId="41641" xr:uid="{7129C054-1E94-45D5-A6D0-6B2B7FFFC0B9}"/>
    <cellStyle name="Normal 12 6 4" xfId="24557" xr:uid="{3919098A-4EB2-470C-9A92-3BE5B20BBC17}"/>
    <cellStyle name="Normal 12 6 4 2" xfId="44892" xr:uid="{B77FFE92-867C-4D2E-A952-CF653931C880}"/>
    <cellStyle name="Normal 12 6 5" xfId="14892" xr:uid="{C1AE2319-DBC5-443B-A7BB-3E22476EF859}"/>
    <cellStyle name="Normal 12 6 5 2" xfId="35232" xr:uid="{63514B40-8AAF-487E-AC96-DE1079F110AF}"/>
    <cellStyle name="Normal 12 6 6" xfId="11013" xr:uid="{F1741195-933E-4531-A3B8-353E77A864AC}"/>
    <cellStyle name="Normal 12 6 6 2" xfId="31356" xr:uid="{3A7E0707-7EFD-45C9-9DD4-5B308552F0B5}"/>
    <cellStyle name="Normal 12 6 7" xfId="27862" xr:uid="{87512DFB-2C15-4A83-AC11-F50280688F55}"/>
    <cellStyle name="Normal 12 7" xfId="12593" xr:uid="{4CC227D9-BFAA-4E08-9894-FE647A5F5519}"/>
    <cellStyle name="Normal 12 7 2" xfId="32934" xr:uid="{5C970AF2-9AEB-45B4-A1B3-FD83B6F0D41C}"/>
    <cellStyle name="Normal 12 8" xfId="15479" xr:uid="{065DA0E1-FB94-41F9-A6EF-58C551C081BD}"/>
    <cellStyle name="Normal 12 8 2" xfId="35819" xr:uid="{1A51030B-B1A3-4D39-B71E-0FDCEA6A5681}"/>
    <cellStyle name="Normal 12 9" xfId="18393" xr:uid="{DB3C5DF0-E205-479B-BB31-1F24869ACE36}"/>
    <cellStyle name="Normal 12 9 2" xfId="38733" xr:uid="{5B08F4DF-8205-4429-B5D8-FE7984E3440D}"/>
    <cellStyle name="Normal 13" xfId="5217" xr:uid="{E2415642-8217-403C-B87A-FB5580F835C8}"/>
    <cellStyle name="Normal 13 10" xfId="18982" xr:uid="{92F8273B-9E87-4959-B02B-C670D7B834B3}"/>
    <cellStyle name="Normal 13 10 2" xfId="39321" xr:uid="{987F7959-38E7-4105-8D31-A2EEFEAF10A5}"/>
    <cellStyle name="Normal 13 11" xfId="22237" xr:uid="{224943D6-6F09-47D5-ACAB-D7561AD1CC08}"/>
    <cellStyle name="Normal 13 11 2" xfId="42572" xr:uid="{BCC6DCE1-8134-4896-A03C-4C9FE16F937B}"/>
    <cellStyle name="Normal 13 12" xfId="11954" xr:uid="{CF700655-4B02-414A-8C18-02B35B47467D}"/>
    <cellStyle name="Normal 13 12 2" xfId="32295" xr:uid="{BFC18E56-E3ED-43F6-A1BE-11FB055CFEA2}"/>
    <cellStyle name="Normal 13 13" xfId="8693" xr:uid="{74064756-DC36-499E-A836-0F03F32F1773}"/>
    <cellStyle name="Normal 13 13 2" xfId="29036" xr:uid="{144CF495-2AAA-43C8-8D45-F63ED2469055}"/>
    <cellStyle name="Normal 13 14" xfId="25538" xr:uid="{7B833449-959C-441D-97E8-C93EB4EA7A83}"/>
    <cellStyle name="Normal 13 2" xfId="5339" xr:uid="{52D469D2-DB63-4BED-AB77-F8175040145F}"/>
    <cellStyle name="Normal 13 2 10" xfId="12069" xr:uid="{296B5F3B-BDCF-468B-930A-25391F0A30C3}"/>
    <cellStyle name="Normal 13 2 10 2" xfId="32410" xr:uid="{9C5E20AE-0656-427C-97D2-B55DBE5AA1C9}"/>
    <cellStyle name="Normal 13 2 11" xfId="8808" xr:uid="{CDD3BE55-30CC-422C-89AB-3580B48978C9}"/>
    <cellStyle name="Normal 13 2 11 2" xfId="29151" xr:uid="{CA476BB3-4A40-4ABF-804B-4FEF07BCF77B}"/>
    <cellStyle name="Normal 13 2 12" xfId="25657" xr:uid="{2CFBA4B0-2837-4D83-80FA-2C04BAD39E80}"/>
    <cellStyle name="Normal 13 2 2" xfId="5890" xr:uid="{9F54AE50-1910-4F30-B312-3B3B8E35F139}"/>
    <cellStyle name="Normal 13 2 2 2" xfId="7048" xr:uid="{D860E5B3-8218-43BF-922C-9F91A0AFFE7E}"/>
    <cellStyle name="Normal 13 2 2 2 2" xfId="17334" xr:uid="{148A8FD1-A249-431E-9557-F69032378D18}"/>
    <cellStyle name="Normal 13 2 2 2 2 2" xfId="37674" xr:uid="{940C5514-C3AD-4464-AE20-E31DDB7CE86A}"/>
    <cellStyle name="Normal 13 2 2 2 3" xfId="20836" xr:uid="{D1B7F3EB-38AF-4E99-A5DD-8D23258292EC}"/>
    <cellStyle name="Normal 13 2 2 2 3 2" xfId="41175" xr:uid="{8EA7D047-856C-4390-AF37-AED986C370D5}"/>
    <cellStyle name="Normal 13 2 2 2 4" xfId="24091" xr:uid="{64EDF893-09A7-43CB-AC5B-B1CDEF64FAC8}"/>
    <cellStyle name="Normal 13 2 2 2 4 2" xfId="44426" xr:uid="{7F490D1D-49E1-4F16-B20F-A024F7CD4525}"/>
    <cellStyle name="Normal 13 2 2 2 5" xfId="14425" xr:uid="{27CDC0D1-C3FC-4B2E-9B37-943C4F2CFC84}"/>
    <cellStyle name="Normal 13 2 2 2 5 2" xfId="34766" xr:uid="{768FBC60-B304-40EE-A5CF-5330E7763B2D}"/>
    <cellStyle name="Normal 13 2 2 2 6" xfId="10547" xr:uid="{E1BC2129-A2E7-4EBC-ABF8-AD6CD9669BE7}"/>
    <cellStyle name="Normal 13 2 2 2 6 2" xfId="30890" xr:uid="{6E1FD40C-8790-4B5D-B7BD-9BF6FFA9F638}"/>
    <cellStyle name="Normal 13 2 2 2 7" xfId="27396" xr:uid="{20FC338F-E1D3-4333-A8BF-AF760B3C9B53}"/>
    <cellStyle name="Normal 13 2 2 3" xfId="16176" xr:uid="{D8468111-10A7-4E3C-92C9-A7C1489F972D}"/>
    <cellStyle name="Normal 13 2 2 3 2" xfId="36516" xr:uid="{AB28B6D5-BA42-4166-8A76-E2CC35410D83}"/>
    <cellStyle name="Normal 13 2 2 4" xfId="19678" xr:uid="{46201642-6395-4260-9CBF-99469C54A361}"/>
    <cellStyle name="Normal 13 2 2 4 2" xfId="40017" xr:uid="{E1AE944C-A6C8-458D-8D85-68B6740C8E79}"/>
    <cellStyle name="Normal 13 2 2 5" xfId="22933" xr:uid="{B2B6743F-F8F8-4B3F-A7D2-04013E9CFDF3}"/>
    <cellStyle name="Normal 13 2 2 5 2" xfId="43268" xr:uid="{65F12630-69EE-4778-B03E-6402CE86C1C6}"/>
    <cellStyle name="Normal 13 2 2 6" xfId="13269" xr:uid="{3BA28D22-1F01-44B0-8D56-FB85BEA20BC0}"/>
    <cellStyle name="Normal 13 2 2 6 2" xfId="33610" xr:uid="{3BC2D84B-5583-4CFF-8553-1A39E31746E6}"/>
    <cellStyle name="Normal 13 2 2 7" xfId="9389" xr:uid="{5BEFE702-33B9-48EB-A887-07FA91060BBD}"/>
    <cellStyle name="Normal 13 2 2 7 2" xfId="29732" xr:uid="{A3B213E1-5D29-4FF1-AD92-BF5A34C4FE5F}"/>
    <cellStyle name="Normal 13 2 2 8" xfId="26238" xr:uid="{11CB7DDF-ACED-46C6-8D1C-3B7F4015AE45}"/>
    <cellStyle name="Normal 13 2 3" xfId="6467" xr:uid="{7558704F-C2D8-4794-800F-DBE0E425B56B}"/>
    <cellStyle name="Normal 13 2 3 2" xfId="16753" xr:uid="{5EA5B001-8274-4E9A-9CD3-46B58E0C938F}"/>
    <cellStyle name="Normal 13 2 3 2 2" xfId="37093" xr:uid="{BBB03EC8-2172-41B5-A906-6D5E7347C5D2}"/>
    <cellStyle name="Normal 13 2 3 3" xfId="20255" xr:uid="{DDC28121-BF8D-4568-BDD0-5FF780E4109D}"/>
    <cellStyle name="Normal 13 2 3 3 2" xfId="40594" xr:uid="{9BEF4AE1-06F0-4298-9D10-A1F514A04533}"/>
    <cellStyle name="Normal 13 2 3 4" xfId="23510" xr:uid="{75AA1501-7197-4A54-B91F-BABA2F48C100}"/>
    <cellStyle name="Normal 13 2 3 4 2" xfId="43845" xr:uid="{0DDF5610-F5D5-4E09-8AEF-AD7AC384E243}"/>
    <cellStyle name="Normal 13 2 3 5" xfId="13844" xr:uid="{6205D162-3AEB-4549-9594-084768EACA58}"/>
    <cellStyle name="Normal 13 2 3 5 2" xfId="34185" xr:uid="{5C39ACDC-4819-4903-ADCD-7955D130B782}"/>
    <cellStyle name="Normal 13 2 3 6" xfId="9966" xr:uid="{47D29ADA-99D1-4E30-BA61-CFAB51F7DE77}"/>
    <cellStyle name="Normal 13 2 3 6 2" xfId="30309" xr:uid="{7B3121B0-CBB0-4C6C-B21D-F9050E19C4C4}"/>
    <cellStyle name="Normal 13 2 3 7" xfId="26815" xr:uid="{5E6F1EC4-9163-4BCA-99CA-B93CD4278352}"/>
    <cellStyle name="Normal 13 2 4" xfId="7631" xr:uid="{521261AE-7D14-46C9-9BE4-7739145609A6}"/>
    <cellStyle name="Normal 13 2 4 2" xfId="17916" xr:uid="{87AF7440-CC03-44E4-A8B5-23B3C267309F}"/>
    <cellStyle name="Normal 13 2 4 2 2" xfId="38256" xr:uid="{756F42B5-471A-4B7B-AE48-D35BD441289C}"/>
    <cellStyle name="Normal 13 2 4 3" xfId="21418" xr:uid="{B245A5E3-11F6-427D-A38E-92B77386030D}"/>
    <cellStyle name="Normal 13 2 4 3 2" xfId="41757" xr:uid="{AF286B52-045F-4327-A035-949D8C6175FA}"/>
    <cellStyle name="Normal 13 2 4 4" xfId="24673" xr:uid="{5F0C764D-EBEC-4C90-9B0F-0B3DC9560B65}"/>
    <cellStyle name="Normal 13 2 4 4 2" xfId="45008" xr:uid="{E072F136-4D6C-40C4-8ED8-66F9FE011E89}"/>
    <cellStyle name="Normal 13 2 4 5" xfId="15008" xr:uid="{DACF8AE5-99B7-4BDB-A82C-AA565B935BC4}"/>
    <cellStyle name="Normal 13 2 4 5 2" xfId="35348" xr:uid="{4E61DAAA-1296-4A12-A3F7-741CF70532B4}"/>
    <cellStyle name="Normal 13 2 4 6" xfId="11129" xr:uid="{B6A5153D-32CA-40E9-B9E8-38ED5B6450EC}"/>
    <cellStyle name="Normal 13 2 4 6 2" xfId="31472" xr:uid="{13CDC84F-B906-4E94-8E98-2825EA4C321C}"/>
    <cellStyle name="Normal 13 2 4 7" xfId="27978" xr:uid="{98FC603D-FC90-4873-A851-314CF784D339}"/>
    <cellStyle name="Normal 13 2 5" xfId="12700" xr:uid="{AF2F8F51-D950-408B-B7D5-63D95B4E7859}"/>
    <cellStyle name="Normal 13 2 5 2" xfId="33041" xr:uid="{27D599B1-B6A5-4FA0-BD0B-BDC79F46DD0A}"/>
    <cellStyle name="Normal 13 2 6" xfId="15595" xr:uid="{80DB2477-272C-4F95-9099-E4F9D1C68858}"/>
    <cellStyle name="Normal 13 2 6 2" xfId="35935" xr:uid="{1F168D54-C8CC-495F-94B7-C6CEE1769E98}"/>
    <cellStyle name="Normal 13 2 7" xfId="18509" xr:uid="{AF2CA70E-D8C5-4EA5-B277-193A196B85F8}"/>
    <cellStyle name="Normal 13 2 7 2" xfId="38849" xr:uid="{DE879B8E-8717-4C2B-B4FE-E272B2469E6E}"/>
    <cellStyle name="Normal 13 2 8" xfId="19097" xr:uid="{549F8187-6ECE-4122-958F-D58B06B80981}"/>
    <cellStyle name="Normal 13 2 8 2" xfId="39436" xr:uid="{B8432708-89B8-4B1C-ACB5-5B0BFDB1B17B}"/>
    <cellStyle name="Normal 13 2 9" xfId="22352" xr:uid="{D1DF04A5-2E72-476D-9176-3D1E4483911E}"/>
    <cellStyle name="Normal 13 2 9 2" xfId="42687" xr:uid="{7EC260A7-5733-4529-B785-EE7380DAB304}"/>
    <cellStyle name="Normal 13 3" xfId="5547" xr:uid="{FF8C753F-4C1A-44CB-A4F6-7736BBFEB71E}"/>
    <cellStyle name="Normal 13 3 10" xfId="12298" xr:uid="{76C010E4-AF2D-49BE-893A-C08BA14A4EAC}"/>
    <cellStyle name="Normal 13 3 10 2" xfId="32639" xr:uid="{B51F8C7B-22F9-44C8-BE5D-D50388DC3332}"/>
    <cellStyle name="Normal 13 3 11" xfId="9037" xr:uid="{DC8D9E5C-78F9-4EC8-A914-66F7DE0497DF}"/>
    <cellStyle name="Normal 13 3 11 2" xfId="29380" xr:uid="{204598D9-39AC-474D-9BE2-8E29495E96EC}"/>
    <cellStyle name="Normal 13 3 12" xfId="25886" xr:uid="{44C8EC4E-FF18-41AC-AB08-8455C4CF16E2}"/>
    <cellStyle name="Normal 13 3 2" xfId="6119" xr:uid="{E4109D85-02F7-4D88-8EDA-2271198512A4}"/>
    <cellStyle name="Normal 13 3 2 2" xfId="7277" xr:uid="{A480D436-97EC-4706-9EBD-513981B392E0}"/>
    <cellStyle name="Normal 13 3 2 2 2" xfId="17563" xr:uid="{F9E4E7B7-181C-4DED-9D3A-02DA8DFF2718}"/>
    <cellStyle name="Normal 13 3 2 2 2 2" xfId="37903" xr:uid="{A8574AF9-8A3F-4916-ACC3-DD46483D23A9}"/>
    <cellStyle name="Normal 13 3 2 2 3" xfId="21065" xr:uid="{D0E78AF7-7E90-493A-8F81-8EAA60AC06D7}"/>
    <cellStyle name="Normal 13 3 2 2 3 2" xfId="41404" xr:uid="{47B1E181-950C-4992-89F6-41335A7481E0}"/>
    <cellStyle name="Normal 13 3 2 2 4" xfId="24320" xr:uid="{C03FF90E-7B82-4956-8BF1-9DBEE43348DD}"/>
    <cellStyle name="Normal 13 3 2 2 4 2" xfId="44655" xr:uid="{17F185E0-512C-41FD-8246-EEB767085722}"/>
    <cellStyle name="Normal 13 3 2 2 5" xfId="14654" xr:uid="{E9A6F07A-1BFF-478D-9C2E-357698ECE132}"/>
    <cellStyle name="Normal 13 3 2 2 5 2" xfId="34995" xr:uid="{BD7378E0-ECE9-4256-A696-7047FCB5CA87}"/>
    <cellStyle name="Normal 13 3 2 2 6" xfId="10776" xr:uid="{7519C499-8629-40C1-BFB5-F183BA8DAEC6}"/>
    <cellStyle name="Normal 13 3 2 2 6 2" xfId="31119" xr:uid="{E463ED81-D89B-4F45-9C56-4208EFADA511}"/>
    <cellStyle name="Normal 13 3 2 2 7" xfId="27625" xr:uid="{41BA7FBD-6807-4E7B-AAB1-E813C7840FB0}"/>
    <cellStyle name="Normal 13 3 2 3" xfId="16405" xr:uid="{F161FE95-FB27-4B14-A0D1-1C56227B1B88}"/>
    <cellStyle name="Normal 13 3 2 3 2" xfId="36745" xr:uid="{A9088F7C-D03D-40D6-8895-9F0C4A51FDA7}"/>
    <cellStyle name="Normal 13 3 2 4" xfId="19907" xr:uid="{3F4F5F7A-946E-482C-8136-4BFBFA3ABC0A}"/>
    <cellStyle name="Normal 13 3 2 4 2" xfId="40246" xr:uid="{7FE5DD3F-E32D-45F7-880F-A47ECD60FE6C}"/>
    <cellStyle name="Normal 13 3 2 5" xfId="23162" xr:uid="{C55D50A2-E1F5-41E4-BE6D-37B0D365E863}"/>
    <cellStyle name="Normal 13 3 2 5 2" xfId="43497" xr:uid="{3C0F22C4-5FDC-4C00-A562-AB690086328D}"/>
    <cellStyle name="Normal 13 3 2 6" xfId="13496" xr:uid="{9BE8611A-E462-4D16-8EE3-2307797353E5}"/>
    <cellStyle name="Normal 13 3 2 6 2" xfId="33837" xr:uid="{C791C4ED-5B9B-4259-8C7E-CDB6C884F548}"/>
    <cellStyle name="Normal 13 3 2 7" xfId="9618" xr:uid="{56A0F86F-2B9C-4761-AD18-9D420EB037DC}"/>
    <cellStyle name="Normal 13 3 2 7 2" xfId="29961" xr:uid="{B7B4CAB5-165F-4468-BFD7-B9C1F6EF2FE5}"/>
    <cellStyle name="Normal 13 3 2 8" xfId="26467" xr:uid="{16EDD698-7A65-4341-85C3-FCE7F8BC05DA}"/>
    <cellStyle name="Normal 13 3 3" xfId="6696" xr:uid="{9EE35E47-8CD7-4C28-8980-8B4A28C47E5D}"/>
    <cellStyle name="Normal 13 3 3 2" xfId="16982" xr:uid="{EAE8CFBF-2C15-4CAD-BE7E-6787C304E793}"/>
    <cellStyle name="Normal 13 3 3 2 2" xfId="37322" xr:uid="{67887098-EE10-49DB-B7EA-AC06661FD37E}"/>
    <cellStyle name="Normal 13 3 3 3" xfId="20484" xr:uid="{DF511FA2-67C0-44C0-9F07-1B9B57F933C3}"/>
    <cellStyle name="Normal 13 3 3 3 2" xfId="40823" xr:uid="{EA50957F-23B9-489D-821B-C094085171EE}"/>
    <cellStyle name="Normal 13 3 3 4" xfId="23739" xr:uid="{9A9B51E8-3193-4B87-B40B-7CF20C19C9D0}"/>
    <cellStyle name="Normal 13 3 3 4 2" xfId="44074" xr:uid="{54643D83-2C61-4213-9299-33B211A5AFDB}"/>
    <cellStyle name="Normal 13 3 3 5" xfId="14073" xr:uid="{B095F098-823B-4A7C-921A-00DD43FE29B8}"/>
    <cellStyle name="Normal 13 3 3 5 2" xfId="34414" xr:uid="{46E39DAE-72E3-4626-AA25-2BF9D14821B1}"/>
    <cellStyle name="Normal 13 3 3 6" xfId="10195" xr:uid="{7C03BBD3-7430-4838-922B-65D1E1252AF6}"/>
    <cellStyle name="Normal 13 3 3 6 2" xfId="30538" xr:uid="{7C007A89-D11F-443F-B4A6-87433F2A3512}"/>
    <cellStyle name="Normal 13 3 3 7" xfId="27044" xr:uid="{C202153C-19BE-4049-A2BE-751E9D72237D}"/>
    <cellStyle name="Normal 13 3 4" xfId="7860" xr:uid="{29EAA12E-E78F-4FDE-A92C-0C49FD95E362}"/>
    <cellStyle name="Normal 13 3 4 2" xfId="18145" xr:uid="{8DEB0BF7-8DDB-4432-ACEA-77F136E3DE69}"/>
    <cellStyle name="Normal 13 3 4 2 2" xfId="38485" xr:uid="{F5AF3378-6D8F-4211-8F0C-B61D2D2B2CE0}"/>
    <cellStyle name="Normal 13 3 4 3" xfId="21647" xr:uid="{ABE759AC-19C7-476C-9914-DF731224168A}"/>
    <cellStyle name="Normal 13 3 4 3 2" xfId="41986" xr:uid="{40C37B31-BD43-489C-B418-87F360BD305A}"/>
    <cellStyle name="Normal 13 3 4 4" xfId="24902" xr:uid="{D9A84D1B-4A84-4D9E-99DC-007657CDE182}"/>
    <cellStyle name="Normal 13 3 4 4 2" xfId="45237" xr:uid="{32297E0D-80EB-4F67-B5B4-2AAB2BD4B9E9}"/>
    <cellStyle name="Normal 13 3 4 5" xfId="15237" xr:uid="{559B790C-79B2-412B-B408-5C64EE304CA4}"/>
    <cellStyle name="Normal 13 3 4 5 2" xfId="35577" xr:uid="{6DC6A181-450C-47ED-9FF7-16119A6CF216}"/>
    <cellStyle name="Normal 13 3 4 6" xfId="11358" xr:uid="{CF92E8DF-DAA2-4FA4-A99E-0A1F0E44D72A}"/>
    <cellStyle name="Normal 13 3 4 6 2" xfId="31701" xr:uid="{79AE259F-7258-4F0E-9F73-66B440489A76}"/>
    <cellStyle name="Normal 13 3 4 7" xfId="28207" xr:uid="{48807039-3158-4A84-ACFA-76E42051A251}"/>
    <cellStyle name="Normal 13 3 5" xfId="12927" xr:uid="{6FBDDE33-497A-4BFD-BD17-58BDBFBE372B}"/>
    <cellStyle name="Normal 13 3 5 2" xfId="33268" xr:uid="{58397945-D9A6-40DC-B303-0A496491B967}"/>
    <cellStyle name="Normal 13 3 6" xfId="15824" xr:uid="{762157DF-140F-41B9-94AB-5F1BFF78FD6F}"/>
    <cellStyle name="Normal 13 3 6 2" xfId="36164" xr:uid="{84290ADF-0E31-4E5D-A515-ED44A736A00B}"/>
    <cellStyle name="Normal 13 3 7" xfId="18738" xr:uid="{689FD7A4-A194-4926-A2D2-FA582A961803}"/>
    <cellStyle name="Normal 13 3 7 2" xfId="39078" xr:uid="{F28FB7DE-BD94-4198-96D3-EAA47206C9BB}"/>
    <cellStyle name="Normal 13 3 8" xfId="19326" xr:uid="{1E3A7815-6312-49E5-BEA3-9DDDE942E462}"/>
    <cellStyle name="Normal 13 3 8 2" xfId="39665" xr:uid="{D5038388-D0D8-47A6-9FDB-E8E2CAB24113}"/>
    <cellStyle name="Normal 13 3 9" xfId="22581" xr:uid="{6331D0ED-3F0A-44B0-BE3F-E976C91A9135}"/>
    <cellStyle name="Normal 13 3 9 2" xfId="42916" xr:uid="{FB6DF51E-C16E-409F-964D-1AD430E0F49F}"/>
    <cellStyle name="Normal 13 4" xfId="5775" xr:uid="{F6F12375-387A-48DE-812D-F462C5C03411}"/>
    <cellStyle name="Normal 13 4 2" xfId="6933" xr:uid="{F86747E4-A4D3-463C-890C-9A1050C51373}"/>
    <cellStyle name="Normal 13 4 2 2" xfId="17219" xr:uid="{469FEBF2-1DA9-4E04-B134-76B357F41D34}"/>
    <cellStyle name="Normal 13 4 2 2 2" xfId="37559" xr:uid="{095C965D-BE4E-438F-8A99-543F6EC96279}"/>
    <cellStyle name="Normal 13 4 2 3" xfId="20721" xr:uid="{DEB90FDB-0AB6-4A77-A16A-1FAD84D0AA37}"/>
    <cellStyle name="Normal 13 4 2 3 2" xfId="41060" xr:uid="{143BBCB3-563F-4B09-898C-0325ACAB6127}"/>
    <cellStyle name="Normal 13 4 2 4" xfId="23976" xr:uid="{0B074AD7-DBAC-463C-94F0-C6BF59A4054C}"/>
    <cellStyle name="Normal 13 4 2 4 2" xfId="44311" xr:uid="{B293E1A1-FE6D-442A-8BC2-71117169EC71}"/>
    <cellStyle name="Normal 13 4 2 5" xfId="14310" xr:uid="{900DB612-4289-441A-8929-2ED27A67F16E}"/>
    <cellStyle name="Normal 13 4 2 5 2" xfId="34651" xr:uid="{4973AB4A-1613-4A17-8AF7-73CB08011D77}"/>
    <cellStyle name="Normal 13 4 2 6" xfId="10432" xr:uid="{5BE8E4F6-6B54-46E8-A047-36AF36953101}"/>
    <cellStyle name="Normal 13 4 2 6 2" xfId="30775" xr:uid="{D24DE2D2-F6E6-4E5E-9E42-F38ACD0040E4}"/>
    <cellStyle name="Normal 13 4 2 7" xfId="27281" xr:uid="{A0156CB1-A85C-47E3-9E90-873D29C6EC35}"/>
    <cellStyle name="Normal 13 4 3" xfId="16061" xr:uid="{E337674A-6685-4CB9-B0A6-FB61842D7AF4}"/>
    <cellStyle name="Normal 13 4 3 2" xfId="36401" xr:uid="{859411EE-8056-47BC-B149-D3804CA341FC}"/>
    <cellStyle name="Normal 13 4 4" xfId="19563" xr:uid="{006E836F-BA3E-4C7E-837C-23DEA870AF1F}"/>
    <cellStyle name="Normal 13 4 4 2" xfId="39902" xr:uid="{F5C0DF2B-FBEA-4E31-BAA7-0EC9007DFFBE}"/>
    <cellStyle name="Normal 13 4 5" xfId="22818" xr:uid="{595794B2-7A89-4379-9805-CEFB488E059E}"/>
    <cellStyle name="Normal 13 4 5 2" xfId="43153" xr:uid="{C30DECB1-F10C-4719-8737-216EB20D999B}"/>
    <cellStyle name="Normal 13 4 6" xfId="13163" xr:uid="{341F5FED-1391-4A2F-8A6B-0FC25BBE228C}"/>
    <cellStyle name="Normal 13 4 6 2" xfId="33504" xr:uid="{7AD2161E-091A-433D-A402-F924607F4778}"/>
    <cellStyle name="Normal 13 4 7" xfId="9274" xr:uid="{913A294A-C0A6-4DD5-BDAE-823E25772666}"/>
    <cellStyle name="Normal 13 4 7 2" xfId="29617" xr:uid="{FC385732-DBDC-4ACC-BB4B-93516D59DE75}"/>
    <cellStyle name="Normal 13 4 8" xfId="26123" xr:uid="{01C7ABAD-8836-46A3-B32B-814C5221E79E}"/>
    <cellStyle name="Normal 13 5" xfId="6352" xr:uid="{A6513B83-1989-45FC-9C33-D70005FCB29D}"/>
    <cellStyle name="Normal 13 5 2" xfId="16638" xr:uid="{B363BBDB-9F8B-4A7C-AAF6-8E9068D731F6}"/>
    <cellStyle name="Normal 13 5 2 2" xfId="36978" xr:uid="{23CD2E89-0348-42C0-97B2-F2E49E1B6657}"/>
    <cellStyle name="Normal 13 5 3" xfId="20140" xr:uid="{61585067-9CE0-4C69-A504-02BC575CF756}"/>
    <cellStyle name="Normal 13 5 3 2" xfId="40479" xr:uid="{C43CB426-E668-472D-A60F-72A8244A9D58}"/>
    <cellStyle name="Normal 13 5 4" xfId="23395" xr:uid="{B0DACB6C-5CF7-4EF7-8B68-9BB943ED6591}"/>
    <cellStyle name="Normal 13 5 4 2" xfId="43730" xr:uid="{F56DF964-AB22-43B2-A981-E054F84CC901}"/>
    <cellStyle name="Normal 13 5 5" xfId="13729" xr:uid="{E0A20BD3-9D70-4849-8545-652A08A7EBB5}"/>
    <cellStyle name="Normal 13 5 5 2" xfId="34070" xr:uid="{94E68181-95F9-4381-A430-F6D27E09416F}"/>
    <cellStyle name="Normal 13 5 6" xfId="9851" xr:uid="{02D7E8A7-2156-41A8-9718-B59F0AA6FE18}"/>
    <cellStyle name="Normal 13 5 6 2" xfId="30194" xr:uid="{438ECCA6-1CFA-4BB7-BAF9-0966008E1CB8}"/>
    <cellStyle name="Normal 13 5 7" xfId="26700" xr:uid="{5BE67413-B110-4168-AAF8-1637D07517B0}"/>
    <cellStyle name="Normal 13 6" xfId="7516" xr:uid="{7BEF41D7-E6A7-4E9C-A918-778503E177C1}"/>
    <cellStyle name="Normal 13 6 2" xfId="17801" xr:uid="{E832C88A-61E4-491E-AE2C-D687B048249D}"/>
    <cellStyle name="Normal 13 6 2 2" xfId="38141" xr:uid="{69A66DFF-EA9C-4EBD-8228-24295DDDF626}"/>
    <cellStyle name="Normal 13 6 3" xfId="21303" xr:uid="{739BA79F-173D-4B03-A85F-B5ED9C12C236}"/>
    <cellStyle name="Normal 13 6 3 2" xfId="41642" xr:uid="{944171F4-C7D6-41DF-8226-20BB839A7830}"/>
    <cellStyle name="Normal 13 6 4" xfId="24558" xr:uid="{0AEA2902-071D-411D-84D8-6DFB458F9B9E}"/>
    <cellStyle name="Normal 13 6 4 2" xfId="44893" xr:uid="{8844BEBC-49E3-4609-B763-AF94FECA472A}"/>
    <cellStyle name="Normal 13 6 5" xfId="14893" xr:uid="{2611C195-5B19-4A96-8246-9244EB937DCE}"/>
    <cellStyle name="Normal 13 6 5 2" xfId="35233" xr:uid="{0ACA0879-A0D2-438D-B406-FB6E17350EC2}"/>
    <cellStyle name="Normal 13 6 6" xfId="11014" xr:uid="{DF5AB011-EE22-4CCE-8BC6-DDA801F98082}"/>
    <cellStyle name="Normal 13 6 6 2" xfId="31357" xr:uid="{83358123-C0F2-4E35-90F5-CCE66100E4C9}"/>
    <cellStyle name="Normal 13 6 7" xfId="27863" xr:uid="{B869C54A-541D-4605-9D3F-6E03188C2CD6}"/>
    <cellStyle name="Normal 13 7" xfId="12594" xr:uid="{88511D40-321C-415E-9830-95ECA01FD385}"/>
    <cellStyle name="Normal 13 7 2" xfId="32935" xr:uid="{60205F58-F23A-4D51-9EC2-E66872E3335D}"/>
    <cellStyle name="Normal 13 8" xfId="15480" xr:uid="{B18D35F1-C4BF-4072-A74A-BD70A3BAF32F}"/>
    <cellStyle name="Normal 13 8 2" xfId="35820" xr:uid="{502BACB1-9925-448E-BDF6-C20BF4BE4AAC}"/>
    <cellStyle name="Normal 13 9" xfId="18394" xr:uid="{6976C91D-9446-433A-826B-1871F2503AE6}"/>
    <cellStyle name="Normal 13 9 2" xfId="38734" xr:uid="{414A1361-5B69-4591-A8AA-B7D1A6DF49DE}"/>
    <cellStyle name="Normal 14" xfId="5218" xr:uid="{5338B63D-F0AB-426A-88DC-B02C633F6F0C}"/>
    <cellStyle name="Normal 14 10" xfId="18983" xr:uid="{86D6691C-1561-4D47-86F3-351538E533F3}"/>
    <cellStyle name="Normal 14 10 2" xfId="39322" xr:uid="{7AAD34D6-3D0F-46E5-AC38-66776748E782}"/>
    <cellStyle name="Normal 14 11" xfId="22238" xr:uid="{7B50B843-B507-44AD-B544-DB68F65BCF39}"/>
    <cellStyle name="Normal 14 11 2" xfId="42573" xr:uid="{E9303385-6B14-4492-8DCF-91CD4F03C9D6}"/>
    <cellStyle name="Normal 14 12" xfId="11955" xr:uid="{0E0A6C53-B1F7-417E-89A8-EFA96C2A1945}"/>
    <cellStyle name="Normal 14 12 2" xfId="32296" xr:uid="{C63385AA-FF2D-49F9-9732-2121A901FA0E}"/>
    <cellStyle name="Normal 14 13" xfId="8694" xr:uid="{0C92A1D5-9376-43A6-A14B-61046B23BB42}"/>
    <cellStyle name="Normal 14 13 2" xfId="29037" xr:uid="{CFC16F57-240D-4CE7-B781-824F141F6998}"/>
    <cellStyle name="Normal 14 14" xfId="25539" xr:uid="{7D25FFC6-E45A-4B01-BD8F-BDA8285C4F6D}"/>
    <cellStyle name="Normal 14 2" xfId="5340" xr:uid="{ED3F6E37-00EA-49BA-B85F-6782EC09B781}"/>
    <cellStyle name="Normal 14 2 10" xfId="12070" xr:uid="{0CEE45CF-A1A5-4003-BA5C-BF222FE98EFC}"/>
    <cellStyle name="Normal 14 2 10 2" xfId="32411" xr:uid="{D71D4B30-E371-4B9A-9795-A75B67825E3E}"/>
    <cellStyle name="Normal 14 2 11" xfId="8809" xr:uid="{EA905A89-B851-4C86-809B-D45C0D855398}"/>
    <cellStyle name="Normal 14 2 11 2" xfId="29152" xr:uid="{F4DCD901-38C8-45E4-92FD-7D45AAE8BA32}"/>
    <cellStyle name="Normal 14 2 12" xfId="25658" xr:uid="{E72130BA-FF97-46B1-9924-D23FE6B8A81D}"/>
    <cellStyle name="Normal 14 2 2" xfId="5891" xr:uid="{6BCF3D08-559D-4529-9991-A1F880584FF3}"/>
    <cellStyle name="Normal 14 2 2 2" xfId="7049" xr:uid="{78D65F5C-793F-4DA9-8089-9F767429F613}"/>
    <cellStyle name="Normal 14 2 2 2 2" xfId="17335" xr:uid="{9E0D538B-BCBE-41E5-89D2-8ED3C6231D61}"/>
    <cellStyle name="Normal 14 2 2 2 2 2" xfId="37675" xr:uid="{DAEF7277-736D-487D-80FC-37D71C0F3647}"/>
    <cellStyle name="Normal 14 2 2 2 3" xfId="20837" xr:uid="{861A8CC6-D95C-4EDF-954C-AEC78F5FA8C7}"/>
    <cellStyle name="Normal 14 2 2 2 3 2" xfId="41176" xr:uid="{39A9DB46-C62A-4199-8F3B-D6F0371EF1C0}"/>
    <cellStyle name="Normal 14 2 2 2 4" xfId="24092" xr:uid="{ED5F1B7A-4819-472C-95D2-2FFCEE716C4F}"/>
    <cellStyle name="Normal 14 2 2 2 4 2" xfId="44427" xr:uid="{B082ACFB-A507-4704-B6BE-A912D1BE1D7A}"/>
    <cellStyle name="Normal 14 2 2 2 5" xfId="14426" xr:uid="{DF0DCA6E-C283-4F64-AE8D-7843E6B8BD88}"/>
    <cellStyle name="Normal 14 2 2 2 5 2" xfId="34767" xr:uid="{1EEED994-D0F9-4218-9E69-5BFC20F0B752}"/>
    <cellStyle name="Normal 14 2 2 2 6" xfId="10548" xr:uid="{589D61A8-D04A-4E0A-85CF-68012039C36D}"/>
    <cellStyle name="Normal 14 2 2 2 6 2" xfId="30891" xr:uid="{1F4A1A7C-349A-4A9C-A9AE-A5F4533938B3}"/>
    <cellStyle name="Normal 14 2 2 2 7" xfId="27397" xr:uid="{4F81AB2E-5BD1-464C-BB24-A2075137C7B0}"/>
    <cellStyle name="Normal 14 2 2 3" xfId="16177" xr:uid="{AD2E38B4-2B2F-4219-89A4-89767F25AD11}"/>
    <cellStyle name="Normal 14 2 2 3 2" xfId="36517" xr:uid="{252AD8FF-F443-44FC-B64F-A29EC2B5F52E}"/>
    <cellStyle name="Normal 14 2 2 4" xfId="19679" xr:uid="{2F5BC5DE-ED43-48DD-9533-E5875CDBA9E3}"/>
    <cellStyle name="Normal 14 2 2 4 2" xfId="40018" xr:uid="{6D2722A1-C8E6-4B18-9436-6F65A55080A0}"/>
    <cellStyle name="Normal 14 2 2 5" xfId="22934" xr:uid="{438F3D1E-6B6A-416A-B449-26F5E7DDE541}"/>
    <cellStyle name="Normal 14 2 2 5 2" xfId="43269" xr:uid="{C9F6DBA7-CF52-4961-87FE-C245A87EEA6E}"/>
    <cellStyle name="Normal 14 2 2 6" xfId="13270" xr:uid="{A8BD005F-A3AC-4713-A4F0-2A8016F07BE9}"/>
    <cellStyle name="Normal 14 2 2 6 2" xfId="33611" xr:uid="{D909E115-7E5E-4CAC-96F6-FA8CA527A657}"/>
    <cellStyle name="Normal 14 2 2 7" xfId="9390" xr:uid="{AA982D31-AF2E-4BD2-A4BF-7E06D816BB42}"/>
    <cellStyle name="Normal 14 2 2 7 2" xfId="29733" xr:uid="{E645BC7E-4A4B-4D7D-9F8B-A20CE2D90589}"/>
    <cellStyle name="Normal 14 2 2 8" xfId="26239" xr:uid="{5EFC41CD-B049-40F5-98E1-7857F75EC28E}"/>
    <cellStyle name="Normal 14 2 3" xfId="6468" xr:uid="{11ADE074-21FF-4447-8015-C2D428A2B143}"/>
    <cellStyle name="Normal 14 2 3 2" xfId="16754" xr:uid="{582CDF87-3169-4E38-B7BC-CBA65AF2605E}"/>
    <cellStyle name="Normal 14 2 3 2 2" xfId="37094" xr:uid="{84C57235-EA4A-4FF4-A88A-A62D277FC611}"/>
    <cellStyle name="Normal 14 2 3 3" xfId="20256" xr:uid="{832E5AB0-46B1-48FF-B7D1-9420A11CA968}"/>
    <cellStyle name="Normal 14 2 3 3 2" xfId="40595" xr:uid="{21980160-18B6-40DE-800B-51BD60A40EBB}"/>
    <cellStyle name="Normal 14 2 3 4" xfId="23511" xr:uid="{AB5B472A-9E9D-4742-8C07-F77E073B6BC8}"/>
    <cellStyle name="Normal 14 2 3 4 2" xfId="43846" xr:uid="{620508B8-E720-4403-8E3F-118D9DC34E1E}"/>
    <cellStyle name="Normal 14 2 3 5" xfId="13845" xr:uid="{24F9AE5E-D1FD-4CE3-92C0-B26FEBC5A71C}"/>
    <cellStyle name="Normal 14 2 3 5 2" xfId="34186" xr:uid="{2DC120CC-EC8B-44D9-9D77-836922368C7B}"/>
    <cellStyle name="Normal 14 2 3 6" xfId="9967" xr:uid="{0BF12F8F-96A5-47CA-B976-0A81939C0DE1}"/>
    <cellStyle name="Normal 14 2 3 6 2" xfId="30310" xr:uid="{8F373A75-74D3-495B-A5CF-EA3326F2E58A}"/>
    <cellStyle name="Normal 14 2 3 7" xfId="26816" xr:uid="{F4BF9B81-7F0A-435D-91BF-9A5B7BC24121}"/>
    <cellStyle name="Normal 14 2 4" xfId="7632" xr:uid="{0552ED08-710F-447E-8AA3-80580283AB91}"/>
    <cellStyle name="Normal 14 2 4 2" xfId="17917" xr:uid="{F5CD881A-FDCE-4E14-B3FB-4428A3A5591D}"/>
    <cellStyle name="Normal 14 2 4 2 2" xfId="38257" xr:uid="{F35C5676-2061-4BEA-A9CC-7470B3C40498}"/>
    <cellStyle name="Normal 14 2 4 3" xfId="21419" xr:uid="{59F39071-55B4-480C-AAA1-7F8B943B3703}"/>
    <cellStyle name="Normal 14 2 4 3 2" xfId="41758" xr:uid="{42F4A355-723E-4317-904E-E9ACD8BF0061}"/>
    <cellStyle name="Normal 14 2 4 4" xfId="24674" xr:uid="{28A997D9-5C52-4C14-B9FC-D449E06B76CD}"/>
    <cellStyle name="Normal 14 2 4 4 2" xfId="45009" xr:uid="{804577E4-7B44-46CC-8053-6B2CD3194DAD}"/>
    <cellStyle name="Normal 14 2 4 5" xfId="15009" xr:uid="{3E45184A-9B5F-45A6-937F-AC3CEEBCDF0E}"/>
    <cellStyle name="Normal 14 2 4 5 2" xfId="35349" xr:uid="{B6A96CA3-2FBB-4F43-8806-9928A322295C}"/>
    <cellStyle name="Normal 14 2 4 6" xfId="11130" xr:uid="{C1150ECE-DC57-4F28-8183-8782FDCB4A25}"/>
    <cellStyle name="Normal 14 2 4 6 2" xfId="31473" xr:uid="{100D1B85-31E5-4C8D-A669-78563C719BE1}"/>
    <cellStyle name="Normal 14 2 4 7" xfId="27979" xr:uid="{3BF5A18E-41F2-455B-977E-DEB558CA9466}"/>
    <cellStyle name="Normal 14 2 5" xfId="12701" xr:uid="{FF2BEA7B-CA24-47C7-805B-BCFB7DAD55C5}"/>
    <cellStyle name="Normal 14 2 5 2" xfId="33042" xr:uid="{BDB74C32-175D-45DA-A22E-DB2B75D54591}"/>
    <cellStyle name="Normal 14 2 6" xfId="15596" xr:uid="{AEEC8EE1-A8E7-4680-9A13-0494BAAD9C35}"/>
    <cellStyle name="Normal 14 2 6 2" xfId="35936" xr:uid="{7FA1B7EA-89A1-4DD2-B337-D148D4B4D23A}"/>
    <cellStyle name="Normal 14 2 7" xfId="18510" xr:uid="{28A77A7A-A0FB-48D7-93A0-93EE0C928A46}"/>
    <cellStyle name="Normal 14 2 7 2" xfId="38850" xr:uid="{EA89299E-A973-4E3E-8A4D-28D917347636}"/>
    <cellStyle name="Normal 14 2 8" xfId="19098" xr:uid="{8FBD8AD2-8304-4BAC-9762-BBC7819B54CE}"/>
    <cellStyle name="Normal 14 2 8 2" xfId="39437" xr:uid="{187BA35A-309F-4741-8300-D82A74F3A957}"/>
    <cellStyle name="Normal 14 2 9" xfId="22353" xr:uid="{FAED424A-A007-434E-807C-539D97556572}"/>
    <cellStyle name="Normal 14 2 9 2" xfId="42688" xr:uid="{E28EEC2B-F73B-4D19-9ACA-644F33DAF871}"/>
    <cellStyle name="Normal 14 3" xfId="5548" xr:uid="{C0D04017-F7FB-48CE-A7C8-FE8B9282C00D}"/>
    <cellStyle name="Normal 14 3 10" xfId="12299" xr:uid="{F896D575-BC74-4C69-8DB2-76F97FD6095A}"/>
    <cellStyle name="Normal 14 3 10 2" xfId="32640" xr:uid="{CD4E47EF-BF4E-4BB1-BB85-381D93B53092}"/>
    <cellStyle name="Normal 14 3 11" xfId="9038" xr:uid="{5E58B853-15B0-40AE-A8E3-E950B3994D4E}"/>
    <cellStyle name="Normal 14 3 11 2" xfId="29381" xr:uid="{5C695476-9500-4DA4-ABEB-5D5FB9E37C88}"/>
    <cellStyle name="Normal 14 3 12" xfId="25887" xr:uid="{B80EEA53-F3DA-4DE2-AA88-6AC0FC6B9C4A}"/>
    <cellStyle name="Normal 14 3 2" xfId="6120" xr:uid="{9A3040AD-417B-4538-99B1-DBC330800425}"/>
    <cellStyle name="Normal 14 3 2 2" xfId="7278" xr:uid="{8316E0EC-2157-492F-B990-EAA8158D8DCD}"/>
    <cellStyle name="Normal 14 3 2 2 2" xfId="17564" xr:uid="{9ADD900E-B972-4CC5-95FB-597007E18ED8}"/>
    <cellStyle name="Normal 14 3 2 2 2 2" xfId="37904" xr:uid="{65532093-52F4-4E4B-9050-6BB7E5FCF249}"/>
    <cellStyle name="Normal 14 3 2 2 3" xfId="21066" xr:uid="{990E3CD9-CFE2-4780-B0FC-2A773EC949B8}"/>
    <cellStyle name="Normal 14 3 2 2 3 2" xfId="41405" xr:uid="{E294AEA7-43EE-4D74-BE2D-54E774C7D49D}"/>
    <cellStyle name="Normal 14 3 2 2 4" xfId="24321" xr:uid="{121D1B09-2C81-4169-B99A-DB913672A775}"/>
    <cellStyle name="Normal 14 3 2 2 4 2" xfId="44656" xr:uid="{F4C59EB1-C2BA-4DD4-AB7C-52F1B9387215}"/>
    <cellStyle name="Normal 14 3 2 2 5" xfId="14655" xr:uid="{F8A7B268-1C4C-4CB4-AB58-ECD23D59CC2E}"/>
    <cellStyle name="Normal 14 3 2 2 5 2" xfId="34996" xr:uid="{0FC91984-B6A3-44C0-9AD6-0C9710E60B61}"/>
    <cellStyle name="Normal 14 3 2 2 6" xfId="10777" xr:uid="{356264C4-24FF-4407-8237-FED477B2EE7B}"/>
    <cellStyle name="Normal 14 3 2 2 6 2" xfId="31120" xr:uid="{A73CCD43-467B-49FA-9E08-CFA74AC9E1F8}"/>
    <cellStyle name="Normal 14 3 2 2 7" xfId="27626" xr:uid="{787EE746-7838-4398-9EE6-E688C073534A}"/>
    <cellStyle name="Normal 14 3 2 3" xfId="16406" xr:uid="{E85F9254-20CC-43AF-A570-61F1DAE545EB}"/>
    <cellStyle name="Normal 14 3 2 3 2" xfId="36746" xr:uid="{EDE28B1C-296B-494F-BFCB-0D07F41E56B4}"/>
    <cellStyle name="Normal 14 3 2 4" xfId="19908" xr:uid="{F6E8056E-D5DC-4042-AC10-F5F6AC34E5BF}"/>
    <cellStyle name="Normal 14 3 2 4 2" xfId="40247" xr:uid="{0E2D4769-05D3-440A-9D68-C72446144299}"/>
    <cellStyle name="Normal 14 3 2 5" xfId="23163" xr:uid="{F4F1F8EF-8419-4461-A6A7-BE0EEEE5F7C3}"/>
    <cellStyle name="Normal 14 3 2 5 2" xfId="43498" xr:uid="{8C210054-406D-4676-8B39-0A5222BC0813}"/>
    <cellStyle name="Normal 14 3 2 6" xfId="13497" xr:uid="{EF3BE3E5-FC1D-463F-9F27-2C426990F859}"/>
    <cellStyle name="Normal 14 3 2 6 2" xfId="33838" xr:uid="{5F2F53FF-AA9C-4DC0-8736-BE7A3878C580}"/>
    <cellStyle name="Normal 14 3 2 7" xfId="9619" xr:uid="{7C7F2625-65C5-4722-8BB0-21838EE08FED}"/>
    <cellStyle name="Normal 14 3 2 7 2" xfId="29962" xr:uid="{5A40DF11-2CD3-4E35-9BA8-0EA94DDCCA81}"/>
    <cellStyle name="Normal 14 3 2 8" xfId="26468" xr:uid="{9346FB7F-622D-4253-8D78-3438B3D4C2E9}"/>
    <cellStyle name="Normal 14 3 3" xfId="6697" xr:uid="{F646B46C-2464-4954-B9A5-D6FC368E3EBC}"/>
    <cellStyle name="Normal 14 3 3 2" xfId="16983" xr:uid="{2E4DAAD7-5827-4241-B881-86BC497B0B94}"/>
    <cellStyle name="Normal 14 3 3 2 2" xfId="37323" xr:uid="{EB41E6E0-7D88-4153-A6EB-65162CEDE167}"/>
    <cellStyle name="Normal 14 3 3 3" xfId="20485" xr:uid="{62A8FF36-EA73-417A-ADD4-809F1153911A}"/>
    <cellStyle name="Normal 14 3 3 3 2" xfId="40824" xr:uid="{B58FDED0-8EEB-45C1-B4B5-29379834EF8C}"/>
    <cellStyle name="Normal 14 3 3 4" xfId="23740" xr:uid="{2B545AD3-6E54-42E2-BC0F-09340A165CE3}"/>
    <cellStyle name="Normal 14 3 3 4 2" xfId="44075" xr:uid="{8D269DA2-797F-401D-84E4-9474C1BFA401}"/>
    <cellStyle name="Normal 14 3 3 5" xfId="14074" xr:uid="{4A3CE8B5-F43E-4D03-B004-DBC6E541B7B4}"/>
    <cellStyle name="Normal 14 3 3 5 2" xfId="34415" xr:uid="{6F4F496D-2065-4747-B9F4-D1FD77F6B04E}"/>
    <cellStyle name="Normal 14 3 3 6" xfId="10196" xr:uid="{9BA3947A-74F9-413F-A3F6-3063E21DEBA3}"/>
    <cellStyle name="Normal 14 3 3 6 2" xfId="30539" xr:uid="{BFCD4F85-8101-4D92-A457-14BFBFC05B7D}"/>
    <cellStyle name="Normal 14 3 3 7" xfId="27045" xr:uid="{E3FB018C-C637-40DA-96EA-1F06E979E8F6}"/>
    <cellStyle name="Normal 14 3 4" xfId="7861" xr:uid="{58536F30-DED2-4D85-AF46-63E85121304E}"/>
    <cellStyle name="Normal 14 3 4 2" xfId="18146" xr:uid="{EB008604-0EB4-48B5-9689-201F027953D6}"/>
    <cellStyle name="Normal 14 3 4 2 2" xfId="38486" xr:uid="{419E3615-E19A-461B-8E17-6754CE2E4AC9}"/>
    <cellStyle name="Normal 14 3 4 3" xfId="21648" xr:uid="{B3C742EF-1DF8-44F2-9D63-2CB1BDB79C4C}"/>
    <cellStyle name="Normal 14 3 4 3 2" xfId="41987" xr:uid="{E4CB0F98-1B26-4006-BBF8-2C405B313D69}"/>
    <cellStyle name="Normal 14 3 4 4" xfId="24903" xr:uid="{E5B7C783-E73F-476A-903C-8419A9A4137C}"/>
    <cellStyle name="Normal 14 3 4 4 2" xfId="45238" xr:uid="{E3651BA1-C1A9-42A9-9122-E89668556C93}"/>
    <cellStyle name="Normal 14 3 4 5" xfId="15238" xr:uid="{0D165B65-EBFC-46AB-B6F0-47DD4B5352BC}"/>
    <cellStyle name="Normal 14 3 4 5 2" xfId="35578" xr:uid="{54BF3281-468F-4BC4-B65B-F2DB64BFF5EA}"/>
    <cellStyle name="Normal 14 3 4 6" xfId="11359" xr:uid="{99DB50E8-D203-4B05-B448-4DBEF7A10E85}"/>
    <cellStyle name="Normal 14 3 4 6 2" xfId="31702" xr:uid="{DF42EAF6-68EC-4958-A478-DED950D9C2C8}"/>
    <cellStyle name="Normal 14 3 4 7" xfId="28208" xr:uid="{132D930D-31DC-4E39-A083-4C4C09CC7473}"/>
    <cellStyle name="Normal 14 3 5" xfId="12928" xr:uid="{521CAE74-08B4-4EBC-96C8-0414CDC72B23}"/>
    <cellStyle name="Normal 14 3 5 2" xfId="33269" xr:uid="{7D55C367-8548-46DB-BF6E-9CA6976833D8}"/>
    <cellStyle name="Normal 14 3 6" xfId="15825" xr:uid="{E2CFED4E-37D7-4E9C-AA54-CB445A48FB0C}"/>
    <cellStyle name="Normal 14 3 6 2" xfId="36165" xr:uid="{AD623DD0-36D8-4E35-A0E6-72362B50253B}"/>
    <cellStyle name="Normal 14 3 7" xfId="18739" xr:uid="{625A78AF-99EF-4B1B-BF9D-2C5618744E75}"/>
    <cellStyle name="Normal 14 3 7 2" xfId="39079" xr:uid="{B54A6C30-8055-4DC4-898B-DDDFA739867F}"/>
    <cellStyle name="Normal 14 3 8" xfId="19327" xr:uid="{D404EEB2-60BD-4749-A03B-3FB8FCE88602}"/>
    <cellStyle name="Normal 14 3 8 2" xfId="39666" xr:uid="{6E3AA983-896B-4EDD-A2CE-51E5542B43BC}"/>
    <cellStyle name="Normal 14 3 9" xfId="22582" xr:uid="{2C97478C-B9A7-45E7-9884-5D5B8BB7D5B9}"/>
    <cellStyle name="Normal 14 3 9 2" xfId="42917" xr:uid="{0CB800BA-B6F9-4F12-9383-8847C7C7707E}"/>
    <cellStyle name="Normal 14 4" xfId="5776" xr:uid="{D48BA75D-BE38-49DE-9B39-5A850C89174A}"/>
    <cellStyle name="Normal 14 4 2" xfId="6934" xr:uid="{327DA353-1F88-49E9-ABB5-842D644E3E31}"/>
    <cellStyle name="Normal 14 4 2 2" xfId="17220" xr:uid="{D606F088-4B59-4DF5-8199-6D4E82A47073}"/>
    <cellStyle name="Normal 14 4 2 2 2" xfId="37560" xr:uid="{152BABFD-8215-4441-AAAB-D01C7BF5A132}"/>
    <cellStyle name="Normal 14 4 2 3" xfId="20722" xr:uid="{64FA822A-8178-4280-802B-5126042117BF}"/>
    <cellStyle name="Normal 14 4 2 3 2" xfId="41061" xr:uid="{E89CDD0F-BFD2-48A3-AB94-B9AF02957F49}"/>
    <cellStyle name="Normal 14 4 2 4" xfId="23977" xr:uid="{F91F4BDC-DB3F-441F-B55E-D51E37A80275}"/>
    <cellStyle name="Normal 14 4 2 4 2" xfId="44312" xr:uid="{487ED25B-F26C-4DD2-95C0-C75465FB4F51}"/>
    <cellStyle name="Normal 14 4 2 5" xfId="14311" xr:uid="{E0E43699-EDBC-4D3F-9C02-6405910A2073}"/>
    <cellStyle name="Normal 14 4 2 5 2" xfId="34652" xr:uid="{3D42CDFB-DE47-47FF-8778-40472F12D9B3}"/>
    <cellStyle name="Normal 14 4 2 6" xfId="10433" xr:uid="{5E37B529-35D1-4EF9-A580-E399753715BE}"/>
    <cellStyle name="Normal 14 4 2 6 2" xfId="30776" xr:uid="{97C308A7-4CD6-45CE-B065-38DA525BDCFC}"/>
    <cellStyle name="Normal 14 4 2 7" xfId="27282" xr:uid="{86E4EE77-1AB4-447B-BCD7-96D4DAD1E581}"/>
    <cellStyle name="Normal 14 4 3" xfId="16062" xr:uid="{186CCD98-FAE2-460D-B750-25C4628D97F2}"/>
    <cellStyle name="Normal 14 4 3 2" xfId="36402" xr:uid="{C50125E9-DD3E-4406-A889-2540BA715E24}"/>
    <cellStyle name="Normal 14 4 4" xfId="19564" xr:uid="{33033489-4955-4FE7-BA74-8FDDAE8DC75E}"/>
    <cellStyle name="Normal 14 4 4 2" xfId="39903" xr:uid="{0DA27F5B-E00A-489F-A508-50F95795F584}"/>
    <cellStyle name="Normal 14 4 5" xfId="22819" xr:uid="{866F2511-F22D-40F2-AE8A-DB21EDE5A7AD}"/>
    <cellStyle name="Normal 14 4 5 2" xfId="43154" xr:uid="{6BCB451E-3AB7-4428-8D35-AAA2E2B46973}"/>
    <cellStyle name="Normal 14 4 6" xfId="13164" xr:uid="{5D56222A-86E0-4C5A-B4EF-81E185A4F5E0}"/>
    <cellStyle name="Normal 14 4 6 2" xfId="33505" xr:uid="{78303E8B-36DC-415C-8C02-4FF5BAAB5D79}"/>
    <cellStyle name="Normal 14 4 7" xfId="9275" xr:uid="{DE01E7A3-E67B-4FC2-A006-B83A1B6C3662}"/>
    <cellStyle name="Normal 14 4 7 2" xfId="29618" xr:uid="{81477CA6-04DE-4D1C-8176-78F229ADD528}"/>
    <cellStyle name="Normal 14 4 8" xfId="26124" xr:uid="{A799CB15-4311-42AF-A708-BAD1B73B1C7B}"/>
    <cellStyle name="Normal 14 5" xfId="6353" xr:uid="{8511BAE3-1597-44F3-8D9B-B3823A78BF68}"/>
    <cellStyle name="Normal 14 5 2" xfId="16639" xr:uid="{5A759D56-CE1A-4FE4-AC3D-535591EFE5B7}"/>
    <cellStyle name="Normal 14 5 2 2" xfId="36979" xr:uid="{F46511D8-F91A-49D9-8AB3-655FE4E8575E}"/>
    <cellStyle name="Normal 14 5 3" xfId="20141" xr:uid="{97ED4C83-5A71-4454-A07C-A760364B684E}"/>
    <cellStyle name="Normal 14 5 3 2" xfId="40480" xr:uid="{1DEF7EA9-6AF7-4151-A688-BC6F8392DDF1}"/>
    <cellStyle name="Normal 14 5 4" xfId="23396" xr:uid="{330D3EA5-BC8E-4D0A-9A42-CD0CD0101861}"/>
    <cellStyle name="Normal 14 5 4 2" xfId="43731" xr:uid="{3EE08C8E-E014-4B63-A975-815B91E60DD4}"/>
    <cellStyle name="Normal 14 5 5" xfId="13730" xr:uid="{6335BEA5-1FBF-4A6A-A2A6-83C1EFF8AA93}"/>
    <cellStyle name="Normal 14 5 5 2" xfId="34071" xr:uid="{40BB8BC0-CE92-49E4-919A-A7278ED70B9C}"/>
    <cellStyle name="Normal 14 5 6" xfId="9852" xr:uid="{FB961083-5060-440F-84AD-CF2D1818B21F}"/>
    <cellStyle name="Normal 14 5 6 2" xfId="30195" xr:uid="{3693F918-03A5-4020-9E2C-4BE7B067E7E8}"/>
    <cellStyle name="Normal 14 5 7" xfId="26701" xr:uid="{FE2B8A59-0EF4-45AF-84D0-62D3EDF9D04E}"/>
    <cellStyle name="Normal 14 6" xfId="7517" xr:uid="{097F4AC3-554A-4E75-9EE2-682237C12AC7}"/>
    <cellStyle name="Normal 14 6 2" xfId="17802" xr:uid="{7591D75B-578F-48CE-84DB-2249E4DBCEBD}"/>
    <cellStyle name="Normal 14 6 2 2" xfId="38142" xr:uid="{9B03A8A1-FEDB-4562-9C53-7283A4E0231A}"/>
    <cellStyle name="Normal 14 6 3" xfId="21304" xr:uid="{5E9D983A-173F-40FF-A047-943DB1F8D07F}"/>
    <cellStyle name="Normal 14 6 3 2" xfId="41643" xr:uid="{557339AB-9C10-4448-9600-8F325E192E69}"/>
    <cellStyle name="Normal 14 6 4" xfId="24559" xr:uid="{D491AE92-040B-45CE-B384-199A32BCD702}"/>
    <cellStyle name="Normal 14 6 4 2" xfId="44894" xr:uid="{7B5A56D4-E36B-48F0-82E7-E348560270A0}"/>
    <cellStyle name="Normal 14 6 5" xfId="14894" xr:uid="{8C46424B-6164-45C8-B651-41CC71582651}"/>
    <cellStyle name="Normal 14 6 5 2" xfId="35234" xr:uid="{14BE4082-3677-4268-A55B-704121DF511C}"/>
    <cellStyle name="Normal 14 6 6" xfId="11015" xr:uid="{6B2A92FC-1B70-4670-8FA7-89CEEE37EC8C}"/>
    <cellStyle name="Normal 14 6 6 2" xfId="31358" xr:uid="{70BD62A1-9319-49D9-9886-5EA58617E0BA}"/>
    <cellStyle name="Normal 14 6 7" xfId="27864" xr:uid="{2638528B-7A4A-43B5-8E5C-7ABB431A8DD3}"/>
    <cellStyle name="Normal 14 7" xfId="12595" xr:uid="{918AB1B7-C435-4F37-A3F4-8107BDC20698}"/>
    <cellStyle name="Normal 14 7 2" xfId="32936" xr:uid="{6552D209-5F1C-43EC-AF97-A1DADA8C9425}"/>
    <cellStyle name="Normal 14 8" xfId="15481" xr:uid="{030DE19D-20DB-4A52-A7B4-53C550F7D52C}"/>
    <cellStyle name="Normal 14 8 2" xfId="35821" xr:uid="{1CA3FD5B-6A91-4C3C-9402-0A3FCFB7E9B4}"/>
    <cellStyle name="Normal 14 9" xfId="18395" xr:uid="{196964CA-02A2-47DB-AF05-132D2AE58646}"/>
    <cellStyle name="Normal 14 9 2" xfId="38735" xr:uid="{2D7CF507-5D22-4497-B9D7-5D389959203B}"/>
    <cellStyle name="Normal 15" xfId="5307" xr:uid="{25DD53EF-4EDA-431F-95C4-631178B705BD}"/>
    <cellStyle name="Normal 15 10" xfId="19065" xr:uid="{A824DF87-9302-4035-8C9E-D16012265F5A}"/>
    <cellStyle name="Normal 15 10 2" xfId="39404" xr:uid="{98777B12-1577-44B9-B0B3-C402E5920291}"/>
    <cellStyle name="Normal 15 11" xfId="22320" xr:uid="{F1E3F67F-5952-403B-9EB9-4C4E98CE74FD}"/>
    <cellStyle name="Normal 15 11 2" xfId="42655" xr:uid="{3D4F8A3B-0828-4582-B4FE-9EA8258027E9}"/>
    <cellStyle name="Normal 15 12" xfId="12037" xr:uid="{C5E1F090-C5DB-45EF-87E8-90EDA94CFFA7}"/>
    <cellStyle name="Normal 15 12 2" xfId="32378" xr:uid="{C3CC9BA0-C7BD-4272-9F0D-140C8F326E28}"/>
    <cellStyle name="Normal 15 13" xfId="8776" xr:uid="{63417ECA-0BC0-4B33-8C0A-EB7251C24FD4}"/>
    <cellStyle name="Normal 15 13 2" xfId="29119" xr:uid="{86D0C14E-E45F-4CBC-A1B3-55F16F9331BB}"/>
    <cellStyle name="Normal 15 14" xfId="25625" xr:uid="{2D0A9173-98A0-4022-B150-FB0C81BA0A4C}"/>
    <cellStyle name="Normal 15 2" xfId="5409" xr:uid="{5A357DAE-A48B-4552-A926-440E591CE928}"/>
    <cellStyle name="Normal 15 2 10" xfId="12152" xr:uid="{90AED270-8989-4962-8A19-70DC3AFC1162}"/>
    <cellStyle name="Normal 15 2 10 2" xfId="32493" xr:uid="{1E3E39D1-8B05-4D5D-927F-406C199FC93B}"/>
    <cellStyle name="Normal 15 2 11" xfId="8891" xr:uid="{33ABED9D-C421-4426-99FB-EE193216F408}"/>
    <cellStyle name="Normal 15 2 11 2" xfId="29234" xr:uid="{5DEF7860-3976-4038-AFAE-B19E33B446E9}"/>
    <cellStyle name="Normal 15 2 12" xfId="25740" xr:uid="{302801C6-A3EF-4401-893F-9300E6C0D9DF}"/>
    <cellStyle name="Normal 15 2 2" xfId="5973" xr:uid="{34094361-6F7F-4499-A01B-D912154C86E4}"/>
    <cellStyle name="Normal 15 2 2 2" xfId="7131" xr:uid="{E4BE4A17-E6AA-41EA-9BAC-3ED722A636BA}"/>
    <cellStyle name="Normal 15 2 2 2 2" xfId="17417" xr:uid="{11AADEB1-B73A-4B85-8754-4BB833C6DB24}"/>
    <cellStyle name="Normal 15 2 2 2 2 2" xfId="37757" xr:uid="{99B2BEE2-ABFF-43E3-9C9B-F2C5E7E5A52D}"/>
    <cellStyle name="Normal 15 2 2 2 3" xfId="20919" xr:uid="{4EBE411F-C280-4CC8-9EF5-12788A6A1121}"/>
    <cellStyle name="Normal 15 2 2 2 3 2" xfId="41258" xr:uid="{26E84DF6-852C-4E1E-9862-998F6AFE8147}"/>
    <cellStyle name="Normal 15 2 2 2 4" xfId="24174" xr:uid="{5261D753-73E2-4316-B631-496B0B96856E}"/>
    <cellStyle name="Normal 15 2 2 2 4 2" xfId="44509" xr:uid="{1DA4E9D4-0A76-4F71-B00E-B2334E081D4E}"/>
    <cellStyle name="Normal 15 2 2 2 5" xfId="14508" xr:uid="{242FFB59-858D-4133-9A56-9E89CA256760}"/>
    <cellStyle name="Normal 15 2 2 2 5 2" xfId="34849" xr:uid="{B779747A-7545-42E2-B31D-131AFD81FA1F}"/>
    <cellStyle name="Normal 15 2 2 2 6" xfId="10630" xr:uid="{F53F002D-F948-4D69-AD0C-0ECAD8ED519F}"/>
    <cellStyle name="Normal 15 2 2 2 6 2" xfId="30973" xr:uid="{83143C32-CF55-418C-8F25-1AC68C056EB1}"/>
    <cellStyle name="Normal 15 2 2 2 7" xfId="27479" xr:uid="{F40BE7A5-8FCD-433B-9DD7-3CDAD11B9879}"/>
    <cellStyle name="Normal 15 2 2 3" xfId="16259" xr:uid="{C72ADDC1-8F69-4E50-8BCB-BC3462B4BD21}"/>
    <cellStyle name="Normal 15 2 2 3 2" xfId="36599" xr:uid="{CFB6FD5B-1459-4E59-ACAE-0EA17681E3CE}"/>
    <cellStyle name="Normal 15 2 2 4" xfId="19761" xr:uid="{7E4F31BA-9906-467E-83A4-C72094382899}"/>
    <cellStyle name="Normal 15 2 2 4 2" xfId="40100" xr:uid="{EFB8CDA2-A171-43D2-98EB-8BF201F38631}"/>
    <cellStyle name="Normal 15 2 2 5" xfId="23016" xr:uid="{F2E418E5-82B3-405F-86A0-909114EEEA0F}"/>
    <cellStyle name="Normal 15 2 2 5 2" xfId="43351" xr:uid="{3B2E0265-B546-4B93-929B-5AF4B784E297}"/>
    <cellStyle name="Normal 15 2 2 6" xfId="13350" xr:uid="{6BF326B5-5096-485A-9501-C945CE753A09}"/>
    <cellStyle name="Normal 15 2 2 6 2" xfId="33691" xr:uid="{98E4F6C3-7DCD-47ED-B4EE-2752EF74D67C}"/>
    <cellStyle name="Normal 15 2 2 7" xfId="9472" xr:uid="{E8EC12BE-098A-4AEB-9465-748EFDD38107}"/>
    <cellStyle name="Normal 15 2 2 7 2" xfId="29815" xr:uid="{0823AC15-F81D-417F-A8EB-B435D785AC75}"/>
    <cellStyle name="Normal 15 2 2 8" xfId="26321" xr:uid="{6B706374-F406-46C8-A238-B6B5CC702820}"/>
    <cellStyle name="Normal 15 2 3" xfId="6550" xr:uid="{56D5018A-8DB5-4BAF-A6EB-C8205A491125}"/>
    <cellStyle name="Normal 15 2 3 2" xfId="16836" xr:uid="{2ECC8D6D-A7C9-43F5-8E70-92C8CC96AB17}"/>
    <cellStyle name="Normal 15 2 3 2 2" xfId="37176" xr:uid="{E06BFA06-E0E2-4D60-B8B9-80CB3F059B22}"/>
    <cellStyle name="Normal 15 2 3 3" xfId="20338" xr:uid="{00B3290D-9742-4658-839C-3E52F1F89926}"/>
    <cellStyle name="Normal 15 2 3 3 2" xfId="40677" xr:uid="{029FBF9B-06F4-41E2-B8EB-7BD890D57F21}"/>
    <cellStyle name="Normal 15 2 3 4" xfId="23593" xr:uid="{F685C7D7-2237-4412-BD3F-28FC62A99CA2}"/>
    <cellStyle name="Normal 15 2 3 4 2" xfId="43928" xr:uid="{F1CEC510-3DD0-42E2-BEC2-8D5EE2247576}"/>
    <cellStyle name="Normal 15 2 3 5" xfId="13927" xr:uid="{02657C42-66DD-4474-A546-2BF0F4455872}"/>
    <cellStyle name="Normal 15 2 3 5 2" xfId="34268" xr:uid="{0C5D4EB2-38EB-47D8-B569-4C04825DF764}"/>
    <cellStyle name="Normal 15 2 3 6" xfId="10049" xr:uid="{F34B49FE-7915-4E2F-84F5-4B8B032D2C92}"/>
    <cellStyle name="Normal 15 2 3 6 2" xfId="30392" xr:uid="{537BDFF7-6342-43D6-B7DA-8A27EE44693C}"/>
    <cellStyle name="Normal 15 2 3 7" xfId="26898" xr:uid="{1D919128-308D-473B-8BA7-0CF38814FCBE}"/>
    <cellStyle name="Normal 15 2 4" xfId="7714" xr:uid="{D73D4249-C72D-4571-AE7D-39C384C1FB6D}"/>
    <cellStyle name="Normal 15 2 4 2" xfId="17999" xr:uid="{4B130B64-0479-4AAC-9090-9F31CF7F266C}"/>
    <cellStyle name="Normal 15 2 4 2 2" xfId="38339" xr:uid="{BC5CBD29-609C-4046-ACE0-CFE55D20E23D}"/>
    <cellStyle name="Normal 15 2 4 3" xfId="21501" xr:uid="{CDCB3698-B830-4232-907D-507C2C9D1634}"/>
    <cellStyle name="Normal 15 2 4 3 2" xfId="41840" xr:uid="{881760FC-374C-4E29-BFCF-BA7B9CB0CC45}"/>
    <cellStyle name="Normal 15 2 4 4" xfId="24756" xr:uid="{780BD027-1F82-4953-8EB8-A5A3CB2FB010}"/>
    <cellStyle name="Normal 15 2 4 4 2" xfId="45091" xr:uid="{CC3280D1-08B2-43E5-85FD-B0BC8C95634D}"/>
    <cellStyle name="Normal 15 2 4 5" xfId="15091" xr:uid="{85DF8D86-910F-4379-938E-BCAF11CC0FE7}"/>
    <cellStyle name="Normal 15 2 4 5 2" xfId="35431" xr:uid="{F81148A1-EC64-4A93-A0E8-890ED22DAAA9}"/>
    <cellStyle name="Normal 15 2 4 6" xfId="11212" xr:uid="{C7D75909-161C-4DF1-B0CA-5E8C19401BBA}"/>
    <cellStyle name="Normal 15 2 4 6 2" xfId="31555" xr:uid="{30101B29-FAEA-4657-A46B-824E928B6C26}"/>
    <cellStyle name="Normal 15 2 4 7" xfId="28061" xr:uid="{D8BFABB0-D565-42CF-90C0-55BEFD46D3B5}"/>
    <cellStyle name="Normal 15 2 5" xfId="12781" xr:uid="{23FA4420-AA24-4894-8CD9-96993FA86FC9}"/>
    <cellStyle name="Normal 15 2 5 2" xfId="33122" xr:uid="{C8FC5583-8444-4B0B-A602-1A2549C9BCC8}"/>
    <cellStyle name="Normal 15 2 6" xfId="15678" xr:uid="{F3EF8BEB-4200-4F07-AE77-A12F365B3705}"/>
    <cellStyle name="Normal 15 2 6 2" xfId="36018" xr:uid="{A196DA70-D69D-4ECB-92BB-FC59812D214E}"/>
    <cellStyle name="Normal 15 2 7" xfId="18592" xr:uid="{3BB12CCB-3578-4754-9348-33CD6C882451}"/>
    <cellStyle name="Normal 15 2 7 2" xfId="38932" xr:uid="{32664D19-AF40-40A4-BF92-EE7CC651027A}"/>
    <cellStyle name="Normal 15 2 8" xfId="19180" xr:uid="{68228E49-2B38-4EEF-B884-C10F8FB7329A}"/>
    <cellStyle name="Normal 15 2 8 2" xfId="39519" xr:uid="{E2259EB3-CD5B-418C-977D-42847497A11E}"/>
    <cellStyle name="Normal 15 2 9" xfId="22435" xr:uid="{E9A40C37-CEBF-4CAC-9585-0F63D9CAAD0A}"/>
    <cellStyle name="Normal 15 2 9 2" xfId="42770" xr:uid="{451AAAFA-D0BC-4762-A9AF-28AEBBC23F49}"/>
    <cellStyle name="Normal 15 3" xfId="5630" xr:uid="{15561526-DB9D-4F6A-83C7-96E9ACBE404E}"/>
    <cellStyle name="Normal 15 3 10" xfId="12381" xr:uid="{0574312D-CF90-4C7B-9729-BA95DD61E9AC}"/>
    <cellStyle name="Normal 15 3 10 2" xfId="32722" xr:uid="{D09F4D6C-0FC1-4709-B442-633AB55EEFE4}"/>
    <cellStyle name="Normal 15 3 11" xfId="9120" xr:uid="{AB1B1936-9DBD-49D8-B047-1F5C966A10E5}"/>
    <cellStyle name="Normal 15 3 11 2" xfId="29463" xr:uid="{3813E2F0-9A4C-4EA0-96A7-861AB545F070}"/>
    <cellStyle name="Normal 15 3 12" xfId="25969" xr:uid="{8AA58E74-7017-4927-B0A2-290C23166EDC}"/>
    <cellStyle name="Normal 15 3 2" xfId="6202" xr:uid="{8E670317-5D24-43A6-AAA1-AF2068A8318F}"/>
    <cellStyle name="Normal 15 3 2 2" xfId="7360" xr:uid="{887B535E-868E-4AC4-A350-AFA0141AAEE0}"/>
    <cellStyle name="Normal 15 3 2 2 2" xfId="17646" xr:uid="{686A2FF7-A3B1-4084-A811-0806E94B7911}"/>
    <cellStyle name="Normal 15 3 2 2 2 2" xfId="37986" xr:uid="{84B9F88C-4131-4931-AB7B-354E2C61C4C1}"/>
    <cellStyle name="Normal 15 3 2 2 3" xfId="21148" xr:uid="{9AD541FA-B689-4CB5-B746-9C98BF16CB2B}"/>
    <cellStyle name="Normal 15 3 2 2 3 2" xfId="41487" xr:uid="{AC2A5D65-3D6F-4FF5-8A52-CCDB07FFB49A}"/>
    <cellStyle name="Normal 15 3 2 2 4" xfId="24403" xr:uid="{D128A731-FF55-41E0-9E77-B3270C105CFC}"/>
    <cellStyle name="Normal 15 3 2 2 4 2" xfId="44738" xr:uid="{5BCFC7A0-F716-4AD3-B651-5B38EB24B3B7}"/>
    <cellStyle name="Normal 15 3 2 2 5" xfId="14737" xr:uid="{E1360836-6FAB-46B8-9E46-1DA012A90444}"/>
    <cellStyle name="Normal 15 3 2 2 5 2" xfId="35078" xr:uid="{46594CBB-9689-49CF-A9A8-A470DE6D0EA2}"/>
    <cellStyle name="Normal 15 3 2 2 6" xfId="10859" xr:uid="{E61B740D-B8AA-4727-9A98-5D7C165492D0}"/>
    <cellStyle name="Normal 15 3 2 2 6 2" xfId="31202" xr:uid="{10EC835A-A14F-4C7E-8627-E6FAFC9461E0}"/>
    <cellStyle name="Normal 15 3 2 2 7" xfId="27708" xr:uid="{057666A3-8C8B-40FD-8530-C4B17ED683EA}"/>
    <cellStyle name="Normal 15 3 2 3" xfId="16488" xr:uid="{255DC38A-06C5-4A76-A488-26620E0B569B}"/>
    <cellStyle name="Normal 15 3 2 3 2" xfId="36828" xr:uid="{C9EB8CDE-0D5C-4C03-AEC8-75C83EC878D2}"/>
    <cellStyle name="Normal 15 3 2 4" xfId="19990" xr:uid="{05A00438-BD98-40AC-B53E-0B3D3DAEB67D}"/>
    <cellStyle name="Normal 15 3 2 4 2" xfId="40329" xr:uid="{D7DC4E11-7120-4CA6-915F-5A9ECC036099}"/>
    <cellStyle name="Normal 15 3 2 5" xfId="23245" xr:uid="{6BA7CD71-575A-4794-A327-DFE59CAA11F0}"/>
    <cellStyle name="Normal 15 3 2 5 2" xfId="43580" xr:uid="{5A16F8F6-DCF1-4546-BA76-13D64C3BDDC6}"/>
    <cellStyle name="Normal 15 3 2 6" xfId="13579" xr:uid="{E556F4A0-B4E6-41DD-84BE-BF66959A5819}"/>
    <cellStyle name="Normal 15 3 2 6 2" xfId="33920" xr:uid="{AF787D09-8A76-4FEB-80A2-28D8FF67EC32}"/>
    <cellStyle name="Normal 15 3 2 7" xfId="9701" xr:uid="{CEBCE158-2FD2-460C-B555-9ACB6356D405}"/>
    <cellStyle name="Normal 15 3 2 7 2" xfId="30044" xr:uid="{70CF3827-590F-4467-AAAE-C814B347EA40}"/>
    <cellStyle name="Normal 15 3 2 8" xfId="26550" xr:uid="{EE7BD4F7-5909-4C9F-8CDC-3D2E07CF0B36}"/>
    <cellStyle name="Normal 15 3 3" xfId="6779" xr:uid="{C6AC993D-3CF8-46B9-9186-06720C80B7EA}"/>
    <cellStyle name="Normal 15 3 3 2" xfId="17065" xr:uid="{5C2B338F-B64F-449A-AA71-A2793C5D96AF}"/>
    <cellStyle name="Normal 15 3 3 2 2" xfId="37405" xr:uid="{69E83E5D-F40E-403D-B801-2BD38D36D735}"/>
    <cellStyle name="Normal 15 3 3 3" xfId="20567" xr:uid="{A51C899C-77A7-44BA-9729-C36ECEFBB603}"/>
    <cellStyle name="Normal 15 3 3 3 2" xfId="40906" xr:uid="{A36D5438-3035-41F7-BFFA-E283050957C2}"/>
    <cellStyle name="Normal 15 3 3 4" xfId="23822" xr:uid="{C6133879-E6BA-4EB5-A46F-383A0F2207DA}"/>
    <cellStyle name="Normal 15 3 3 4 2" xfId="44157" xr:uid="{F1DF2313-86C7-472F-9E56-CEC51B408D24}"/>
    <cellStyle name="Normal 15 3 3 5" xfId="14156" xr:uid="{AAE68E26-8DC1-4C9C-A36D-95DD5CF879BD}"/>
    <cellStyle name="Normal 15 3 3 5 2" xfId="34497" xr:uid="{052FE9E7-3992-4886-A612-AD59167197A2}"/>
    <cellStyle name="Normal 15 3 3 6" xfId="10278" xr:uid="{4EC3362E-CBD2-449C-B18F-29CADF4D1520}"/>
    <cellStyle name="Normal 15 3 3 6 2" xfId="30621" xr:uid="{D088551D-EFA0-492B-8493-117706D0B6C9}"/>
    <cellStyle name="Normal 15 3 3 7" xfId="27127" xr:uid="{53A1913B-5F91-44FA-8468-7E728C7B1262}"/>
    <cellStyle name="Normal 15 3 4" xfId="7943" xr:uid="{11236090-B38D-43AC-A669-3CA2F654F0A3}"/>
    <cellStyle name="Normal 15 3 4 2" xfId="18228" xr:uid="{884AFB04-48DD-4272-B98B-93F810C7EE1E}"/>
    <cellStyle name="Normal 15 3 4 2 2" xfId="38568" xr:uid="{7FBFADD5-5408-4875-A3C4-F6B47CFF294B}"/>
    <cellStyle name="Normal 15 3 4 3" xfId="21730" xr:uid="{010BD9A8-9FE4-4706-BB78-E089CB3F6024}"/>
    <cellStyle name="Normal 15 3 4 3 2" xfId="42069" xr:uid="{53C618C4-771C-45D0-9F97-93FA1B1DE536}"/>
    <cellStyle name="Normal 15 3 4 4" xfId="24985" xr:uid="{BBE251C2-0847-4392-B880-2EF5B10D1039}"/>
    <cellStyle name="Normal 15 3 4 4 2" xfId="45320" xr:uid="{42E433B0-AE6A-4185-92EC-B720DCF6ECF7}"/>
    <cellStyle name="Normal 15 3 4 5" xfId="15320" xr:uid="{8AFE931F-D2F9-42B3-AC1E-0CC95A7CB612}"/>
    <cellStyle name="Normal 15 3 4 5 2" xfId="35660" xr:uid="{BD2DDC53-2B55-4C25-B920-BCC1E154E5A4}"/>
    <cellStyle name="Normal 15 3 4 6" xfId="11441" xr:uid="{144CB610-A112-482F-A9FD-36D815E4E1B9}"/>
    <cellStyle name="Normal 15 3 4 6 2" xfId="31784" xr:uid="{F958E516-9913-4D09-998C-CE6EF881F3AB}"/>
    <cellStyle name="Normal 15 3 4 7" xfId="28290" xr:uid="{18C3970E-FB0F-401D-B638-9F11D9F4D226}"/>
    <cellStyle name="Normal 15 3 5" xfId="13010" xr:uid="{BD967059-5916-4ADC-B737-11C536B949A4}"/>
    <cellStyle name="Normal 15 3 5 2" xfId="33351" xr:uid="{31C76D2E-4547-4021-92CA-DA57152D2DB4}"/>
    <cellStyle name="Normal 15 3 6" xfId="15907" xr:uid="{92930E8D-1AA3-4EF8-812C-BB7BA150F9CE}"/>
    <cellStyle name="Normal 15 3 6 2" xfId="36247" xr:uid="{C85F9856-F2AA-430D-8888-B935ADB3AC8E}"/>
    <cellStyle name="Normal 15 3 7" xfId="18821" xr:uid="{7EF27DAB-5F85-4B0D-9DE7-D5A0E974EF35}"/>
    <cellStyle name="Normal 15 3 7 2" xfId="39161" xr:uid="{D705F710-9B32-4527-8585-2B5767FE2781}"/>
    <cellStyle name="Normal 15 3 8" xfId="19409" xr:uid="{4D5E3C05-B7BB-4028-B4D4-A398E8F29006}"/>
    <cellStyle name="Normal 15 3 8 2" xfId="39748" xr:uid="{4A7BFB1B-3547-4313-B9BC-5793689AC8D6}"/>
    <cellStyle name="Normal 15 3 9" xfId="22664" xr:uid="{282D05EB-93E3-42C1-AAF8-E14E22EB6BA1}"/>
    <cellStyle name="Normal 15 3 9 2" xfId="42999" xr:uid="{20E213E2-1E62-415D-84CC-3DFAD21CBB86}"/>
    <cellStyle name="Normal 15 4" xfId="5858" xr:uid="{7FABB158-FAD2-4231-86D4-3DEA1E0C9E46}"/>
    <cellStyle name="Normal 15 4 2" xfId="7016" xr:uid="{B30BB273-6373-40F9-A63C-902C97021B77}"/>
    <cellStyle name="Normal 15 4 2 2" xfId="17302" xr:uid="{527A2A8F-ED99-44C2-8EA2-02974A36A735}"/>
    <cellStyle name="Normal 15 4 2 2 2" xfId="37642" xr:uid="{6D6A78AF-5D25-4EC5-B2A7-368B3236DDFF}"/>
    <cellStyle name="Normal 15 4 2 3" xfId="20804" xr:uid="{D4967E36-EA15-40CF-9122-B70DFEB04CB1}"/>
    <cellStyle name="Normal 15 4 2 3 2" xfId="41143" xr:uid="{05682A37-1B00-4EB0-9AC7-8A033410F164}"/>
    <cellStyle name="Normal 15 4 2 4" xfId="24059" xr:uid="{AB1D6AF5-9AD8-473C-9214-3EF7F94DFEEF}"/>
    <cellStyle name="Normal 15 4 2 4 2" xfId="44394" xr:uid="{42F3A576-2BB8-429D-B16D-D8BE7F9F3DB4}"/>
    <cellStyle name="Normal 15 4 2 5" xfId="14393" xr:uid="{BF5FEA27-86FB-43CB-B5B1-76CB19B78569}"/>
    <cellStyle name="Normal 15 4 2 5 2" xfId="34734" xr:uid="{20BA79A2-6DD3-4659-9494-4DCC0131B7A8}"/>
    <cellStyle name="Normal 15 4 2 6" xfId="10515" xr:uid="{C945C5DE-CB2F-4B74-8682-F9EFE483FD35}"/>
    <cellStyle name="Normal 15 4 2 6 2" xfId="30858" xr:uid="{7F4ACD72-45E5-46AD-A259-2575B220C46F}"/>
    <cellStyle name="Normal 15 4 2 7" xfId="27364" xr:uid="{A015416E-3FF6-4CE6-A3CE-9A22E3EB1BE0}"/>
    <cellStyle name="Normal 15 4 3" xfId="16144" xr:uid="{C4998520-E394-4B7F-8BA9-C1983140D882}"/>
    <cellStyle name="Normal 15 4 3 2" xfId="36484" xr:uid="{88D9FF58-07FF-49D5-B0C2-3FADDDEBB2DB}"/>
    <cellStyle name="Normal 15 4 4" xfId="19646" xr:uid="{08DCE7CD-4AF9-4054-8E02-221C77A78A64}"/>
    <cellStyle name="Normal 15 4 4 2" xfId="39985" xr:uid="{9B5802B4-23A3-4DDC-88CF-EBA2EAE610AD}"/>
    <cellStyle name="Normal 15 4 5" xfId="22901" xr:uid="{A0E1D151-240E-4810-AC3C-762A6977CE2B}"/>
    <cellStyle name="Normal 15 4 5 2" xfId="43236" xr:uid="{35D2B38C-C368-42D1-A8C7-49AB47678A75}"/>
    <cellStyle name="Normal 15 4 6" xfId="13237" xr:uid="{9314ED62-C390-4759-8CDE-66977B699856}"/>
    <cellStyle name="Normal 15 4 6 2" xfId="33578" xr:uid="{17B1353D-C742-4F1D-8ABC-A9BD74FE07C1}"/>
    <cellStyle name="Normal 15 4 7" xfId="9357" xr:uid="{449F4AF2-EC4E-49B6-9EB8-C7BA15E86799}"/>
    <cellStyle name="Normal 15 4 7 2" xfId="29700" xr:uid="{F411E005-D976-4C14-881E-915B9F66EADF}"/>
    <cellStyle name="Normal 15 4 8" xfId="26206" xr:uid="{46EF39D1-65C6-452B-ACDD-E3488EFE7FE5}"/>
    <cellStyle name="Normal 15 5" xfId="6435" xr:uid="{587387AB-ABEC-4148-9FBA-4EF8304E555A}"/>
    <cellStyle name="Normal 15 5 2" xfId="16721" xr:uid="{6DE90FA3-0C74-48AF-A2C3-759D7DD2E34D}"/>
    <cellStyle name="Normal 15 5 2 2" xfId="37061" xr:uid="{4A7B129E-87DB-44D0-960B-EF52D51B3F3D}"/>
    <cellStyle name="Normal 15 5 3" xfId="20223" xr:uid="{65ADA466-E5B9-4FEB-97D2-0719033DDC81}"/>
    <cellStyle name="Normal 15 5 3 2" xfId="40562" xr:uid="{167E2CFD-3C38-40ED-A19B-D91ED4F41D4E}"/>
    <cellStyle name="Normal 15 5 4" xfId="23478" xr:uid="{E72090A1-856D-4BFC-9D8B-3832627FA174}"/>
    <cellStyle name="Normal 15 5 4 2" xfId="43813" xr:uid="{62F8E0D0-A21D-41F0-9A75-69E23824AF70}"/>
    <cellStyle name="Normal 15 5 5" xfId="13812" xr:uid="{ECB69D0D-F286-4737-A742-44375BFD0484}"/>
    <cellStyle name="Normal 15 5 5 2" xfId="34153" xr:uid="{D2FFFA1C-09AE-47EB-A023-3B0A280F5BA5}"/>
    <cellStyle name="Normal 15 5 6" xfId="9934" xr:uid="{E17B1872-8B28-4091-9CE2-3058B33F3DF5}"/>
    <cellStyle name="Normal 15 5 6 2" xfId="30277" xr:uid="{01B777DD-0A3E-4A36-9426-853D1B285072}"/>
    <cellStyle name="Normal 15 5 7" xfId="26783" xr:uid="{B46776CD-B6AE-40BC-85BD-4304CA7201D3}"/>
    <cellStyle name="Normal 15 6" xfId="7599" xr:uid="{D461DB59-D08B-4A19-AD89-CF4FB1134D85}"/>
    <cellStyle name="Normal 15 6 2" xfId="17884" xr:uid="{D9A0993C-4E19-45D9-A8CD-9687DA08F5A0}"/>
    <cellStyle name="Normal 15 6 2 2" xfId="38224" xr:uid="{37CC6515-1333-4ACA-A61A-51EC879AB08E}"/>
    <cellStyle name="Normal 15 6 3" xfId="21386" xr:uid="{31C52CE9-AC1D-405A-9E93-E72AEFDB8FB7}"/>
    <cellStyle name="Normal 15 6 3 2" xfId="41725" xr:uid="{9D63798E-E7EF-4572-928A-BAD7A8195C58}"/>
    <cellStyle name="Normal 15 6 4" xfId="24641" xr:uid="{80C3774E-D134-4A12-B031-AFA2282A8A0C}"/>
    <cellStyle name="Normal 15 6 4 2" xfId="44976" xr:uid="{CD3547EF-861E-450B-972C-A9255DDA4241}"/>
    <cellStyle name="Normal 15 6 5" xfId="14976" xr:uid="{DCAEA1D0-D8B0-41FC-94EC-275EDB3F51B7}"/>
    <cellStyle name="Normal 15 6 5 2" xfId="35316" xr:uid="{E9467EEC-54B9-4E6F-B5E6-608E27C3677F}"/>
    <cellStyle name="Normal 15 6 6" xfId="11097" xr:uid="{E1695A5B-D88B-48CF-AC9A-6DAF0E627B61}"/>
    <cellStyle name="Normal 15 6 6 2" xfId="31440" xr:uid="{3111C9A1-0C52-4FA9-9F03-CB5CB09DCBF9}"/>
    <cellStyle name="Normal 15 6 7" xfId="27946" xr:uid="{ACDCD610-7444-4EAB-A43A-D662313A584E}"/>
    <cellStyle name="Normal 15 7" xfId="12668" xr:uid="{DB8AC488-24ED-46CB-B783-4924D5D15CBB}"/>
    <cellStyle name="Normal 15 7 2" xfId="33009" xr:uid="{D6C2C25E-0B0B-40AD-8442-7A79C3C140D0}"/>
    <cellStyle name="Normal 15 8" xfId="15563" xr:uid="{C900C254-419A-4A99-8B5E-46A7D15DFCA7}"/>
    <cellStyle name="Normal 15 8 2" xfId="35903" xr:uid="{9CA9DB4A-2229-4107-84B4-39BAAC2AAE86}"/>
    <cellStyle name="Normal 15 9" xfId="18477" xr:uid="{7363E7B6-9404-4F82-B397-90AB9E9E8AF9}"/>
    <cellStyle name="Normal 15 9 2" xfId="38817" xr:uid="{9101383E-2AF9-485A-83D2-5BCF30C72101}"/>
    <cellStyle name="Normal 152 3" xfId="4355" xr:uid="{931AA8ED-6D36-41F7-84C4-08234778A98F}"/>
    <cellStyle name="Normal 16" xfId="5308" xr:uid="{FF898A16-BBEE-43B1-BE15-6754DDF35E62}"/>
    <cellStyle name="Normal 16 10" xfId="19066" xr:uid="{9E4CBA99-A0D5-40AC-8836-906313D56944}"/>
    <cellStyle name="Normal 16 10 2" xfId="39405" xr:uid="{56DD1528-5F08-4066-A5DA-FCD37A9F1662}"/>
    <cellStyle name="Normal 16 11" xfId="22321" xr:uid="{CFF691AA-00D8-4FBE-9DDC-7C7559D6CEC6}"/>
    <cellStyle name="Normal 16 11 2" xfId="42656" xr:uid="{6958E9BB-9471-4A4D-884A-A9CFCF6ACC4E}"/>
    <cellStyle name="Normal 16 12" xfId="12038" xr:uid="{0E48DE21-9136-4CB8-A3F3-FC40314B00E3}"/>
    <cellStyle name="Normal 16 12 2" xfId="32379" xr:uid="{EDD4CEFD-C418-498E-9C89-DBAF6794FD09}"/>
    <cellStyle name="Normal 16 13" xfId="8777" xr:uid="{E30FCC58-FE74-46EF-9E95-6BABDA80FB90}"/>
    <cellStyle name="Normal 16 13 2" xfId="29120" xr:uid="{06279592-9B7B-4FA5-81B9-519DF97D7395}"/>
    <cellStyle name="Normal 16 14" xfId="25626" xr:uid="{55651DC0-172B-4F80-8B03-23D68E82713C}"/>
    <cellStyle name="Normal 16 2" xfId="5410" xr:uid="{BC1649F8-78CF-4CC9-9848-18D46596F1F4}"/>
    <cellStyle name="Normal 16 2 10" xfId="12153" xr:uid="{A367C794-FE3E-4347-A119-1A1A081D588A}"/>
    <cellStyle name="Normal 16 2 10 2" xfId="32494" xr:uid="{532F6CBA-221A-48E3-B3BB-88E0D229E23C}"/>
    <cellStyle name="Normal 16 2 11" xfId="8892" xr:uid="{7BB70B56-0D28-449D-864C-5EF51FD424C8}"/>
    <cellStyle name="Normal 16 2 11 2" xfId="29235" xr:uid="{4E907F61-EBE7-4E1A-AFF6-CE4EF1C2A7C9}"/>
    <cellStyle name="Normal 16 2 12" xfId="25741" xr:uid="{566F1DD2-FE39-4E55-80BA-E23301A6F8A1}"/>
    <cellStyle name="Normal 16 2 2" xfId="5974" xr:uid="{9B39E202-A23F-4CBE-A5E3-E70BF0D2FB30}"/>
    <cellStyle name="Normal 16 2 2 2" xfId="7132" xr:uid="{80EDF2BE-05E0-4FD7-B741-B861185B196C}"/>
    <cellStyle name="Normal 16 2 2 2 2" xfId="17418" xr:uid="{99B78974-BED9-4EBC-A812-14B0C554A0E7}"/>
    <cellStyle name="Normal 16 2 2 2 2 2" xfId="37758" xr:uid="{14537DCB-736A-48C2-9C7D-A374BCFE462F}"/>
    <cellStyle name="Normal 16 2 2 2 3" xfId="20920" xr:uid="{AAB69F0E-9087-4402-9566-0CDF7C31478A}"/>
    <cellStyle name="Normal 16 2 2 2 3 2" xfId="41259" xr:uid="{0DDC3874-3B4A-49DF-9AA3-310215379375}"/>
    <cellStyle name="Normal 16 2 2 2 4" xfId="24175" xr:uid="{227DB47A-BA5E-4E11-A1DF-80EA7917F83F}"/>
    <cellStyle name="Normal 16 2 2 2 4 2" xfId="44510" xr:uid="{A3E0F534-CDD1-4F91-8266-F3ED78369F0F}"/>
    <cellStyle name="Normal 16 2 2 2 5" xfId="14509" xr:uid="{BBB71EC8-E770-4FF0-9725-008C5BA2F9C6}"/>
    <cellStyle name="Normal 16 2 2 2 5 2" xfId="34850" xr:uid="{077C1880-4B78-4D19-B48F-8D51FA5F7B58}"/>
    <cellStyle name="Normal 16 2 2 2 6" xfId="10631" xr:uid="{4F13E0D9-75A7-4EFE-B306-E1045274FDA4}"/>
    <cellStyle name="Normal 16 2 2 2 6 2" xfId="30974" xr:uid="{D7D5F901-0646-40BE-B6AB-82E8C7653616}"/>
    <cellStyle name="Normal 16 2 2 2 7" xfId="27480" xr:uid="{1C832E77-F093-43DD-AEED-D2E77379DC79}"/>
    <cellStyle name="Normal 16 2 2 3" xfId="16260" xr:uid="{8F781720-5174-4BC2-AF69-1E640F86E804}"/>
    <cellStyle name="Normal 16 2 2 3 2" xfId="36600" xr:uid="{A1A9999B-0FDE-4A72-B476-D16272B85E24}"/>
    <cellStyle name="Normal 16 2 2 4" xfId="19762" xr:uid="{14F92E93-F967-44C2-8C22-60D5AA5F8942}"/>
    <cellStyle name="Normal 16 2 2 4 2" xfId="40101" xr:uid="{057BB4BE-9015-466A-B635-9DBDF94E9797}"/>
    <cellStyle name="Normal 16 2 2 5" xfId="23017" xr:uid="{470FA8A3-C15A-4757-B7C4-3FBB34A26863}"/>
    <cellStyle name="Normal 16 2 2 5 2" xfId="43352" xr:uid="{08818AB8-7373-4833-AE48-2BF6A209ADEB}"/>
    <cellStyle name="Normal 16 2 2 6" xfId="13351" xr:uid="{F4A12DC2-37FD-4575-95DE-A455BDF8D6D8}"/>
    <cellStyle name="Normal 16 2 2 6 2" xfId="33692" xr:uid="{28216695-1502-453F-9A16-CCF6784F31D0}"/>
    <cellStyle name="Normal 16 2 2 7" xfId="9473" xr:uid="{58A846F8-C389-40D2-BD3F-FE229076C9B7}"/>
    <cellStyle name="Normal 16 2 2 7 2" xfId="29816" xr:uid="{89F4ADE3-BC5D-4DD4-A7FF-4AEC38FF1EA5}"/>
    <cellStyle name="Normal 16 2 2 8" xfId="26322" xr:uid="{506EFCA1-CF90-40FE-BACA-C1DE84FE9DB3}"/>
    <cellStyle name="Normal 16 2 3" xfId="6551" xr:uid="{C7CC9BFE-B042-4DBA-A47F-723BEE717012}"/>
    <cellStyle name="Normal 16 2 3 2" xfId="16837" xr:uid="{8B47621C-353A-478A-ABAF-288E60D69CCB}"/>
    <cellStyle name="Normal 16 2 3 2 2" xfId="37177" xr:uid="{AC8FBA80-3052-4779-A3F2-FBEBEC3F853E}"/>
    <cellStyle name="Normal 16 2 3 3" xfId="20339" xr:uid="{D44B3EB2-632B-4B53-A63A-B47C84784EE5}"/>
    <cellStyle name="Normal 16 2 3 3 2" xfId="40678" xr:uid="{E91987A3-90E1-45DA-8605-E5006D057088}"/>
    <cellStyle name="Normal 16 2 3 4" xfId="23594" xr:uid="{2F6AAF04-EAB8-4055-8822-EA148414778C}"/>
    <cellStyle name="Normal 16 2 3 4 2" xfId="43929" xr:uid="{12D9E2AF-B787-416B-9192-69D11408FD85}"/>
    <cellStyle name="Normal 16 2 3 5" xfId="13928" xr:uid="{3E6202C0-78DF-48F4-8F4B-ACD3E5D1FDC0}"/>
    <cellStyle name="Normal 16 2 3 5 2" xfId="34269" xr:uid="{BF6EEABE-3047-49D9-843C-7DE82EB74AD6}"/>
    <cellStyle name="Normal 16 2 3 6" xfId="10050" xr:uid="{DF37C7DD-7340-4FD5-A850-768ABA16AB09}"/>
    <cellStyle name="Normal 16 2 3 6 2" xfId="30393" xr:uid="{1BA36238-F5B5-4976-848B-7945FFCCC062}"/>
    <cellStyle name="Normal 16 2 3 7" xfId="26899" xr:uid="{4E8A76E6-BC16-4FF5-9E79-762CD7E05B79}"/>
    <cellStyle name="Normal 16 2 4" xfId="7715" xr:uid="{E01CF4C4-E4D7-4FD9-A8A5-B4E6D139145B}"/>
    <cellStyle name="Normal 16 2 4 2" xfId="18000" xr:uid="{6307B7E1-8C13-46E7-92D8-44147D38FA17}"/>
    <cellStyle name="Normal 16 2 4 2 2" xfId="38340" xr:uid="{11C85C0D-3B89-4BAE-8B2B-556115A8B7A7}"/>
    <cellStyle name="Normal 16 2 4 3" xfId="21502" xr:uid="{B0A0F149-A495-4732-8072-2FF1F32F34BB}"/>
    <cellStyle name="Normal 16 2 4 3 2" xfId="41841" xr:uid="{38C056C9-FC53-45E8-AA2A-6A79BBBF8157}"/>
    <cellStyle name="Normal 16 2 4 4" xfId="24757" xr:uid="{A882E314-8D80-4FE1-B396-1A599F4AACCA}"/>
    <cellStyle name="Normal 16 2 4 4 2" xfId="45092" xr:uid="{BE4CCDB5-9D68-4B97-AC28-6EFAF1DFCB14}"/>
    <cellStyle name="Normal 16 2 4 5" xfId="15092" xr:uid="{48751D5A-42CF-416F-B06F-E5305B7CE3BA}"/>
    <cellStyle name="Normal 16 2 4 5 2" xfId="35432" xr:uid="{00EA6F1D-5D72-4488-BC19-735CD5F7C151}"/>
    <cellStyle name="Normal 16 2 4 6" xfId="11213" xr:uid="{3CC59E8B-AF6E-49BF-AB65-86BB4EAEE0BA}"/>
    <cellStyle name="Normal 16 2 4 6 2" xfId="31556" xr:uid="{F4615272-50E3-4333-86F8-4C786A671CEF}"/>
    <cellStyle name="Normal 16 2 4 7" xfId="28062" xr:uid="{FFBAE1EC-5DA0-4C38-AB53-7BE07A52756E}"/>
    <cellStyle name="Normal 16 2 5" xfId="12782" xr:uid="{6FB675A1-D75E-4EFB-90F6-710AA0C17E1E}"/>
    <cellStyle name="Normal 16 2 5 2" xfId="33123" xr:uid="{F6E694D4-3AF1-4E19-B72B-A78FC0A233B9}"/>
    <cellStyle name="Normal 16 2 6" xfId="15679" xr:uid="{6729A499-A59B-41E0-9E7E-45D113EAD28B}"/>
    <cellStyle name="Normal 16 2 6 2" xfId="36019" xr:uid="{3D5B818D-B835-402F-A6D1-786F7F2334F0}"/>
    <cellStyle name="Normal 16 2 7" xfId="18593" xr:uid="{AE9EA0BB-78B2-482B-841B-104F254393EF}"/>
    <cellStyle name="Normal 16 2 7 2" xfId="38933" xr:uid="{957300C2-0435-430D-BD86-30E59E836B90}"/>
    <cellStyle name="Normal 16 2 8" xfId="19181" xr:uid="{E388D94B-C4E7-4587-829C-7CE5DA15CADC}"/>
    <cellStyle name="Normal 16 2 8 2" xfId="39520" xr:uid="{110C7FFE-7309-44E9-81F0-601E66CB9125}"/>
    <cellStyle name="Normal 16 2 9" xfId="22436" xr:uid="{BDBA1491-B485-44C5-9A2F-45811850946A}"/>
    <cellStyle name="Normal 16 2 9 2" xfId="42771" xr:uid="{F0B0B0EA-42EF-4F2C-96C9-83D6C978DADE}"/>
    <cellStyle name="Normal 16 3" xfId="5631" xr:uid="{2EB05479-6A75-43C5-90D5-03321D50660C}"/>
    <cellStyle name="Normal 16 3 10" xfId="12382" xr:uid="{FB708BA8-ED4D-4CFC-9D7B-E05E221095D6}"/>
    <cellStyle name="Normal 16 3 10 2" xfId="32723" xr:uid="{0F6A729F-1B15-4185-93F2-31F54F40611A}"/>
    <cellStyle name="Normal 16 3 11" xfId="9121" xr:uid="{9FC8912D-A1DD-4513-9F0A-4300E8A45AC3}"/>
    <cellStyle name="Normal 16 3 11 2" xfId="29464" xr:uid="{EAD67653-05EA-4372-8291-D3894ADCEC42}"/>
    <cellStyle name="Normal 16 3 12" xfId="25970" xr:uid="{E46FE012-17A7-44D8-B595-D73167EE299A}"/>
    <cellStyle name="Normal 16 3 2" xfId="6203" xr:uid="{3BC7412E-B5AB-4C0C-A641-D85D32AC33A5}"/>
    <cellStyle name="Normal 16 3 2 2" xfId="7361" xr:uid="{6E043B0F-3958-402A-BD75-63768C2060C1}"/>
    <cellStyle name="Normal 16 3 2 2 2" xfId="17647" xr:uid="{114D6D3F-1ABB-4D55-BA7F-D5956FC7DC22}"/>
    <cellStyle name="Normal 16 3 2 2 2 2" xfId="37987" xr:uid="{9EA5F562-6203-4382-865B-3BDEA0EB6C7A}"/>
    <cellStyle name="Normal 16 3 2 2 3" xfId="21149" xr:uid="{F988FC1A-3485-460D-93A5-5376F85452AE}"/>
    <cellStyle name="Normal 16 3 2 2 3 2" xfId="41488" xr:uid="{76E8D287-4AF7-47EF-81DA-B6F074F47BCD}"/>
    <cellStyle name="Normal 16 3 2 2 4" xfId="24404" xr:uid="{60ABAAA9-22C8-4889-A4E2-547DB7A0D1E6}"/>
    <cellStyle name="Normal 16 3 2 2 4 2" xfId="44739" xr:uid="{5D138E76-6345-4091-928D-E8FF9DDA0081}"/>
    <cellStyle name="Normal 16 3 2 2 5" xfId="14738" xr:uid="{BB448F8D-66B5-47C7-A0D7-FC8B7B509012}"/>
    <cellStyle name="Normal 16 3 2 2 5 2" xfId="35079" xr:uid="{3D097537-56EC-48DA-BE68-BDCF3BF485AC}"/>
    <cellStyle name="Normal 16 3 2 2 6" xfId="10860" xr:uid="{482A9F1F-A64F-4997-8FB7-8906B81754C9}"/>
    <cellStyle name="Normal 16 3 2 2 6 2" xfId="31203" xr:uid="{3954E93D-7FD5-43D5-A3C3-C20F243D1DB4}"/>
    <cellStyle name="Normal 16 3 2 2 7" xfId="27709" xr:uid="{071B1C76-BBA4-48E0-B52B-F85887C674F9}"/>
    <cellStyle name="Normal 16 3 2 3" xfId="16489" xr:uid="{33388EBC-8E19-434C-AD8D-D574DBCE65FA}"/>
    <cellStyle name="Normal 16 3 2 3 2" xfId="36829" xr:uid="{95F2680A-4F82-441A-AA48-A1549F107516}"/>
    <cellStyle name="Normal 16 3 2 4" xfId="19991" xr:uid="{AEC24C09-ED50-47E9-8069-2A313B191BC6}"/>
    <cellStyle name="Normal 16 3 2 4 2" xfId="40330" xr:uid="{37B5A4CA-7ACC-4123-A270-008E90C62C79}"/>
    <cellStyle name="Normal 16 3 2 5" xfId="23246" xr:uid="{96EC02EA-6750-41FE-92C2-6E3C98DB5F4C}"/>
    <cellStyle name="Normal 16 3 2 5 2" xfId="43581" xr:uid="{D04C5E7A-9319-436C-897C-683641232C42}"/>
    <cellStyle name="Normal 16 3 2 6" xfId="13580" xr:uid="{2508A0E7-9F14-4631-9B01-D9A212B6BCF3}"/>
    <cellStyle name="Normal 16 3 2 6 2" xfId="33921" xr:uid="{CCF4BA20-0502-4315-88B0-152E05515A6B}"/>
    <cellStyle name="Normal 16 3 2 7" xfId="9702" xr:uid="{5219AA6C-DA76-4D1B-AE78-BEEEF3D53E29}"/>
    <cellStyle name="Normal 16 3 2 7 2" xfId="30045" xr:uid="{8C5367A7-47F7-4E73-8BCF-8E9EDA2DF965}"/>
    <cellStyle name="Normal 16 3 2 8" xfId="26551" xr:uid="{2A4D3264-5091-4206-A427-C5C94424EE94}"/>
    <cellStyle name="Normal 16 3 3" xfId="6780" xr:uid="{C8E6C93B-4FCA-4BCA-A01D-9660F31130B2}"/>
    <cellStyle name="Normal 16 3 3 2" xfId="17066" xr:uid="{A13C74E9-D8A2-4D1E-ADA3-0C8893C51A52}"/>
    <cellStyle name="Normal 16 3 3 2 2" xfId="37406" xr:uid="{D8B66111-1F64-44D3-AE93-AD6F4C57B732}"/>
    <cellStyle name="Normal 16 3 3 3" xfId="20568" xr:uid="{85976900-4FAF-4D4C-B0A2-A955F150F6F3}"/>
    <cellStyle name="Normal 16 3 3 3 2" xfId="40907" xr:uid="{A506C1A4-0FD1-4F1E-998E-6C9C328D7AFA}"/>
    <cellStyle name="Normal 16 3 3 4" xfId="23823" xr:uid="{9598F336-EC9E-4A63-9148-EBFD826ECB2B}"/>
    <cellStyle name="Normal 16 3 3 4 2" xfId="44158" xr:uid="{5234590F-1D89-49A5-BD18-14B340D269FE}"/>
    <cellStyle name="Normal 16 3 3 5" xfId="14157" xr:uid="{37A6A11F-F9EB-4852-B62F-DCEBFFC1CDFA}"/>
    <cellStyle name="Normal 16 3 3 5 2" xfId="34498" xr:uid="{27CDC837-104C-40AF-8536-7657BED96A33}"/>
    <cellStyle name="Normal 16 3 3 6" xfId="10279" xr:uid="{FCA779D6-2F0E-49FD-9B86-ED2B95D35C19}"/>
    <cellStyle name="Normal 16 3 3 6 2" xfId="30622" xr:uid="{DDB0C428-7AED-4273-97CD-91DAEB0B1F91}"/>
    <cellStyle name="Normal 16 3 3 7" xfId="27128" xr:uid="{6629E343-245D-4265-A560-BE481866183C}"/>
    <cellStyle name="Normal 16 3 4" xfId="7944" xr:uid="{0A62828C-B818-457C-8B1A-405B14719848}"/>
    <cellStyle name="Normal 16 3 4 2" xfId="18229" xr:uid="{F6116412-87C9-4E78-9B31-F9F8030C0C7B}"/>
    <cellStyle name="Normal 16 3 4 2 2" xfId="38569" xr:uid="{209CA5CF-8FFD-4D9C-BC28-191F5E6DD3ED}"/>
    <cellStyle name="Normal 16 3 4 3" xfId="21731" xr:uid="{AFB2E489-F6D9-4027-8719-B839494BC604}"/>
    <cellStyle name="Normal 16 3 4 3 2" xfId="42070" xr:uid="{11CE0932-69AD-49C4-ADBA-02EC87F409C8}"/>
    <cellStyle name="Normal 16 3 4 4" xfId="24986" xr:uid="{8FF42463-9851-4CCD-A87E-82DEFE20D5A4}"/>
    <cellStyle name="Normal 16 3 4 4 2" xfId="45321" xr:uid="{3C3A4BAC-738B-4D0F-9031-631C386B04D3}"/>
    <cellStyle name="Normal 16 3 4 5" xfId="15321" xr:uid="{50AD70FC-60C2-4375-A830-D1D3C58F1089}"/>
    <cellStyle name="Normal 16 3 4 5 2" xfId="35661" xr:uid="{EC62B833-FABF-4AB7-8665-7FBCC917480E}"/>
    <cellStyle name="Normal 16 3 4 6" xfId="11442" xr:uid="{334F232F-332A-4485-B90B-45F1F6FAE6F9}"/>
    <cellStyle name="Normal 16 3 4 6 2" xfId="31785" xr:uid="{FC9F1ADD-4379-4A42-8460-E90B1D4F6865}"/>
    <cellStyle name="Normal 16 3 4 7" xfId="28291" xr:uid="{0E5D4A5C-C97C-4622-B737-B7B977E7C2F0}"/>
    <cellStyle name="Normal 16 3 5" xfId="13011" xr:uid="{BE5F02BA-F4B6-4260-9D95-BC575D62A4BB}"/>
    <cellStyle name="Normal 16 3 5 2" xfId="33352" xr:uid="{BC703BE1-F577-4DE5-8FB7-2954CD8AE0C4}"/>
    <cellStyle name="Normal 16 3 6" xfId="15908" xr:uid="{F44F906F-FFC9-4080-A187-E0D902590963}"/>
    <cellStyle name="Normal 16 3 6 2" xfId="36248" xr:uid="{1500C9A2-6398-4F6D-B662-58F33A91880B}"/>
    <cellStyle name="Normal 16 3 7" xfId="18822" xr:uid="{16E28F57-31FB-4065-B5AD-13E180C630BB}"/>
    <cellStyle name="Normal 16 3 7 2" xfId="39162" xr:uid="{63983F39-992A-4D8B-8C11-64605EFCC4DF}"/>
    <cellStyle name="Normal 16 3 8" xfId="19410" xr:uid="{DA807A37-6C63-4B39-A50D-B8AB0274B8E4}"/>
    <cellStyle name="Normal 16 3 8 2" xfId="39749" xr:uid="{6D40D2C4-28D8-4565-AE83-F3F2A2CF6A13}"/>
    <cellStyle name="Normal 16 3 9" xfId="22665" xr:uid="{39D5AB80-81FA-403C-AB2E-FCD9FE5C13D2}"/>
    <cellStyle name="Normal 16 3 9 2" xfId="43000" xr:uid="{71F1D95C-B33C-4C80-B3A4-AFD95FD5DD67}"/>
    <cellStyle name="Normal 16 4" xfId="5859" xr:uid="{0D9B3D5B-C852-4996-8008-6EA379ED464D}"/>
    <cellStyle name="Normal 16 4 2" xfId="7017" xr:uid="{35B1B73B-DBAE-4A6F-8C52-00BACFAF41B5}"/>
    <cellStyle name="Normal 16 4 2 2" xfId="17303" xr:uid="{891D1D88-2DFA-48C5-8427-5D8D04D445C9}"/>
    <cellStyle name="Normal 16 4 2 2 2" xfId="37643" xr:uid="{18C377EB-CBEF-4D8A-89B1-777D5AE128E7}"/>
    <cellStyle name="Normal 16 4 2 3" xfId="20805" xr:uid="{59F7300F-D279-43A9-B42B-AF9AB7E37840}"/>
    <cellStyle name="Normal 16 4 2 3 2" xfId="41144" xr:uid="{E61D9214-6BCD-4CD1-9B19-AC370736FA33}"/>
    <cellStyle name="Normal 16 4 2 4" xfId="24060" xr:uid="{3C7224C8-8844-4F41-86B4-3611B4174A6F}"/>
    <cellStyle name="Normal 16 4 2 4 2" xfId="44395" xr:uid="{0C1B7CA7-148D-4DE9-A5E4-B3743CEAA3F9}"/>
    <cellStyle name="Normal 16 4 2 5" xfId="14394" xr:uid="{9C50A3BC-943C-4B21-8EA2-9946782712D2}"/>
    <cellStyle name="Normal 16 4 2 5 2" xfId="34735" xr:uid="{8E5C1411-CDDB-4E08-9F4D-B8227CAF1205}"/>
    <cellStyle name="Normal 16 4 2 6" xfId="10516" xr:uid="{C2E8C261-85DF-47EC-AF93-5579B375AAE0}"/>
    <cellStyle name="Normal 16 4 2 6 2" xfId="30859" xr:uid="{061DD742-897D-4665-89B8-8333FEC2DBE9}"/>
    <cellStyle name="Normal 16 4 2 7" xfId="27365" xr:uid="{21C9A6B0-2873-4D14-8570-CFFA184C68A8}"/>
    <cellStyle name="Normal 16 4 3" xfId="16145" xr:uid="{863EC887-66EB-496D-90A6-E3175D7D8640}"/>
    <cellStyle name="Normal 16 4 3 2" xfId="36485" xr:uid="{E291D928-2044-442F-A4C8-3B5C3FCAC562}"/>
    <cellStyle name="Normal 16 4 4" xfId="19647" xr:uid="{65DC427C-6BF9-43BB-8C64-C872DD0BF25F}"/>
    <cellStyle name="Normal 16 4 4 2" xfId="39986" xr:uid="{5057E3E6-02D3-408D-AFB3-33C3EE537E5C}"/>
    <cellStyle name="Normal 16 4 5" xfId="22902" xr:uid="{9526BAE4-82B8-4229-B40E-8BD2BD7ABAB8}"/>
    <cellStyle name="Normal 16 4 5 2" xfId="43237" xr:uid="{9D55D186-B5B6-42F6-B3D2-50D205CC732C}"/>
    <cellStyle name="Normal 16 4 6" xfId="13238" xr:uid="{56ED4152-ABDE-45E9-812D-A6FEC9B64F76}"/>
    <cellStyle name="Normal 16 4 6 2" xfId="33579" xr:uid="{774DF129-33C0-4CA1-9BF0-1B7ACC601DCD}"/>
    <cellStyle name="Normal 16 4 7" xfId="9358" xr:uid="{D1A3E62F-D71C-4ECB-BA96-E6E71CA6F9D4}"/>
    <cellStyle name="Normal 16 4 7 2" xfId="29701" xr:uid="{35C02AE2-FE90-484B-ACED-0568F7FED4AB}"/>
    <cellStyle name="Normal 16 4 8" xfId="26207" xr:uid="{F122F1B3-8B05-431A-A9D9-643A18FD648D}"/>
    <cellStyle name="Normal 16 5" xfId="6436" xr:uid="{2FF54158-72E0-4E6D-9013-9BD5D050102D}"/>
    <cellStyle name="Normal 16 5 2" xfId="16722" xr:uid="{4B0E66B0-6DDF-46B7-99A4-344AC775D4A6}"/>
    <cellStyle name="Normal 16 5 2 2" xfId="37062" xr:uid="{C094A239-A84C-49FD-97D8-779852FCC0E6}"/>
    <cellStyle name="Normal 16 5 3" xfId="20224" xr:uid="{90B2B5DC-DADE-4B9C-907C-AA3DCDBD694F}"/>
    <cellStyle name="Normal 16 5 3 2" xfId="40563" xr:uid="{EAE4269E-F469-4A19-ABE6-B21DD2D483D8}"/>
    <cellStyle name="Normal 16 5 4" xfId="23479" xr:uid="{9441CC4E-0C8A-430D-B420-51CBF6EC6074}"/>
    <cellStyle name="Normal 16 5 4 2" xfId="43814" xr:uid="{3CB10345-B175-463B-A1E7-F03C6396D5CD}"/>
    <cellStyle name="Normal 16 5 5" xfId="13813" xr:uid="{69BBD1BE-C38B-4FE6-A3C6-B6B98A6A976E}"/>
    <cellStyle name="Normal 16 5 5 2" xfId="34154" xr:uid="{7F0CA536-9AD8-4BD7-9732-EBBED5855353}"/>
    <cellStyle name="Normal 16 5 6" xfId="9935" xr:uid="{A25BF4AF-C2C5-422C-B609-9BE31E147423}"/>
    <cellStyle name="Normal 16 5 6 2" xfId="30278" xr:uid="{B18E0846-3FDB-4183-BD8B-335744FD059C}"/>
    <cellStyle name="Normal 16 5 7" xfId="26784" xr:uid="{B792DBC8-2CDF-4497-ACB6-03EF225AFA4A}"/>
    <cellStyle name="Normal 16 6" xfId="7600" xr:uid="{8DAC2739-D22C-4693-B781-9E8FCF8F0FBB}"/>
    <cellStyle name="Normal 16 6 2" xfId="17885" xr:uid="{BAAB426D-2985-4D8E-83BE-504C84D83B96}"/>
    <cellStyle name="Normal 16 6 2 2" xfId="38225" xr:uid="{DBFB3699-3536-40FA-95E6-2460E63B4A99}"/>
    <cellStyle name="Normal 16 6 3" xfId="21387" xr:uid="{65865B9C-37BB-4D0D-9590-BC48020ADCBF}"/>
    <cellStyle name="Normal 16 6 3 2" xfId="41726" xr:uid="{B4FB37C0-EA07-40E2-8494-5D50DE18499F}"/>
    <cellStyle name="Normal 16 6 4" xfId="24642" xr:uid="{326891FA-47E4-4FBB-A0DB-774DB5CC4974}"/>
    <cellStyle name="Normal 16 6 4 2" xfId="44977" xr:uid="{59C98F33-A383-4070-8F3D-7C9685870AE3}"/>
    <cellStyle name="Normal 16 6 5" xfId="14977" xr:uid="{6B4645AD-78F5-47F0-86C8-A74BCB48738D}"/>
    <cellStyle name="Normal 16 6 5 2" xfId="35317" xr:uid="{BD53F211-4FE4-4C63-ABBF-E4A7DE54EE79}"/>
    <cellStyle name="Normal 16 6 6" xfId="11098" xr:uid="{80E47E1C-8CE7-4B7E-890F-508B9B79B4E7}"/>
    <cellStyle name="Normal 16 6 6 2" xfId="31441" xr:uid="{68CA2C35-AB48-4A9F-83C2-F1C37BE8D3A7}"/>
    <cellStyle name="Normal 16 6 7" xfId="27947" xr:uid="{3859BCB7-863E-42F9-8707-A53BC86C04D8}"/>
    <cellStyle name="Normal 16 7" xfId="12669" xr:uid="{7B9A8F61-321E-4476-ADF3-FDB172A031A7}"/>
    <cellStyle name="Normal 16 7 2" xfId="33010" xr:uid="{356C2442-FCA4-4F67-A0E0-A7C79E68DE14}"/>
    <cellStyle name="Normal 16 8" xfId="15564" xr:uid="{8411C482-D922-40C3-B7D2-C8E8201817CB}"/>
    <cellStyle name="Normal 16 8 2" xfId="35904" xr:uid="{DA6B235F-41A5-40AD-8944-7B4588F1DE5B}"/>
    <cellStyle name="Normal 16 9" xfId="18478" xr:uid="{6E738567-60F6-4537-8A18-13AF78ED29B9}"/>
    <cellStyle name="Normal 16 9 2" xfId="38818" xr:uid="{5800A3D1-04F3-4AF7-8A91-D4A862C2F296}"/>
    <cellStyle name="Normal 17" xfId="5309" xr:uid="{D238ED03-F107-48E3-B537-095B71A70C47}"/>
    <cellStyle name="Normal 17 10" xfId="19067" xr:uid="{79EBA527-5C67-4321-958B-C0C72FA12BF6}"/>
    <cellStyle name="Normal 17 10 2" xfId="39406" xr:uid="{DDF46FA0-DCD3-4196-8632-B76689E4E84E}"/>
    <cellStyle name="Normal 17 11" xfId="22322" xr:uid="{29039A58-0DBE-41A1-A471-AC9FB56D91C6}"/>
    <cellStyle name="Normal 17 11 2" xfId="42657" xr:uid="{A153152A-9A58-46E8-A1A7-8F7E72258E23}"/>
    <cellStyle name="Normal 17 12" xfId="12039" xr:uid="{1B1DB5A9-FFF2-4DA8-8F58-11BB1805C6B6}"/>
    <cellStyle name="Normal 17 12 2" xfId="32380" xr:uid="{757042AA-696D-4E6A-B89D-1A45C4700E92}"/>
    <cellStyle name="Normal 17 13" xfId="8778" xr:uid="{2ED2F769-96CF-400A-8476-079D915AA7CC}"/>
    <cellStyle name="Normal 17 13 2" xfId="29121" xr:uid="{CB821E5F-F87A-415B-A7A7-68B5296CB158}"/>
    <cellStyle name="Normal 17 14" xfId="25627" xr:uid="{2239BF00-AE7A-499A-906A-47EC403D1F40}"/>
    <cellStyle name="Normal 17 2" xfId="5411" xr:uid="{0FEA29DB-65C2-40D8-B770-6D14760AE2FA}"/>
    <cellStyle name="Normal 17 2 10" xfId="12154" xr:uid="{98C60527-E29C-40A4-AEA2-2C23DDF110C4}"/>
    <cellStyle name="Normal 17 2 10 2" xfId="32495" xr:uid="{62D6F846-24FD-41C1-89CC-223374DE3D83}"/>
    <cellStyle name="Normal 17 2 11" xfId="8893" xr:uid="{64408BEE-F3BD-4C83-921D-496E7C516E3A}"/>
    <cellStyle name="Normal 17 2 11 2" xfId="29236" xr:uid="{DE4969FB-1AB9-4BE4-8462-BBB8C347AB0F}"/>
    <cellStyle name="Normal 17 2 12" xfId="25742" xr:uid="{40E19AE8-113B-4250-8C1D-BA39F6EDD686}"/>
    <cellStyle name="Normal 17 2 2" xfId="5975" xr:uid="{D8E0BC41-19C7-4101-B3B8-C08C3BEF9316}"/>
    <cellStyle name="Normal 17 2 2 2" xfId="7133" xr:uid="{2A055D2E-36CD-4133-8F43-67A2524F8EDB}"/>
    <cellStyle name="Normal 17 2 2 2 2" xfId="17419" xr:uid="{CEBEF93D-DE9A-4278-A0A4-56D7F113F753}"/>
    <cellStyle name="Normal 17 2 2 2 2 2" xfId="37759" xr:uid="{0B2241E4-D785-4FE5-8826-8451B6B862EB}"/>
    <cellStyle name="Normal 17 2 2 2 3" xfId="20921" xr:uid="{E9407E37-321F-492E-9059-CD5DBB3DE15F}"/>
    <cellStyle name="Normal 17 2 2 2 3 2" xfId="41260" xr:uid="{E324BFB4-1506-4EE8-8311-9B61F351C2EC}"/>
    <cellStyle name="Normal 17 2 2 2 4" xfId="24176" xr:uid="{A8F4E2FD-23C8-4723-9F0E-AA62137ED564}"/>
    <cellStyle name="Normal 17 2 2 2 4 2" xfId="44511" xr:uid="{B6F20DB5-A14B-4296-B403-D03DF6777BFF}"/>
    <cellStyle name="Normal 17 2 2 2 5" xfId="14510" xr:uid="{9FE0D0E5-F344-4324-A676-E724A573CA0B}"/>
    <cellStyle name="Normal 17 2 2 2 5 2" xfId="34851" xr:uid="{A5009B7E-259D-42E5-B7F6-773836DF9C2B}"/>
    <cellStyle name="Normal 17 2 2 2 6" xfId="10632" xr:uid="{7AFD7820-DA66-4E98-AEF9-C0B261A18EB7}"/>
    <cellStyle name="Normal 17 2 2 2 6 2" xfId="30975" xr:uid="{257530B6-DA52-4A3C-A2F1-02477A0E193B}"/>
    <cellStyle name="Normal 17 2 2 2 7" xfId="27481" xr:uid="{E164AF9E-C747-4056-93E8-3CBC31688D8B}"/>
    <cellStyle name="Normal 17 2 2 3" xfId="16261" xr:uid="{FE5895A8-D9EC-41F8-B2B4-9AAD62DC828A}"/>
    <cellStyle name="Normal 17 2 2 3 2" xfId="36601" xr:uid="{3BAFA5A9-84AD-402A-B374-AB54FB9B55DC}"/>
    <cellStyle name="Normal 17 2 2 4" xfId="19763" xr:uid="{EA39E87A-C59C-4C31-A2D4-4D5CBA41D4AB}"/>
    <cellStyle name="Normal 17 2 2 4 2" xfId="40102" xr:uid="{5C597158-0626-4F79-8A83-CFAFD8A03029}"/>
    <cellStyle name="Normal 17 2 2 5" xfId="23018" xr:uid="{7ED7F182-F7E3-4237-B73B-16FD48B6BB3A}"/>
    <cellStyle name="Normal 17 2 2 5 2" xfId="43353" xr:uid="{5E1E3221-F4EC-422E-B831-F414D5F7574E}"/>
    <cellStyle name="Normal 17 2 2 6" xfId="13352" xr:uid="{7A1DB37D-56D2-4D9D-B7A9-BED58651077A}"/>
    <cellStyle name="Normal 17 2 2 6 2" xfId="33693" xr:uid="{30D34AEC-EDDF-4FF5-8A0B-E8BBE35FF1AE}"/>
    <cellStyle name="Normal 17 2 2 7" xfId="9474" xr:uid="{E0407F33-FF44-484C-9BBA-8D48CC3BB391}"/>
    <cellStyle name="Normal 17 2 2 7 2" xfId="29817" xr:uid="{25B3CD57-AE9A-48DB-ACE7-F98A4C8BB5BC}"/>
    <cellStyle name="Normal 17 2 2 8" xfId="26323" xr:uid="{03773ADD-06F2-4EF6-8A37-CCC6368DBDB9}"/>
    <cellStyle name="Normal 17 2 3" xfId="6552" xr:uid="{35264316-0B70-49B1-807F-CAA7EBBA8B54}"/>
    <cellStyle name="Normal 17 2 3 2" xfId="16838" xr:uid="{84997FB3-CA5B-4D79-A0FD-69EFFF454A51}"/>
    <cellStyle name="Normal 17 2 3 2 2" xfId="37178" xr:uid="{F6B7859E-35AE-42F0-B341-D76DE4A9EA8A}"/>
    <cellStyle name="Normal 17 2 3 3" xfId="20340" xr:uid="{9C5AA8DA-F4E1-406F-B6CD-9854E526C7DC}"/>
    <cellStyle name="Normal 17 2 3 3 2" xfId="40679" xr:uid="{6E37AFE1-AF9D-44E1-B206-99D15DEFD226}"/>
    <cellStyle name="Normal 17 2 3 4" xfId="23595" xr:uid="{8DD14742-D2EA-4989-8497-1669624E6D5D}"/>
    <cellStyle name="Normal 17 2 3 4 2" xfId="43930" xr:uid="{47497D7A-D68F-4923-B5AB-FA1A94BE1A43}"/>
    <cellStyle name="Normal 17 2 3 5" xfId="13929" xr:uid="{5C134B35-B7A3-4D9A-BF68-316AE4CAAF22}"/>
    <cellStyle name="Normal 17 2 3 5 2" xfId="34270" xr:uid="{681377EB-ECDF-4BA1-BF2D-A17095262754}"/>
    <cellStyle name="Normal 17 2 3 6" xfId="10051" xr:uid="{FF5B21A6-9232-424D-9EF9-EE877D11B08B}"/>
    <cellStyle name="Normal 17 2 3 6 2" xfId="30394" xr:uid="{AF27F5A7-2859-4C10-BCCE-2BE65AABA887}"/>
    <cellStyle name="Normal 17 2 3 7" xfId="26900" xr:uid="{231FDCA4-2C16-4AD7-8C61-F4B0BDA47B12}"/>
    <cellStyle name="Normal 17 2 4" xfId="7716" xr:uid="{3AC2CA6A-0946-414D-86EB-802C30D3289B}"/>
    <cellStyle name="Normal 17 2 4 2" xfId="18001" xr:uid="{F8A5B974-2840-4B1C-91A9-DB99ADC701B3}"/>
    <cellStyle name="Normal 17 2 4 2 2" xfId="38341" xr:uid="{419A2687-2AB2-4B7B-83FF-3BC1ACA2FB62}"/>
    <cellStyle name="Normal 17 2 4 3" xfId="21503" xr:uid="{433D6CA0-3D47-4B89-896F-62479A1BEEC4}"/>
    <cellStyle name="Normal 17 2 4 3 2" xfId="41842" xr:uid="{634E88E1-CDD5-43F1-80B9-041F252D83CD}"/>
    <cellStyle name="Normal 17 2 4 4" xfId="24758" xr:uid="{EC92C60D-7A19-4160-A3B9-C95B3B8BA4AF}"/>
    <cellStyle name="Normal 17 2 4 4 2" xfId="45093" xr:uid="{F39AACE1-D5AA-4068-807D-772546CDE129}"/>
    <cellStyle name="Normal 17 2 4 5" xfId="15093" xr:uid="{BFCE2ECA-3FD4-4ACB-962E-E35F5095A337}"/>
    <cellStyle name="Normal 17 2 4 5 2" xfId="35433" xr:uid="{8A69EB11-700D-489C-9C9E-704A6C6F860C}"/>
    <cellStyle name="Normal 17 2 4 6" xfId="11214" xr:uid="{8A4F71CA-CE59-4062-9BF4-EF088C0B8F77}"/>
    <cellStyle name="Normal 17 2 4 6 2" xfId="31557" xr:uid="{9E673683-507A-46DD-8089-3BD3D0798A38}"/>
    <cellStyle name="Normal 17 2 4 7" xfId="28063" xr:uid="{8910B1B0-D983-46E3-95D1-B08A39D78E14}"/>
    <cellStyle name="Normal 17 2 5" xfId="12783" xr:uid="{D3491054-68DA-4CB0-B7EA-83D87D997011}"/>
    <cellStyle name="Normal 17 2 5 2" xfId="33124" xr:uid="{8A7DE1BF-8707-4ED5-BD94-72A5C7701B1A}"/>
    <cellStyle name="Normal 17 2 6" xfId="15680" xr:uid="{7DCB3D7B-A6E3-43A2-AC50-A8051B60636E}"/>
    <cellStyle name="Normal 17 2 6 2" xfId="36020" xr:uid="{20D53759-88EC-4004-8BC3-CB89F8767056}"/>
    <cellStyle name="Normal 17 2 7" xfId="18594" xr:uid="{E414FCB6-9FA6-4A3A-8D46-876FA1AB41AD}"/>
    <cellStyle name="Normal 17 2 7 2" xfId="38934" xr:uid="{66B37797-56A0-49C2-9531-2EA6C045BCA0}"/>
    <cellStyle name="Normal 17 2 8" xfId="19182" xr:uid="{D3CBB585-B8CB-41BC-80D1-BBDC94070C03}"/>
    <cellStyle name="Normal 17 2 8 2" xfId="39521" xr:uid="{609D1E2A-4B7B-4180-8BC9-8CFC7B600451}"/>
    <cellStyle name="Normal 17 2 9" xfId="22437" xr:uid="{15DF9C78-3881-4267-9650-A9BC0BF6A963}"/>
    <cellStyle name="Normal 17 2 9 2" xfId="42772" xr:uid="{EB5CBB9D-D1B4-4266-8315-CEDCAB782C60}"/>
    <cellStyle name="Normal 17 3" xfId="5632" xr:uid="{F476C491-F244-45A0-8332-58BFAEAD59C0}"/>
    <cellStyle name="Normal 17 3 10" xfId="12383" xr:uid="{CBB1A203-D11E-43B8-B3F4-3787408CA185}"/>
    <cellStyle name="Normal 17 3 10 2" xfId="32724" xr:uid="{EC5F4637-4E54-4192-B8FF-15E77F69DCCB}"/>
    <cellStyle name="Normal 17 3 11" xfId="9122" xr:uid="{A2CAF1AE-01BF-4191-9617-CF8E664C5B57}"/>
    <cellStyle name="Normal 17 3 11 2" xfId="29465" xr:uid="{BB476DFF-154A-4D8E-B322-8CDAEBA5797F}"/>
    <cellStyle name="Normal 17 3 12" xfId="25971" xr:uid="{F5EE350B-2340-49C9-B40A-4D72721D1AE5}"/>
    <cellStyle name="Normal 17 3 2" xfId="6204" xr:uid="{08105CB1-F843-419F-A3F0-90B41E6494CA}"/>
    <cellStyle name="Normal 17 3 2 2" xfId="7362" xr:uid="{9719E9D1-CA09-49FC-9FCA-1A3F81717D29}"/>
    <cellStyle name="Normal 17 3 2 2 2" xfId="17648" xr:uid="{949F495E-C144-481F-A78D-97D69DEB2E98}"/>
    <cellStyle name="Normal 17 3 2 2 2 2" xfId="37988" xr:uid="{311EA2EE-27E0-4F30-A35C-C78C88028A41}"/>
    <cellStyle name="Normal 17 3 2 2 3" xfId="21150" xr:uid="{56E3AA7E-2F7B-47C1-B4D9-2738FB532638}"/>
    <cellStyle name="Normal 17 3 2 2 3 2" xfId="41489" xr:uid="{D53C67F5-8E45-477D-A826-62C48006969B}"/>
    <cellStyle name="Normal 17 3 2 2 4" xfId="24405" xr:uid="{09A333FB-2BCA-40BF-B147-158CEEEF5751}"/>
    <cellStyle name="Normal 17 3 2 2 4 2" xfId="44740" xr:uid="{D2F815BF-387A-47BA-B0CE-F80F3DBF5743}"/>
    <cellStyle name="Normal 17 3 2 2 5" xfId="14739" xr:uid="{D79F0C52-4FD5-4821-A2D6-6B462107A37F}"/>
    <cellStyle name="Normal 17 3 2 2 5 2" xfId="35080" xr:uid="{6B80C471-E420-45EB-81D3-8644797A7FBE}"/>
    <cellStyle name="Normal 17 3 2 2 6" xfId="10861" xr:uid="{54766914-6B6B-4E17-9D4E-1889C33222DD}"/>
    <cellStyle name="Normal 17 3 2 2 6 2" xfId="31204" xr:uid="{94335A4A-F50C-498E-8BB9-7E73ED67D04D}"/>
    <cellStyle name="Normal 17 3 2 2 7" xfId="27710" xr:uid="{88DD57EA-D931-4B2A-9F35-A613B83D0253}"/>
    <cellStyle name="Normal 17 3 2 3" xfId="16490" xr:uid="{9B9FEA81-1300-439D-8FA5-08FEAE47F3A9}"/>
    <cellStyle name="Normal 17 3 2 3 2" xfId="36830" xr:uid="{791ED2C1-ACBA-4B4A-B2BC-CE3F2C33EB13}"/>
    <cellStyle name="Normal 17 3 2 4" xfId="19992" xr:uid="{488600A3-8BC2-4140-A9DF-76CC2755A8D3}"/>
    <cellStyle name="Normal 17 3 2 4 2" xfId="40331" xr:uid="{D4DD309C-DAF6-44A5-91C5-38CF050E43F1}"/>
    <cellStyle name="Normal 17 3 2 5" xfId="23247" xr:uid="{9731D70C-4DE3-4CC7-A8A5-B5AC00787F5B}"/>
    <cellStyle name="Normal 17 3 2 5 2" xfId="43582" xr:uid="{E074E644-24C7-4170-9322-B8E48C753597}"/>
    <cellStyle name="Normal 17 3 2 6" xfId="13581" xr:uid="{199EEF33-2C3B-497E-9107-DA023D104393}"/>
    <cellStyle name="Normal 17 3 2 6 2" xfId="33922" xr:uid="{77BBEE1C-D745-4DFD-90D3-EB1C84F4D3A9}"/>
    <cellStyle name="Normal 17 3 2 7" xfId="9703" xr:uid="{FFF59102-3B57-437B-BCAB-9DF924D49D3F}"/>
    <cellStyle name="Normal 17 3 2 7 2" xfId="30046" xr:uid="{EA024021-1FCD-4AD0-8E8A-505D226ADB0E}"/>
    <cellStyle name="Normal 17 3 2 8" xfId="26552" xr:uid="{C6008F9F-29FA-40AB-AA04-5FF51A3A4094}"/>
    <cellStyle name="Normal 17 3 3" xfId="6781" xr:uid="{83BC943E-921F-4A27-8C84-EA9680881CFE}"/>
    <cellStyle name="Normal 17 3 3 2" xfId="17067" xr:uid="{43EB5E4A-A3A5-498F-9943-D920281504BB}"/>
    <cellStyle name="Normal 17 3 3 2 2" xfId="37407" xr:uid="{94A1AF35-91A8-46BF-924E-F4C53FF117C1}"/>
    <cellStyle name="Normal 17 3 3 3" xfId="20569" xr:uid="{130F4E64-8394-4C3F-90E3-7430459349B8}"/>
    <cellStyle name="Normal 17 3 3 3 2" xfId="40908" xr:uid="{1D67F3A9-5E57-4568-990C-B2A3C10A124D}"/>
    <cellStyle name="Normal 17 3 3 4" xfId="23824" xr:uid="{0A0CB227-E26E-47E0-9E45-FFECC72BE5D0}"/>
    <cellStyle name="Normal 17 3 3 4 2" xfId="44159" xr:uid="{E6D685DD-2BBD-4C12-9E9F-09AD73B93781}"/>
    <cellStyle name="Normal 17 3 3 5" xfId="14158" xr:uid="{54944B09-8F17-4657-8CAC-A2E5D27F7BAE}"/>
    <cellStyle name="Normal 17 3 3 5 2" xfId="34499" xr:uid="{57D8E01B-9CD6-4D3E-96E3-DA4B5310D040}"/>
    <cellStyle name="Normal 17 3 3 6" xfId="10280" xr:uid="{2D562788-0BFA-4BF6-AEFD-DBCE8DC525F5}"/>
    <cellStyle name="Normal 17 3 3 6 2" xfId="30623" xr:uid="{E0ACA90F-071B-4888-88B0-8B9A7D468A75}"/>
    <cellStyle name="Normal 17 3 3 7" xfId="27129" xr:uid="{98FCD59B-4669-460D-A0DC-5740B7039410}"/>
    <cellStyle name="Normal 17 3 4" xfId="7945" xr:uid="{CB46E47C-F1E1-414F-B71F-F1B0634C95FD}"/>
    <cellStyle name="Normal 17 3 4 2" xfId="18230" xr:uid="{40E451C4-A8AF-450C-B91B-51076B08ABDF}"/>
    <cellStyle name="Normal 17 3 4 2 2" xfId="38570" xr:uid="{719B2E15-7E99-4902-9B13-533327A65B36}"/>
    <cellStyle name="Normal 17 3 4 3" xfId="21732" xr:uid="{8E978BAA-FEC0-4923-94BF-3BADBC1C0C40}"/>
    <cellStyle name="Normal 17 3 4 3 2" xfId="42071" xr:uid="{F81A1F9B-A1D0-4A84-9325-5BD20FC3D156}"/>
    <cellStyle name="Normal 17 3 4 4" xfId="24987" xr:uid="{B1C0C3D2-7CD3-4BFF-AED2-354F9AD2B31D}"/>
    <cellStyle name="Normal 17 3 4 4 2" xfId="45322" xr:uid="{26D00A9D-EA3A-4734-A8DB-E8BEBC3404DC}"/>
    <cellStyle name="Normal 17 3 4 5" xfId="15322" xr:uid="{8A8C98A3-B49B-41E5-A6C3-1AF6A984C82B}"/>
    <cellStyle name="Normal 17 3 4 5 2" xfId="35662" xr:uid="{8AF0679A-298B-4F39-AD4A-7F72B58C0901}"/>
    <cellStyle name="Normal 17 3 4 6" xfId="11443" xr:uid="{69EF1E1C-694A-49FC-AF4B-A380B1A3478E}"/>
    <cellStyle name="Normal 17 3 4 6 2" xfId="31786" xr:uid="{6BE5D7B1-7F51-4D6D-B8F7-78E22146F880}"/>
    <cellStyle name="Normal 17 3 4 7" xfId="28292" xr:uid="{2A58E676-98AF-42DE-9276-E0C5BBCCC68F}"/>
    <cellStyle name="Normal 17 3 5" xfId="13012" xr:uid="{8A093967-45DB-4F5E-8BF5-1F6543D93B66}"/>
    <cellStyle name="Normal 17 3 5 2" xfId="33353" xr:uid="{11487834-F103-498B-B7CA-6D632A46880D}"/>
    <cellStyle name="Normal 17 3 6" xfId="15909" xr:uid="{F937A74D-19D9-458C-A9B6-DC6F419ABF26}"/>
    <cellStyle name="Normal 17 3 6 2" xfId="36249" xr:uid="{3E51AA79-FF2A-4289-A6FC-8661E30D18E5}"/>
    <cellStyle name="Normal 17 3 7" xfId="18823" xr:uid="{318154D0-4A3F-41A0-94D6-F3D988A2CDC2}"/>
    <cellStyle name="Normal 17 3 7 2" xfId="39163" xr:uid="{DAD457BF-18AA-422F-B148-063052DD6613}"/>
    <cellStyle name="Normal 17 3 8" xfId="19411" xr:uid="{5F03B2BE-4B02-4851-A314-D518AE202BC1}"/>
    <cellStyle name="Normal 17 3 8 2" xfId="39750" xr:uid="{EABC01BE-D658-4F2B-8B99-8E414D302751}"/>
    <cellStyle name="Normal 17 3 9" xfId="22666" xr:uid="{ADAC8A7F-D9DD-4E93-8E04-7DD6EC8E0420}"/>
    <cellStyle name="Normal 17 3 9 2" xfId="43001" xr:uid="{BEA5B75E-B6F6-4BB3-80A2-F6905AC84200}"/>
    <cellStyle name="Normal 17 4" xfId="5860" xr:uid="{217D01F2-357E-4B71-860D-9BC2699E2E15}"/>
    <cellStyle name="Normal 17 4 2" xfId="7018" xr:uid="{6987B1A6-F8FD-4117-AE4D-0AED894F89B5}"/>
    <cellStyle name="Normal 17 4 2 2" xfId="17304" xr:uid="{72522FA7-4C4D-4368-9976-9E1E6E430F34}"/>
    <cellStyle name="Normal 17 4 2 2 2" xfId="37644" xr:uid="{5D299606-F18D-467A-BB00-4271D6C5C776}"/>
    <cellStyle name="Normal 17 4 2 3" xfId="20806" xr:uid="{3F72EC8A-6F6A-4AF1-AC64-C389669C7B41}"/>
    <cellStyle name="Normal 17 4 2 3 2" xfId="41145" xr:uid="{4D09A337-F806-4B3B-93F9-89F156529FFC}"/>
    <cellStyle name="Normal 17 4 2 4" xfId="24061" xr:uid="{3A8017C3-42AF-40F4-A5EA-47BB304D4857}"/>
    <cellStyle name="Normal 17 4 2 4 2" xfId="44396" xr:uid="{6A0E86B0-1332-4A50-9EBF-BCF4A4BB0C8B}"/>
    <cellStyle name="Normal 17 4 2 5" xfId="14395" xr:uid="{9A243165-86E9-4897-9519-BC00CD2DEC42}"/>
    <cellStyle name="Normal 17 4 2 5 2" xfId="34736" xr:uid="{29DD517D-6B0E-42B5-81A5-64706D765506}"/>
    <cellStyle name="Normal 17 4 2 6" xfId="10517" xr:uid="{65610692-9E5E-4A25-81D1-319D9ECA9376}"/>
    <cellStyle name="Normal 17 4 2 6 2" xfId="30860" xr:uid="{DB0AEB35-256B-4EE1-8C5F-A72994037305}"/>
    <cellStyle name="Normal 17 4 2 7" xfId="27366" xr:uid="{9479A65A-C67B-445D-BE8B-C129ECB1B204}"/>
    <cellStyle name="Normal 17 4 3" xfId="16146" xr:uid="{0D38BAF1-624E-4662-BA4F-7DA4D056C98D}"/>
    <cellStyle name="Normal 17 4 3 2" xfId="36486" xr:uid="{419E405F-D306-4F6D-A786-22F80227CEA1}"/>
    <cellStyle name="Normal 17 4 4" xfId="19648" xr:uid="{4E98AEE0-E550-4C85-A6EA-73DAACE39929}"/>
    <cellStyle name="Normal 17 4 4 2" xfId="39987" xr:uid="{6FB4409D-E1E7-4C59-9101-BAC8A37FB255}"/>
    <cellStyle name="Normal 17 4 5" xfId="22903" xr:uid="{8D26B94F-C257-4730-893A-CE88F9DA469C}"/>
    <cellStyle name="Normal 17 4 5 2" xfId="43238" xr:uid="{073B014E-EA46-4E8A-B4F3-2123FC29CEF9}"/>
    <cellStyle name="Normal 17 4 6" xfId="13239" xr:uid="{AB9D2DE8-D1A0-4787-9603-B8403D5D8C83}"/>
    <cellStyle name="Normal 17 4 6 2" xfId="33580" xr:uid="{7F8EAF59-C0BB-4F54-AE58-3CAE8273EA2F}"/>
    <cellStyle name="Normal 17 4 7" xfId="9359" xr:uid="{275B1B67-8872-4DAA-B0CB-E45575214641}"/>
    <cellStyle name="Normal 17 4 7 2" xfId="29702" xr:uid="{305DB056-31E7-49D2-9A7B-3053F0A75628}"/>
    <cellStyle name="Normal 17 4 8" xfId="26208" xr:uid="{660E1574-FE82-4F4A-9473-96B6AED82235}"/>
    <cellStyle name="Normal 17 5" xfId="6437" xr:uid="{3A994592-16EB-4658-A273-2946D93F3AE8}"/>
    <cellStyle name="Normal 17 5 2" xfId="16723" xr:uid="{60AD7473-718A-45DF-9243-F99853B92491}"/>
    <cellStyle name="Normal 17 5 2 2" xfId="37063" xr:uid="{09926CE8-3906-41A0-BCBA-45DB7A61334E}"/>
    <cellStyle name="Normal 17 5 3" xfId="20225" xr:uid="{4D075564-EF15-46F5-9361-688B70A000E4}"/>
    <cellStyle name="Normal 17 5 3 2" xfId="40564" xr:uid="{545CD51A-FCCC-4A60-9755-D77598651FA8}"/>
    <cellStyle name="Normal 17 5 4" xfId="23480" xr:uid="{B2CB7E59-F064-4BE8-9DFA-F2E952E252D3}"/>
    <cellStyle name="Normal 17 5 4 2" xfId="43815" xr:uid="{4A9794D8-15FE-446C-A179-57D2F4FD6C0C}"/>
    <cellStyle name="Normal 17 5 5" xfId="13814" xr:uid="{262AF131-750D-4011-AD8A-756A5D3B2116}"/>
    <cellStyle name="Normal 17 5 5 2" xfId="34155" xr:uid="{E5649524-1E35-415A-88CB-20B839E12703}"/>
    <cellStyle name="Normal 17 5 6" xfId="9936" xr:uid="{12CEC30D-7860-41A2-AD44-09B94132AE1A}"/>
    <cellStyle name="Normal 17 5 6 2" xfId="30279" xr:uid="{5E272B5C-184D-449B-962C-0E92B80C0BCF}"/>
    <cellStyle name="Normal 17 5 7" xfId="26785" xr:uid="{516A46ED-79B4-47DA-982C-8B82F33CB106}"/>
    <cellStyle name="Normal 17 6" xfId="7601" xr:uid="{21F28C31-0000-4013-A912-BC8E53B0F57F}"/>
    <cellStyle name="Normal 17 6 2" xfId="17886" xr:uid="{F3C469FE-70B0-449E-8E28-48D37D9E470D}"/>
    <cellStyle name="Normal 17 6 2 2" xfId="38226" xr:uid="{B0D3C1E7-B489-4DDF-B235-7D9A7065D663}"/>
    <cellStyle name="Normal 17 6 3" xfId="21388" xr:uid="{3A943E5A-810A-4862-AFA5-3A4D2BD9613E}"/>
    <cellStyle name="Normal 17 6 3 2" xfId="41727" xr:uid="{4B49C216-151C-4709-908C-FF7CF9707D23}"/>
    <cellStyle name="Normal 17 6 4" xfId="24643" xr:uid="{A7EA31EB-82CB-4C7C-986C-B1C21B7EB756}"/>
    <cellStyle name="Normal 17 6 4 2" xfId="44978" xr:uid="{04E2F48E-B57F-4135-B9A3-3CB34E4AA7EB}"/>
    <cellStyle name="Normal 17 6 5" xfId="14978" xr:uid="{EF70E00A-9F96-4E21-B1FF-DCB43FCBAE62}"/>
    <cellStyle name="Normal 17 6 5 2" xfId="35318" xr:uid="{A44F7DCE-B045-4C43-8203-DFEF991740CA}"/>
    <cellStyle name="Normal 17 6 6" xfId="11099" xr:uid="{D77FBE3B-1DA8-46E4-8AE3-2AD4A85128A0}"/>
    <cellStyle name="Normal 17 6 6 2" xfId="31442" xr:uid="{E94DB227-E618-4B1D-A531-70F46ABF0E5C}"/>
    <cellStyle name="Normal 17 6 7" xfId="27948" xr:uid="{5AEB6630-05FA-4865-9E0A-8CF16283F141}"/>
    <cellStyle name="Normal 17 7" xfId="12670" xr:uid="{D72C23E5-FC97-4C7D-A0C0-76F7CDAC5A7A}"/>
    <cellStyle name="Normal 17 7 2" xfId="33011" xr:uid="{20A092A7-58EE-431C-99D3-62833BBE2420}"/>
    <cellStyle name="Normal 17 8" xfId="15565" xr:uid="{2B454727-3A49-4CCF-B0F0-892C0776348D}"/>
    <cellStyle name="Normal 17 8 2" xfId="35905" xr:uid="{8CC8A3E2-51A3-4E58-A0F9-C313EF463837}"/>
    <cellStyle name="Normal 17 9" xfId="18479" xr:uid="{AF1076F4-0A2F-442B-957C-80DDC0E258AE}"/>
    <cellStyle name="Normal 17 9 2" xfId="38819" xr:uid="{79433E6E-0C5C-4AE9-89DA-33BE38C16822}"/>
    <cellStyle name="Normal 18" xfId="5311" xr:uid="{4EBC8739-4C87-496C-B6CA-8BFB5BB6C0F5}"/>
    <cellStyle name="Normal 18 10" xfId="19069" xr:uid="{5CF1DE22-4F29-4F27-BBE4-B3176FC5A937}"/>
    <cellStyle name="Normal 18 10 2" xfId="39408" xr:uid="{043C4345-F358-4615-8726-5CB12E368753}"/>
    <cellStyle name="Normal 18 11" xfId="22324" xr:uid="{80CD5AC7-6F36-4276-82CA-76741D3EB0BF}"/>
    <cellStyle name="Normal 18 11 2" xfId="42659" xr:uid="{2AFF24F9-CEC0-46E5-B645-868BF0637DB5}"/>
    <cellStyle name="Normal 18 12" xfId="12041" xr:uid="{BC7A0CF6-AEA3-4AC8-B19A-6BC3768B5EBA}"/>
    <cellStyle name="Normal 18 12 2" xfId="32382" xr:uid="{9F014502-1AED-4BAB-9692-2F42840C86B4}"/>
    <cellStyle name="Normal 18 13" xfId="8780" xr:uid="{A952AA4C-129A-4F76-B6F7-3F1C14F282CE}"/>
    <cellStyle name="Normal 18 13 2" xfId="29123" xr:uid="{D2D0DD85-4AFB-4597-BD78-988129532E9E}"/>
    <cellStyle name="Normal 18 14" xfId="25629" xr:uid="{F998E935-40A7-4511-9D13-C83AEDCC565E}"/>
    <cellStyle name="Normal 18 2" xfId="5413" xr:uid="{4F116CEB-EB86-4956-BFDB-814B4993967B}"/>
    <cellStyle name="Normal 18 2 10" xfId="12156" xr:uid="{2203224A-2356-43FC-B87A-340ACE9957DF}"/>
    <cellStyle name="Normal 18 2 10 2" xfId="32497" xr:uid="{7D43AFF3-369B-4D1D-8556-8BBE6BA8C8EF}"/>
    <cellStyle name="Normal 18 2 11" xfId="8895" xr:uid="{EB09172A-0788-4EAC-A474-E1ABF339EA87}"/>
    <cellStyle name="Normal 18 2 11 2" xfId="29238" xr:uid="{68B22ABA-0780-44ED-B9B2-BDC0A047E0FC}"/>
    <cellStyle name="Normal 18 2 12" xfId="25744" xr:uid="{4411C49C-A794-4381-ABFA-9F16E597B0FA}"/>
    <cellStyle name="Normal 18 2 2" xfId="5977" xr:uid="{72D4C64A-8CB8-48BC-B1F1-858E57B294D4}"/>
    <cellStyle name="Normal 18 2 2 2" xfId="7135" xr:uid="{C03D21B0-14D2-4282-84AC-5DC6F805F249}"/>
    <cellStyle name="Normal 18 2 2 2 2" xfId="17421" xr:uid="{4D3EA210-AD83-4AB3-BBFF-05C5AFF53FB6}"/>
    <cellStyle name="Normal 18 2 2 2 2 2" xfId="37761" xr:uid="{117A0D27-AA60-4928-A87A-385E32679A62}"/>
    <cellStyle name="Normal 18 2 2 2 3" xfId="20923" xr:uid="{6DD83F5B-B0F9-45B9-BE43-E740AF39D44E}"/>
    <cellStyle name="Normal 18 2 2 2 3 2" xfId="41262" xr:uid="{AA05795A-891A-4D08-A469-4DBA12B97B71}"/>
    <cellStyle name="Normal 18 2 2 2 4" xfId="24178" xr:uid="{BA005769-2792-42BD-8812-3B3CBE3E2214}"/>
    <cellStyle name="Normal 18 2 2 2 4 2" xfId="44513" xr:uid="{EAAB66E5-9630-43FE-AF0C-F4561DB6F2D7}"/>
    <cellStyle name="Normal 18 2 2 2 5" xfId="14512" xr:uid="{2FD45222-DEF2-4114-BC76-EA574F7E2048}"/>
    <cellStyle name="Normal 18 2 2 2 5 2" xfId="34853" xr:uid="{1A30F4A4-4DC7-4290-ABC5-322347D6B618}"/>
    <cellStyle name="Normal 18 2 2 2 6" xfId="10634" xr:uid="{0013E039-570E-46E5-BCDA-7BECF5938DF1}"/>
    <cellStyle name="Normal 18 2 2 2 6 2" xfId="30977" xr:uid="{C8FC17CA-3AD1-4CEE-BA12-BC755CBEFF9C}"/>
    <cellStyle name="Normal 18 2 2 2 7" xfId="27483" xr:uid="{8D3B815B-2DFF-44D9-9D0A-87AD396D7AB0}"/>
    <cellStyle name="Normal 18 2 2 3" xfId="16263" xr:uid="{A35FA882-F248-4367-A9E6-1B1075B7B2FF}"/>
    <cellStyle name="Normal 18 2 2 3 2" xfId="36603" xr:uid="{CE98C740-50AF-458F-9D46-158E37F5F7D5}"/>
    <cellStyle name="Normal 18 2 2 4" xfId="19765" xr:uid="{F39C9EAA-7797-44FB-8EFF-BA6E6EB9F3AD}"/>
    <cellStyle name="Normal 18 2 2 4 2" xfId="40104" xr:uid="{D8B043F0-CAAA-4B59-8673-C4A4A5D17947}"/>
    <cellStyle name="Normal 18 2 2 5" xfId="23020" xr:uid="{BCA12172-3264-4430-A0AF-416BBC50FB6B}"/>
    <cellStyle name="Normal 18 2 2 5 2" xfId="43355" xr:uid="{F8814D71-E3AD-4644-82FD-7CCF8145278F}"/>
    <cellStyle name="Normal 18 2 2 6" xfId="13354" xr:uid="{6D04AB79-8EA3-4C0A-905A-C9AD18A56A90}"/>
    <cellStyle name="Normal 18 2 2 6 2" xfId="33695" xr:uid="{BAC33FF8-9FCD-4DCF-AED1-22650F8D680E}"/>
    <cellStyle name="Normal 18 2 2 7" xfId="9476" xr:uid="{B2B14005-B484-40B4-8576-43565709B83A}"/>
    <cellStyle name="Normal 18 2 2 7 2" xfId="29819" xr:uid="{20EA58B0-C77C-4D11-B01A-B77BBDD74A86}"/>
    <cellStyle name="Normal 18 2 2 8" xfId="26325" xr:uid="{4F2D7952-A275-4FED-B824-2540A1094DB7}"/>
    <cellStyle name="Normal 18 2 3" xfId="6554" xr:uid="{E967EABC-CA80-4D96-87F0-1A01095A463F}"/>
    <cellStyle name="Normal 18 2 3 2" xfId="16840" xr:uid="{6DE1A6C2-BA75-43D4-9534-EE8FB51653C3}"/>
    <cellStyle name="Normal 18 2 3 2 2" xfId="37180" xr:uid="{CFCF26CE-EBFA-4D12-BE71-79B8D2E839DE}"/>
    <cellStyle name="Normal 18 2 3 3" xfId="20342" xr:uid="{095DAA6B-22A2-48C5-ADF0-AFAF3DFA482A}"/>
    <cellStyle name="Normal 18 2 3 3 2" xfId="40681" xr:uid="{FEB53174-7C88-4257-8442-E0379AFCC638}"/>
    <cellStyle name="Normal 18 2 3 4" xfId="23597" xr:uid="{A2227C98-3B90-4688-A98B-0B50E8C07459}"/>
    <cellStyle name="Normal 18 2 3 4 2" xfId="43932" xr:uid="{2F66AFB3-12F5-4DD1-B575-72D646EB4D03}"/>
    <cellStyle name="Normal 18 2 3 5" xfId="13931" xr:uid="{BA830547-4A4A-468C-8AC4-69524090F1E6}"/>
    <cellStyle name="Normal 18 2 3 5 2" xfId="34272" xr:uid="{4489F964-9AFF-44C4-8625-3D8DF6DA98BF}"/>
    <cellStyle name="Normal 18 2 3 6" xfId="10053" xr:uid="{71C72269-7D96-4FA3-AEAF-A13B6CBFC5F9}"/>
    <cellStyle name="Normal 18 2 3 6 2" xfId="30396" xr:uid="{77AA10E7-6852-43D9-BC8C-52B25862F72C}"/>
    <cellStyle name="Normal 18 2 3 7" xfId="26902" xr:uid="{E4A6F485-FF94-46A6-B3B3-2BC1BC89F7E6}"/>
    <cellStyle name="Normal 18 2 4" xfId="7718" xr:uid="{CD4C35F1-2EB9-4125-82FC-A0AF15BF9080}"/>
    <cellStyle name="Normal 18 2 4 2" xfId="18003" xr:uid="{9D3F2595-3AFA-459F-985E-B766B89873E8}"/>
    <cellStyle name="Normal 18 2 4 2 2" xfId="38343" xr:uid="{EF77A1C4-1538-4607-ACD5-CFD7A185CD4A}"/>
    <cellStyle name="Normal 18 2 4 3" xfId="21505" xr:uid="{0E348690-3943-4946-89B8-D8360FB7A204}"/>
    <cellStyle name="Normal 18 2 4 3 2" xfId="41844" xr:uid="{74AA19F7-3132-4565-A4E4-4D0431A42298}"/>
    <cellStyle name="Normal 18 2 4 4" xfId="24760" xr:uid="{B840779D-0A14-49BD-90A0-6E7F09CDEF33}"/>
    <cellStyle name="Normal 18 2 4 4 2" xfId="45095" xr:uid="{D2E03A82-5124-4C66-BAD4-104C8F292137}"/>
    <cellStyle name="Normal 18 2 4 5" xfId="15095" xr:uid="{857BB3D2-7EE6-47FC-82DA-E897ED3AE0B2}"/>
    <cellStyle name="Normal 18 2 4 5 2" xfId="35435" xr:uid="{7D9BAE57-EC35-41C6-9193-294B82E3D0F0}"/>
    <cellStyle name="Normal 18 2 4 6" xfId="11216" xr:uid="{BC21A976-F5AE-46B9-BD34-B726840315F6}"/>
    <cellStyle name="Normal 18 2 4 6 2" xfId="31559" xr:uid="{D864CE41-C761-496A-B8D4-14A71B3D70A6}"/>
    <cellStyle name="Normal 18 2 4 7" xfId="28065" xr:uid="{BCD53F41-6B76-4AC5-9CD5-77968A02694D}"/>
    <cellStyle name="Normal 18 2 5" xfId="12785" xr:uid="{8394ADD5-3953-401C-B399-3F0F5B2EC7CE}"/>
    <cellStyle name="Normal 18 2 5 2" xfId="33126" xr:uid="{7E5D49B7-24CE-4F0A-BCB7-2B26E951DE55}"/>
    <cellStyle name="Normal 18 2 6" xfId="15682" xr:uid="{3E9891DB-2F30-47D4-8D86-0590DD3EA4BD}"/>
    <cellStyle name="Normal 18 2 6 2" xfId="36022" xr:uid="{64E3EE97-3C92-4BED-A3A5-8E62C451F04E}"/>
    <cellStyle name="Normal 18 2 7" xfId="18596" xr:uid="{CD1E19FF-DDEB-40AF-A9EE-FF0997A0412C}"/>
    <cellStyle name="Normal 18 2 7 2" xfId="38936" xr:uid="{02880C08-4B8F-4972-AACA-E17612B0CFFF}"/>
    <cellStyle name="Normal 18 2 8" xfId="19184" xr:uid="{6941CC6D-4605-434C-BAF7-C94E479A1EB4}"/>
    <cellStyle name="Normal 18 2 8 2" xfId="39523" xr:uid="{6DB0455E-16FD-467E-9858-654A23349463}"/>
    <cellStyle name="Normal 18 2 9" xfId="22439" xr:uid="{63E6CEBE-3B50-4BCD-A595-EB7072BD4C26}"/>
    <cellStyle name="Normal 18 2 9 2" xfId="42774" xr:uid="{D620229E-EEA3-41B2-AB3D-F53F5414997F}"/>
    <cellStyle name="Normal 18 3" xfId="5634" xr:uid="{44009CAD-FB9E-4C6D-AF9B-97BB4AD173A4}"/>
    <cellStyle name="Normal 18 3 10" xfId="12385" xr:uid="{4588E14B-97F5-4E1A-B970-554F12B31321}"/>
    <cellStyle name="Normal 18 3 10 2" xfId="32726" xr:uid="{12F0A01D-DF80-47B5-9142-56FE0C2C0F9B}"/>
    <cellStyle name="Normal 18 3 11" xfId="9124" xr:uid="{8C5D569D-1A11-4405-806F-08BAAB36E013}"/>
    <cellStyle name="Normal 18 3 11 2" xfId="29467" xr:uid="{F9BDA86B-ACDA-4585-A7C9-84C90E0980B3}"/>
    <cellStyle name="Normal 18 3 12" xfId="25973" xr:uid="{E3F33F61-A75F-451D-9834-238802D69CFF}"/>
    <cellStyle name="Normal 18 3 2" xfId="6206" xr:uid="{0D4F0656-D125-48A1-97A1-8E4EEDC7FF1E}"/>
    <cellStyle name="Normal 18 3 2 2" xfId="7364" xr:uid="{8D73A83D-3CAC-4032-925A-7CD84E5A54F5}"/>
    <cellStyle name="Normal 18 3 2 2 2" xfId="17650" xr:uid="{C1500FC6-EC0D-4935-8392-47448F12900A}"/>
    <cellStyle name="Normal 18 3 2 2 2 2" xfId="37990" xr:uid="{3AFB7B9C-AA74-426E-9A82-559CE89A09F9}"/>
    <cellStyle name="Normal 18 3 2 2 3" xfId="21152" xr:uid="{05614318-C3EE-4DD9-81A2-56545D59B1C4}"/>
    <cellStyle name="Normal 18 3 2 2 3 2" xfId="41491" xr:uid="{BCBF08D8-FA6F-4CBF-8E48-45A16977BF3A}"/>
    <cellStyle name="Normal 18 3 2 2 4" xfId="24407" xr:uid="{1B1702A0-3DF8-44A2-A921-99CB9F48861E}"/>
    <cellStyle name="Normal 18 3 2 2 4 2" xfId="44742" xr:uid="{B5004ECA-54C0-4C22-B399-29C04AAA9B28}"/>
    <cellStyle name="Normal 18 3 2 2 5" xfId="14741" xr:uid="{345A5CB1-0931-49D1-8C86-242C875BD456}"/>
    <cellStyle name="Normal 18 3 2 2 5 2" xfId="35082" xr:uid="{666FEE50-D092-4914-B07F-13AC9C9EC7C3}"/>
    <cellStyle name="Normal 18 3 2 2 6" xfId="10863" xr:uid="{DB17755D-C037-408F-8D9C-84271B5E0BAA}"/>
    <cellStyle name="Normal 18 3 2 2 6 2" xfId="31206" xr:uid="{F5A61921-5D93-412D-9054-0536C412AFCD}"/>
    <cellStyle name="Normal 18 3 2 2 7" xfId="27712" xr:uid="{DBD5D32F-BB56-4313-9F37-7226767D719A}"/>
    <cellStyle name="Normal 18 3 2 3" xfId="16492" xr:uid="{4F7F3C23-6BE1-41F9-97AB-D8E86D4D74F5}"/>
    <cellStyle name="Normal 18 3 2 3 2" xfId="36832" xr:uid="{5E59E394-9998-44C0-841B-637EE248CEAE}"/>
    <cellStyle name="Normal 18 3 2 4" xfId="19994" xr:uid="{EDDC2FC9-DADD-4F5E-9D9D-3465948A10ED}"/>
    <cellStyle name="Normal 18 3 2 4 2" xfId="40333" xr:uid="{5C2EA22C-E49D-4A5E-BC14-58675108CD79}"/>
    <cellStyle name="Normal 18 3 2 5" xfId="23249" xr:uid="{BD39913E-A5ED-42F5-8E1E-E8BA1EFF958A}"/>
    <cellStyle name="Normal 18 3 2 5 2" xfId="43584" xr:uid="{B6DAA20A-45BB-4F33-B3DC-967249C7754D}"/>
    <cellStyle name="Normal 18 3 2 6" xfId="13583" xr:uid="{25244861-5D4E-42CA-8E64-84FEB67066CA}"/>
    <cellStyle name="Normal 18 3 2 6 2" xfId="33924" xr:uid="{C8A8F03C-7B1C-43BE-9FBB-A0703E4E3E9D}"/>
    <cellStyle name="Normal 18 3 2 7" xfId="9705" xr:uid="{EA4FDBEA-B6B1-421E-B5EF-4210A1B4F0EB}"/>
    <cellStyle name="Normal 18 3 2 7 2" xfId="30048" xr:uid="{2D3EDB43-E0A1-4D70-9E9F-71EC90427B33}"/>
    <cellStyle name="Normal 18 3 2 8" xfId="26554" xr:uid="{6C708B03-F52C-4E6E-8F99-ED6D9231ABC9}"/>
    <cellStyle name="Normal 18 3 3" xfId="6783" xr:uid="{4C5D8D47-219A-42A2-B664-AD7C0A0804A3}"/>
    <cellStyle name="Normal 18 3 3 2" xfId="17069" xr:uid="{7FE80C58-22E4-4257-A73B-6CA736F5E9BF}"/>
    <cellStyle name="Normal 18 3 3 2 2" xfId="37409" xr:uid="{0EDCA655-2B61-472B-8EFF-89951AA5E3E8}"/>
    <cellStyle name="Normal 18 3 3 3" xfId="20571" xr:uid="{C5C0A349-739B-4529-B7D8-15DFDC55BF0B}"/>
    <cellStyle name="Normal 18 3 3 3 2" xfId="40910" xr:uid="{7F6B73E2-6372-4652-8A12-DE581C09B575}"/>
    <cellStyle name="Normal 18 3 3 4" xfId="23826" xr:uid="{141860CE-F6CD-4084-826B-339537BA9463}"/>
    <cellStyle name="Normal 18 3 3 4 2" xfId="44161" xr:uid="{61887784-45C2-427F-8C50-C51EC60B0DDE}"/>
    <cellStyle name="Normal 18 3 3 5" xfId="14160" xr:uid="{4CCB62EF-9681-4E3B-867B-204110875FC3}"/>
    <cellStyle name="Normal 18 3 3 5 2" xfId="34501" xr:uid="{74D8F097-D70D-4517-A847-32CD1A889BCC}"/>
    <cellStyle name="Normal 18 3 3 6" xfId="10282" xr:uid="{AF38C96A-25C5-46BE-9EC1-1FC9B98DB982}"/>
    <cellStyle name="Normal 18 3 3 6 2" xfId="30625" xr:uid="{DA2311DE-015B-4E2C-8CA4-FD19DE6C593B}"/>
    <cellStyle name="Normal 18 3 3 7" xfId="27131" xr:uid="{F2D70B0E-3B68-4203-B786-A8220D09C9E8}"/>
    <cellStyle name="Normal 18 3 4" xfId="7947" xr:uid="{B3425C57-DC81-4BC5-A432-00F23EC5ADD8}"/>
    <cellStyle name="Normal 18 3 4 2" xfId="18232" xr:uid="{3EFE45B5-957B-4B1B-80AE-048876B7C0BC}"/>
    <cellStyle name="Normal 18 3 4 2 2" xfId="38572" xr:uid="{88C1EE6A-640F-4E59-818E-DAAFD525A8B1}"/>
    <cellStyle name="Normal 18 3 4 3" xfId="21734" xr:uid="{F3073BBF-2845-4BC5-9105-647DBA6CF732}"/>
    <cellStyle name="Normal 18 3 4 3 2" xfId="42073" xr:uid="{885FEB4A-9A13-4087-A102-93FF53C82D53}"/>
    <cellStyle name="Normal 18 3 4 4" xfId="24989" xr:uid="{53B0AF32-0E27-456C-8F4D-8781AD5A4FA4}"/>
    <cellStyle name="Normal 18 3 4 4 2" xfId="45324" xr:uid="{9272F537-333F-4A44-A741-3A49E79A0126}"/>
    <cellStyle name="Normal 18 3 4 5" xfId="15324" xr:uid="{FA2808A1-CB52-4A5F-AAE5-CF7C7D5E8E77}"/>
    <cellStyle name="Normal 18 3 4 5 2" xfId="35664" xr:uid="{D01E0915-E38B-4C00-8801-F8130DD3476D}"/>
    <cellStyle name="Normal 18 3 4 6" xfId="11445" xr:uid="{343902E0-350B-4487-9C63-92FBD8BE6384}"/>
    <cellStyle name="Normal 18 3 4 6 2" xfId="31788" xr:uid="{E5E1D006-354E-4B8A-A53F-F32B24BC5CDF}"/>
    <cellStyle name="Normal 18 3 4 7" xfId="28294" xr:uid="{706566CB-8E1E-4C58-AC72-FEF6F403C8B1}"/>
    <cellStyle name="Normal 18 3 5" xfId="13014" xr:uid="{F8E2B602-1E25-422D-9409-F088C6C61A44}"/>
    <cellStyle name="Normal 18 3 5 2" xfId="33355" xr:uid="{A4D475F0-DC85-4534-8086-E2DCD797611B}"/>
    <cellStyle name="Normal 18 3 6" xfId="15911" xr:uid="{DBD193B4-DC98-470A-970E-D2101A84B886}"/>
    <cellStyle name="Normal 18 3 6 2" xfId="36251" xr:uid="{7D5607A6-04F0-4675-85FC-D83CEEEAEAFE}"/>
    <cellStyle name="Normal 18 3 7" xfId="18825" xr:uid="{A3654EA3-6B8A-4D18-B6B2-E7385FCB76CD}"/>
    <cellStyle name="Normal 18 3 7 2" xfId="39165" xr:uid="{8ABF5DB8-41A6-4A1A-BE16-0535316315AB}"/>
    <cellStyle name="Normal 18 3 8" xfId="19413" xr:uid="{FCC05FB1-ED1E-4FB2-A509-1555A3DEE794}"/>
    <cellStyle name="Normal 18 3 8 2" xfId="39752" xr:uid="{9D41BC92-BF95-4D57-8279-64EDE7FC4BF0}"/>
    <cellStyle name="Normal 18 3 9" xfId="22668" xr:uid="{2DE155DF-D082-4B81-B05A-F54B001D1676}"/>
    <cellStyle name="Normal 18 3 9 2" xfId="43003" xr:uid="{662B1C2B-A9F4-4A8C-A4D5-966D93AA8D57}"/>
    <cellStyle name="Normal 18 4" xfId="5862" xr:uid="{ED813B43-04E2-4BFF-A52D-CE4D1B43E5B9}"/>
    <cellStyle name="Normal 18 4 2" xfId="7020" xr:uid="{4754627A-9614-4707-9604-203F8ADBB684}"/>
    <cellStyle name="Normal 18 4 2 2" xfId="17306" xr:uid="{D958C2F8-A92C-46EB-A7C1-C180AC0F7C3C}"/>
    <cellStyle name="Normal 18 4 2 2 2" xfId="37646" xr:uid="{04FFD1D3-ED0E-42D5-88AE-672FBE7A038F}"/>
    <cellStyle name="Normal 18 4 2 3" xfId="20808" xr:uid="{E60DFE01-A4FB-42FD-B82F-202B32BFB25C}"/>
    <cellStyle name="Normal 18 4 2 3 2" xfId="41147" xr:uid="{8932430B-CBB8-4F98-8DF0-15C10DB23272}"/>
    <cellStyle name="Normal 18 4 2 4" xfId="24063" xr:uid="{93558C4E-66B2-43F3-8164-2B8A6724DB82}"/>
    <cellStyle name="Normal 18 4 2 4 2" xfId="44398" xr:uid="{B47BF49A-F5E5-4D0B-8938-B346E439629E}"/>
    <cellStyle name="Normal 18 4 2 5" xfId="14397" xr:uid="{F7D2C710-D9B0-49FC-81DD-D0454B182149}"/>
    <cellStyle name="Normal 18 4 2 5 2" xfId="34738" xr:uid="{22407AEE-352F-4352-A11C-21C393503CCB}"/>
    <cellStyle name="Normal 18 4 2 6" xfId="10519" xr:uid="{DD133345-8840-4499-9A9C-B5F658DD77B7}"/>
    <cellStyle name="Normal 18 4 2 6 2" xfId="30862" xr:uid="{575D43DB-DA6F-4839-8087-A431653B4A42}"/>
    <cellStyle name="Normal 18 4 2 7" xfId="27368" xr:uid="{390B34F6-81DD-441E-B082-E05D42F0CEAB}"/>
    <cellStyle name="Normal 18 4 3" xfId="16148" xr:uid="{A9896668-6A27-42D1-BDEA-CC53EFD4B427}"/>
    <cellStyle name="Normal 18 4 3 2" xfId="36488" xr:uid="{8059610C-9792-4120-9E3A-5C55AB9D7A01}"/>
    <cellStyle name="Normal 18 4 4" xfId="19650" xr:uid="{32B5BFEE-DE8F-4290-99BA-54F78678D92E}"/>
    <cellStyle name="Normal 18 4 4 2" xfId="39989" xr:uid="{C2C8AE73-127D-4486-BDF9-08641A2C3194}"/>
    <cellStyle name="Normal 18 4 5" xfId="22905" xr:uid="{E81CB004-1E3D-4579-A90F-130DFCE7E234}"/>
    <cellStyle name="Normal 18 4 5 2" xfId="43240" xr:uid="{C1678FD2-E6B5-4124-BF5C-2BC98625287D}"/>
    <cellStyle name="Normal 18 4 6" xfId="13241" xr:uid="{CEEE43B0-3AD1-4C3D-BBAE-B8A2C773607A}"/>
    <cellStyle name="Normal 18 4 6 2" xfId="33582" xr:uid="{97AAE427-EE52-4B97-A564-64BB6BA455CA}"/>
    <cellStyle name="Normal 18 4 7" xfId="9361" xr:uid="{EC0E3577-7DEA-4D8B-89BF-3EBC86B2C34C}"/>
    <cellStyle name="Normal 18 4 7 2" xfId="29704" xr:uid="{F8F42AE5-AD9B-4095-B618-774E61114765}"/>
    <cellStyle name="Normal 18 4 8" xfId="26210" xr:uid="{8F820E3A-F4AF-40E6-814C-2AF134F645BF}"/>
    <cellStyle name="Normal 18 5" xfId="6439" xr:uid="{9DB5211D-6F82-47CB-ACFD-FDEBF907D418}"/>
    <cellStyle name="Normal 18 5 2" xfId="16725" xr:uid="{130E44C3-B824-420D-9AC1-C09963270D3E}"/>
    <cellStyle name="Normal 18 5 2 2" xfId="37065" xr:uid="{899B6789-02B7-4F6A-BC25-2ED588419B83}"/>
    <cellStyle name="Normal 18 5 3" xfId="20227" xr:uid="{E6BD2AC9-3347-4613-B654-4210C5225772}"/>
    <cellStyle name="Normal 18 5 3 2" xfId="40566" xr:uid="{F9964FF8-1C98-4196-963F-10F1D5CBC61E}"/>
    <cellStyle name="Normal 18 5 4" xfId="23482" xr:uid="{A811E072-644E-4999-9F5E-8F7D8B3EC490}"/>
    <cellStyle name="Normal 18 5 4 2" xfId="43817" xr:uid="{63179382-7901-40C8-91B0-DC7DE916388A}"/>
    <cellStyle name="Normal 18 5 5" xfId="13816" xr:uid="{4D04EB0C-E636-44D8-A5B5-1A191BE757D8}"/>
    <cellStyle name="Normal 18 5 5 2" xfId="34157" xr:uid="{B645EF7F-B5CD-4570-AB59-0D1AA03EB88B}"/>
    <cellStyle name="Normal 18 5 6" xfId="9938" xr:uid="{A5B5CE55-A08A-4126-82E9-89337ADF0FB1}"/>
    <cellStyle name="Normal 18 5 6 2" xfId="30281" xr:uid="{7BF56DAB-20B5-417C-AA5D-3DB842B758FB}"/>
    <cellStyle name="Normal 18 5 7" xfId="26787" xr:uid="{7565E78B-14BC-4DFE-BFE4-712CCC4F343A}"/>
    <cellStyle name="Normal 18 6" xfId="7603" xr:uid="{030ED187-D9FD-4BA5-8761-C02C5CB7492E}"/>
    <cellStyle name="Normal 18 6 2" xfId="17888" xr:uid="{9AAD33BA-1052-4762-9E14-35BFAA80039A}"/>
    <cellStyle name="Normal 18 6 2 2" xfId="38228" xr:uid="{8BF8BE1B-87B4-46ED-BA66-A0345CC5E87C}"/>
    <cellStyle name="Normal 18 6 3" xfId="21390" xr:uid="{D0F18868-DFE8-410B-903A-42433FC8B370}"/>
    <cellStyle name="Normal 18 6 3 2" xfId="41729" xr:uid="{C1B120FF-1840-487A-A2E6-696834FCE4A9}"/>
    <cellStyle name="Normal 18 6 4" xfId="24645" xr:uid="{A3DA09D6-7C00-425C-B0E9-0B02CB8D2D48}"/>
    <cellStyle name="Normal 18 6 4 2" xfId="44980" xr:uid="{ACB31CB0-A4F4-4DA0-9055-EC09DB133E49}"/>
    <cellStyle name="Normal 18 6 5" xfId="14980" xr:uid="{06B1B330-D4F0-452C-9524-2F14D0E443AC}"/>
    <cellStyle name="Normal 18 6 5 2" xfId="35320" xr:uid="{9BA17123-4D14-482C-A066-07BCE846B864}"/>
    <cellStyle name="Normal 18 6 6" xfId="11101" xr:uid="{9363640C-586D-4469-A5E6-958905A0F0F2}"/>
    <cellStyle name="Normal 18 6 6 2" xfId="31444" xr:uid="{DDBDC3C4-C17C-44DB-9A9D-BF1B278D6416}"/>
    <cellStyle name="Normal 18 6 7" xfId="27950" xr:uid="{14B23CB6-7D71-4AE8-8F17-2D312E74B5A0}"/>
    <cellStyle name="Normal 18 7" xfId="12672" xr:uid="{A5397082-A509-4978-975C-A960C372E162}"/>
    <cellStyle name="Normal 18 7 2" xfId="33013" xr:uid="{27F587EE-C1D8-4CEA-A93B-D8CB9EFBC48F}"/>
    <cellStyle name="Normal 18 8" xfId="15567" xr:uid="{B4C4C15E-B9FA-460C-B61A-8CA87C15139A}"/>
    <cellStyle name="Normal 18 8 2" xfId="35907" xr:uid="{F42EB95C-4C00-49A6-A322-4EFCCBB189AC}"/>
    <cellStyle name="Normal 18 9" xfId="18481" xr:uid="{B8E353D3-F73F-4347-B380-E34AA3ADFEDB}"/>
    <cellStyle name="Normal 18 9 2" xfId="38821" xr:uid="{D6A16C3D-D47B-4D71-870B-FBE096A13BED}"/>
    <cellStyle name="Normal 19" xfId="5312" xr:uid="{91866912-791A-4F6F-8296-E96349499451}"/>
    <cellStyle name="Normal 19 10" xfId="18373" xr:uid="{15E0E240-707E-4102-B42F-2B656CAD5295}"/>
    <cellStyle name="Normal 19 10 2" xfId="38713" xr:uid="{F85262F5-6DC6-4EAE-9A4D-DDF5C00F022B}"/>
    <cellStyle name="Normal 19 11" xfId="19070" xr:uid="{27795509-6FA9-4BE0-BA76-10369926BCAB}"/>
    <cellStyle name="Normal 19 11 2" xfId="39409" xr:uid="{AEF6BC0C-3E70-4E4F-8655-887C065064C4}"/>
    <cellStyle name="Normal 19 12" xfId="22325" xr:uid="{2D80ACBB-E26C-48BE-8CCA-93830183A1CA}"/>
    <cellStyle name="Normal 19 12 2" xfId="42660" xr:uid="{D5F86DFA-F4DF-4F62-B5DB-B1733EE55053}"/>
    <cellStyle name="Normal 19 13" xfId="11933" xr:uid="{3D990D6E-D569-42E0-812A-99ED96104524}"/>
    <cellStyle name="Normal 19 13 2" xfId="32274" xr:uid="{FE86B943-F09D-45F5-A324-DCE5E283FA60}"/>
    <cellStyle name="Normal 19 14" xfId="8781" xr:uid="{2FB21524-B6D2-4F06-9C6D-AEFA81C1CBA9}"/>
    <cellStyle name="Normal 19 14 2" xfId="29124" xr:uid="{0EFA6EC4-1FDC-4219-99F5-5559E2D121F7}"/>
    <cellStyle name="Normal 19 15" xfId="25630" xr:uid="{2E4C5392-F863-49EC-9AD7-67F62166C207}"/>
    <cellStyle name="Normal 19 2" xfId="5414" xr:uid="{B83F9607-700F-4CAC-8420-0D517386B303}"/>
    <cellStyle name="Normal 19 2 10" xfId="12157" xr:uid="{BF63CC93-F9C6-4C51-98B5-05C0C2F565C5}"/>
    <cellStyle name="Normal 19 2 10 2" xfId="32498" xr:uid="{47B5B54E-4891-443B-BF86-AA55EB82C815}"/>
    <cellStyle name="Normal 19 2 11" xfId="8896" xr:uid="{5120B580-DAA7-4746-97A8-B36B46000549}"/>
    <cellStyle name="Normal 19 2 11 2" xfId="29239" xr:uid="{0F8D8734-357F-4D51-B749-3805498548BA}"/>
    <cellStyle name="Normal 19 2 12" xfId="25745" xr:uid="{503A558D-256D-4582-9475-40EA95FBCC11}"/>
    <cellStyle name="Normal 19 2 2" xfId="5978" xr:uid="{1D03084C-6CDC-49D0-83B8-3E3F2D3A0246}"/>
    <cellStyle name="Normal 19 2 2 2" xfId="7136" xr:uid="{F146E439-1B63-4C9C-BA5C-0E47F7DAB16E}"/>
    <cellStyle name="Normal 19 2 2 2 2" xfId="17422" xr:uid="{D77BF077-146D-49AA-89E1-AA512C825343}"/>
    <cellStyle name="Normal 19 2 2 2 2 2" xfId="37762" xr:uid="{BD95C149-337C-40C1-A377-011BF4C07BA4}"/>
    <cellStyle name="Normal 19 2 2 2 3" xfId="20924" xr:uid="{557C1C78-54DA-4851-8666-E0C39BC27375}"/>
    <cellStyle name="Normal 19 2 2 2 3 2" xfId="41263" xr:uid="{FDCE62BF-413D-480C-A239-19EB31332E8E}"/>
    <cellStyle name="Normal 19 2 2 2 4" xfId="24179" xr:uid="{E0DED45B-1279-47B7-9BD2-B0B4B5C1AE37}"/>
    <cellStyle name="Normal 19 2 2 2 4 2" xfId="44514" xr:uid="{76BA6E60-51AF-4D53-AE5B-A6F5CE2995CE}"/>
    <cellStyle name="Normal 19 2 2 2 5" xfId="14513" xr:uid="{67BAEE73-FA0F-4468-A048-B1C23D494D8C}"/>
    <cellStyle name="Normal 19 2 2 2 5 2" xfId="34854" xr:uid="{A5B0906A-10CC-454E-A97E-3195ED9B2EFE}"/>
    <cellStyle name="Normal 19 2 2 2 6" xfId="10635" xr:uid="{24169479-0CF5-4FA1-A25D-90F20ADC25E0}"/>
    <cellStyle name="Normal 19 2 2 2 6 2" xfId="30978" xr:uid="{317007DF-01F4-4EFA-B33A-A05AF3174D47}"/>
    <cellStyle name="Normal 19 2 2 2 7" xfId="27484" xr:uid="{30786D1C-C321-4268-9195-5949A2D81261}"/>
    <cellStyle name="Normal 19 2 2 3" xfId="16264" xr:uid="{6A45722A-C4DB-4FE1-8E3D-A34D3066FFE2}"/>
    <cellStyle name="Normal 19 2 2 3 2" xfId="36604" xr:uid="{5F56B9CA-FB29-4AFA-98A4-C245D95308F1}"/>
    <cellStyle name="Normal 19 2 2 4" xfId="19766" xr:uid="{E82670D8-6BBA-4763-B8F7-7A61F8DB0B1F}"/>
    <cellStyle name="Normal 19 2 2 4 2" xfId="40105" xr:uid="{81D91C81-14D1-4195-9778-AC8D1194E829}"/>
    <cellStyle name="Normal 19 2 2 5" xfId="23021" xr:uid="{56B69633-FA6A-41EF-9E33-4A6BA28C600C}"/>
    <cellStyle name="Normal 19 2 2 5 2" xfId="43356" xr:uid="{ED32432C-6205-478F-A779-2D1F8005E62E}"/>
    <cellStyle name="Normal 19 2 2 6" xfId="13355" xr:uid="{468E623B-4596-4EA2-AC33-2C8E5FD61597}"/>
    <cellStyle name="Normal 19 2 2 6 2" xfId="33696" xr:uid="{E5F8DE11-DAE3-4D8B-B500-E3598604B8F2}"/>
    <cellStyle name="Normal 19 2 2 7" xfId="9477" xr:uid="{6634577B-01CB-454F-9483-AF661E1A2E9D}"/>
    <cellStyle name="Normal 19 2 2 7 2" xfId="29820" xr:uid="{9EE20EEE-730D-41C5-8DB6-DBB7E3FEAF38}"/>
    <cellStyle name="Normal 19 2 2 8" xfId="26326" xr:uid="{1E22A16C-7703-47FB-99AA-FF3BDBB1062C}"/>
    <cellStyle name="Normal 19 2 3" xfId="6555" xr:uid="{8F0C3E8C-D08E-4DA3-8DD1-517706051C5F}"/>
    <cellStyle name="Normal 19 2 3 2" xfId="16841" xr:uid="{638F5778-43DD-483B-9B43-F2503530D09E}"/>
    <cellStyle name="Normal 19 2 3 2 2" xfId="37181" xr:uid="{91DDE32C-346D-48A2-B911-385C78310C7D}"/>
    <cellStyle name="Normal 19 2 3 3" xfId="20343" xr:uid="{B781A3D7-C460-4B9A-8C51-5F2CDB7A89C4}"/>
    <cellStyle name="Normal 19 2 3 3 2" xfId="40682" xr:uid="{C1CE0ACC-B627-4832-91C9-549F9BB66A1A}"/>
    <cellStyle name="Normal 19 2 3 4" xfId="23598" xr:uid="{0A719934-43B3-4EB5-B76C-5AA2E2DC82CB}"/>
    <cellStyle name="Normal 19 2 3 4 2" xfId="43933" xr:uid="{EEAE43BC-A9F5-45C5-9084-797861154301}"/>
    <cellStyle name="Normal 19 2 3 5" xfId="13932" xr:uid="{9151A086-0D4D-41CF-9BAC-73E52F2A119D}"/>
    <cellStyle name="Normal 19 2 3 5 2" xfId="34273" xr:uid="{D0E1106F-E666-4443-B4C0-582B1C968B90}"/>
    <cellStyle name="Normal 19 2 3 6" xfId="10054" xr:uid="{61283756-0C8B-4506-931D-86BEA3420B18}"/>
    <cellStyle name="Normal 19 2 3 6 2" xfId="30397" xr:uid="{B9D3B461-4ED3-42A7-BF75-1A122156006A}"/>
    <cellStyle name="Normal 19 2 3 7" xfId="26903" xr:uid="{56550D1A-BFC4-4D12-95CA-2DAD569AF687}"/>
    <cellStyle name="Normal 19 2 4" xfId="7719" xr:uid="{AAAE1E8A-F576-415A-B896-77682FDF0D04}"/>
    <cellStyle name="Normal 19 2 4 2" xfId="18004" xr:uid="{1D4A8261-3E50-407B-85D6-336F0F94A6D4}"/>
    <cellStyle name="Normal 19 2 4 2 2" xfId="38344" xr:uid="{E4BC1F4B-C403-4141-838D-2F04D8B113D5}"/>
    <cellStyle name="Normal 19 2 4 3" xfId="21506" xr:uid="{7D2B3EE1-DE97-4E7C-894B-6C0DDFD4FF57}"/>
    <cellStyle name="Normal 19 2 4 3 2" xfId="41845" xr:uid="{41035EE3-822D-4E9F-9B59-E58EA04076E0}"/>
    <cellStyle name="Normal 19 2 4 4" xfId="24761" xr:uid="{C4B33003-83DB-44BD-B80E-11722A6E0A99}"/>
    <cellStyle name="Normal 19 2 4 4 2" xfId="45096" xr:uid="{EF18CDF6-8404-4A6E-A7B8-51C55CB07FB4}"/>
    <cellStyle name="Normal 19 2 4 5" xfId="15096" xr:uid="{E1FE079E-39B4-4C3D-B11A-993B1F2FCA0C}"/>
    <cellStyle name="Normal 19 2 4 5 2" xfId="35436" xr:uid="{73EA70C0-CDE8-4839-BC92-91273C47964A}"/>
    <cellStyle name="Normal 19 2 4 6" xfId="11217" xr:uid="{D9DE4C20-E8D3-449F-BAC3-9DDED8A7766A}"/>
    <cellStyle name="Normal 19 2 4 6 2" xfId="31560" xr:uid="{B39FE062-A980-4171-ACC0-61BA1B1BB021}"/>
    <cellStyle name="Normal 19 2 4 7" xfId="28066" xr:uid="{2589EC10-96EE-4707-A064-775FC9D6B3BE}"/>
    <cellStyle name="Normal 19 2 5" xfId="12786" xr:uid="{FBB787D1-6D23-408C-8653-197C9FC09413}"/>
    <cellStyle name="Normal 19 2 5 2" xfId="33127" xr:uid="{519256F2-94FA-4FA2-93DB-5922620EB677}"/>
    <cellStyle name="Normal 19 2 6" xfId="15683" xr:uid="{B1780BEE-2C88-4A34-982C-C98AFB263983}"/>
    <cellStyle name="Normal 19 2 6 2" xfId="36023" xr:uid="{DCAF8801-2475-4BFD-BB75-E9C95721D368}"/>
    <cellStyle name="Normal 19 2 7" xfId="18597" xr:uid="{DA3365DA-9C8C-449B-ABC6-AE8D2F42A571}"/>
    <cellStyle name="Normal 19 2 7 2" xfId="38937" xr:uid="{F829A4F8-593F-463B-AA40-F529BF378F07}"/>
    <cellStyle name="Normal 19 2 8" xfId="19185" xr:uid="{41DA1ACB-9785-4471-B1FC-1D23879D7863}"/>
    <cellStyle name="Normal 19 2 8 2" xfId="39524" xr:uid="{7773303F-C574-4FF7-AFDB-39B97F04D065}"/>
    <cellStyle name="Normal 19 2 9" xfId="22440" xr:uid="{2005F596-0035-4F09-8EBF-03520B5B55E6}"/>
    <cellStyle name="Normal 19 2 9 2" xfId="42775" xr:uid="{0ADDBA3F-8675-47EF-AB4B-90AE4118392A}"/>
    <cellStyle name="Normal 19 3" xfId="5635" xr:uid="{34D3A0A3-4E1E-4A9A-AFEC-0D4B1BAC00A6}"/>
    <cellStyle name="Normal 19 3 10" xfId="12386" xr:uid="{5C4AA30E-CED7-428A-A659-4DB917A6CE35}"/>
    <cellStyle name="Normal 19 3 10 2" xfId="32727" xr:uid="{46573B61-0B1E-49BF-9374-8C70573994F8}"/>
    <cellStyle name="Normal 19 3 11" xfId="9125" xr:uid="{16B27C65-1B1A-47A3-8225-EB0B5B5CB16D}"/>
    <cellStyle name="Normal 19 3 11 2" xfId="29468" xr:uid="{8A8A71B9-E569-41C2-9895-AEA621E77569}"/>
    <cellStyle name="Normal 19 3 12" xfId="25974" xr:uid="{351C59C4-C820-4511-99C4-3FD2E8BA4A1A}"/>
    <cellStyle name="Normal 19 3 2" xfId="6207" xr:uid="{C2A5DC91-C484-44CD-9B87-8E2BE24539E5}"/>
    <cellStyle name="Normal 19 3 2 2" xfId="7365" xr:uid="{42904A83-6AD6-41CE-BD49-3EE09F7D83C5}"/>
    <cellStyle name="Normal 19 3 2 2 2" xfId="17651" xr:uid="{733D33AC-E15E-4E9C-B13C-321B8D3CACAA}"/>
    <cellStyle name="Normal 19 3 2 2 2 2" xfId="37991" xr:uid="{57327B1A-F8C3-400E-9BB9-F2B906FCAC38}"/>
    <cellStyle name="Normal 19 3 2 2 3" xfId="21153" xr:uid="{0E80C0F8-28EC-433F-91F3-8B8476C6FE73}"/>
    <cellStyle name="Normal 19 3 2 2 3 2" xfId="41492" xr:uid="{8B3A359F-2E8D-4F3F-88D5-4A55478D092C}"/>
    <cellStyle name="Normal 19 3 2 2 4" xfId="24408" xr:uid="{99A14435-5173-46D3-B3F5-DF692C80AE9B}"/>
    <cellStyle name="Normal 19 3 2 2 4 2" xfId="44743" xr:uid="{D815B6EE-BCF8-4C94-AFA3-C6C1BDC567F9}"/>
    <cellStyle name="Normal 19 3 2 2 5" xfId="14742" xr:uid="{7367427C-86F9-4AB6-9F63-C5E515B29553}"/>
    <cellStyle name="Normal 19 3 2 2 5 2" xfId="35083" xr:uid="{E474BD31-86B8-4732-AD1B-7B2768BE5911}"/>
    <cellStyle name="Normal 19 3 2 2 6" xfId="10864" xr:uid="{97860D9E-148E-47CC-ABE4-BEE003839BED}"/>
    <cellStyle name="Normal 19 3 2 2 6 2" xfId="31207" xr:uid="{C88C132B-7F9B-4536-A714-B247C60E6B40}"/>
    <cellStyle name="Normal 19 3 2 2 7" xfId="27713" xr:uid="{BE79477F-5D4F-488B-829F-145BF2D3D0AA}"/>
    <cellStyle name="Normal 19 3 2 3" xfId="16493" xr:uid="{4425AFF3-F180-47FF-8C24-9F6AF1642C12}"/>
    <cellStyle name="Normal 19 3 2 3 2" xfId="36833" xr:uid="{95392520-B406-4E0D-BC7E-E34DA9CE004C}"/>
    <cellStyle name="Normal 19 3 2 4" xfId="19995" xr:uid="{D8AAAECE-FDB5-4BF1-A6EF-5BBBB092F03A}"/>
    <cellStyle name="Normal 19 3 2 4 2" xfId="40334" xr:uid="{2BF80F8D-D56C-49BE-A4E8-BDB4BBCF8F9C}"/>
    <cellStyle name="Normal 19 3 2 5" xfId="23250" xr:uid="{33D32DD8-31F2-4A67-9473-A03EB3674F3A}"/>
    <cellStyle name="Normal 19 3 2 5 2" xfId="43585" xr:uid="{F2832C41-D312-415B-B780-D6656071D4EA}"/>
    <cellStyle name="Normal 19 3 2 6" xfId="13584" xr:uid="{AFA510B1-22E3-4AF2-9496-2E447838C18B}"/>
    <cellStyle name="Normal 19 3 2 6 2" xfId="33925" xr:uid="{35866FE5-A25F-4EDD-8B8B-F4212F51E388}"/>
    <cellStyle name="Normal 19 3 2 7" xfId="9706" xr:uid="{7D208F75-9B31-456A-9972-770AE456D564}"/>
    <cellStyle name="Normal 19 3 2 7 2" xfId="30049" xr:uid="{D4310862-8D9B-4C9C-A4E5-61BD0DD5B4D7}"/>
    <cellStyle name="Normal 19 3 2 8" xfId="26555" xr:uid="{FA74E993-5E22-4A66-8E9E-453BD18E4EF0}"/>
    <cellStyle name="Normal 19 3 3" xfId="6784" xr:uid="{D0EB1A47-5546-40EA-A4AF-34188EF41224}"/>
    <cellStyle name="Normal 19 3 3 2" xfId="17070" xr:uid="{D874F74B-729B-4458-9367-2CE71DFC095B}"/>
    <cellStyle name="Normal 19 3 3 2 2" xfId="37410" xr:uid="{8C51C9B9-1938-477C-BAD1-ACEE4097888C}"/>
    <cellStyle name="Normal 19 3 3 3" xfId="20572" xr:uid="{255D7059-0E6D-4AA6-948A-1CF3C8B8A7E4}"/>
    <cellStyle name="Normal 19 3 3 3 2" xfId="40911" xr:uid="{6D313E0D-B18F-44E9-8E0F-F9FCF5FC8AB4}"/>
    <cellStyle name="Normal 19 3 3 4" xfId="23827" xr:uid="{3DBA5360-2BA6-4A84-8EDF-EC3215D80C1B}"/>
    <cellStyle name="Normal 19 3 3 4 2" xfId="44162" xr:uid="{0B5A7E2F-8585-4BCA-ABE3-64E94AB30733}"/>
    <cellStyle name="Normal 19 3 3 5" xfId="14161" xr:uid="{C9F9A83C-875B-41F7-B390-53E6D688E04E}"/>
    <cellStyle name="Normal 19 3 3 5 2" xfId="34502" xr:uid="{CE93F642-3995-4253-80BB-6E7FC67699C6}"/>
    <cellStyle name="Normal 19 3 3 6" xfId="10283" xr:uid="{2CFC5DE9-56BB-43B5-998C-6EB30497263D}"/>
    <cellStyle name="Normal 19 3 3 6 2" xfId="30626" xr:uid="{16D6D5BA-C6EF-47AF-9770-0B87BCE48661}"/>
    <cellStyle name="Normal 19 3 3 7" xfId="27132" xr:uid="{55899B82-9C97-4251-BB07-F86D32E3F07D}"/>
    <cellStyle name="Normal 19 3 4" xfId="7948" xr:uid="{197EA97D-8237-46FF-A16D-F02CCBC51871}"/>
    <cellStyle name="Normal 19 3 4 2" xfId="18233" xr:uid="{2275E55F-9030-4EF5-9A0D-109E879E92B1}"/>
    <cellStyle name="Normal 19 3 4 2 2" xfId="38573" xr:uid="{C7D3AAB7-8EA6-4346-AF29-A1DC1EC23E86}"/>
    <cellStyle name="Normal 19 3 4 3" xfId="21735" xr:uid="{95ACE7C5-4EB2-4C94-BE25-78DD98222EEF}"/>
    <cellStyle name="Normal 19 3 4 3 2" xfId="42074" xr:uid="{3280C963-21DA-4D71-A40F-906EE8922BFF}"/>
    <cellStyle name="Normal 19 3 4 4" xfId="24990" xr:uid="{89930681-FBF1-4010-8074-2C2FA5CFF4FF}"/>
    <cellStyle name="Normal 19 3 4 4 2" xfId="45325" xr:uid="{37AED478-7DAB-4A9C-8592-8C7AD5B39158}"/>
    <cellStyle name="Normal 19 3 4 5" xfId="15325" xr:uid="{5A314316-5727-427A-8FFB-F9CDCDC7C695}"/>
    <cellStyle name="Normal 19 3 4 5 2" xfId="35665" xr:uid="{492433D5-A16D-4E7D-90AD-BEFBA85400DD}"/>
    <cellStyle name="Normal 19 3 4 6" xfId="11446" xr:uid="{323EF7D8-C40F-44A5-98BC-ED0FBA8666BC}"/>
    <cellStyle name="Normal 19 3 4 6 2" xfId="31789" xr:uid="{7D0CF6BD-AF07-4365-B6A3-701AA6E06DE9}"/>
    <cellStyle name="Normal 19 3 4 7" xfId="28295" xr:uid="{90E49A10-5B8F-44A6-B780-FBDD8EE238E1}"/>
    <cellStyle name="Normal 19 3 5" xfId="13015" xr:uid="{79876C9B-D8E5-403E-915A-DC5B20B72AE9}"/>
    <cellStyle name="Normal 19 3 5 2" xfId="33356" xr:uid="{8D96AB50-445E-42DA-B586-69145D1CD3A4}"/>
    <cellStyle name="Normal 19 3 6" xfId="15912" xr:uid="{33961A76-CA33-4B22-A06B-B33F7C7D375D}"/>
    <cellStyle name="Normal 19 3 6 2" xfId="36252" xr:uid="{C281F0A1-3DDF-4A7C-B050-A20497C4FB58}"/>
    <cellStyle name="Normal 19 3 7" xfId="18826" xr:uid="{AD12D986-0964-4ECE-ACE8-4F29E1A0FEB9}"/>
    <cellStyle name="Normal 19 3 7 2" xfId="39166" xr:uid="{D8A83FFE-9456-43CF-87B6-268D0FAF2AA6}"/>
    <cellStyle name="Normal 19 3 8" xfId="19414" xr:uid="{D382B42F-6722-43FB-A5F6-99AE0AF9E75C}"/>
    <cellStyle name="Normal 19 3 8 2" xfId="39753" xr:uid="{A6302206-C558-4FDA-AE02-5DBB229B31A4}"/>
    <cellStyle name="Normal 19 3 9" xfId="22669" xr:uid="{AFB2A370-4C6A-42B0-B9C9-DBF9C90A3A79}"/>
    <cellStyle name="Normal 19 3 9 2" xfId="43004" xr:uid="{283D7597-8A01-461D-8EFE-EF64388F12B6}"/>
    <cellStyle name="Normal 19 4" xfId="5758" xr:uid="{13BA3A08-83B2-4844-93E5-ACEB1690508E}"/>
    <cellStyle name="Normal 19 4 10" xfId="9256" xr:uid="{0BCDE58A-A873-44AA-8D9C-13CF6276181E}"/>
    <cellStyle name="Normal 19 4 10 2" xfId="29599" xr:uid="{1F0F5451-5407-4AB1-B989-2DFBB362AA00}"/>
    <cellStyle name="Normal 19 4 11" xfId="26105" xr:uid="{1A42404C-CC8D-4E60-80A0-AD170100911B}"/>
    <cellStyle name="Normal 19 4 2" xfId="6915" xr:uid="{7F156352-1A77-4785-BF8E-6A4AC2FD2B83}"/>
    <cellStyle name="Normal 19 4 2 2" xfId="17201" xr:uid="{F2DD1044-A0EE-400A-9D82-93165884E8A5}"/>
    <cellStyle name="Normal 19 4 2 2 2" xfId="37541" xr:uid="{6AA75235-B7B5-4C60-820A-6D0DC1E022F8}"/>
    <cellStyle name="Normal 19 4 2 3" xfId="20703" xr:uid="{5A742962-456E-4F88-B3BA-E220A9474AF2}"/>
    <cellStyle name="Normal 19 4 2 3 2" xfId="41042" xr:uid="{DA1B0F5F-77B2-4E19-9508-E7E343AAAB07}"/>
    <cellStyle name="Normal 19 4 2 4" xfId="23958" xr:uid="{3BA83E95-85D0-4D87-BB22-71FA172C0421}"/>
    <cellStyle name="Normal 19 4 2 4 2" xfId="44293" xr:uid="{0148B268-B4C4-441C-ACAF-783FEEFF372E}"/>
    <cellStyle name="Normal 19 4 2 5" xfId="14292" xr:uid="{414CC633-362C-440B-A899-FCF8C55E9AEB}"/>
    <cellStyle name="Normal 19 4 2 5 2" xfId="34633" xr:uid="{08FCF072-C3CB-49F2-8CDF-83E9E98FD11A}"/>
    <cellStyle name="Normal 19 4 2 6" xfId="10414" xr:uid="{15A76FAC-0B8A-4E6D-86E9-22FC5A472865}"/>
    <cellStyle name="Normal 19 4 2 6 2" xfId="30757" xr:uid="{CBCE477E-1E8A-4A46-87FF-DCD4A3ED7D7B}"/>
    <cellStyle name="Normal 19 4 2 7" xfId="27263" xr:uid="{ACDB7A90-52F2-4F07-BE59-A25952443B44}"/>
    <cellStyle name="Normal 19 4 3" xfId="8079" xr:uid="{5EE4AEC8-D85D-4E72-8698-6FE5608420DD}"/>
    <cellStyle name="Normal 19 4 3 2" xfId="18364" xr:uid="{66BF3131-08AC-4E8B-B73A-B7D58C340621}"/>
    <cellStyle name="Normal 19 4 3 2 2" xfId="38704" xr:uid="{0E0CCF9A-FB70-4121-A384-7650E7D0AFFB}"/>
    <cellStyle name="Normal 19 4 3 3" xfId="21866" xr:uid="{67151ADE-2A2A-4A33-8B5F-058485995EFB}"/>
    <cellStyle name="Normal 19 4 3 3 2" xfId="42205" xr:uid="{6C42FC03-3D18-486A-A1C8-78AF1ADEF544}"/>
    <cellStyle name="Normal 19 4 3 4" xfId="25121" xr:uid="{6DDD6AE8-2BE1-4F12-B01C-1134C17F54B2}"/>
    <cellStyle name="Normal 19 4 3 4 2" xfId="45456" xr:uid="{51DD4060-F9E8-4554-B1F3-B3E9EB1A216F}"/>
    <cellStyle name="Normal 19 4 3 5" xfId="15456" xr:uid="{32651881-8AE0-495E-B92E-68ECF8003FF3}"/>
    <cellStyle name="Normal 19 4 3 5 2" xfId="35796" xr:uid="{C02881B8-A4AC-4FDE-902D-84136C70CCCE}"/>
    <cellStyle name="Normal 19 4 3 6" xfId="11577" xr:uid="{C7D9B40B-CDDF-483E-85AF-BD0113BCB906}"/>
    <cellStyle name="Normal 19 4 3 6 2" xfId="31920" xr:uid="{43CCA943-D8FE-453D-BEA3-D12A26D2130B}"/>
    <cellStyle name="Normal 19 4 3 7" xfId="28426" xr:uid="{EE9E2492-1A0D-4F11-AF35-694131487086}"/>
    <cellStyle name="Normal 19 4 4" xfId="13146" xr:uid="{4B97E190-661B-40F0-9827-F332A859D841}"/>
    <cellStyle name="Normal 19 4 4 2" xfId="33487" xr:uid="{23478DB2-34E4-47AA-8077-0EAFBB992348}"/>
    <cellStyle name="Normal 19 4 5" xfId="16043" xr:uid="{0734607A-8400-4963-AD5D-C90B173B2BF6}"/>
    <cellStyle name="Normal 19 4 5 2" xfId="36383" xr:uid="{B0898881-A412-4481-A2B6-BA89CFE2DE4F}"/>
    <cellStyle name="Normal 19 4 6" xfId="18957" xr:uid="{A1DCD647-BF19-4FB6-8E3B-AD080C2858FA}"/>
    <cellStyle name="Normal 19 4 6 2" xfId="39297" xr:uid="{A7A4AF74-E1CB-4A0E-A224-117C900533D8}"/>
    <cellStyle name="Normal 19 4 7" xfId="19545" xr:uid="{D44E9D37-A85D-4049-911B-501936E15BBC}"/>
    <cellStyle name="Normal 19 4 7 2" xfId="39884" xr:uid="{58BC721D-6C8C-456B-84E7-3D0E50979635}"/>
    <cellStyle name="Normal 19 4 8" xfId="22800" xr:uid="{A1682B93-21BC-4FCF-8A8D-40C0627A8ECC}"/>
    <cellStyle name="Normal 19 4 8 2" xfId="43135" xr:uid="{EA940B29-B417-4AC0-A59D-A3C3BD82F399}"/>
    <cellStyle name="Normal 19 4 9" xfId="12517" xr:uid="{4354D820-A481-4C20-BF56-837F7E0E56CC}"/>
    <cellStyle name="Normal 19 4 9 2" xfId="32858" xr:uid="{A0845B78-7BAC-483F-B620-0AA18924AB21}"/>
    <cellStyle name="Normal 19 5" xfId="5863" xr:uid="{8C6A82E9-6F25-4600-8C61-F67F8200F02B}"/>
    <cellStyle name="Normal 19 5 10" xfId="9362" xr:uid="{881A2044-F391-442B-AE3B-C687CEFC790F}"/>
    <cellStyle name="Normal 19 5 10 2" xfId="29705" xr:uid="{8A529367-3D4B-4B97-A942-D2E554B6A00A}"/>
    <cellStyle name="Normal 19 5 11" xfId="26211" xr:uid="{A1C024C7-501C-4DDF-A17D-26B1E90737E1}"/>
    <cellStyle name="Normal 19 5 2" xfId="7021" xr:uid="{411586EA-7D22-48F3-AF05-ED480D550201}"/>
    <cellStyle name="Normal 19 5 2 2" xfId="17307" xr:uid="{748A4415-3083-4AEE-873D-3E26CEBF0E29}"/>
    <cellStyle name="Normal 19 5 2 2 2" xfId="37647" xr:uid="{784B03F3-00F5-4B4A-B5A0-0A43035FBACF}"/>
    <cellStyle name="Normal 19 5 2 3" xfId="20809" xr:uid="{BE8A26BF-FD5C-43C7-9BC9-C86D4BFFECA8}"/>
    <cellStyle name="Normal 19 5 2 3 2" xfId="41148" xr:uid="{6B3FB1A2-683B-4448-85D4-A8FEE68FF7FA}"/>
    <cellStyle name="Normal 19 5 2 4" xfId="24064" xr:uid="{D9CDD637-A2D3-4FCF-B8BB-DCCA107E46AC}"/>
    <cellStyle name="Normal 19 5 2 4 2" xfId="44399" xr:uid="{2961C647-20DF-41E8-831C-6DF67C5E1EB6}"/>
    <cellStyle name="Normal 19 5 2 5" xfId="14398" xr:uid="{47D9BCB9-596E-4F76-8461-911F10C75C37}"/>
    <cellStyle name="Normal 19 5 2 5 2" xfId="34739" xr:uid="{E840E5A5-831F-4EE6-97DB-48E0A5DAD0BA}"/>
    <cellStyle name="Normal 19 5 2 6" xfId="10520" xr:uid="{3A563DB3-6726-4787-B902-941440EE86FA}"/>
    <cellStyle name="Normal 19 5 2 6 2" xfId="30863" xr:uid="{29B86380-A341-43E1-914D-AFD45BD7FD83}"/>
    <cellStyle name="Normal 19 5 2 7" xfId="27369" xr:uid="{C3179ED8-A945-4A2E-9D80-4E25A947DF8C}"/>
    <cellStyle name="Normal 19 5 3" xfId="7604" xr:uid="{15C04FB9-25AC-48AB-9491-73A4A9CE7BC8}"/>
    <cellStyle name="Normal 19 5 3 2" xfId="17889" xr:uid="{ABD1A3B2-FBB1-4D19-9EBD-A91086770C66}"/>
    <cellStyle name="Normal 19 5 3 2 2" xfId="38229" xr:uid="{E679F606-602B-4B07-A7E4-509818AC1CE2}"/>
    <cellStyle name="Normal 19 5 3 3" xfId="21391" xr:uid="{1A9E22E5-5361-4B69-A14F-BE68F79CA731}"/>
    <cellStyle name="Normal 19 5 3 3 2" xfId="41730" xr:uid="{3E4230CD-6D9B-457A-B88A-9E49DEFAC2C9}"/>
    <cellStyle name="Normal 19 5 3 4" xfId="24646" xr:uid="{C3978AE3-BD40-498D-8320-EDB6EBCF4947}"/>
    <cellStyle name="Normal 19 5 3 4 2" xfId="44981" xr:uid="{ED7DA478-FE41-4CFC-8088-BBD2DD4A1EB1}"/>
    <cellStyle name="Normal 19 5 3 5" xfId="14981" xr:uid="{02DBB3DD-89D8-4379-99E7-268A9F694249}"/>
    <cellStyle name="Normal 19 5 3 5 2" xfId="35321" xr:uid="{89F09089-A916-4C62-AC59-3D2ABFB76E7A}"/>
    <cellStyle name="Normal 19 5 3 6" xfId="11102" xr:uid="{68BD18C7-3F76-49A6-B2A9-41621F9984F3}"/>
    <cellStyle name="Normal 19 5 3 6 2" xfId="31445" xr:uid="{51D3E830-19D6-44A3-893D-1AB865EDFC21}"/>
    <cellStyle name="Normal 19 5 3 7" xfId="27951" xr:uid="{80C5F55D-1E1E-4C0A-A20C-18928A9FC5A5}"/>
    <cellStyle name="Normal 19 5 4" xfId="13242" xr:uid="{D0D6F15C-1885-416A-8995-C79ACA608546}"/>
    <cellStyle name="Normal 19 5 4 2" xfId="33583" xr:uid="{D0F3AA4F-D74C-47E5-BAB9-7900CFBBAF7C}"/>
    <cellStyle name="Normal 19 5 5" xfId="16149" xr:uid="{2BF183CA-FA8C-4CB6-8ED6-ABA9192A9F0C}"/>
    <cellStyle name="Normal 19 5 5 2" xfId="36489" xr:uid="{E602E9E3-1E92-4667-A8D9-C217B9C4DAD6}"/>
    <cellStyle name="Normal 19 5 6" xfId="18482" xr:uid="{CEB3C6D5-744E-4959-A9D7-5070D25A1CCA}"/>
    <cellStyle name="Normal 19 5 6 2" xfId="38822" xr:uid="{F278F6C5-DF22-44C2-A46C-99A84A6A121A}"/>
    <cellStyle name="Normal 19 5 7" xfId="19651" xr:uid="{A05F6F40-859B-4A12-B517-A08A76FD3143}"/>
    <cellStyle name="Normal 19 5 7 2" xfId="39990" xr:uid="{CB479ED3-1B7A-44BB-AB6F-C425EE9357BE}"/>
    <cellStyle name="Normal 19 5 8" xfId="22906" xr:uid="{A5FD8223-5849-4511-92FF-5345F2DC04AB}"/>
    <cellStyle name="Normal 19 5 8 2" xfId="43241" xr:uid="{7D95734A-88EA-4CFA-9140-2C6E01B2E5C7}"/>
    <cellStyle name="Normal 19 5 9" xfId="12042" xr:uid="{B02ECB55-F3BB-466D-BD5B-AA69016E58F7}"/>
    <cellStyle name="Normal 19 5 9 2" xfId="32383" xr:uid="{096F3348-B314-4C15-9BC4-2E824FDBF947}"/>
    <cellStyle name="Normal 19 6" xfId="6440" xr:uid="{19693168-1C86-4430-8133-134252E59EEA}"/>
    <cellStyle name="Normal 19 6 2" xfId="16726" xr:uid="{294496B2-DF18-4A6C-A37B-8DA48F9F9F60}"/>
    <cellStyle name="Normal 19 6 2 2" xfId="37066" xr:uid="{4C701553-9AC1-42CB-99F9-4C87DBF150AA}"/>
    <cellStyle name="Normal 19 6 3" xfId="20228" xr:uid="{77D7C1DD-485E-4D31-9BA1-C6015BDA3283}"/>
    <cellStyle name="Normal 19 6 3 2" xfId="40567" xr:uid="{CC6AA1AD-E0C5-43BB-A56D-C09D65E01A92}"/>
    <cellStyle name="Normal 19 6 4" xfId="23483" xr:uid="{FC462E50-DE46-426B-ADA0-FFBDE6E0D8C6}"/>
    <cellStyle name="Normal 19 6 4 2" xfId="43818" xr:uid="{7438B927-F441-44DF-80E1-D3EC04FA747C}"/>
    <cellStyle name="Normal 19 6 5" xfId="13817" xr:uid="{9E5FB23B-ACB6-4F76-AF5E-2580F9132D97}"/>
    <cellStyle name="Normal 19 6 5 2" xfId="34158" xr:uid="{7977C96A-61FC-4C5B-8F10-FACE4F0B6F6D}"/>
    <cellStyle name="Normal 19 6 6" xfId="9939" xr:uid="{65C87A95-6CC4-40C6-8114-26689DB7ECE6}"/>
    <cellStyle name="Normal 19 6 6 2" xfId="30282" xr:uid="{7F0F619A-D613-4F9E-86D3-F621B552CCA9}"/>
    <cellStyle name="Normal 19 6 7" xfId="26788" xr:uid="{28416785-0B52-485C-892B-BE3D41938990}"/>
    <cellStyle name="Normal 19 7" xfId="7494" xr:uid="{BEFCF892-34A7-46C4-A992-193BF56A2EDA}"/>
    <cellStyle name="Normal 19 7 2" xfId="17780" xr:uid="{1273B8A1-159D-4A77-98F7-DAECDF7E2991}"/>
    <cellStyle name="Normal 19 7 2 2" xfId="38120" xr:uid="{1D5047BC-D67C-4B20-A58B-5E6EE14F7738}"/>
    <cellStyle name="Normal 19 7 3" xfId="21282" xr:uid="{E09A5E5B-F3FE-47AF-BE8D-37A97B4F5471}"/>
    <cellStyle name="Normal 19 7 3 2" xfId="41621" xr:uid="{A0E3C14F-86A3-4EA3-BC7C-9E80D6CA3391}"/>
    <cellStyle name="Normal 19 7 4" xfId="24537" xr:uid="{90DE56CF-84CC-4414-855D-54CC6B85CD88}"/>
    <cellStyle name="Normal 19 7 4 2" xfId="44872" xr:uid="{5A1FE97B-DD5F-4C14-9380-57783B13A241}"/>
    <cellStyle name="Normal 19 7 5" xfId="14871" xr:uid="{4CB15304-0B6F-4091-A3F2-7B67B0B184F7}"/>
    <cellStyle name="Normal 19 7 5 2" xfId="35212" xr:uid="{A495552C-D125-46FE-825B-95BEA9344391}"/>
    <cellStyle name="Normal 19 7 6" xfId="10993" xr:uid="{F37F2F8C-A1B9-40D0-B1D8-08D1FED56CD1}"/>
    <cellStyle name="Normal 19 7 6 2" xfId="31336" xr:uid="{CB6A7A37-8265-45CD-A274-098E2A75F84E}"/>
    <cellStyle name="Normal 19 7 7" xfId="27842" xr:uid="{1E133719-6883-4516-8585-8174820DE848}"/>
    <cellStyle name="Normal 19 8" xfId="12673" xr:uid="{AA19BA06-2DA7-4779-B6AB-941F5007AC7D}"/>
    <cellStyle name="Normal 19 8 2" xfId="33014" xr:uid="{3B6144F1-CA28-438D-807C-4F7D7982FDF5}"/>
    <cellStyle name="Normal 19 9" xfId="15568" xr:uid="{00581398-C42D-4930-AF81-5687301DF19C}"/>
    <cellStyle name="Normal 19 9 2" xfId="35908" xr:uid="{5B75E4A0-BCFD-499B-B999-51A9B0E61CAD}"/>
    <cellStyle name="Normal 2" xfId="16" xr:uid="{EFBDF9D8-3672-4541-A270-236834619C8E}"/>
    <cellStyle name="Normal 2 10" xfId="18381" xr:uid="{2D7CF842-52D4-4106-B9B7-FE1EE663D389}"/>
    <cellStyle name="Normal 2 10 2" xfId="38721" xr:uid="{A9CBBDF0-B447-48EB-9ECC-22FDA8367012}"/>
    <cellStyle name="Normal 2 11" xfId="18969" xr:uid="{B99C641A-EC95-422A-9BFD-F904D954375B}"/>
    <cellStyle name="Normal 2 11 2" xfId="39308" xr:uid="{955063F5-D2EA-4197-AC7A-FE3941EE870B}"/>
    <cellStyle name="Normal 2 12" xfId="22224" xr:uid="{21A6313D-041F-4470-81F3-26CB4849C267}"/>
    <cellStyle name="Normal 2 12 2" xfId="42559" xr:uid="{E627A1D5-6DAD-4DEC-970E-6B9CE8963852}"/>
    <cellStyle name="Normal 2 13" xfId="11941" xr:uid="{0AD430D9-966C-43E6-A236-187C94DA4044}"/>
    <cellStyle name="Normal 2 13 2" xfId="32282" xr:uid="{E78CABE0-86F8-4769-BD94-11AFA71FF3C0}"/>
    <cellStyle name="Normal 2 14" xfId="8680" xr:uid="{24AE38ED-2584-4C0A-920B-E04EBD7E6679}"/>
    <cellStyle name="Normal 2 14 2" xfId="29023" xr:uid="{C3A2973A-45CA-45F6-8334-88E256730ABB}"/>
    <cellStyle name="Normal 2 15" xfId="25525" xr:uid="{4FBBFFE6-36B3-4F75-B8BD-9D6063439F48}"/>
    <cellStyle name="Normal 2 16" xfId="25478" xr:uid="{CD4EC687-695F-4448-B54B-B310FFEA24B3}"/>
    <cellStyle name="Normal 2 17" xfId="47687" xr:uid="{6BFE0510-80BF-4F01-91F2-75A6611E8970}"/>
    <cellStyle name="Normal 2 18" xfId="5209" xr:uid="{9247439D-9D21-4C46-926D-9F3E2EB3A0D8}"/>
    <cellStyle name="Normal 2 2" xfId="20" xr:uid="{E350DD52-1D8C-44F3-928E-DF0CA3FB093B}"/>
    <cellStyle name="Normal 2 2 2" xfId="29" xr:uid="{15361CB6-1CA1-4242-A177-BC3B14471BBC}"/>
    <cellStyle name="Normal 2 2 3" xfId="35" xr:uid="{7415D5C5-1D6C-4717-836B-11EB57792398}"/>
    <cellStyle name="Normal 2 3" xfId="57" xr:uid="{64D93565-3A98-4D7E-871A-42601426254C}"/>
    <cellStyle name="Normal 2 3 10" xfId="12056" xr:uid="{FE113469-F576-433A-B4A4-96FD529DDD6D}"/>
    <cellStyle name="Normal 2 3 10 2" xfId="32397" xr:uid="{CBFA0CB5-27EB-4F20-8145-71A73A1F0593}"/>
    <cellStyle name="Normal 2 3 11" xfId="8795" xr:uid="{2EF10A38-FB9C-4239-91D2-CFD0B5EE5641}"/>
    <cellStyle name="Normal 2 3 11 2" xfId="29138" xr:uid="{05641178-D30D-4220-BB81-FDA5C38C16EE}"/>
    <cellStyle name="Normal 2 3 12" xfId="25644" xr:uid="{ED4C8595-097F-42C8-B693-C6330F1BE765}"/>
    <cellStyle name="Normal 2 3 13" xfId="25499" xr:uid="{7EAAF549-AF57-4A2C-8F20-64D3EBE0F65D}"/>
    <cellStyle name="Normal 2 3 14" xfId="5326" xr:uid="{82D549E1-65EC-4DAB-A99E-DF39EB89D4C2}"/>
    <cellStyle name="Normal 2 3 2" xfId="5877" xr:uid="{0CEC8F6A-B93F-40A8-9779-EBE173489671}"/>
    <cellStyle name="Normal 2 3 2 2" xfId="7035" xr:uid="{20E81232-8C69-4362-B286-0FF789D4A408}"/>
    <cellStyle name="Normal 2 3 2 2 2" xfId="17321" xr:uid="{D4FD53D3-A390-4447-8807-FE84341C44C0}"/>
    <cellStyle name="Normal 2 3 2 2 2 2" xfId="37661" xr:uid="{E94E59A7-7067-45C4-B30D-B9D846D5ACAA}"/>
    <cellStyle name="Normal 2 3 2 2 3" xfId="20823" xr:uid="{DD0515E0-36CB-4A89-A518-11F468E1E0A9}"/>
    <cellStyle name="Normal 2 3 2 2 3 2" xfId="41162" xr:uid="{AFB16956-C1A9-49D1-9229-DBF10A453DFD}"/>
    <cellStyle name="Normal 2 3 2 2 4" xfId="24078" xr:uid="{C70E0F4F-A85C-47C5-839A-4DE82E547248}"/>
    <cellStyle name="Normal 2 3 2 2 4 2" xfId="44413" xr:uid="{05BC63C8-C680-468E-9B52-25C529B0B7E5}"/>
    <cellStyle name="Normal 2 3 2 2 5" xfId="14412" xr:uid="{64368B45-0662-4DCD-9B05-2CB6B72D94AF}"/>
    <cellStyle name="Normal 2 3 2 2 5 2" xfId="34753" xr:uid="{90D0D9E4-F15F-41A1-BF48-E9150998C385}"/>
    <cellStyle name="Normal 2 3 2 2 6" xfId="10534" xr:uid="{431A71C2-341B-414B-92A6-F24033FC26C5}"/>
    <cellStyle name="Normal 2 3 2 2 6 2" xfId="30877" xr:uid="{529A8351-AAB4-4D3E-97F4-AE558A10DA1E}"/>
    <cellStyle name="Normal 2 3 2 2 7" xfId="27383" xr:uid="{726F96E3-5F72-4A87-8BDB-EA13C08E6312}"/>
    <cellStyle name="Normal 2 3 2 3" xfId="16163" xr:uid="{36FBD909-41DF-454F-A3C5-A0C995C16DE9}"/>
    <cellStyle name="Normal 2 3 2 3 2" xfId="36503" xr:uid="{86C87812-57CA-4B7B-BC24-C14015B3E953}"/>
    <cellStyle name="Normal 2 3 2 4" xfId="19665" xr:uid="{310E9C80-055B-4F35-B975-8044EB4F42FC}"/>
    <cellStyle name="Normal 2 3 2 4 2" xfId="40004" xr:uid="{C15CECE9-CC29-4DE2-B569-7D1F7D6597FB}"/>
    <cellStyle name="Normal 2 3 2 5" xfId="22920" xr:uid="{BBC02BB3-4D5A-4D61-8E23-1ADA0833367B}"/>
    <cellStyle name="Normal 2 3 2 5 2" xfId="43255" xr:uid="{A7A8118F-1867-41E1-9EB0-AB396B3149C6}"/>
    <cellStyle name="Normal 2 3 2 6" xfId="13256" xr:uid="{674AA43F-B4F5-4222-B6B6-857D0D894DBE}"/>
    <cellStyle name="Normal 2 3 2 6 2" xfId="33597" xr:uid="{92A23980-4FB3-440D-8C47-C76C033629A8}"/>
    <cellStyle name="Normal 2 3 2 7" xfId="9376" xr:uid="{6C336AA5-B59C-4F9D-8584-69A95497F26A}"/>
    <cellStyle name="Normal 2 3 2 7 2" xfId="29719" xr:uid="{5F538231-A5E2-48E8-A2B2-63253DF3DCFC}"/>
    <cellStyle name="Normal 2 3 2 8" xfId="26225" xr:uid="{3AC09B55-9E1C-47DD-8708-5D1E8646ACC1}"/>
    <cellStyle name="Normal 2 3 3" xfId="6454" xr:uid="{8099FF4E-22F6-4221-83D0-0CFD630A1EF7}"/>
    <cellStyle name="Normal 2 3 3 2" xfId="16740" xr:uid="{A01D92AE-2106-4EFE-A3C5-E7FF4B4E2283}"/>
    <cellStyle name="Normal 2 3 3 2 2" xfId="37080" xr:uid="{45B05874-8590-4E49-B098-BF29E4B8AC9D}"/>
    <cellStyle name="Normal 2 3 3 3" xfId="20242" xr:uid="{031BCF47-54E7-4FE3-B054-59F9D98BCC9B}"/>
    <cellStyle name="Normal 2 3 3 3 2" xfId="40581" xr:uid="{C4F4E74B-4E60-444F-8AA8-EA063DD98204}"/>
    <cellStyle name="Normal 2 3 3 4" xfId="23497" xr:uid="{B9655779-3175-4887-B04F-7AFB68E51231}"/>
    <cellStyle name="Normal 2 3 3 4 2" xfId="43832" xr:uid="{BF786DAD-8B6C-4803-B650-2C4C224DDF60}"/>
    <cellStyle name="Normal 2 3 3 5" xfId="13831" xr:uid="{BDC4BC11-CEA2-452F-B5E7-1889B1282AA5}"/>
    <cellStyle name="Normal 2 3 3 5 2" xfId="34172" xr:uid="{8378B9EA-2DFC-4BD6-AA23-21DB320D7116}"/>
    <cellStyle name="Normal 2 3 3 6" xfId="9953" xr:uid="{0F04DC2C-73D7-45AB-BAEA-82815CC37471}"/>
    <cellStyle name="Normal 2 3 3 6 2" xfId="30296" xr:uid="{FF8ED9E3-B979-4274-9288-7584FC3A3522}"/>
    <cellStyle name="Normal 2 3 3 7" xfId="26802" xr:uid="{A70767A7-C8CB-46E9-BD29-411F313FE448}"/>
    <cellStyle name="Normal 2 3 4" xfId="7618" xr:uid="{EC2EF159-5A71-43C0-BE03-F27C48E4A7C8}"/>
    <cellStyle name="Normal 2 3 4 2" xfId="17903" xr:uid="{97E97C0F-50DB-4938-AB7C-BE6E60681D61}"/>
    <cellStyle name="Normal 2 3 4 2 2" xfId="38243" xr:uid="{64CC3576-5F2D-4FE0-A92B-0DCFB1C86E77}"/>
    <cellStyle name="Normal 2 3 4 3" xfId="21405" xr:uid="{86337964-ECD2-45BB-AFB2-74A7B66C8685}"/>
    <cellStyle name="Normal 2 3 4 3 2" xfId="41744" xr:uid="{EC46BDB4-4FFC-4E16-874E-DD1D4283D24A}"/>
    <cellStyle name="Normal 2 3 4 4" xfId="24660" xr:uid="{BBC86AA3-AE8C-40A2-BF60-C8D6199D7594}"/>
    <cellStyle name="Normal 2 3 4 4 2" xfId="44995" xr:uid="{AF02CC82-FD60-4930-B4CB-D16D47532EC5}"/>
    <cellStyle name="Normal 2 3 4 5" xfId="14995" xr:uid="{9A1B664C-625B-470F-BF22-87E92D3D5660}"/>
    <cellStyle name="Normal 2 3 4 5 2" xfId="35335" xr:uid="{6A323F5B-76C4-48CB-A664-16CFB16B88DE}"/>
    <cellStyle name="Normal 2 3 4 6" xfId="11116" xr:uid="{4404BED5-A0A1-4CA2-8A98-D3E1C1123525}"/>
    <cellStyle name="Normal 2 3 4 6 2" xfId="31459" xr:uid="{67353A69-36BB-46F6-963D-D87AF65DDBA5}"/>
    <cellStyle name="Normal 2 3 4 7" xfId="27965" xr:uid="{110EAEE7-8F4C-4926-80B5-285E1050451C}"/>
    <cellStyle name="Normal 2 3 5" xfId="12687" xr:uid="{C4413827-5026-460E-85B0-11DD203ECED9}"/>
    <cellStyle name="Normal 2 3 5 2" xfId="33028" xr:uid="{04277656-49CA-4B2B-A7EB-0C98A159DADF}"/>
    <cellStyle name="Normal 2 3 6" xfId="15582" xr:uid="{D57889A2-A3B0-4430-993D-9C8FFC61C40D}"/>
    <cellStyle name="Normal 2 3 6 2" xfId="35922" xr:uid="{197331EF-CF34-4C68-A729-3E2F3719DEE0}"/>
    <cellStyle name="Normal 2 3 7" xfId="18496" xr:uid="{4772FA02-EC6D-4B77-B215-7F93E7453A02}"/>
    <cellStyle name="Normal 2 3 7 2" xfId="38836" xr:uid="{D9C2C49B-A22C-4BB4-A688-0B50EA34194D}"/>
    <cellStyle name="Normal 2 3 8" xfId="19084" xr:uid="{CAB7408B-6B9A-42E5-BC01-E791409B2968}"/>
    <cellStyle name="Normal 2 3 8 2" xfId="39423" xr:uid="{C2F7FA3A-C51A-4993-BB4D-75AFCCBBFE22}"/>
    <cellStyle name="Normal 2 3 9" xfId="22339" xr:uid="{86C85E18-13C9-4AD8-A2AC-5C1E5E60C1B8}"/>
    <cellStyle name="Normal 2 3 9 2" xfId="42674" xr:uid="{16A464D7-BBB4-462F-8140-E9F1F587A243}"/>
    <cellStyle name="Normal 2 4" xfId="33" xr:uid="{BE7C235E-5576-4008-BC95-A55A9FBCFE4F}"/>
    <cellStyle name="Normal 2 4 10" xfId="12285" xr:uid="{C2C5308D-2106-4749-A4D1-EF6BAF237F06}"/>
    <cellStyle name="Normal 2 4 10 2" xfId="32626" xr:uid="{29581713-CF9E-4C1D-847B-09F34BCD0814}"/>
    <cellStyle name="Normal 2 4 11" xfId="9024" xr:uid="{856A88EC-7986-45C8-9BD0-2A60C0046AD0}"/>
    <cellStyle name="Normal 2 4 11 2" xfId="29367" xr:uid="{C9BC94DC-8DFB-4ABD-895B-E26275AFD039}"/>
    <cellStyle name="Normal 2 4 12" xfId="25873" xr:uid="{B615610C-90D9-4EB8-8D66-89E30BB04B34}"/>
    <cellStyle name="Normal 2 4 13" xfId="5534" xr:uid="{2D53AF79-63DE-41FE-A59A-CAFEE678B93C}"/>
    <cellStyle name="Normal 2 4 2" xfId="6106" xr:uid="{06245A85-4219-41B0-8083-11AF5561E59E}"/>
    <cellStyle name="Normal 2 4 2 2" xfId="7264" xr:uid="{001C3497-581F-4FC5-98B8-15626B404C64}"/>
    <cellStyle name="Normal 2 4 2 2 2" xfId="17550" xr:uid="{EDA2C5AF-2652-4915-BB36-14021543D45A}"/>
    <cellStyle name="Normal 2 4 2 2 2 2" xfId="37890" xr:uid="{E4FAC004-5281-45A4-BE16-F9FD0FA05AEC}"/>
    <cellStyle name="Normal 2 4 2 2 3" xfId="21052" xr:uid="{DC270FFD-B7D0-415F-A6FD-CA2B7FCFF0FE}"/>
    <cellStyle name="Normal 2 4 2 2 3 2" xfId="41391" xr:uid="{4BE05DCC-33EA-4812-9EFA-0663D4E2990D}"/>
    <cellStyle name="Normal 2 4 2 2 4" xfId="24307" xr:uid="{97AFE6C5-3FDD-4371-8A9B-7A4543BBB400}"/>
    <cellStyle name="Normal 2 4 2 2 4 2" xfId="44642" xr:uid="{DBCF090F-5FAC-406C-9068-CE05803D5657}"/>
    <cellStyle name="Normal 2 4 2 2 5" xfId="14641" xr:uid="{FCA5F51C-6728-4FFC-A828-0949C529C32C}"/>
    <cellStyle name="Normal 2 4 2 2 5 2" xfId="34982" xr:uid="{71E873BC-11AB-4C18-A1C2-D959C28EB394}"/>
    <cellStyle name="Normal 2 4 2 2 6" xfId="10763" xr:uid="{F0CAB119-CCF8-4274-96E0-D9ECB1D40EEF}"/>
    <cellStyle name="Normal 2 4 2 2 6 2" xfId="31106" xr:uid="{684FBC0F-E3FB-4F7B-995F-1F6B25F61DED}"/>
    <cellStyle name="Normal 2 4 2 2 7" xfId="27612" xr:uid="{BE467746-6B7D-49B6-86A1-F7F24C8462BE}"/>
    <cellStyle name="Normal 2 4 2 3" xfId="16392" xr:uid="{620BD077-2084-4DBB-964D-80D823D8C497}"/>
    <cellStyle name="Normal 2 4 2 3 2" xfId="36732" xr:uid="{580E0387-714E-4509-8B36-8B5A66C96454}"/>
    <cellStyle name="Normal 2 4 2 4" xfId="19894" xr:uid="{3DED0F57-D517-4CBB-9D53-6D629B2E666B}"/>
    <cellStyle name="Normal 2 4 2 4 2" xfId="40233" xr:uid="{4518AB59-FBC3-42D7-AFBF-0EE2DDC7D5B9}"/>
    <cellStyle name="Normal 2 4 2 5" xfId="23149" xr:uid="{F2D90B2C-B222-4286-9D2C-B0E03618229D}"/>
    <cellStyle name="Normal 2 4 2 5 2" xfId="43484" xr:uid="{56D41718-2AEE-47A9-87B6-C0B7F1CF2D63}"/>
    <cellStyle name="Normal 2 4 2 6" xfId="13483" xr:uid="{3D7E4F1A-5E21-4C8F-8545-33C5CE61E898}"/>
    <cellStyle name="Normal 2 4 2 6 2" xfId="33824" xr:uid="{326BA1D4-80DC-4932-BD0B-69BDD97C8A3E}"/>
    <cellStyle name="Normal 2 4 2 7" xfId="9605" xr:uid="{8718553A-16CC-414B-8B5F-F4183F898D0F}"/>
    <cellStyle name="Normal 2 4 2 7 2" xfId="29948" xr:uid="{06C0E8A9-0111-4FCD-97F2-E4FA5CDC28EB}"/>
    <cellStyle name="Normal 2 4 2 8" xfId="26454" xr:uid="{98DDB508-BBE4-42FB-A58F-2A14968ADC28}"/>
    <cellStyle name="Normal 2 4 3" xfId="6683" xr:uid="{088E0DAB-7EBC-4D9E-9DC1-7E92E3792602}"/>
    <cellStyle name="Normal 2 4 3 2" xfId="16969" xr:uid="{70AB264D-3187-406E-9696-BF928F7CFD50}"/>
    <cellStyle name="Normal 2 4 3 2 2" xfId="37309" xr:uid="{2A70740E-616B-496B-92CB-7E211315620A}"/>
    <cellStyle name="Normal 2 4 3 3" xfId="20471" xr:uid="{55DA0C51-A525-40C6-8689-1BE6B043F0D7}"/>
    <cellStyle name="Normal 2 4 3 3 2" xfId="40810" xr:uid="{BA9B2FCF-5719-4358-B020-7874C20F062E}"/>
    <cellStyle name="Normal 2 4 3 4" xfId="23726" xr:uid="{9EDC6999-1941-4E6F-92D1-D3FD09A89BAF}"/>
    <cellStyle name="Normal 2 4 3 4 2" xfId="44061" xr:uid="{ADBB2322-B2C1-487F-84A7-B1117E6E7198}"/>
    <cellStyle name="Normal 2 4 3 5" xfId="14060" xr:uid="{83CF26AC-31B6-4A9B-B415-05A7390CA1B4}"/>
    <cellStyle name="Normal 2 4 3 5 2" xfId="34401" xr:uid="{8D59D7D1-83CE-44FE-BC49-A463C7D4D234}"/>
    <cellStyle name="Normal 2 4 3 6" xfId="10182" xr:uid="{91565844-BDC6-47FB-A963-B544120279A0}"/>
    <cellStyle name="Normal 2 4 3 6 2" xfId="30525" xr:uid="{BA10CA35-EF1D-494C-AADA-43C47F639A4A}"/>
    <cellStyle name="Normal 2 4 3 7" xfId="27031" xr:uid="{E219DA88-7DAE-4BB5-BEDA-90150FD96F12}"/>
    <cellStyle name="Normal 2 4 4" xfId="7847" xr:uid="{0C8CDABD-D2BE-40FA-9188-4C458B0F54B6}"/>
    <cellStyle name="Normal 2 4 4 2" xfId="18132" xr:uid="{36515493-D977-475A-8063-582AD293B87F}"/>
    <cellStyle name="Normal 2 4 4 2 2" xfId="38472" xr:uid="{D867F2E8-E757-4B67-B601-F61DDFE59200}"/>
    <cellStyle name="Normal 2 4 4 3" xfId="21634" xr:uid="{278DA8C6-1F62-467C-A31B-DC8647206EA5}"/>
    <cellStyle name="Normal 2 4 4 3 2" xfId="41973" xr:uid="{6685DA5E-3119-4833-AB36-B3D59C6F87A9}"/>
    <cellStyle name="Normal 2 4 4 4" xfId="24889" xr:uid="{1A6364EC-E220-4F60-90EE-84B8D8A44421}"/>
    <cellStyle name="Normal 2 4 4 4 2" xfId="45224" xr:uid="{E25C34B3-434A-4AD2-A45C-2BD27B1C2AF9}"/>
    <cellStyle name="Normal 2 4 4 5" xfId="15224" xr:uid="{E65805D6-9757-40A0-9B2A-492C535FE585}"/>
    <cellStyle name="Normal 2 4 4 5 2" xfId="35564" xr:uid="{4B71D2F8-E19B-4951-9EF9-992BD5E2D196}"/>
    <cellStyle name="Normal 2 4 4 6" xfId="11345" xr:uid="{B687807F-73B2-4775-8C25-78567609EAC1}"/>
    <cellStyle name="Normal 2 4 4 6 2" xfId="31688" xr:uid="{023B1CFE-9521-4067-9EC6-530FD1428317}"/>
    <cellStyle name="Normal 2 4 4 7" xfId="28194" xr:uid="{DC4B583B-2C01-499D-8E82-91506D5145F4}"/>
    <cellStyle name="Normal 2 4 5" xfId="12914" xr:uid="{525EC383-7602-45A5-801E-BF97DC71BC02}"/>
    <cellStyle name="Normal 2 4 5 2" xfId="33255" xr:uid="{BF1336EC-3113-4AB3-9221-4F8DACBFADFC}"/>
    <cellStyle name="Normal 2 4 6" xfId="15811" xr:uid="{71E925F0-06E2-436D-A642-ECD0D8866E79}"/>
    <cellStyle name="Normal 2 4 6 2" xfId="36151" xr:uid="{DB79FD00-74BB-4473-BF40-C299786A98A0}"/>
    <cellStyle name="Normal 2 4 7" xfId="18725" xr:uid="{4FD32724-3FBA-4E25-9670-9073E1558EAB}"/>
    <cellStyle name="Normal 2 4 7 2" xfId="39065" xr:uid="{9107C63D-AE89-41D9-AF6A-B7CD3DD4FC84}"/>
    <cellStyle name="Normal 2 4 8" xfId="19313" xr:uid="{E0D94B54-5746-4590-BECF-738097BF8D6E}"/>
    <cellStyle name="Normal 2 4 8 2" xfId="39652" xr:uid="{12470E52-9E2E-482D-968C-A39EFF65120D}"/>
    <cellStyle name="Normal 2 4 9" xfId="22568" xr:uid="{9BFE15D3-BD2C-4B1F-9511-9029CA3F343C}"/>
    <cellStyle name="Normal 2 4 9 2" xfId="42903" xr:uid="{621DA70C-43FC-40F8-85FA-F88B2D762180}"/>
    <cellStyle name="Normal 2 5" xfId="1718" xr:uid="{1A54439A-00AD-4BBB-BEA8-EABFE018C635}"/>
    <cellStyle name="Normal 2 5 2" xfId="6920" xr:uid="{668A37B1-0D2D-4F92-BDF3-3E8B786A3C79}"/>
    <cellStyle name="Normal 2 5 2 2" xfId="17206" xr:uid="{D9BA4851-E7B6-4481-9C8C-74D1FCE5290A}"/>
    <cellStyle name="Normal 2 5 2 2 2" xfId="37546" xr:uid="{5E563675-4FA0-4894-979F-8AA9B88D1049}"/>
    <cellStyle name="Normal 2 5 2 3" xfId="20708" xr:uid="{B8E30961-AA6E-4344-B299-5B26BDF3D012}"/>
    <cellStyle name="Normal 2 5 2 3 2" xfId="41047" xr:uid="{A746834C-F317-4AC2-8F76-E4D1FA45E9FC}"/>
    <cellStyle name="Normal 2 5 2 4" xfId="23963" xr:uid="{9EB4593F-59C6-483E-AEEA-67F2DE6BCC0F}"/>
    <cellStyle name="Normal 2 5 2 4 2" xfId="44298" xr:uid="{B4543DFB-464F-4F75-82CD-AEEF4404BFC0}"/>
    <cellStyle name="Normal 2 5 2 5" xfId="14297" xr:uid="{62E5EC8B-D330-4D90-84C4-296AEE48051F}"/>
    <cellStyle name="Normal 2 5 2 5 2" xfId="34638" xr:uid="{36BB1167-C4E5-42D4-8070-83018D8463CC}"/>
    <cellStyle name="Normal 2 5 2 6" xfId="10419" xr:uid="{8B876753-14C8-4B53-A94F-C45CBEFC9F59}"/>
    <cellStyle name="Normal 2 5 2 6 2" xfId="30762" xr:uid="{73D70143-994A-4F90-A733-AE47CDDBEECB}"/>
    <cellStyle name="Normal 2 5 2 7" xfId="27268" xr:uid="{8A98B88B-F252-4E81-870B-3C8A1B8B3D38}"/>
    <cellStyle name="Normal 2 5 3" xfId="16048" xr:uid="{ACD22947-ED2F-4AD5-B481-199C1A2DD67D}"/>
    <cellStyle name="Normal 2 5 3 2" xfId="36388" xr:uid="{D2C7D99F-B1D8-4B4A-8CC8-9149E639B0FF}"/>
    <cellStyle name="Normal 2 5 4" xfId="19550" xr:uid="{31F1DFE7-B97C-4DA9-AFA7-A52C393C7A56}"/>
    <cellStyle name="Normal 2 5 4 2" xfId="39889" xr:uid="{A34F57EB-B160-4270-B372-01B18C92CAF9}"/>
    <cellStyle name="Normal 2 5 5" xfId="22805" xr:uid="{A21E8919-5953-497A-940A-29022407A2B9}"/>
    <cellStyle name="Normal 2 5 5 2" xfId="43140" xr:uid="{FC99DBAE-DFD2-4A5C-8F71-60F67154BE3C}"/>
    <cellStyle name="Normal 2 5 6" xfId="13151" xr:uid="{536C1537-DC88-4E91-98F3-FC8D3EF9702E}"/>
    <cellStyle name="Normal 2 5 6 2" xfId="33492" xr:uid="{6C848999-552D-4EE5-A548-95CAB3CA78F1}"/>
    <cellStyle name="Normal 2 5 7" xfId="9261" xr:uid="{8F7A3368-2F10-4D5F-A921-34D7622FADFA}"/>
    <cellStyle name="Normal 2 5 7 2" xfId="29604" xr:uid="{BF7F6C55-FD5B-44E3-A5EB-17CE7FC32F6B}"/>
    <cellStyle name="Normal 2 5 8" xfId="26110" xr:uid="{728B7EB5-3C4C-4A9A-A2B1-863EF490CBE7}"/>
    <cellStyle name="Normal 2 6" xfId="4359" xr:uid="{5958A0F0-D8CF-4BF0-BDDD-97F0F1511947}"/>
    <cellStyle name="Normal 2 6 2" xfId="16625" xr:uid="{7F631FA4-B910-4E86-96D8-629546394FA5}"/>
    <cellStyle name="Normal 2 6 2 2" xfId="36965" xr:uid="{0E18639A-A48B-4660-B95D-11E4ABCA7C17}"/>
    <cellStyle name="Normal 2 6 3" xfId="20127" xr:uid="{B9E2C461-67D0-4196-ADCB-443A19EA305D}"/>
    <cellStyle name="Normal 2 6 3 2" xfId="40466" xr:uid="{40B848DB-2A96-433F-9711-8038367F9B21}"/>
    <cellStyle name="Normal 2 6 4" xfId="23382" xr:uid="{3295C6EB-A483-48EF-9C19-9125C0CAA338}"/>
    <cellStyle name="Normal 2 6 4 2" xfId="43717" xr:uid="{56566EAA-91AE-4E65-8DBE-34918414FDE7}"/>
    <cellStyle name="Normal 2 6 5" xfId="13716" xr:uid="{828C0B37-81F8-4A07-9210-4FDC95619077}"/>
    <cellStyle name="Normal 2 6 5 2" xfId="34057" xr:uid="{B530EDAE-8819-4B1D-95D6-23CC24A9E317}"/>
    <cellStyle name="Normal 2 6 6" xfId="9838" xr:uid="{F41BB702-62C8-4F5E-8696-37D47E738714}"/>
    <cellStyle name="Normal 2 6 6 2" xfId="30181" xr:uid="{EB4B0097-32F2-46C3-AB2A-7AF93AB1FFA8}"/>
    <cellStyle name="Normal 2 6 7" xfId="26687" xr:uid="{82396F3B-B567-47C9-9EA3-447E40EFF5DD}"/>
    <cellStyle name="Normal 2 6 8" xfId="6339" xr:uid="{E16A27B5-8165-4C5C-AB82-D3E95F8A8298}"/>
    <cellStyle name="Normal 2 7" xfId="7503" xr:uid="{138CA512-299C-4162-BECB-C8957D9ED309}"/>
    <cellStyle name="Normal 2 7 2" xfId="17788" xr:uid="{8DF6FA5E-DAE1-43E8-BA6F-2C80C4BC9A6F}"/>
    <cellStyle name="Normal 2 7 2 2" xfId="38128" xr:uid="{98099C2A-0D1C-43E3-A5B6-B06094D7AF01}"/>
    <cellStyle name="Normal 2 7 3" xfId="21290" xr:uid="{DDC0AC13-0237-4F51-A944-CAAFDE224FED}"/>
    <cellStyle name="Normal 2 7 3 2" xfId="41629" xr:uid="{7DEFB725-E677-4D48-B250-1E1B080D5231}"/>
    <cellStyle name="Normal 2 7 4" xfId="24545" xr:uid="{50E5A0D8-11C9-4C7B-B789-0767EE985A09}"/>
    <cellStyle name="Normal 2 7 4 2" xfId="44880" xr:uid="{E8F3A544-8704-49CB-87B4-3F5A6C953293}"/>
    <cellStyle name="Normal 2 7 5" xfId="14880" xr:uid="{BAF4FC82-8E03-479D-85DC-E988541E1AA4}"/>
    <cellStyle name="Normal 2 7 5 2" xfId="35220" xr:uid="{42B391A5-C080-4C1A-A6C0-EBE8B34B673F}"/>
    <cellStyle name="Normal 2 7 6" xfId="11001" xr:uid="{CE1433E8-71FF-4F6E-AAAA-968D15E53E08}"/>
    <cellStyle name="Normal 2 7 6 2" xfId="31344" xr:uid="{F0E0F51C-3100-4DF1-AC5D-460834510006}"/>
    <cellStyle name="Normal 2 7 7" xfId="27850" xr:uid="{67631305-4C4B-427B-B01C-A5D565CDA3B8}"/>
    <cellStyle name="Normal 2 8" xfId="12582" xr:uid="{5BF9B01F-15A1-4686-A07F-8DFBF8093455}"/>
    <cellStyle name="Normal 2 8 2" xfId="32923" xr:uid="{4DFE9DF7-1E11-4C53-8C3B-2118AF813048}"/>
    <cellStyle name="Normal 2 9" xfId="15467" xr:uid="{A57C9D60-C498-4874-B4BE-C6EFF02497F9}"/>
    <cellStyle name="Normal 2 9 2" xfId="35807" xr:uid="{C9EC6292-D5B3-4BB5-BAD7-B44F81214194}"/>
    <cellStyle name="Normal 20" xfId="5315" xr:uid="{9B20B4EC-30A4-4592-A637-DBA849C75751}"/>
    <cellStyle name="Normal 20 10" xfId="19073" xr:uid="{3CEAE4E5-A2F4-4A3C-B1AE-80B2FD586566}"/>
    <cellStyle name="Normal 20 10 2" xfId="39412" xr:uid="{9B0BCA09-36E7-4A33-8B47-6589C9DD49ED}"/>
    <cellStyle name="Normal 20 11" xfId="22328" xr:uid="{CEB866C2-1937-47C8-99DC-DCFD88AB0DE4}"/>
    <cellStyle name="Normal 20 11 2" xfId="42663" xr:uid="{92658F67-3DB0-4A2B-A6FD-799F996BEC85}"/>
    <cellStyle name="Normal 20 12" xfId="12045" xr:uid="{9D5F6B18-CA6C-4DC3-82D5-90D8869CD853}"/>
    <cellStyle name="Normal 20 12 2" xfId="32386" xr:uid="{5D5D6485-1565-4740-88FE-8012825E6BB4}"/>
    <cellStyle name="Normal 20 13" xfId="8784" xr:uid="{B3DDE541-A1B5-4A1E-BAE3-815EE5DB2854}"/>
    <cellStyle name="Normal 20 13 2" xfId="29127" xr:uid="{C737CE9E-43CD-4F27-8BC2-67B46C30C265}"/>
    <cellStyle name="Normal 20 14" xfId="25633" xr:uid="{C08AE76D-EDC6-4E26-BE5F-92DBA0F36CA2}"/>
    <cellStyle name="Normal 20 2" xfId="5417" xr:uid="{82419EE0-6C8D-4F53-925E-56E6A3623169}"/>
    <cellStyle name="Normal 20 2 10" xfId="12160" xr:uid="{71EEB5CB-14B4-4D3E-96BF-0A9183BC5391}"/>
    <cellStyle name="Normal 20 2 10 2" xfId="32501" xr:uid="{1CCE78E7-C125-4B28-AF18-E93688A3D6BF}"/>
    <cellStyle name="Normal 20 2 11" xfId="8899" xr:uid="{7B6883FC-AA8D-45D0-B058-06CE5CD90BE3}"/>
    <cellStyle name="Normal 20 2 11 2" xfId="29242" xr:uid="{69A4838F-15ED-49FF-B32A-C749D9AE5FA9}"/>
    <cellStyle name="Normal 20 2 12" xfId="25748" xr:uid="{1B281067-8DB7-40D6-B7E4-CF616E314666}"/>
    <cellStyle name="Normal 20 2 2" xfId="5981" xr:uid="{3DAA9112-65BA-4A4A-86D3-09D1AA06146D}"/>
    <cellStyle name="Normal 20 2 2 2" xfId="7139" xr:uid="{373AC826-12F8-4474-9951-5B247D349FD5}"/>
    <cellStyle name="Normal 20 2 2 2 2" xfId="17425" xr:uid="{93B133AE-5B62-45BC-AAA5-509C03FA9628}"/>
    <cellStyle name="Normal 20 2 2 2 2 2" xfId="37765" xr:uid="{A540903F-477C-4286-ABF4-18B064C05A74}"/>
    <cellStyle name="Normal 20 2 2 2 3" xfId="20927" xr:uid="{714F0CD8-400B-4CFB-943B-457187868301}"/>
    <cellStyle name="Normal 20 2 2 2 3 2" xfId="41266" xr:uid="{B59D40F8-99D1-42E6-BEFB-3639BF6434E0}"/>
    <cellStyle name="Normal 20 2 2 2 4" xfId="24182" xr:uid="{47868A3E-4912-4F76-AD30-23ADF9B44374}"/>
    <cellStyle name="Normal 20 2 2 2 4 2" xfId="44517" xr:uid="{9C28EC10-E21C-471F-A078-99A06ECD165E}"/>
    <cellStyle name="Normal 20 2 2 2 5" xfId="14516" xr:uid="{2ED7DB99-8BE1-4B5E-9990-55706FE3F5A3}"/>
    <cellStyle name="Normal 20 2 2 2 5 2" xfId="34857" xr:uid="{7E0747B0-D73F-42E9-9FCC-F33EC156E686}"/>
    <cellStyle name="Normal 20 2 2 2 6" xfId="10638" xr:uid="{15ACBB70-0C08-4977-9E3D-AC03C42D5EC0}"/>
    <cellStyle name="Normal 20 2 2 2 6 2" xfId="30981" xr:uid="{62E6C6F5-4E2E-44B4-AC86-3F69CD3DBAB8}"/>
    <cellStyle name="Normal 20 2 2 2 7" xfId="27487" xr:uid="{97EB907A-9F81-466C-909E-1FDFD73C7FA1}"/>
    <cellStyle name="Normal 20 2 2 3" xfId="16267" xr:uid="{27DC86B2-B7ED-4E62-8A74-016B6104AE69}"/>
    <cellStyle name="Normal 20 2 2 3 2" xfId="36607" xr:uid="{49CCB090-1E61-4274-9F80-62135A9D44B2}"/>
    <cellStyle name="Normal 20 2 2 4" xfId="19769" xr:uid="{873D70FA-ED81-4EF8-8CDE-180D506677CF}"/>
    <cellStyle name="Normal 20 2 2 4 2" xfId="40108" xr:uid="{46017526-3891-40A2-8373-16C5EABDCA4D}"/>
    <cellStyle name="Normal 20 2 2 5" xfId="23024" xr:uid="{5AEB0D1F-DF9C-4537-A89E-4845D3740275}"/>
    <cellStyle name="Normal 20 2 2 5 2" xfId="43359" xr:uid="{89237F6E-5BE4-419E-A2A2-0D9C164C2F70}"/>
    <cellStyle name="Normal 20 2 2 6" xfId="13358" xr:uid="{2E6388AE-976C-4DDA-A7BF-86E3B6F92EC3}"/>
    <cellStyle name="Normal 20 2 2 6 2" xfId="33699" xr:uid="{59524D97-C381-44DB-8AE3-E1C7E69824B7}"/>
    <cellStyle name="Normal 20 2 2 7" xfId="9480" xr:uid="{A8808294-5C83-4992-B8F8-3AC750561CF4}"/>
    <cellStyle name="Normal 20 2 2 7 2" xfId="29823" xr:uid="{F417EDD0-3BD8-4CF1-95B1-B1687886FE43}"/>
    <cellStyle name="Normal 20 2 2 8" xfId="26329" xr:uid="{3C5BD749-A0D1-4103-9F39-F12B6B00465F}"/>
    <cellStyle name="Normal 20 2 3" xfId="6558" xr:uid="{81C8D6C6-725E-4997-AC1E-A5FF8C874A33}"/>
    <cellStyle name="Normal 20 2 3 2" xfId="16844" xr:uid="{7E14A2C3-905C-4B71-AF30-4C7FE2795178}"/>
    <cellStyle name="Normal 20 2 3 2 2" xfId="37184" xr:uid="{17FEB463-BAA2-4C40-88A6-5A9AF304114E}"/>
    <cellStyle name="Normal 20 2 3 3" xfId="20346" xr:uid="{B44F465E-9A4E-4FB9-9C3F-24585A4ECE88}"/>
    <cellStyle name="Normal 20 2 3 3 2" xfId="40685" xr:uid="{A30AEB15-B778-4EA4-AB44-6C267099DD62}"/>
    <cellStyle name="Normal 20 2 3 4" xfId="23601" xr:uid="{719F0A48-9C4E-4C6C-98BC-83401CDD8406}"/>
    <cellStyle name="Normal 20 2 3 4 2" xfId="43936" xr:uid="{1CB39BD6-F408-4625-A590-E3AA6A8E3D09}"/>
    <cellStyle name="Normal 20 2 3 5" xfId="13935" xr:uid="{B22F4E65-06A1-40C2-BF1D-2CB93DD0E7F3}"/>
    <cellStyle name="Normal 20 2 3 5 2" xfId="34276" xr:uid="{C35E417E-F9C9-47E1-B876-A82885292D70}"/>
    <cellStyle name="Normal 20 2 3 6" xfId="10057" xr:uid="{22085B60-8EAF-4ED9-847D-2CF1954128FD}"/>
    <cellStyle name="Normal 20 2 3 6 2" xfId="30400" xr:uid="{B417CCF3-DD52-47EA-9132-1E4241B6EE32}"/>
    <cellStyle name="Normal 20 2 3 7" xfId="26906" xr:uid="{6EAB3BA6-94EE-46FA-B4AD-6232AB1B2CA6}"/>
    <cellStyle name="Normal 20 2 4" xfId="7722" xr:uid="{94511EA5-346D-4A58-9596-1329AC7AF6E0}"/>
    <cellStyle name="Normal 20 2 4 2" xfId="18007" xr:uid="{07F16A00-E898-453B-8EC1-BC2588EA42F4}"/>
    <cellStyle name="Normal 20 2 4 2 2" xfId="38347" xr:uid="{8D71C406-2023-4027-9513-86CDC0A9BDB8}"/>
    <cellStyle name="Normal 20 2 4 3" xfId="21509" xr:uid="{F7ED696C-A84D-4673-B8CA-C68F1F7D975C}"/>
    <cellStyle name="Normal 20 2 4 3 2" xfId="41848" xr:uid="{FCA8E696-9F2D-4229-900E-71B352941B83}"/>
    <cellStyle name="Normal 20 2 4 4" xfId="24764" xr:uid="{B3D39ACD-57D6-4CA4-AFD6-32854EE9AF82}"/>
    <cellStyle name="Normal 20 2 4 4 2" xfId="45099" xr:uid="{28DADB84-D0FB-4A91-936F-F599D6AD5EB7}"/>
    <cellStyle name="Normal 20 2 4 5" xfId="15099" xr:uid="{78508987-B08A-4EB2-A0FC-115985A1F2C6}"/>
    <cellStyle name="Normal 20 2 4 5 2" xfId="35439" xr:uid="{DEACAC0B-0D56-4147-832B-6434D21381FB}"/>
    <cellStyle name="Normal 20 2 4 6" xfId="11220" xr:uid="{DFB0DE14-F152-445B-BDA6-B3E6A2EE656A}"/>
    <cellStyle name="Normal 20 2 4 6 2" xfId="31563" xr:uid="{FC5E5561-193B-455A-89D8-4CB53C4C3AB1}"/>
    <cellStyle name="Normal 20 2 4 7" xfId="28069" xr:uid="{FCA28D59-E2D1-46EB-AEC8-758BD08115BD}"/>
    <cellStyle name="Normal 20 2 5" xfId="12789" xr:uid="{629E0418-470B-4033-BFE0-4851ED6E5C68}"/>
    <cellStyle name="Normal 20 2 5 2" xfId="33130" xr:uid="{37077A06-E182-4B29-B947-D22C2EBE87E9}"/>
    <cellStyle name="Normal 20 2 6" xfId="15686" xr:uid="{5611935E-5C0C-4816-85BB-5DC9378F3551}"/>
    <cellStyle name="Normal 20 2 6 2" xfId="36026" xr:uid="{CCA709FE-D98A-4015-A5EF-B3F42089A619}"/>
    <cellStyle name="Normal 20 2 7" xfId="18600" xr:uid="{92572DBB-9FA6-4685-9DB7-ACC2DE99C193}"/>
    <cellStyle name="Normal 20 2 7 2" xfId="38940" xr:uid="{19923738-B1DE-4783-90C4-47AD272D0FE1}"/>
    <cellStyle name="Normal 20 2 8" xfId="19188" xr:uid="{8679AABF-1A25-4BBC-BEED-F130A280B656}"/>
    <cellStyle name="Normal 20 2 8 2" xfId="39527" xr:uid="{25FA382E-7C75-4F07-9825-03C5A4492F42}"/>
    <cellStyle name="Normal 20 2 9" xfId="22443" xr:uid="{F09A0928-E0D2-4B0B-9CB5-8BFD6A0AB29F}"/>
    <cellStyle name="Normal 20 2 9 2" xfId="42778" xr:uid="{596EDE07-A710-45AA-B91C-CB3169419831}"/>
    <cellStyle name="Normal 20 3" xfId="5638" xr:uid="{592EA84D-624E-4657-A3B3-8DA498B30222}"/>
    <cellStyle name="Normal 20 3 10" xfId="12389" xr:uid="{27A6165C-6611-4A63-8FC3-0C74898C2407}"/>
    <cellStyle name="Normal 20 3 10 2" xfId="32730" xr:uid="{DC7ECAB4-02C1-452F-A6A0-F9B2A1066BA6}"/>
    <cellStyle name="Normal 20 3 11" xfId="9128" xr:uid="{2C77A02F-2F50-450A-A9AB-288D92D93FD0}"/>
    <cellStyle name="Normal 20 3 11 2" xfId="29471" xr:uid="{4D9C090A-C8DC-4F54-A47C-AA5B1B33416A}"/>
    <cellStyle name="Normal 20 3 12" xfId="25977" xr:uid="{1D765C19-6E74-4B15-BEA6-AAA8BC66D8E5}"/>
    <cellStyle name="Normal 20 3 2" xfId="6210" xr:uid="{6D45A44D-BC62-4253-8C10-6702EE95BB6A}"/>
    <cellStyle name="Normal 20 3 2 2" xfId="7368" xr:uid="{FDB9611F-A741-4953-93A3-A51500F3A6B1}"/>
    <cellStyle name="Normal 20 3 2 2 2" xfId="17654" xr:uid="{B162897D-2021-4DE2-B65C-AD46E3F343F4}"/>
    <cellStyle name="Normal 20 3 2 2 2 2" xfId="37994" xr:uid="{4B13CEDA-D9EF-4D4E-AE8D-12588CD1F81E}"/>
    <cellStyle name="Normal 20 3 2 2 3" xfId="21156" xr:uid="{11E1D23D-AAFE-4F69-98BE-CA73778E6828}"/>
    <cellStyle name="Normal 20 3 2 2 3 2" xfId="41495" xr:uid="{8950403A-8286-47B1-AD35-269069E672DB}"/>
    <cellStyle name="Normal 20 3 2 2 4" xfId="24411" xr:uid="{07CB3FCC-985A-44D5-BDB9-AB5E69C7ACD0}"/>
    <cellStyle name="Normal 20 3 2 2 4 2" xfId="44746" xr:uid="{1CD6CCF6-0C5E-44D3-AB2A-B641FD1C9F93}"/>
    <cellStyle name="Normal 20 3 2 2 5" xfId="14745" xr:uid="{372F38B9-D3FA-441B-B80E-091C3BFC83B9}"/>
    <cellStyle name="Normal 20 3 2 2 5 2" xfId="35086" xr:uid="{F80526EA-DF06-4D8F-8DC3-8D27FBBA51EC}"/>
    <cellStyle name="Normal 20 3 2 2 6" xfId="10867" xr:uid="{66449343-885E-476A-A8E1-A44E336A5911}"/>
    <cellStyle name="Normal 20 3 2 2 6 2" xfId="31210" xr:uid="{C8E71785-B30F-48FD-80CD-63B300AD23A3}"/>
    <cellStyle name="Normal 20 3 2 2 7" xfId="27716" xr:uid="{4DE3CC94-D3FD-4C24-9971-4B9A947A6EFB}"/>
    <cellStyle name="Normal 20 3 2 3" xfId="16496" xr:uid="{D6B8465D-A519-44FA-A653-C794BC4A711E}"/>
    <cellStyle name="Normal 20 3 2 3 2" xfId="36836" xr:uid="{2FAA980B-50E0-4E70-8111-6D8378036712}"/>
    <cellStyle name="Normal 20 3 2 4" xfId="19998" xr:uid="{BE9E00EB-8570-441D-A95A-C9AF2656884F}"/>
    <cellStyle name="Normal 20 3 2 4 2" xfId="40337" xr:uid="{B646F2A3-4B73-456F-A3A4-6B1AC90F55ED}"/>
    <cellStyle name="Normal 20 3 2 5" xfId="23253" xr:uid="{A37EB33C-3EEE-48DB-A38E-6C874486A9FB}"/>
    <cellStyle name="Normal 20 3 2 5 2" xfId="43588" xr:uid="{9B672AA8-3F6D-417E-8605-63D9C9599DC9}"/>
    <cellStyle name="Normal 20 3 2 6" xfId="13587" xr:uid="{5D74C06D-2454-40FE-8935-4D27882E9D4C}"/>
    <cellStyle name="Normal 20 3 2 6 2" xfId="33928" xr:uid="{95F08A08-9407-4D30-9385-939D7D3605A5}"/>
    <cellStyle name="Normal 20 3 2 7" xfId="9709" xr:uid="{A475E0C4-341C-46A7-ABD9-51A4F66B716F}"/>
    <cellStyle name="Normal 20 3 2 7 2" xfId="30052" xr:uid="{8E99B72E-E77A-47EF-91FF-67D7C56543C2}"/>
    <cellStyle name="Normal 20 3 2 8" xfId="26558" xr:uid="{6EEE761E-045B-462C-8828-F60FE864E960}"/>
    <cellStyle name="Normal 20 3 3" xfId="6787" xr:uid="{A30D8E8B-276C-4FFB-902F-2F6D1CBCC60F}"/>
    <cellStyle name="Normal 20 3 3 2" xfId="17073" xr:uid="{8577DC40-FEED-4326-9DCD-B6E052E980B7}"/>
    <cellStyle name="Normal 20 3 3 2 2" xfId="37413" xr:uid="{23FC76EF-96A6-4B82-92DB-36F2EA03C506}"/>
    <cellStyle name="Normal 20 3 3 3" xfId="20575" xr:uid="{CB6C2241-F353-478B-96B1-A727B98968EA}"/>
    <cellStyle name="Normal 20 3 3 3 2" xfId="40914" xr:uid="{39778F76-83A9-427B-974D-D19381D70DBC}"/>
    <cellStyle name="Normal 20 3 3 4" xfId="23830" xr:uid="{5C8709CB-88F8-465C-89A6-58C50E9568A0}"/>
    <cellStyle name="Normal 20 3 3 4 2" xfId="44165" xr:uid="{B5CC331C-7DA3-4156-9C2E-AA70B3F617FD}"/>
    <cellStyle name="Normal 20 3 3 5" xfId="14164" xr:uid="{8F2C56FC-41D6-43E6-8B09-F2091D683A7D}"/>
    <cellStyle name="Normal 20 3 3 5 2" xfId="34505" xr:uid="{E11B6D43-5292-47A4-B357-20AFA88857F5}"/>
    <cellStyle name="Normal 20 3 3 6" xfId="10286" xr:uid="{53CE1CDB-C64B-4EDE-88EF-6649BEA826C8}"/>
    <cellStyle name="Normal 20 3 3 6 2" xfId="30629" xr:uid="{9F2A2A64-344B-4F97-8571-A7D2877B857D}"/>
    <cellStyle name="Normal 20 3 3 7" xfId="27135" xr:uid="{8BA2D0AB-A364-43BF-B9F7-A0D496B1236F}"/>
    <cellStyle name="Normal 20 3 4" xfId="7951" xr:uid="{D0EB1E62-82B8-44F6-AADA-5ED89E56A359}"/>
    <cellStyle name="Normal 20 3 4 2" xfId="18236" xr:uid="{DF22B8BA-E07F-4500-9194-5490D4E609D5}"/>
    <cellStyle name="Normal 20 3 4 2 2" xfId="38576" xr:uid="{C3C0F264-0440-4D2E-9FA0-23C102EA7730}"/>
    <cellStyle name="Normal 20 3 4 3" xfId="21738" xr:uid="{3E1D9548-0B7F-4BE6-882F-D23B88E37DBB}"/>
    <cellStyle name="Normal 20 3 4 3 2" xfId="42077" xr:uid="{05A8A9DF-90D4-450D-BDCB-DBE5F4D7A73D}"/>
    <cellStyle name="Normal 20 3 4 4" xfId="24993" xr:uid="{EFFC4361-DB8C-4724-8A8F-99FCE42AD1C2}"/>
    <cellStyle name="Normal 20 3 4 4 2" xfId="45328" xr:uid="{9C50307D-9A41-4C81-B233-9A77F1F40173}"/>
    <cellStyle name="Normal 20 3 4 5" xfId="15328" xr:uid="{3FA1FDB4-45A2-4415-B65D-F14BCCC37DD1}"/>
    <cellStyle name="Normal 20 3 4 5 2" xfId="35668" xr:uid="{A307473E-91D5-49BF-A20E-4BF11BB90940}"/>
    <cellStyle name="Normal 20 3 4 6" xfId="11449" xr:uid="{35B21EE3-4C27-4993-8586-D1DB76FB78D3}"/>
    <cellStyle name="Normal 20 3 4 6 2" xfId="31792" xr:uid="{3E97E096-3024-4E7D-B769-6E4002906A54}"/>
    <cellStyle name="Normal 20 3 4 7" xfId="28298" xr:uid="{4B77DF6B-0740-4AD4-9F58-1F481869B616}"/>
    <cellStyle name="Normal 20 3 5" xfId="13018" xr:uid="{ED2E21AE-ECC9-4F71-8AC6-F0FD1936F4F0}"/>
    <cellStyle name="Normal 20 3 5 2" xfId="33359" xr:uid="{313D1133-748F-450C-83D1-90E18EAFC574}"/>
    <cellStyle name="Normal 20 3 6" xfId="15915" xr:uid="{98262EFE-E24B-425A-9DAF-C71D3EB6A1DC}"/>
    <cellStyle name="Normal 20 3 6 2" xfId="36255" xr:uid="{B0EFDDD5-D409-49F7-9FE6-528F8DD9B465}"/>
    <cellStyle name="Normal 20 3 7" xfId="18829" xr:uid="{C5C8B6EC-132F-4D54-8BB9-67E923FEA08A}"/>
    <cellStyle name="Normal 20 3 7 2" xfId="39169" xr:uid="{26675765-541B-4B78-B458-52E720A41458}"/>
    <cellStyle name="Normal 20 3 8" xfId="19417" xr:uid="{1F0591C8-11C5-429B-BE5F-6B6DDD183439}"/>
    <cellStyle name="Normal 20 3 8 2" xfId="39756" xr:uid="{17A6197D-D83B-40E9-9997-E6F1D39CA7EA}"/>
    <cellStyle name="Normal 20 3 9" xfId="22672" xr:uid="{AF832D88-7126-435F-ABCA-E2754F465E2B}"/>
    <cellStyle name="Normal 20 3 9 2" xfId="43007" xr:uid="{EB7769F5-CCF2-45E1-97F9-09303CD26BC9}"/>
    <cellStyle name="Normal 20 4" xfId="5866" xr:uid="{F7F22023-1ABF-44E1-99CE-8A651C684AF0}"/>
    <cellStyle name="Normal 20 4 2" xfId="7024" xr:uid="{09F276EA-2E13-4BB3-B1CF-5B531401EC0E}"/>
    <cellStyle name="Normal 20 4 2 2" xfId="17310" xr:uid="{61E1FE53-53A9-4316-A3F9-BA225D22A26F}"/>
    <cellStyle name="Normal 20 4 2 2 2" xfId="37650" xr:uid="{43E21E1C-9D41-44C2-AD71-CAB4D4A53D73}"/>
    <cellStyle name="Normal 20 4 2 3" xfId="20812" xr:uid="{ECAE3F82-C1A0-4BC2-BB07-5309B78ED974}"/>
    <cellStyle name="Normal 20 4 2 3 2" xfId="41151" xr:uid="{8107CFE9-4A89-47CF-BFD4-9435F839FA9B}"/>
    <cellStyle name="Normal 20 4 2 4" xfId="24067" xr:uid="{BDDF02D4-A7BB-4745-BDFE-077F934A78D6}"/>
    <cellStyle name="Normal 20 4 2 4 2" xfId="44402" xr:uid="{2CE50DD8-2509-47D7-B382-BA81A9A21D4B}"/>
    <cellStyle name="Normal 20 4 2 5" xfId="14401" xr:uid="{90C40663-9473-4141-B2B7-4EC6A47A03DA}"/>
    <cellStyle name="Normal 20 4 2 5 2" xfId="34742" xr:uid="{2225B295-CF4C-49A9-9564-89F8F0F33A70}"/>
    <cellStyle name="Normal 20 4 2 6" xfId="10523" xr:uid="{4E3636DD-AC2A-420E-BD96-EF1E13383826}"/>
    <cellStyle name="Normal 20 4 2 6 2" xfId="30866" xr:uid="{DE87E045-36BC-4EF9-8A3F-8ADC60D11EA1}"/>
    <cellStyle name="Normal 20 4 2 7" xfId="27372" xr:uid="{52B3B0DC-D324-4829-A46E-20574750265B}"/>
    <cellStyle name="Normal 20 4 3" xfId="16152" xr:uid="{376A0EF3-4488-48EE-83F8-AC96C1E11BB1}"/>
    <cellStyle name="Normal 20 4 3 2" xfId="36492" xr:uid="{B7D4552D-FA73-4587-A98F-9D8232BE12FB}"/>
    <cellStyle name="Normal 20 4 4" xfId="19654" xr:uid="{AE5266D4-71B9-4987-8E66-8E2CB3665C2D}"/>
    <cellStyle name="Normal 20 4 4 2" xfId="39993" xr:uid="{4BA1D9F3-D45D-43B2-AAB4-037DA1C6513A}"/>
    <cellStyle name="Normal 20 4 5" xfId="22909" xr:uid="{0CB52E3E-8D79-4034-8D32-FF787E4F5F81}"/>
    <cellStyle name="Normal 20 4 5 2" xfId="43244" xr:uid="{C9AA1397-21CA-4F98-9205-4BCF24C9DE28}"/>
    <cellStyle name="Normal 20 4 6" xfId="13245" xr:uid="{00949962-97A9-4759-A1C3-D47D3FFCF4D7}"/>
    <cellStyle name="Normal 20 4 6 2" xfId="33586" xr:uid="{0149F12E-DE01-4460-B84D-E0AAD32D46D5}"/>
    <cellStyle name="Normal 20 4 7" xfId="9365" xr:uid="{21067592-D7B5-4AB3-93AC-0D9594AD35D1}"/>
    <cellStyle name="Normal 20 4 7 2" xfId="29708" xr:uid="{E9A9CB41-9684-4FC9-A240-810B227A4D6D}"/>
    <cellStyle name="Normal 20 4 8" xfId="26214" xr:uid="{5E6FE058-B3CB-4860-89B6-EBF1E7FD5F47}"/>
    <cellStyle name="Normal 20 5" xfId="6443" xr:uid="{8D75FF67-152F-449A-8C5C-CC1C554B483D}"/>
    <cellStyle name="Normal 20 5 2" xfId="16729" xr:uid="{D028B93A-6F2D-426E-BD8E-F30936F73534}"/>
    <cellStyle name="Normal 20 5 2 2" xfId="37069" xr:uid="{93D26A92-825A-4EF1-9E5B-512580096B71}"/>
    <cellStyle name="Normal 20 5 3" xfId="20231" xr:uid="{D0B9CA76-0F6E-49F0-B864-16C8694D8E9A}"/>
    <cellStyle name="Normal 20 5 3 2" xfId="40570" xr:uid="{61436700-884C-49C3-B8F5-7B4E8B77ACAA}"/>
    <cellStyle name="Normal 20 5 4" xfId="23486" xr:uid="{710062BB-30C3-45A3-9E32-F3EE9D9F49F2}"/>
    <cellStyle name="Normal 20 5 4 2" xfId="43821" xr:uid="{72CDC093-843E-49F1-93B2-74961BADEF63}"/>
    <cellStyle name="Normal 20 5 5" xfId="13820" xr:uid="{F8CE89DA-38BD-4FB0-BBA9-1A3E2117481C}"/>
    <cellStyle name="Normal 20 5 5 2" xfId="34161" xr:uid="{6050E96F-8DF2-4491-A858-1F02428CABD5}"/>
    <cellStyle name="Normal 20 5 6" xfId="9942" xr:uid="{36EEE176-6827-4334-88FB-73E76C7BD053}"/>
    <cellStyle name="Normal 20 5 6 2" xfId="30285" xr:uid="{88A307A8-73AD-4800-BC9C-207B34BB02B5}"/>
    <cellStyle name="Normal 20 5 7" xfId="26791" xr:uid="{9544D9EA-EA37-4C43-B632-E27BFB36BFB5}"/>
    <cellStyle name="Normal 20 6" xfId="7607" xr:uid="{F47002F6-78D7-4C53-A57B-0376AF6C06EF}"/>
    <cellStyle name="Normal 20 6 2" xfId="17892" xr:uid="{9D113521-3A88-41C6-A36F-4A75D50D5B42}"/>
    <cellStyle name="Normal 20 6 2 2" xfId="38232" xr:uid="{605B30AE-96F3-46AA-BBC1-B81EA49C0CF0}"/>
    <cellStyle name="Normal 20 6 3" xfId="21394" xr:uid="{2FC7CC70-159B-4A13-B67B-36B8F58905CC}"/>
    <cellStyle name="Normal 20 6 3 2" xfId="41733" xr:uid="{820BD6EB-D123-4A16-8B16-CEA557D57D98}"/>
    <cellStyle name="Normal 20 6 4" xfId="24649" xr:uid="{75DE8B9A-E0BE-4AB4-A81C-131A39517882}"/>
    <cellStyle name="Normal 20 6 4 2" xfId="44984" xr:uid="{1642F040-DD83-4259-8F76-8D2F72978A56}"/>
    <cellStyle name="Normal 20 6 5" xfId="14984" xr:uid="{7E4AB9A7-6CB2-4E92-9F2E-3E33A0166386}"/>
    <cellStyle name="Normal 20 6 5 2" xfId="35324" xr:uid="{A7B8432F-B5DD-4B98-9AE9-6CD72FDBCAA1}"/>
    <cellStyle name="Normal 20 6 6" xfId="11105" xr:uid="{7F8D1FF0-4CB7-4A65-B43F-BC842DDE3F55}"/>
    <cellStyle name="Normal 20 6 6 2" xfId="31448" xr:uid="{F86A5042-D0F6-4546-961E-65EFA2960433}"/>
    <cellStyle name="Normal 20 6 7" xfId="27954" xr:uid="{AD0CAC60-56DC-4C8B-8120-CB2C5566F90C}"/>
    <cellStyle name="Normal 20 7" xfId="12676" xr:uid="{1CCCC6FE-BBCF-40F8-9BD6-3116423E86BC}"/>
    <cellStyle name="Normal 20 7 2" xfId="33017" xr:uid="{38C9A4DE-73F1-4202-869E-61C392259476}"/>
    <cellStyle name="Normal 20 8" xfId="15571" xr:uid="{992889AD-8190-4877-90CD-A92D7BCA5920}"/>
    <cellStyle name="Normal 20 8 2" xfId="35911" xr:uid="{1E7034C0-8689-4AD6-995F-FA945248431C}"/>
    <cellStyle name="Normal 20 9" xfId="18485" xr:uid="{A0B5EE2D-0C28-405E-A48F-465E8F38EA04}"/>
    <cellStyle name="Normal 20 9 2" xfId="38825" xr:uid="{8D9F59F6-2A93-4040-8C15-647DA3430CE9}"/>
    <cellStyle name="Normal 21" xfId="5316" xr:uid="{5EB8114A-8FFC-4DD7-A93F-ACC3AD8144C1}"/>
    <cellStyle name="Normal 21 10" xfId="19074" xr:uid="{13977BBE-BD23-41A8-8F48-B4E52109BAAA}"/>
    <cellStyle name="Normal 21 10 2" xfId="39413" xr:uid="{5D96D26A-AEED-466D-A337-A40CB201FC2D}"/>
    <cellStyle name="Normal 21 11" xfId="22329" xr:uid="{B6D993E6-4944-4B46-B02C-67EC64B36760}"/>
    <cellStyle name="Normal 21 11 2" xfId="42664" xr:uid="{E668E017-97E2-4D01-B14D-75CB1C5D2DC6}"/>
    <cellStyle name="Normal 21 12" xfId="12046" xr:uid="{A68F8997-B905-4EAE-8F6A-1989F9497745}"/>
    <cellStyle name="Normal 21 12 2" xfId="32387" xr:uid="{E90F008A-22E0-4B17-999D-3CACE7B181BD}"/>
    <cellStyle name="Normal 21 13" xfId="8785" xr:uid="{2F21097A-1B24-46EE-B38F-B5DF320590BE}"/>
    <cellStyle name="Normal 21 13 2" xfId="29128" xr:uid="{4C617E18-6B20-406B-89AD-478EDD381DAA}"/>
    <cellStyle name="Normal 21 14" xfId="25634" xr:uid="{C3BF3485-DF6D-4D8C-929F-1404641054C6}"/>
    <cellStyle name="Normal 21 2" xfId="5418" xr:uid="{B2EE0216-D5F9-446B-8CF3-76F6C87BD28B}"/>
    <cellStyle name="Normal 21 2 10" xfId="12161" xr:uid="{924A8ED2-8169-448D-832A-EDB2D022C98D}"/>
    <cellStyle name="Normal 21 2 10 2" xfId="32502" xr:uid="{A0AEA59D-3EFA-4E0B-85E5-9B45109D5588}"/>
    <cellStyle name="Normal 21 2 11" xfId="8900" xr:uid="{215AE136-0D32-4BE6-B49B-E9FBE5C9A211}"/>
    <cellStyle name="Normal 21 2 11 2" xfId="29243" xr:uid="{228EB7D4-735B-457B-855F-52FCD039DA39}"/>
    <cellStyle name="Normal 21 2 12" xfId="25749" xr:uid="{9ABA0628-A1B2-4668-A02D-91520D91F640}"/>
    <cellStyle name="Normal 21 2 2" xfId="5982" xr:uid="{F4F3C208-46CF-4AC5-841A-BFF59803C152}"/>
    <cellStyle name="Normal 21 2 2 2" xfId="7140" xr:uid="{FEF4D559-8D28-4D8A-A48D-69F2E08AB3BD}"/>
    <cellStyle name="Normal 21 2 2 2 2" xfId="17426" xr:uid="{ADE0F3A1-2D07-49E0-92AD-735839CA30F4}"/>
    <cellStyle name="Normal 21 2 2 2 2 2" xfId="37766" xr:uid="{F9A1D4DD-56EA-4111-B096-DF08AF5D5343}"/>
    <cellStyle name="Normal 21 2 2 2 3" xfId="20928" xr:uid="{B0D28F65-E68F-41EF-BF68-B3E989AF9792}"/>
    <cellStyle name="Normal 21 2 2 2 3 2" xfId="41267" xr:uid="{F2F3B39E-9495-4D14-A9E2-A498CC83C685}"/>
    <cellStyle name="Normal 21 2 2 2 4" xfId="24183" xr:uid="{E181FA23-D440-459D-A251-A34E9CA69C0F}"/>
    <cellStyle name="Normal 21 2 2 2 4 2" xfId="44518" xr:uid="{B7E07C17-391F-42B0-BBCC-8A8036BED552}"/>
    <cellStyle name="Normal 21 2 2 2 5" xfId="14517" xr:uid="{3EEB3D79-CE07-467F-8987-285880556B23}"/>
    <cellStyle name="Normal 21 2 2 2 5 2" xfId="34858" xr:uid="{E1977FAC-FF3B-4930-8D2E-A022194CD741}"/>
    <cellStyle name="Normal 21 2 2 2 6" xfId="10639" xr:uid="{CD0D840D-95DC-4779-824D-2543A75E5D3C}"/>
    <cellStyle name="Normal 21 2 2 2 6 2" xfId="30982" xr:uid="{94A34BC6-6436-4552-A0D2-D8730F832173}"/>
    <cellStyle name="Normal 21 2 2 2 7" xfId="27488" xr:uid="{FF5F3A77-1814-45CE-8860-8C7C996FF4E0}"/>
    <cellStyle name="Normal 21 2 2 3" xfId="16268" xr:uid="{9A477561-FC8C-48B5-8E72-F4FD4C7A5A55}"/>
    <cellStyle name="Normal 21 2 2 3 2" xfId="36608" xr:uid="{DBFF9155-3E46-4F3B-829D-7A9E7B51ECE7}"/>
    <cellStyle name="Normal 21 2 2 4" xfId="19770" xr:uid="{EDCCEA4A-1237-4D7E-A072-98FD4D2BCE13}"/>
    <cellStyle name="Normal 21 2 2 4 2" xfId="40109" xr:uid="{75D7F462-C7B0-4A71-A068-D9FC9D97D372}"/>
    <cellStyle name="Normal 21 2 2 5" xfId="23025" xr:uid="{9C72A7D4-C673-44B8-BB22-48B35CD9FC96}"/>
    <cellStyle name="Normal 21 2 2 5 2" xfId="43360" xr:uid="{7EB2F63F-9042-48D4-B6CB-F2BA67175C7C}"/>
    <cellStyle name="Normal 21 2 2 6" xfId="13359" xr:uid="{49629E89-F810-4D3E-A26F-3F62C3D1B05B}"/>
    <cellStyle name="Normal 21 2 2 6 2" xfId="33700" xr:uid="{DBE46022-12F6-428D-906A-B49561C95CC5}"/>
    <cellStyle name="Normal 21 2 2 7" xfId="9481" xr:uid="{90CD8137-3739-4A92-81A2-D873A1E2F940}"/>
    <cellStyle name="Normal 21 2 2 7 2" xfId="29824" xr:uid="{E64F8B55-6ED4-489A-8E70-AAEAD38C38A3}"/>
    <cellStyle name="Normal 21 2 2 8" xfId="26330" xr:uid="{10BE3937-FD32-42D0-BB5D-19E27298CA2D}"/>
    <cellStyle name="Normal 21 2 3" xfId="6559" xr:uid="{4CF7BC51-5AE8-4848-8A6D-FFFE352D045F}"/>
    <cellStyle name="Normal 21 2 3 2" xfId="16845" xr:uid="{B88C8300-ACFD-406A-B452-65DE74CACD92}"/>
    <cellStyle name="Normal 21 2 3 2 2" xfId="37185" xr:uid="{C2A1D6DF-2B8E-4E1D-ACF0-6C8F17B7DE66}"/>
    <cellStyle name="Normal 21 2 3 3" xfId="20347" xr:uid="{98EAA94A-C1E3-4B53-99E4-4D989A460D76}"/>
    <cellStyle name="Normal 21 2 3 3 2" xfId="40686" xr:uid="{DD9D1DCF-1057-4ECD-9B8A-E5A5619CA1D2}"/>
    <cellStyle name="Normal 21 2 3 4" xfId="23602" xr:uid="{4ECFF781-B2DD-4BDF-8491-074CF20EF1B4}"/>
    <cellStyle name="Normal 21 2 3 4 2" xfId="43937" xr:uid="{79EF8982-19EB-45D1-AB35-5A5E9215C471}"/>
    <cellStyle name="Normal 21 2 3 5" xfId="13936" xr:uid="{092D0229-9B0C-422B-B9F5-D99FD8EBC9A9}"/>
    <cellStyle name="Normal 21 2 3 5 2" xfId="34277" xr:uid="{E32E690E-720E-4491-B141-BAE024F0D994}"/>
    <cellStyle name="Normal 21 2 3 6" xfId="10058" xr:uid="{9E6A62E7-05AD-4EB2-85BD-411B14E29835}"/>
    <cellStyle name="Normal 21 2 3 6 2" xfId="30401" xr:uid="{6D81BC7A-D7F3-4A06-A194-FEF742E9A51E}"/>
    <cellStyle name="Normal 21 2 3 7" xfId="26907" xr:uid="{96F5409A-1C42-47B5-9BF3-4D4CC5985DF1}"/>
    <cellStyle name="Normal 21 2 4" xfId="7723" xr:uid="{E5A41AE8-A0C3-41C1-9871-A41ED679F4EC}"/>
    <cellStyle name="Normal 21 2 4 2" xfId="18008" xr:uid="{8DAA979C-685A-44E8-83CA-2F89EB72D1D2}"/>
    <cellStyle name="Normal 21 2 4 2 2" xfId="38348" xr:uid="{500B1484-7C9F-40FB-9E57-01DF22A98254}"/>
    <cellStyle name="Normal 21 2 4 3" xfId="21510" xr:uid="{27C63094-9400-4DAC-ADC7-04192182ABC3}"/>
    <cellStyle name="Normal 21 2 4 3 2" xfId="41849" xr:uid="{FF5F1D18-43DD-4235-8BD8-EC06FFAA7DA6}"/>
    <cellStyle name="Normal 21 2 4 4" xfId="24765" xr:uid="{C39E3E43-CCC2-4EB4-802F-3B068823A0E4}"/>
    <cellStyle name="Normal 21 2 4 4 2" xfId="45100" xr:uid="{99696A82-6FCE-468F-AD50-22991E4A43CC}"/>
    <cellStyle name="Normal 21 2 4 5" xfId="15100" xr:uid="{C066C5CE-7D17-4BC8-B610-4DD8B77CE424}"/>
    <cellStyle name="Normal 21 2 4 5 2" xfId="35440" xr:uid="{0788AE2F-76B7-437A-A972-0694C4D9C3F0}"/>
    <cellStyle name="Normal 21 2 4 6" xfId="11221" xr:uid="{F9FA7BF1-2632-4226-BFA3-ADCE8B64892A}"/>
    <cellStyle name="Normal 21 2 4 6 2" xfId="31564" xr:uid="{E6E3F88A-B0C4-4F05-8B3D-16EDEC0AFFC2}"/>
    <cellStyle name="Normal 21 2 4 7" xfId="28070" xr:uid="{81CDF8AF-8296-4F41-87DB-209E8503B036}"/>
    <cellStyle name="Normal 21 2 5" xfId="12790" xr:uid="{7C942E28-BEC6-4E2B-92A2-DB63E18289F1}"/>
    <cellStyle name="Normal 21 2 5 2" xfId="33131" xr:uid="{C8E963A5-3215-46A1-8BC5-F9D3D915DC50}"/>
    <cellStyle name="Normal 21 2 6" xfId="15687" xr:uid="{D280115C-06CF-4C84-89D2-35CEEF1CEACD}"/>
    <cellStyle name="Normal 21 2 6 2" xfId="36027" xr:uid="{6DFFF729-014A-4256-85DB-13F0BACC12AC}"/>
    <cellStyle name="Normal 21 2 7" xfId="18601" xr:uid="{321E61C5-0085-4E95-83B0-6CBCBDE92B7D}"/>
    <cellStyle name="Normal 21 2 7 2" xfId="38941" xr:uid="{E524CC96-498C-4F7D-A5D4-5AE9F7CDA06E}"/>
    <cellStyle name="Normal 21 2 8" xfId="19189" xr:uid="{F48B6A13-CBE4-4F88-8181-8BC968E85BE2}"/>
    <cellStyle name="Normal 21 2 8 2" xfId="39528" xr:uid="{484D831F-A3C2-46B0-82B1-A1A208E26EF8}"/>
    <cellStyle name="Normal 21 2 9" xfId="22444" xr:uid="{A9FA97E8-71EF-491E-99FF-41E582C2F5E0}"/>
    <cellStyle name="Normal 21 2 9 2" xfId="42779" xr:uid="{A9E4F06F-EFE8-46DE-81F4-503ADAD017E0}"/>
    <cellStyle name="Normal 21 3" xfId="5639" xr:uid="{E3183CA1-FBB2-4474-855F-CC216CDCC161}"/>
    <cellStyle name="Normal 21 3 10" xfId="12390" xr:uid="{84E27BB6-7134-4B48-A562-AFC50671BE16}"/>
    <cellStyle name="Normal 21 3 10 2" xfId="32731" xr:uid="{149C0949-B2AA-47CC-9344-4DEDD8020E14}"/>
    <cellStyle name="Normal 21 3 11" xfId="9129" xr:uid="{50A650FB-17BA-42C3-9628-B2D126D6EB2A}"/>
    <cellStyle name="Normal 21 3 11 2" xfId="29472" xr:uid="{74003D40-6010-4006-90CC-9BC93BB08AAD}"/>
    <cellStyle name="Normal 21 3 12" xfId="25978" xr:uid="{FE8C56BF-352D-4B69-A9DC-5433192C75A1}"/>
    <cellStyle name="Normal 21 3 2" xfId="6211" xr:uid="{6A9380CA-40F6-496E-8150-AEE1488279CB}"/>
    <cellStyle name="Normal 21 3 2 2" xfId="7369" xr:uid="{581D2A3E-1733-446E-BF97-3267C56FC811}"/>
    <cellStyle name="Normal 21 3 2 2 2" xfId="17655" xr:uid="{B7060421-D392-4625-A92B-B6FF6110D633}"/>
    <cellStyle name="Normal 21 3 2 2 2 2" xfId="37995" xr:uid="{48F8324E-440E-4BB4-93BD-C0585EBFE1CF}"/>
    <cellStyle name="Normal 21 3 2 2 3" xfId="21157" xr:uid="{C1B90D3F-6321-45AE-8882-E1A3C9665FF6}"/>
    <cellStyle name="Normal 21 3 2 2 3 2" xfId="41496" xr:uid="{3B014EA2-5FF3-4870-8921-6286A2302089}"/>
    <cellStyle name="Normal 21 3 2 2 4" xfId="24412" xr:uid="{083DB3D4-0003-41D4-9310-EC03D9BE1152}"/>
    <cellStyle name="Normal 21 3 2 2 4 2" xfId="44747" xr:uid="{343E31A0-9921-4769-B193-8E01D317F1EF}"/>
    <cellStyle name="Normal 21 3 2 2 5" xfId="14746" xr:uid="{8B0CF515-42F6-4BF2-9271-D2C03A558D99}"/>
    <cellStyle name="Normal 21 3 2 2 5 2" xfId="35087" xr:uid="{E755A077-09CC-40AD-9424-DAAA95FC97C2}"/>
    <cellStyle name="Normal 21 3 2 2 6" xfId="10868" xr:uid="{97B16034-0B34-44EA-81E6-B9AD3D28FF4C}"/>
    <cellStyle name="Normal 21 3 2 2 6 2" xfId="31211" xr:uid="{F2D76461-E0EF-4176-B0FB-EF43BC0A6746}"/>
    <cellStyle name="Normal 21 3 2 2 7" xfId="27717" xr:uid="{88B0DBFC-9675-47DA-A2B2-709DE5306337}"/>
    <cellStyle name="Normal 21 3 2 3" xfId="16497" xr:uid="{C375E1E4-C2E4-4282-B8D0-43F3167DE20B}"/>
    <cellStyle name="Normal 21 3 2 3 2" xfId="36837" xr:uid="{BDCFC2C8-950A-48FA-9A7B-2076E76044C7}"/>
    <cellStyle name="Normal 21 3 2 4" xfId="19999" xr:uid="{06011708-DBB4-4317-A7CF-6AABB8DAA7F4}"/>
    <cellStyle name="Normal 21 3 2 4 2" xfId="40338" xr:uid="{A6D8F9C1-B218-4BAA-B5F4-D5CC0D6C2F26}"/>
    <cellStyle name="Normal 21 3 2 5" xfId="23254" xr:uid="{DBA24EFD-F12D-4D27-8F06-2EE971947B48}"/>
    <cellStyle name="Normal 21 3 2 5 2" xfId="43589" xr:uid="{3CB284AA-4910-4007-B20C-5576FA3091C7}"/>
    <cellStyle name="Normal 21 3 2 6" xfId="13588" xr:uid="{C4DA8018-3B5D-475F-94B2-D83A15FB6EB7}"/>
    <cellStyle name="Normal 21 3 2 6 2" xfId="33929" xr:uid="{339271AA-CAAC-4196-8E6D-8A1D0D0879B8}"/>
    <cellStyle name="Normal 21 3 2 7" xfId="9710" xr:uid="{BE14B860-5029-4FCE-BE6A-346DCD5F1B0A}"/>
    <cellStyle name="Normal 21 3 2 7 2" xfId="30053" xr:uid="{42DCFDB1-6299-436E-93FB-AB6F532C09D6}"/>
    <cellStyle name="Normal 21 3 2 8" xfId="26559" xr:uid="{0BD4363B-CDA9-4263-98BA-BD33B357B1E3}"/>
    <cellStyle name="Normal 21 3 3" xfId="6788" xr:uid="{612F0463-0712-477E-8A0E-2B5C6D62B8BD}"/>
    <cellStyle name="Normal 21 3 3 2" xfId="17074" xr:uid="{F8E8CA3D-5678-487D-8D14-E70DECEEA772}"/>
    <cellStyle name="Normal 21 3 3 2 2" xfId="37414" xr:uid="{7A500D7B-1B02-48EE-AF61-94BBA18952F1}"/>
    <cellStyle name="Normal 21 3 3 3" xfId="20576" xr:uid="{6F2B96B5-AAD0-4CE2-A93D-57C295D7084A}"/>
    <cellStyle name="Normal 21 3 3 3 2" xfId="40915" xr:uid="{4186F978-6754-4CBF-A063-90FDF9F2350B}"/>
    <cellStyle name="Normal 21 3 3 4" xfId="23831" xr:uid="{F4FD7762-23B8-4314-90AD-4D16757C15FB}"/>
    <cellStyle name="Normal 21 3 3 4 2" xfId="44166" xr:uid="{0005D8F8-17DC-4735-9406-3D484BF1297C}"/>
    <cellStyle name="Normal 21 3 3 5" xfId="14165" xr:uid="{82C51615-6E1F-4111-9DA0-B3032E5851CA}"/>
    <cellStyle name="Normal 21 3 3 5 2" xfId="34506" xr:uid="{556CA87C-521C-4D24-B5BD-F073BBB32062}"/>
    <cellStyle name="Normal 21 3 3 6" xfId="10287" xr:uid="{B95CC654-6B9A-4BB8-9B31-DADFA988C499}"/>
    <cellStyle name="Normal 21 3 3 6 2" xfId="30630" xr:uid="{F7EF93AE-1EC2-416A-942E-40FABFA09A21}"/>
    <cellStyle name="Normal 21 3 3 7" xfId="27136" xr:uid="{B67242EC-5E57-44CE-A1EE-31EEF7F4C473}"/>
    <cellStyle name="Normal 21 3 4" xfId="7952" xr:uid="{ECD9C9DE-7EB5-43FB-84F2-A798AE82ADB1}"/>
    <cellStyle name="Normal 21 3 4 2" xfId="18237" xr:uid="{14976C93-AF25-4A28-AA1E-39B4DB7C4702}"/>
    <cellStyle name="Normal 21 3 4 2 2" xfId="38577" xr:uid="{1AA34A59-4837-4FD4-A9BC-B661A8C0520E}"/>
    <cellStyle name="Normal 21 3 4 3" xfId="21739" xr:uid="{21DEA6F7-F236-4DCB-9B11-7D2FF567BF2D}"/>
    <cellStyle name="Normal 21 3 4 3 2" xfId="42078" xr:uid="{77209CCF-F35D-40AF-A3E6-B5130B3D8085}"/>
    <cellStyle name="Normal 21 3 4 4" xfId="24994" xr:uid="{B1E81DD2-A145-41E1-BEB6-7ECAFDC5342C}"/>
    <cellStyle name="Normal 21 3 4 4 2" xfId="45329" xr:uid="{9B304D8E-CF2B-46D3-9751-6EDA39379945}"/>
    <cellStyle name="Normal 21 3 4 5" xfId="15329" xr:uid="{828018CD-C3D1-4784-ACE0-D8AE848C7C01}"/>
    <cellStyle name="Normal 21 3 4 5 2" xfId="35669" xr:uid="{5865869A-0929-4E89-8A6A-3A77073EB44F}"/>
    <cellStyle name="Normal 21 3 4 6" xfId="11450" xr:uid="{BCA36C1A-AC25-4A74-9267-6CA3F2DCA6BF}"/>
    <cellStyle name="Normal 21 3 4 6 2" xfId="31793" xr:uid="{5690B991-7272-4A67-A405-CE56F35A7CF4}"/>
    <cellStyle name="Normal 21 3 4 7" xfId="28299" xr:uid="{23C12C86-A108-4956-9DB6-C9990C4B8EBF}"/>
    <cellStyle name="Normal 21 3 5" xfId="13019" xr:uid="{B27C9B46-0A3C-4F5D-9342-723367B11B97}"/>
    <cellStyle name="Normal 21 3 5 2" xfId="33360" xr:uid="{0FCBCC65-DC41-40A4-AADD-78B304A5A0B9}"/>
    <cellStyle name="Normal 21 3 6" xfId="15916" xr:uid="{8819ABA1-D4EC-402A-B755-7C4EC54BA70D}"/>
    <cellStyle name="Normal 21 3 6 2" xfId="36256" xr:uid="{1732DBB6-49C4-4C36-80DE-41FDBF718D9F}"/>
    <cellStyle name="Normal 21 3 7" xfId="18830" xr:uid="{E9EF13F6-FA02-41C7-9B18-974F36BE5248}"/>
    <cellStyle name="Normal 21 3 7 2" xfId="39170" xr:uid="{F94A1952-DA8B-453E-88B8-823E9EC0D041}"/>
    <cellStyle name="Normal 21 3 8" xfId="19418" xr:uid="{F2E71EB8-74AE-41BF-9183-21C8E62C6B8A}"/>
    <cellStyle name="Normal 21 3 8 2" xfId="39757" xr:uid="{AA07288C-80A6-4469-829C-E5C95B88D010}"/>
    <cellStyle name="Normal 21 3 9" xfId="22673" xr:uid="{3E71D42A-D274-4EDF-A626-EFE76E2256CE}"/>
    <cellStyle name="Normal 21 3 9 2" xfId="43008" xr:uid="{9AD9D5C6-9199-4FB3-9C14-6417719EEBCF}"/>
    <cellStyle name="Normal 21 4" xfId="5867" xr:uid="{148303FF-4005-4574-A82B-D07FD28602BA}"/>
    <cellStyle name="Normal 21 4 2" xfId="7025" xr:uid="{FAB142D7-BC8A-45E9-8346-B44A62EEB7EA}"/>
    <cellStyle name="Normal 21 4 2 2" xfId="17311" xr:uid="{224B11D7-E307-41C2-8708-9BDFA96758AA}"/>
    <cellStyle name="Normal 21 4 2 2 2" xfId="37651" xr:uid="{2A3D23EB-10E5-4103-BC67-3DBCBAEE1DAB}"/>
    <cellStyle name="Normal 21 4 2 3" xfId="20813" xr:uid="{87F30FD8-D9E7-4456-B950-A1F9E31A036F}"/>
    <cellStyle name="Normal 21 4 2 3 2" xfId="41152" xr:uid="{802C3698-91CF-484A-A63A-E1189FF7DADC}"/>
    <cellStyle name="Normal 21 4 2 4" xfId="24068" xr:uid="{1D277E46-440C-4B10-A448-86D91DC8CF0B}"/>
    <cellStyle name="Normal 21 4 2 4 2" xfId="44403" xr:uid="{8AD1072B-D80F-4EA3-800B-D6BD96E3164E}"/>
    <cellStyle name="Normal 21 4 2 5" xfId="14402" xr:uid="{B7A73B34-1534-4C84-BF58-4078EF61F36B}"/>
    <cellStyle name="Normal 21 4 2 5 2" xfId="34743" xr:uid="{95082C35-F56A-454D-903D-434F13565508}"/>
    <cellStyle name="Normal 21 4 2 6" xfId="10524" xr:uid="{83C2ECCE-E552-4CAC-8427-6AC52FA047F4}"/>
    <cellStyle name="Normal 21 4 2 6 2" xfId="30867" xr:uid="{672A7599-D80B-490D-AF1C-236F69B76608}"/>
    <cellStyle name="Normal 21 4 2 7" xfId="27373" xr:uid="{403F93AF-181A-41D1-A880-159621D44C88}"/>
    <cellStyle name="Normal 21 4 3" xfId="16153" xr:uid="{506293F6-69EE-40AB-B573-32402CC183D8}"/>
    <cellStyle name="Normal 21 4 3 2" xfId="36493" xr:uid="{E488A4A9-D6E2-4AAE-9317-2A45BAFC876B}"/>
    <cellStyle name="Normal 21 4 4" xfId="19655" xr:uid="{054CE2C8-718A-4A91-9196-A1A7FCDCF1A1}"/>
    <cellStyle name="Normal 21 4 4 2" xfId="39994" xr:uid="{1AA7FC94-00D5-4CA1-B73E-91F23E94B049}"/>
    <cellStyle name="Normal 21 4 5" xfId="22910" xr:uid="{A05294E2-0EFA-4E99-B14C-E59E0A49E2AD}"/>
    <cellStyle name="Normal 21 4 5 2" xfId="43245" xr:uid="{69EBEF69-E7E7-4B0B-8E6E-F39E861C6777}"/>
    <cellStyle name="Normal 21 4 6" xfId="13246" xr:uid="{042725E9-3CAC-4F20-81A3-AA906B636386}"/>
    <cellStyle name="Normal 21 4 6 2" xfId="33587" xr:uid="{B97D54B0-18B6-4EAD-A564-8EB2CFDFEC59}"/>
    <cellStyle name="Normal 21 4 7" xfId="9366" xr:uid="{E603BC66-A742-4F51-817D-EC5C95BED118}"/>
    <cellStyle name="Normal 21 4 7 2" xfId="29709" xr:uid="{4F047ABE-8088-4C89-BA4D-9A3FB1C4216D}"/>
    <cellStyle name="Normal 21 4 8" xfId="26215" xr:uid="{3EC1486D-C451-4DB4-ABF3-97CED198F90B}"/>
    <cellStyle name="Normal 21 5" xfId="6444" xr:uid="{E27FFCFD-971A-4340-9FC4-7430D60BA65B}"/>
    <cellStyle name="Normal 21 5 2" xfId="16730" xr:uid="{59D29B08-1F29-43DF-B01D-1C965B820DF3}"/>
    <cellStyle name="Normal 21 5 2 2" xfId="37070" xr:uid="{B29E03A4-41B8-49ED-87CE-0B3A1D13B360}"/>
    <cellStyle name="Normal 21 5 3" xfId="20232" xr:uid="{879228FB-D388-4E80-9F54-4F662B840F09}"/>
    <cellStyle name="Normal 21 5 3 2" xfId="40571" xr:uid="{A09A3789-99E0-4530-80C7-DABE33168C9B}"/>
    <cellStyle name="Normal 21 5 4" xfId="23487" xr:uid="{35FD8BEE-6D5C-4D62-B9E6-5EF9BD4968A6}"/>
    <cellStyle name="Normal 21 5 4 2" xfId="43822" xr:uid="{9472535F-885D-4E3A-A975-3BAF88720D95}"/>
    <cellStyle name="Normal 21 5 5" xfId="13821" xr:uid="{90BAB85A-B287-436E-B5E2-F2FF0B36C94F}"/>
    <cellStyle name="Normal 21 5 5 2" xfId="34162" xr:uid="{B35820A9-CDB3-46F2-9CF2-B0FB3A2E55DA}"/>
    <cellStyle name="Normal 21 5 6" xfId="9943" xr:uid="{EF1EEF87-80AF-4D4F-94A0-8ED81718DE18}"/>
    <cellStyle name="Normal 21 5 6 2" xfId="30286" xr:uid="{8AA6EB41-659A-42A2-A110-68B09A093E81}"/>
    <cellStyle name="Normal 21 5 7" xfId="26792" xr:uid="{541DACCC-16F2-404A-8AF1-A88A7818C61B}"/>
    <cellStyle name="Normal 21 6" xfId="7608" xr:uid="{FC07FA59-0CD6-4CB0-8355-22863288DFF2}"/>
    <cellStyle name="Normal 21 6 2" xfId="17893" xr:uid="{734F5E68-1BC3-41D6-A654-5AD302379246}"/>
    <cellStyle name="Normal 21 6 2 2" xfId="38233" xr:uid="{379A1B88-EA46-40B6-BF54-93A17D83D824}"/>
    <cellStyle name="Normal 21 6 3" xfId="21395" xr:uid="{7821B076-F95A-4D68-B7F8-01CB24DFB4F0}"/>
    <cellStyle name="Normal 21 6 3 2" xfId="41734" xr:uid="{D6AD7367-7993-4388-9F92-F33D03336957}"/>
    <cellStyle name="Normal 21 6 4" xfId="24650" xr:uid="{864D0119-A675-48C1-910C-F71F940AB708}"/>
    <cellStyle name="Normal 21 6 4 2" xfId="44985" xr:uid="{4A401902-81AF-44F1-A9C2-3254708CBBC3}"/>
    <cellStyle name="Normal 21 6 5" xfId="14985" xr:uid="{A858F8AC-2219-4F32-9852-71723CFCA0F9}"/>
    <cellStyle name="Normal 21 6 5 2" xfId="35325" xr:uid="{BBDD3504-A642-4E19-B813-258BC895DCBF}"/>
    <cellStyle name="Normal 21 6 6" xfId="11106" xr:uid="{0B9C15EC-E583-4293-B182-B429C7A1F529}"/>
    <cellStyle name="Normal 21 6 6 2" xfId="31449" xr:uid="{5FD3CD3C-DAF2-4815-8255-3C18344E4311}"/>
    <cellStyle name="Normal 21 6 7" xfId="27955" xr:uid="{0E20059D-9E9E-49F4-88E7-8693F5B182AD}"/>
    <cellStyle name="Normal 21 7" xfId="12677" xr:uid="{D429695B-283C-4294-BB73-48014A59DFB1}"/>
    <cellStyle name="Normal 21 7 2" xfId="33018" xr:uid="{B9A76FDB-579C-4238-A9BB-093383F0049C}"/>
    <cellStyle name="Normal 21 8" xfId="15572" xr:uid="{79514268-4236-4203-A957-9122B1EE5FAE}"/>
    <cellStyle name="Normal 21 8 2" xfId="35912" xr:uid="{0061CCA7-923A-407F-AD63-B6901A051746}"/>
    <cellStyle name="Normal 21 9" xfId="18486" xr:uid="{235FD86E-C840-4FE4-9278-EC9160435A95}"/>
    <cellStyle name="Normal 21 9 2" xfId="38826" xr:uid="{7BB87FD7-CED5-498E-8AA3-78386E65B1C1}"/>
    <cellStyle name="Normal 22" xfId="5317" xr:uid="{62A2C190-8746-4DB1-9AF5-147E74F68996}"/>
    <cellStyle name="Normal 22 10" xfId="19075" xr:uid="{F94DBCF2-AE1E-46E8-8E6B-D983FE19B13E}"/>
    <cellStyle name="Normal 22 10 2" xfId="39414" xr:uid="{45B0270A-3074-4AD2-A127-187062DB5BB9}"/>
    <cellStyle name="Normal 22 11" xfId="22330" xr:uid="{0E8DF613-AADB-44A8-8596-628EC8CBCE20}"/>
    <cellStyle name="Normal 22 11 2" xfId="42665" xr:uid="{FDE20F6C-1382-46E0-9169-9D6E03944866}"/>
    <cellStyle name="Normal 22 12" xfId="12047" xr:uid="{9381E230-BE5A-4C3A-B802-8FAF3DE6939D}"/>
    <cellStyle name="Normal 22 12 2" xfId="32388" xr:uid="{B8F30E92-3DDE-41CB-867A-F4C8780E715E}"/>
    <cellStyle name="Normal 22 13" xfId="8786" xr:uid="{43BAE054-1875-436E-83F4-C85D752593AF}"/>
    <cellStyle name="Normal 22 13 2" xfId="29129" xr:uid="{5C2A558D-3105-4303-8E2C-6BC3D1D58565}"/>
    <cellStyle name="Normal 22 14" xfId="25635" xr:uid="{37DEECA5-4876-4A0F-93C2-ECE6E823CBB9}"/>
    <cellStyle name="Normal 22 2" xfId="5419" xr:uid="{CFDB2AFB-08BA-4B48-81EE-E791C8CD8D48}"/>
    <cellStyle name="Normal 22 2 10" xfId="12162" xr:uid="{4797F189-E022-455E-A632-C230E4753A26}"/>
    <cellStyle name="Normal 22 2 10 2" xfId="32503" xr:uid="{CB5B7F57-245B-4815-AF39-87127D2D31FD}"/>
    <cellStyle name="Normal 22 2 11" xfId="8901" xr:uid="{B717D579-07D6-420F-B012-87995F7065A1}"/>
    <cellStyle name="Normal 22 2 11 2" xfId="29244" xr:uid="{A8D66879-D07E-47D6-8F86-BB52FB272DD4}"/>
    <cellStyle name="Normal 22 2 12" xfId="25750" xr:uid="{C7183875-072B-4CA2-845F-752C922948C8}"/>
    <cellStyle name="Normal 22 2 2" xfId="5983" xr:uid="{0B177637-4C5E-475B-88F4-49DC0D64E0D8}"/>
    <cellStyle name="Normal 22 2 2 2" xfId="7141" xr:uid="{D9E631A5-55C4-4B8C-8693-C0AFC7E286E3}"/>
    <cellStyle name="Normal 22 2 2 2 2" xfId="17427" xr:uid="{E752AD7B-7F21-43D1-A296-A53BA9A44BE1}"/>
    <cellStyle name="Normal 22 2 2 2 2 2" xfId="37767" xr:uid="{3E99A0E3-1C7F-4574-820C-A005EE431B50}"/>
    <cellStyle name="Normal 22 2 2 2 3" xfId="20929" xr:uid="{167B0EEF-54A6-4A6D-AB44-ADAF1E4552F9}"/>
    <cellStyle name="Normal 22 2 2 2 3 2" xfId="41268" xr:uid="{F35D1680-472D-4739-9116-866CFC5595DD}"/>
    <cellStyle name="Normal 22 2 2 2 4" xfId="24184" xr:uid="{2CA88150-C812-4C20-A348-DDE38FD398B4}"/>
    <cellStyle name="Normal 22 2 2 2 4 2" xfId="44519" xr:uid="{B35160DD-216D-4E0D-A5D9-7C9AED27BAC9}"/>
    <cellStyle name="Normal 22 2 2 2 5" xfId="14518" xr:uid="{A872FD98-85CF-4A90-9F5C-2C073F9AB2F3}"/>
    <cellStyle name="Normal 22 2 2 2 5 2" xfId="34859" xr:uid="{7E11ADA0-69FC-4DAB-B368-846B64D5C4DD}"/>
    <cellStyle name="Normal 22 2 2 2 6" xfId="10640" xr:uid="{A7DFF747-3572-475D-B428-36858CACCFFB}"/>
    <cellStyle name="Normal 22 2 2 2 6 2" xfId="30983" xr:uid="{B6BC164C-0A52-485A-B6EE-CEE51D7E16F8}"/>
    <cellStyle name="Normal 22 2 2 2 7" xfId="27489" xr:uid="{38675EAF-46E2-4974-8739-56FB7D272EA0}"/>
    <cellStyle name="Normal 22 2 2 3" xfId="16269" xr:uid="{5630CF84-5FC2-4449-A95C-95F104EAA02B}"/>
    <cellStyle name="Normal 22 2 2 3 2" xfId="36609" xr:uid="{D9569B01-AA12-420D-B8A9-7A77946EF76D}"/>
    <cellStyle name="Normal 22 2 2 4" xfId="19771" xr:uid="{69207CB2-002A-4001-B6D2-737159E1EE64}"/>
    <cellStyle name="Normal 22 2 2 4 2" xfId="40110" xr:uid="{6A51ADC3-0896-4F64-B3F8-FF86B4939110}"/>
    <cellStyle name="Normal 22 2 2 5" xfId="23026" xr:uid="{4F26EE9F-A9E1-478B-8D2A-AF5F3E443F67}"/>
    <cellStyle name="Normal 22 2 2 5 2" xfId="43361" xr:uid="{8F0A2960-17AE-41EF-9018-E16D9A9F647E}"/>
    <cellStyle name="Normal 22 2 2 6" xfId="13360" xr:uid="{3D449A3D-511A-4D7B-956F-2B63E977FA04}"/>
    <cellStyle name="Normal 22 2 2 6 2" xfId="33701" xr:uid="{7DB0085B-29D7-4ACB-868A-D57EFEF843B3}"/>
    <cellStyle name="Normal 22 2 2 7" xfId="9482" xr:uid="{ED46D09C-29ED-4368-82A3-3CFB6C056AD1}"/>
    <cellStyle name="Normal 22 2 2 7 2" xfId="29825" xr:uid="{4756DD56-039D-4763-9A8B-85DB823EB20D}"/>
    <cellStyle name="Normal 22 2 2 8" xfId="26331" xr:uid="{0799DB33-EBAE-42A5-88B4-1462D1638A2C}"/>
    <cellStyle name="Normal 22 2 3" xfId="6560" xr:uid="{86C4691C-2537-4158-B230-9456EAFCECE2}"/>
    <cellStyle name="Normal 22 2 3 2" xfId="16846" xr:uid="{BE91414D-D697-40A9-B8A8-6B96C832706B}"/>
    <cellStyle name="Normal 22 2 3 2 2" xfId="37186" xr:uid="{50CDE5BA-6418-4A67-B699-0240CAAC0BEF}"/>
    <cellStyle name="Normal 22 2 3 3" xfId="20348" xr:uid="{1A203AEA-A417-4229-B976-D954C60734A6}"/>
    <cellStyle name="Normal 22 2 3 3 2" xfId="40687" xr:uid="{AE58AB04-B925-44BA-B763-AA6C85B8DD44}"/>
    <cellStyle name="Normal 22 2 3 4" xfId="23603" xr:uid="{51FD5B52-21C5-45FA-99B5-FA77D6A0AD5E}"/>
    <cellStyle name="Normal 22 2 3 4 2" xfId="43938" xr:uid="{75EE814B-276B-44FD-A1E6-B375E5197EB0}"/>
    <cellStyle name="Normal 22 2 3 5" xfId="13937" xr:uid="{CB447DF3-1A88-4950-93FA-BFEA4BB72B56}"/>
    <cellStyle name="Normal 22 2 3 5 2" xfId="34278" xr:uid="{191D9C72-1466-4AE3-81F8-FA9937D98099}"/>
    <cellStyle name="Normal 22 2 3 6" xfId="10059" xr:uid="{E2A2E370-DED2-44DD-840C-F765F4FE2967}"/>
    <cellStyle name="Normal 22 2 3 6 2" xfId="30402" xr:uid="{3AD2B90C-8316-4DEA-8793-CD50AA8AFCE7}"/>
    <cellStyle name="Normal 22 2 3 7" xfId="26908" xr:uid="{EC28D870-06AF-4D32-BB98-E2B29EF92B59}"/>
    <cellStyle name="Normal 22 2 4" xfId="7724" xr:uid="{B65A84CF-E0AE-4648-879D-655B6F654D96}"/>
    <cellStyle name="Normal 22 2 4 2" xfId="18009" xr:uid="{84BF326A-EE1D-4031-99E9-67800074AE67}"/>
    <cellStyle name="Normal 22 2 4 2 2" xfId="38349" xr:uid="{65B5B727-44DE-494B-9E1E-BB7E29AD1056}"/>
    <cellStyle name="Normal 22 2 4 3" xfId="21511" xr:uid="{372C6A6B-E9DC-4C92-AB09-9D91A6B672F9}"/>
    <cellStyle name="Normal 22 2 4 3 2" xfId="41850" xr:uid="{A7269874-6744-45F4-87DF-D050061C9F71}"/>
    <cellStyle name="Normal 22 2 4 4" xfId="24766" xr:uid="{EC73D669-3683-4D11-9D77-7FF52A2C4007}"/>
    <cellStyle name="Normal 22 2 4 4 2" xfId="45101" xr:uid="{2857277B-1142-4D7A-A0AC-C538B79C6FDD}"/>
    <cellStyle name="Normal 22 2 4 5" xfId="15101" xr:uid="{3B534619-B765-476B-82CC-78FA7F76FE8C}"/>
    <cellStyle name="Normal 22 2 4 5 2" xfId="35441" xr:uid="{1B50C4E2-721A-433E-9AC6-ABDDE75EE2C2}"/>
    <cellStyle name="Normal 22 2 4 6" xfId="11222" xr:uid="{20F5C6AA-3B10-4393-82D6-157552F269B7}"/>
    <cellStyle name="Normal 22 2 4 6 2" xfId="31565" xr:uid="{8BE87FE8-AB08-4576-8C8F-4E89A5C8DB8F}"/>
    <cellStyle name="Normal 22 2 4 7" xfId="28071" xr:uid="{EE192B3F-FE03-4848-89A5-596FC6D4B720}"/>
    <cellStyle name="Normal 22 2 5" xfId="12791" xr:uid="{6C7B62E5-8075-46F2-8CE0-8963938016D9}"/>
    <cellStyle name="Normal 22 2 5 2" xfId="33132" xr:uid="{FB43A4E1-0092-440F-A808-78A2D0850826}"/>
    <cellStyle name="Normal 22 2 6" xfId="15688" xr:uid="{EBD863DD-839C-42F9-8156-C996C911675A}"/>
    <cellStyle name="Normal 22 2 6 2" xfId="36028" xr:uid="{E8BC30BB-78A3-45AA-9786-1D50EE59F151}"/>
    <cellStyle name="Normal 22 2 7" xfId="18602" xr:uid="{1CD0C448-0226-4DDA-9437-62980D72AB6D}"/>
    <cellStyle name="Normal 22 2 7 2" xfId="38942" xr:uid="{7DF6798E-41A3-4EA9-8CC2-FDA3F783ADB5}"/>
    <cellStyle name="Normal 22 2 8" xfId="19190" xr:uid="{758A4401-CD85-4B3F-A0E1-E27113AF1C3A}"/>
    <cellStyle name="Normal 22 2 8 2" xfId="39529" xr:uid="{55210C37-69FB-471A-BD48-D984492D9509}"/>
    <cellStyle name="Normal 22 2 9" xfId="22445" xr:uid="{0F4B21C0-283B-4CB9-ABB0-2EC9EADC5258}"/>
    <cellStyle name="Normal 22 2 9 2" xfId="42780" xr:uid="{ED8EE2B9-6B68-4F25-A703-6B0BF4D85499}"/>
    <cellStyle name="Normal 22 3" xfId="5640" xr:uid="{3B1B9976-359F-4F52-8E43-B25094F8D648}"/>
    <cellStyle name="Normal 22 3 10" xfId="12391" xr:uid="{D994A2E6-5AB0-4C39-9E94-1BDC31F1203B}"/>
    <cellStyle name="Normal 22 3 10 2" xfId="32732" xr:uid="{04C13E7B-A7A1-4FF4-92C0-58A54265EF50}"/>
    <cellStyle name="Normal 22 3 11" xfId="9130" xr:uid="{79AE4FBA-27AB-417E-A9A1-E226BD726B05}"/>
    <cellStyle name="Normal 22 3 11 2" xfId="29473" xr:uid="{CC9FBF4C-01B9-495A-BDDE-7F82A5C61FD1}"/>
    <cellStyle name="Normal 22 3 12" xfId="25979" xr:uid="{9A4E5567-709A-4625-ABFD-6314F561C1FC}"/>
    <cellStyle name="Normal 22 3 2" xfId="6212" xr:uid="{534D4C54-8CB5-4FF3-818A-ACD75BF2F144}"/>
    <cellStyle name="Normal 22 3 2 2" xfId="7370" xr:uid="{3469C680-59CD-40D5-9ADE-6D77A5B39DA0}"/>
    <cellStyle name="Normal 22 3 2 2 2" xfId="17656" xr:uid="{A1250AE7-5D55-43B3-9B28-8DB2BE8F6EBD}"/>
    <cellStyle name="Normal 22 3 2 2 2 2" xfId="37996" xr:uid="{3CBEE9B3-AACC-45EC-AAB6-40480C6C4060}"/>
    <cellStyle name="Normal 22 3 2 2 3" xfId="21158" xr:uid="{3635AE12-6883-41E3-9A63-53B8394495E4}"/>
    <cellStyle name="Normal 22 3 2 2 3 2" xfId="41497" xr:uid="{9A711471-BBCB-4A2C-9FFC-53A303B7FD5B}"/>
    <cellStyle name="Normal 22 3 2 2 4" xfId="24413" xr:uid="{38189BC2-0FFF-4F43-AB6F-03F0D1A7CBD1}"/>
    <cellStyle name="Normal 22 3 2 2 4 2" xfId="44748" xr:uid="{78187BFE-645F-4E3E-954C-EC561E9012C9}"/>
    <cellStyle name="Normal 22 3 2 2 5" xfId="14747" xr:uid="{3C8DB2C4-8F80-4FAD-A934-37D3460E1C24}"/>
    <cellStyle name="Normal 22 3 2 2 5 2" xfId="35088" xr:uid="{1829CBB2-FA93-4721-835E-A83797F2C16C}"/>
    <cellStyle name="Normal 22 3 2 2 6" xfId="10869" xr:uid="{A5EF7D8F-3FBD-476A-87AC-A3D76E0BF75A}"/>
    <cellStyle name="Normal 22 3 2 2 6 2" xfId="31212" xr:uid="{96A7E6F7-5EC8-49B4-90CA-4925929694AC}"/>
    <cellStyle name="Normal 22 3 2 2 7" xfId="27718" xr:uid="{F941F1A5-5DCA-4C55-930E-0BEC456B1701}"/>
    <cellStyle name="Normal 22 3 2 3" xfId="16498" xr:uid="{3B7C1BF7-10C2-4AE3-A35E-8578B433107A}"/>
    <cellStyle name="Normal 22 3 2 3 2" xfId="36838" xr:uid="{E8E20F04-EF2B-4233-B6B6-404E5BE511A2}"/>
    <cellStyle name="Normal 22 3 2 4" xfId="20000" xr:uid="{16949B96-A222-4EFA-BE15-2C9326308A08}"/>
    <cellStyle name="Normal 22 3 2 4 2" xfId="40339" xr:uid="{496A3B63-8D72-40AE-AF49-5D5E95A008C0}"/>
    <cellStyle name="Normal 22 3 2 5" xfId="23255" xr:uid="{6A9C8FA8-00EF-455D-BBC0-C52B4DDCD73A}"/>
    <cellStyle name="Normal 22 3 2 5 2" xfId="43590" xr:uid="{254FA8A0-53FA-44CA-A1DD-DF7076DBFC28}"/>
    <cellStyle name="Normal 22 3 2 6" xfId="13589" xr:uid="{B5FD57F8-2FFE-47F7-A8DC-F1CA026A1176}"/>
    <cellStyle name="Normal 22 3 2 6 2" xfId="33930" xr:uid="{D06D964C-8822-496C-90C3-BB308454DBFC}"/>
    <cellStyle name="Normal 22 3 2 7" xfId="9711" xr:uid="{6523E258-6487-4052-BD8E-FFD057011657}"/>
    <cellStyle name="Normal 22 3 2 7 2" xfId="30054" xr:uid="{28DA5379-00E4-4615-8EED-02CCD1BEA3DC}"/>
    <cellStyle name="Normal 22 3 2 8" xfId="26560" xr:uid="{366A2993-368B-4196-B391-DA1ED0B09652}"/>
    <cellStyle name="Normal 22 3 3" xfId="6789" xr:uid="{FBCB0418-D32A-4AB9-AAEB-7083CB9F5623}"/>
    <cellStyle name="Normal 22 3 3 2" xfId="17075" xr:uid="{7998F239-EB93-42E2-AB61-3C5B8A4966C6}"/>
    <cellStyle name="Normal 22 3 3 2 2" xfId="37415" xr:uid="{96B6D260-2882-4F09-AA1A-A2064A97329C}"/>
    <cellStyle name="Normal 22 3 3 3" xfId="20577" xr:uid="{C90D80D2-7C96-4E00-9016-B50F31172D0B}"/>
    <cellStyle name="Normal 22 3 3 3 2" xfId="40916" xr:uid="{C1F16439-305C-425D-9A4A-E08E568C1B76}"/>
    <cellStyle name="Normal 22 3 3 4" xfId="23832" xr:uid="{504D29F8-F85F-4B55-BDA1-C424F81F7F60}"/>
    <cellStyle name="Normal 22 3 3 4 2" xfId="44167" xr:uid="{D177D87C-E84F-40AF-9113-7BB374974F2E}"/>
    <cellStyle name="Normal 22 3 3 5" xfId="14166" xr:uid="{1458FC16-3C9C-4221-9DCF-F22F935B6B12}"/>
    <cellStyle name="Normal 22 3 3 5 2" xfId="34507" xr:uid="{F5807C37-DB7D-4A2D-9C38-0E2438DD5451}"/>
    <cellStyle name="Normal 22 3 3 6" xfId="10288" xr:uid="{693FA889-ED09-4041-9599-0458071C2323}"/>
    <cellStyle name="Normal 22 3 3 6 2" xfId="30631" xr:uid="{48F60BE2-1F31-4092-B49A-4B383E23CE63}"/>
    <cellStyle name="Normal 22 3 3 7" xfId="27137" xr:uid="{133FED0F-8094-4DD4-BB7E-93F1C690E59F}"/>
    <cellStyle name="Normal 22 3 4" xfId="7953" xr:uid="{1A4BF354-4BAB-4FC4-A346-A5423515E89D}"/>
    <cellStyle name="Normal 22 3 4 2" xfId="18238" xr:uid="{C86EC617-1E75-470D-BF05-E7321E60EBA4}"/>
    <cellStyle name="Normal 22 3 4 2 2" xfId="38578" xr:uid="{026A1056-7BA6-4EBA-B3DC-C39D83B5D266}"/>
    <cellStyle name="Normal 22 3 4 3" xfId="21740" xr:uid="{F99FAF2D-9C4D-4F20-89CF-D7B742E6CFBE}"/>
    <cellStyle name="Normal 22 3 4 3 2" xfId="42079" xr:uid="{186A8D1B-9D1B-4F7A-8E60-48EBBEA7A663}"/>
    <cellStyle name="Normal 22 3 4 4" xfId="24995" xr:uid="{C005D52D-216C-4DBB-AAFD-006A155EADF6}"/>
    <cellStyle name="Normal 22 3 4 4 2" xfId="45330" xr:uid="{C6E4958D-03BA-4E38-A4E8-D8C1068EB575}"/>
    <cellStyle name="Normal 22 3 4 5" xfId="15330" xr:uid="{D0BB583C-B557-4878-A833-482724D23BBD}"/>
    <cellStyle name="Normal 22 3 4 5 2" xfId="35670" xr:uid="{9EFFC2A1-EBEF-4B56-80DB-99A821F9A9F7}"/>
    <cellStyle name="Normal 22 3 4 6" xfId="11451" xr:uid="{BB1158AA-2DF2-4FAD-8D0E-66E078FC8058}"/>
    <cellStyle name="Normal 22 3 4 6 2" xfId="31794" xr:uid="{F78C512E-695E-450B-AE4B-B1B426890F1D}"/>
    <cellStyle name="Normal 22 3 4 7" xfId="28300" xr:uid="{A4F94636-EED2-4FFD-923A-6C9E20140A60}"/>
    <cellStyle name="Normal 22 3 5" xfId="13020" xr:uid="{137A7572-5F64-47CD-BEB2-5531AE40ED3C}"/>
    <cellStyle name="Normal 22 3 5 2" xfId="33361" xr:uid="{6E568332-B876-4944-ABFF-8BA45F223E67}"/>
    <cellStyle name="Normal 22 3 6" xfId="15917" xr:uid="{C2982768-DEDE-4313-AFFC-3DAEB631AF0E}"/>
    <cellStyle name="Normal 22 3 6 2" xfId="36257" xr:uid="{ABEB2528-FB2E-45E1-9DFF-5823281905B7}"/>
    <cellStyle name="Normal 22 3 7" xfId="18831" xr:uid="{12C0F7FA-96CB-4E4E-A17B-30390BB366F0}"/>
    <cellStyle name="Normal 22 3 7 2" xfId="39171" xr:uid="{CA3A5F2E-3386-4034-88A3-9239CA91E931}"/>
    <cellStyle name="Normal 22 3 8" xfId="19419" xr:uid="{4A1BE26E-FA4F-4C2A-B823-B3C1A3D5A44E}"/>
    <cellStyle name="Normal 22 3 8 2" xfId="39758" xr:uid="{99ED908D-F4B6-4573-A4B3-B1A9D226D335}"/>
    <cellStyle name="Normal 22 3 9" xfId="22674" xr:uid="{CD62AC04-0901-4551-BA77-A57987DEE514}"/>
    <cellStyle name="Normal 22 3 9 2" xfId="43009" xr:uid="{8708E8C4-5817-435B-9479-02D6F4DD594A}"/>
    <cellStyle name="Normal 22 4" xfId="5868" xr:uid="{ECC2640D-D8DD-45B1-9594-52A734B4FEA8}"/>
    <cellStyle name="Normal 22 4 2" xfId="7026" xr:uid="{5FDD2595-9107-4EB2-A6D8-B6A91409E440}"/>
    <cellStyle name="Normal 22 4 2 2" xfId="17312" xr:uid="{CC87B561-6E28-4C5D-BC09-E0F174BAC262}"/>
    <cellStyle name="Normal 22 4 2 2 2" xfId="37652" xr:uid="{264F87EE-2C05-40A1-9E14-A9A11DBA2190}"/>
    <cellStyle name="Normal 22 4 2 3" xfId="20814" xr:uid="{0D18F901-FFDF-4DC2-9B97-63B28320E050}"/>
    <cellStyle name="Normal 22 4 2 3 2" xfId="41153" xr:uid="{12852CA0-A072-43EC-BD80-CDE29D55BC58}"/>
    <cellStyle name="Normal 22 4 2 4" xfId="24069" xr:uid="{B88DA922-A436-46D3-B70B-977480C4ACD5}"/>
    <cellStyle name="Normal 22 4 2 4 2" xfId="44404" xr:uid="{D7D7EF9F-2519-4F79-9672-C3B1146B6B0D}"/>
    <cellStyle name="Normal 22 4 2 5" xfId="14403" xr:uid="{1297FB49-EA01-48D6-BBC9-C77A8AC90FBE}"/>
    <cellStyle name="Normal 22 4 2 5 2" xfId="34744" xr:uid="{C9C3684A-A9E5-43CC-8FF2-3A8BF65DFCC5}"/>
    <cellStyle name="Normal 22 4 2 6" xfId="10525" xr:uid="{D28FAF6C-8F62-4B34-A37C-BF7EF8579D4E}"/>
    <cellStyle name="Normal 22 4 2 6 2" xfId="30868" xr:uid="{F81720EA-22AA-4252-B4CD-543EC87C9A69}"/>
    <cellStyle name="Normal 22 4 2 7" xfId="27374" xr:uid="{CCDB118F-D10C-4608-B642-790027266A6A}"/>
    <cellStyle name="Normal 22 4 3" xfId="16154" xr:uid="{43D3F61A-4C9D-4D82-8F26-0671889B47C8}"/>
    <cellStyle name="Normal 22 4 3 2" xfId="36494" xr:uid="{3DBBDA91-6AE8-4BD0-B0E4-EBC9B90C06AC}"/>
    <cellStyle name="Normal 22 4 4" xfId="19656" xr:uid="{D14C38A8-DBFD-4D36-968A-1B696F971C8E}"/>
    <cellStyle name="Normal 22 4 4 2" xfId="39995" xr:uid="{A0A3E472-A263-4546-87EB-57E9D5592FA1}"/>
    <cellStyle name="Normal 22 4 5" xfId="22911" xr:uid="{F5A21727-E111-4B93-ABDE-7C0788B623B5}"/>
    <cellStyle name="Normal 22 4 5 2" xfId="43246" xr:uid="{C7CEC157-642F-49F6-B8B2-4E9E43086ED2}"/>
    <cellStyle name="Normal 22 4 6" xfId="13247" xr:uid="{5AE1FDDB-45D9-48D4-814B-988A5D910277}"/>
    <cellStyle name="Normal 22 4 6 2" xfId="33588" xr:uid="{DB100EAA-0524-4239-B015-0080FA630F48}"/>
    <cellStyle name="Normal 22 4 7" xfId="9367" xr:uid="{12A43718-7C53-448D-A097-8D214C84C693}"/>
    <cellStyle name="Normal 22 4 7 2" xfId="29710" xr:uid="{C8CECED0-E697-4662-8F95-5CDEAEC6B181}"/>
    <cellStyle name="Normal 22 4 8" xfId="26216" xr:uid="{A1ADD7B2-E4F2-4E6A-AA43-FCEA61C140A5}"/>
    <cellStyle name="Normal 22 5" xfId="6445" xr:uid="{8CA79BE0-5391-41D4-BC1A-E51EA8F98CF9}"/>
    <cellStyle name="Normal 22 5 2" xfId="16731" xr:uid="{469F03C0-81A8-44AC-87B5-0200585035B5}"/>
    <cellStyle name="Normal 22 5 2 2" xfId="37071" xr:uid="{8643E2EF-82D2-465B-8EDD-1E7E721B0CFD}"/>
    <cellStyle name="Normal 22 5 3" xfId="20233" xr:uid="{6592E0CD-BBA6-4D01-A4C4-FE0708F1DBFE}"/>
    <cellStyle name="Normal 22 5 3 2" xfId="40572" xr:uid="{B64C11D9-B865-4E32-8BF3-C7BACB01B893}"/>
    <cellStyle name="Normal 22 5 4" xfId="23488" xr:uid="{D5CA45DF-2016-46DA-8CDB-C1F308A132FD}"/>
    <cellStyle name="Normal 22 5 4 2" xfId="43823" xr:uid="{959B6ACB-E6C8-4D8A-A741-B09A76028FDB}"/>
    <cellStyle name="Normal 22 5 5" xfId="13822" xr:uid="{CCF91ED8-6A28-4F73-B337-51723AA453AA}"/>
    <cellStyle name="Normal 22 5 5 2" xfId="34163" xr:uid="{BF6FE0ED-E8F1-455A-B261-220059B023D8}"/>
    <cellStyle name="Normal 22 5 6" xfId="9944" xr:uid="{3464E2F5-98EC-4367-8547-FA9981B2A70B}"/>
    <cellStyle name="Normal 22 5 6 2" xfId="30287" xr:uid="{ADFD849D-E46E-4541-B7CF-63491E3D3FA5}"/>
    <cellStyle name="Normal 22 5 7" xfId="26793" xr:uid="{53ABA595-1F86-43EA-8FA1-FB477914EF09}"/>
    <cellStyle name="Normal 22 6" xfId="7609" xr:uid="{467DD94A-1628-4AC9-981F-1C18272DCCA9}"/>
    <cellStyle name="Normal 22 6 2" xfId="17894" xr:uid="{2558A1AA-7CFD-4275-A96B-CD3DA6EC6249}"/>
    <cellStyle name="Normal 22 6 2 2" xfId="38234" xr:uid="{3493D2D5-0F94-4668-9998-418D57B02538}"/>
    <cellStyle name="Normal 22 6 3" xfId="21396" xr:uid="{7063910B-75BC-473A-ADE5-5EC13461A3F3}"/>
    <cellStyle name="Normal 22 6 3 2" xfId="41735" xr:uid="{6EE7C1DC-B492-4060-8BE8-B981C935A9AD}"/>
    <cellStyle name="Normal 22 6 4" xfId="24651" xr:uid="{54B9D7F8-C907-4A12-91C5-2F3D75EE068E}"/>
    <cellStyle name="Normal 22 6 4 2" xfId="44986" xr:uid="{2C57E567-5F38-4AC4-88D3-03D06A318226}"/>
    <cellStyle name="Normal 22 6 5" xfId="14986" xr:uid="{F99B9D97-13F8-4500-95B0-1AB9713F5826}"/>
    <cellStyle name="Normal 22 6 5 2" xfId="35326" xr:uid="{0AE23C89-471C-4221-B7CB-9D2B9AD74AD6}"/>
    <cellStyle name="Normal 22 6 6" xfId="11107" xr:uid="{FA4A62A7-C490-46FC-ABA4-5C58B333990D}"/>
    <cellStyle name="Normal 22 6 6 2" xfId="31450" xr:uid="{64A3D334-AB24-45BB-92D3-72D7D7AC4AE1}"/>
    <cellStyle name="Normal 22 6 7" xfId="27956" xr:uid="{07FEA1E6-2BB7-4B21-9194-49AE49FF7B99}"/>
    <cellStyle name="Normal 22 7" xfId="12678" xr:uid="{2C91A6E9-C751-4EEE-9E28-53A43EB077F3}"/>
    <cellStyle name="Normal 22 7 2" xfId="33019" xr:uid="{2DEAABEF-5797-4691-A295-5816B04CA156}"/>
    <cellStyle name="Normal 22 8" xfId="15573" xr:uid="{E7BF8012-BC06-4E06-93DC-50DA8FB6AAEB}"/>
    <cellStyle name="Normal 22 8 2" xfId="35913" xr:uid="{6B16FAE4-C438-4C28-8444-9D83B9477CBE}"/>
    <cellStyle name="Normal 22 9" xfId="18487" xr:uid="{BEED295A-FBE9-44BB-B41A-C827EC4AD71B}"/>
    <cellStyle name="Normal 22 9 2" xfId="38827" xr:uid="{548A7AE4-D004-4F9F-9939-5556E84E81B7}"/>
    <cellStyle name="Normal 23" xfId="5318" xr:uid="{C092F598-5F10-491D-B691-D8C87E319144}"/>
    <cellStyle name="Normal 23 10" xfId="19076" xr:uid="{6673B380-E634-4F65-8886-8525DD18339A}"/>
    <cellStyle name="Normal 23 10 2" xfId="39415" xr:uid="{68FDE827-7219-4538-9BBF-CCE357A6D1A4}"/>
    <cellStyle name="Normal 23 11" xfId="22331" xr:uid="{AA0D9D60-21F9-431E-9087-FB62A0699A77}"/>
    <cellStyle name="Normal 23 11 2" xfId="42666" xr:uid="{695A74F9-4258-4C09-B401-65DD3A8138E6}"/>
    <cellStyle name="Normal 23 12" xfId="12048" xr:uid="{CA4AD043-3026-4EEE-BAFC-9CC10F3A88D4}"/>
    <cellStyle name="Normal 23 12 2" xfId="32389" xr:uid="{CB0F2AE9-ED65-44A8-AAE8-5DE292E787BC}"/>
    <cellStyle name="Normal 23 13" xfId="8787" xr:uid="{CF77BCC6-3C5B-42DD-A482-0676299E221E}"/>
    <cellStyle name="Normal 23 13 2" xfId="29130" xr:uid="{A4966E9F-B919-4D13-B5D4-0B8E37B08596}"/>
    <cellStyle name="Normal 23 14" xfId="25636" xr:uid="{787CBE67-CE99-4CEA-B1B2-796266512DFB}"/>
    <cellStyle name="Normal 23 2" xfId="5420" xr:uid="{0EDE1F21-2FBA-48D1-A864-B93675CB2879}"/>
    <cellStyle name="Normal 23 2 10" xfId="12163" xr:uid="{29771E99-EAA7-407F-9B9B-31476127D36F}"/>
    <cellStyle name="Normal 23 2 10 2" xfId="32504" xr:uid="{53B658C0-4F1F-4C86-9C19-7577CDE1F9EE}"/>
    <cellStyle name="Normal 23 2 11" xfId="8902" xr:uid="{33A7029F-6353-47C8-B160-FAF2C87348D4}"/>
    <cellStyle name="Normal 23 2 11 2" xfId="29245" xr:uid="{174D998A-BFC1-4FD0-B1B4-BF2C7E3F33AA}"/>
    <cellStyle name="Normal 23 2 12" xfId="25751" xr:uid="{7DB14972-5AC0-4DC4-8E77-551498D01F91}"/>
    <cellStyle name="Normal 23 2 2" xfId="5984" xr:uid="{D456B26F-4714-4C38-B493-F565343FB47A}"/>
    <cellStyle name="Normal 23 2 2 2" xfId="7142" xr:uid="{30EADE5F-1F06-4139-9938-6B700358C991}"/>
    <cellStyle name="Normal 23 2 2 2 2" xfId="17428" xr:uid="{D6046B0E-753B-4562-A1C2-409063E83C64}"/>
    <cellStyle name="Normal 23 2 2 2 2 2" xfId="37768" xr:uid="{18CF281D-AFDB-47B3-A9D2-F62FE433C15A}"/>
    <cellStyle name="Normal 23 2 2 2 3" xfId="20930" xr:uid="{1B29FD77-E188-4F76-BA20-A7D7453B4DDF}"/>
    <cellStyle name="Normal 23 2 2 2 3 2" xfId="41269" xr:uid="{EEB36C6F-86E1-42D8-9225-90A0D9E6B062}"/>
    <cellStyle name="Normal 23 2 2 2 4" xfId="24185" xr:uid="{706B0064-A0B6-4E52-95CB-8B1F111E809A}"/>
    <cellStyle name="Normal 23 2 2 2 4 2" xfId="44520" xr:uid="{20AA9CC2-E686-4E78-B4E6-F1A6FC2FB734}"/>
    <cellStyle name="Normal 23 2 2 2 5" xfId="14519" xr:uid="{CE27196E-7053-4681-BEA2-D5A374EBB905}"/>
    <cellStyle name="Normal 23 2 2 2 5 2" xfId="34860" xr:uid="{5A353F72-4657-4478-BC26-5C1A306A58DB}"/>
    <cellStyle name="Normal 23 2 2 2 6" xfId="10641" xr:uid="{4EBEE903-05F1-4FA0-BBDF-1BE2C5E6A781}"/>
    <cellStyle name="Normal 23 2 2 2 6 2" xfId="30984" xr:uid="{884206CC-9326-4B2D-A5DB-3C07D8D80846}"/>
    <cellStyle name="Normal 23 2 2 2 7" xfId="27490" xr:uid="{404A712F-DAC7-4FD9-AEDD-14FD32334A18}"/>
    <cellStyle name="Normal 23 2 2 3" xfId="16270" xr:uid="{A1FB932D-F08B-4074-AFDA-1D2A6BB00B24}"/>
    <cellStyle name="Normal 23 2 2 3 2" xfId="36610" xr:uid="{00F43FC1-B729-4E63-BFDA-701429F91D4D}"/>
    <cellStyle name="Normal 23 2 2 4" xfId="19772" xr:uid="{53805F5E-8733-456E-94F2-FD7B169FABC6}"/>
    <cellStyle name="Normal 23 2 2 4 2" xfId="40111" xr:uid="{A05B7137-80B3-4023-8AFD-F94042205846}"/>
    <cellStyle name="Normal 23 2 2 5" xfId="23027" xr:uid="{486C7A7D-C461-4064-9E7D-AA0DE0CB6C05}"/>
    <cellStyle name="Normal 23 2 2 5 2" xfId="43362" xr:uid="{6EF466A8-4B09-4D80-AED3-499D04A92F42}"/>
    <cellStyle name="Normal 23 2 2 6" xfId="13361" xr:uid="{1F7785CC-BBB5-4154-9387-C5A91DCA4CC6}"/>
    <cellStyle name="Normal 23 2 2 6 2" xfId="33702" xr:uid="{B9053670-0534-41F8-8BBF-06DC1CCA8CEF}"/>
    <cellStyle name="Normal 23 2 2 7" xfId="9483" xr:uid="{DA3597DB-08E6-4FE9-BB74-B6C5FF9DDE6E}"/>
    <cellStyle name="Normal 23 2 2 7 2" xfId="29826" xr:uid="{C0071D80-4204-49F6-9C01-6A77BADB1F0B}"/>
    <cellStyle name="Normal 23 2 2 8" xfId="26332" xr:uid="{74B26E6A-871B-4F21-A959-1B1B8C116A6C}"/>
    <cellStyle name="Normal 23 2 3" xfId="6561" xr:uid="{ABE817C0-C938-4F7D-A410-E69DE209092A}"/>
    <cellStyle name="Normal 23 2 3 2" xfId="16847" xr:uid="{046D1351-C256-410D-B2CC-C51AB0646B16}"/>
    <cellStyle name="Normal 23 2 3 2 2" xfId="37187" xr:uid="{67C6E83E-9498-483C-B4EE-1A1D252272E3}"/>
    <cellStyle name="Normal 23 2 3 3" xfId="20349" xr:uid="{293BF484-6EAC-40D9-B8FF-33929F54A29C}"/>
    <cellStyle name="Normal 23 2 3 3 2" xfId="40688" xr:uid="{FF1CCC43-3467-4918-BA89-9CCDD7B70B9B}"/>
    <cellStyle name="Normal 23 2 3 4" xfId="23604" xr:uid="{690DA536-2C9E-4AE3-A719-53F9DBA8B145}"/>
    <cellStyle name="Normal 23 2 3 4 2" xfId="43939" xr:uid="{010B1DB8-1C7E-44D8-BB8B-52B9C9B0BB1E}"/>
    <cellStyle name="Normal 23 2 3 5" xfId="13938" xr:uid="{2CB85208-68BC-4DCA-BE25-47F021EF5A7C}"/>
    <cellStyle name="Normal 23 2 3 5 2" xfId="34279" xr:uid="{7DEC6863-C922-47BB-8656-27495AF95006}"/>
    <cellStyle name="Normal 23 2 3 6" xfId="10060" xr:uid="{CEAE4FA3-3D46-464A-8C53-CD70A2039F07}"/>
    <cellStyle name="Normal 23 2 3 6 2" xfId="30403" xr:uid="{4905A91E-3D03-47D9-B4AE-B2D9EC9B73DB}"/>
    <cellStyle name="Normal 23 2 3 7" xfId="26909" xr:uid="{AFC139E7-6AF1-4332-9B57-EE76D9E94ECC}"/>
    <cellStyle name="Normal 23 2 4" xfId="7725" xr:uid="{A7283997-0C12-4D6E-99A1-61D7D4A6C7E8}"/>
    <cellStyle name="Normal 23 2 4 2" xfId="18010" xr:uid="{9E0242F2-180B-4389-B2BB-F1654E36D11B}"/>
    <cellStyle name="Normal 23 2 4 2 2" xfId="38350" xr:uid="{95F6DD24-8C56-468A-B725-15F87C3F718E}"/>
    <cellStyle name="Normal 23 2 4 3" xfId="21512" xr:uid="{7C46BB22-C2C4-42C7-ACE7-AB23BD3FF9FE}"/>
    <cellStyle name="Normal 23 2 4 3 2" xfId="41851" xr:uid="{A5997A0A-4BC2-4261-A840-DE3083E28A93}"/>
    <cellStyle name="Normal 23 2 4 4" xfId="24767" xr:uid="{F73FF3B3-D249-452F-B613-13C79A1551AC}"/>
    <cellStyle name="Normal 23 2 4 4 2" xfId="45102" xr:uid="{E41BF97D-1B2B-4C10-AC69-2F05CFF1F789}"/>
    <cellStyle name="Normal 23 2 4 5" xfId="15102" xr:uid="{AC8264E8-EDF0-4BF9-84F9-46A3641BF30D}"/>
    <cellStyle name="Normal 23 2 4 5 2" xfId="35442" xr:uid="{116EB184-E367-41FB-8B48-0961D8A6684A}"/>
    <cellStyle name="Normal 23 2 4 6" xfId="11223" xr:uid="{66A39FFF-B912-4385-A5B0-FA685C7CF01B}"/>
    <cellStyle name="Normal 23 2 4 6 2" xfId="31566" xr:uid="{02B9D335-D087-4525-B520-40956244B40C}"/>
    <cellStyle name="Normal 23 2 4 7" xfId="28072" xr:uid="{75F8F490-584F-431C-A19B-56631BE48871}"/>
    <cellStyle name="Normal 23 2 5" xfId="12792" xr:uid="{AEFC1BF4-F277-401E-B5DD-D3F646BE4E80}"/>
    <cellStyle name="Normal 23 2 5 2" xfId="33133" xr:uid="{344DED0F-7321-47FF-89BA-2F74956B28B5}"/>
    <cellStyle name="Normal 23 2 6" xfId="15689" xr:uid="{71F52BD2-D5E1-4948-A5A9-F54AED54C6B2}"/>
    <cellStyle name="Normal 23 2 6 2" xfId="36029" xr:uid="{94BEA8A4-2549-4424-A051-728E978BBE75}"/>
    <cellStyle name="Normal 23 2 7" xfId="18603" xr:uid="{228460B4-3EB2-4A14-A264-5EADFE05F021}"/>
    <cellStyle name="Normal 23 2 7 2" xfId="38943" xr:uid="{84589F44-0E09-45EC-A5DA-C9B9D5D9C05C}"/>
    <cellStyle name="Normal 23 2 8" xfId="19191" xr:uid="{DE1CC952-2CA9-4C32-AD16-6F9D19534299}"/>
    <cellStyle name="Normal 23 2 8 2" xfId="39530" xr:uid="{938F9CFB-416E-48BB-871F-B9FE93ABE6E1}"/>
    <cellStyle name="Normal 23 2 9" xfId="22446" xr:uid="{B448BE38-463B-4749-B0E8-48D06572A962}"/>
    <cellStyle name="Normal 23 2 9 2" xfId="42781" xr:uid="{6F6FFCA0-03A6-40D2-9606-EEB4CD004FD0}"/>
    <cellStyle name="Normal 23 3" xfId="5641" xr:uid="{D4B1956C-16B2-4D01-AC32-6CA242335684}"/>
    <cellStyle name="Normal 23 3 10" xfId="12392" xr:uid="{C07E2F67-8B7E-46B9-9251-D60258B14AA3}"/>
    <cellStyle name="Normal 23 3 10 2" xfId="32733" xr:uid="{395C99C7-8C72-4FFE-8BDE-39509BD7B238}"/>
    <cellStyle name="Normal 23 3 11" xfId="9131" xr:uid="{5EACB4BF-C85F-40CF-860C-F3477EF2D14E}"/>
    <cellStyle name="Normal 23 3 11 2" xfId="29474" xr:uid="{9A6F86BF-2C29-4A53-8897-87F88D7E817C}"/>
    <cellStyle name="Normal 23 3 12" xfId="25980" xr:uid="{D5E0A342-C8BC-49AA-A4E2-A3C5AA9CAD4C}"/>
    <cellStyle name="Normal 23 3 2" xfId="6213" xr:uid="{970FC233-377F-4C51-ACA9-0ED7ADE86550}"/>
    <cellStyle name="Normal 23 3 2 2" xfId="7371" xr:uid="{18E5DD0B-3E77-4B07-A3C3-AF5450D4D5AF}"/>
    <cellStyle name="Normal 23 3 2 2 2" xfId="17657" xr:uid="{C278B1CB-6E67-4EF2-A397-2AA4EA1C1242}"/>
    <cellStyle name="Normal 23 3 2 2 2 2" xfId="37997" xr:uid="{BF24A2AE-4A09-40F5-BC6F-8511BE3745B3}"/>
    <cellStyle name="Normal 23 3 2 2 3" xfId="21159" xr:uid="{20B2841B-6EF6-4B09-A7E4-049CCE0DC24F}"/>
    <cellStyle name="Normal 23 3 2 2 3 2" xfId="41498" xr:uid="{B3A575DF-5A1B-43E3-95EF-DFB69FD20648}"/>
    <cellStyle name="Normal 23 3 2 2 4" xfId="24414" xr:uid="{09C53DD3-CA2F-4C8E-884E-FEFFFECCC4B7}"/>
    <cellStyle name="Normal 23 3 2 2 4 2" xfId="44749" xr:uid="{C14402DD-FF43-450A-8F59-5F03791A92D3}"/>
    <cellStyle name="Normal 23 3 2 2 5" xfId="14748" xr:uid="{2239EE11-14F9-46B4-ABDD-66AF37860FE0}"/>
    <cellStyle name="Normal 23 3 2 2 5 2" xfId="35089" xr:uid="{C5AE2D99-29E6-42D4-9F9B-4E8BDFA71A2F}"/>
    <cellStyle name="Normal 23 3 2 2 6" xfId="10870" xr:uid="{9E7F5870-1B68-4BB3-B147-A0C4FD3C44BE}"/>
    <cellStyle name="Normal 23 3 2 2 6 2" xfId="31213" xr:uid="{CAD72DC9-70DB-4DBE-B4DC-B36AB7B56B1A}"/>
    <cellStyle name="Normal 23 3 2 2 7" xfId="27719" xr:uid="{07E4AC6E-55E5-4A1C-AB82-0C85892260D7}"/>
    <cellStyle name="Normal 23 3 2 3" xfId="16499" xr:uid="{6509A565-0CBC-4F42-8809-53BA2827D1EA}"/>
    <cellStyle name="Normal 23 3 2 3 2" xfId="36839" xr:uid="{C6734A3E-4EC1-4333-956B-4729C4992362}"/>
    <cellStyle name="Normal 23 3 2 4" xfId="20001" xr:uid="{FF10C638-F35E-44E9-B014-2F413A28F3ED}"/>
    <cellStyle name="Normal 23 3 2 4 2" xfId="40340" xr:uid="{0466BCD1-069F-4991-875D-82B1E80C9EEE}"/>
    <cellStyle name="Normal 23 3 2 5" xfId="23256" xr:uid="{D1411684-243F-4FC1-A66A-7FB14F327498}"/>
    <cellStyle name="Normal 23 3 2 5 2" xfId="43591" xr:uid="{C92D90F2-525B-4F24-BBED-CF2409A2E5EF}"/>
    <cellStyle name="Normal 23 3 2 6" xfId="13590" xr:uid="{8C2DB348-CEFA-42FE-9004-240307A99F22}"/>
    <cellStyle name="Normal 23 3 2 6 2" xfId="33931" xr:uid="{B309D068-CEC8-4A84-B796-4E65363BCE0C}"/>
    <cellStyle name="Normal 23 3 2 7" xfId="9712" xr:uid="{DAF97D8F-5801-4933-9049-C2599059F551}"/>
    <cellStyle name="Normal 23 3 2 7 2" xfId="30055" xr:uid="{EB909973-CCD9-4B0F-A8AD-F6966C1D0B6B}"/>
    <cellStyle name="Normal 23 3 2 8" xfId="26561" xr:uid="{40EB6EAB-722A-4728-B71F-D2B26A365A13}"/>
    <cellStyle name="Normal 23 3 3" xfId="6790" xr:uid="{A5D5AA48-25E7-44A6-8E2C-D947AB10A547}"/>
    <cellStyle name="Normal 23 3 3 2" xfId="17076" xr:uid="{AB4A41AC-84AE-467B-B570-7EFC7F5E23CB}"/>
    <cellStyle name="Normal 23 3 3 2 2" xfId="37416" xr:uid="{CCB8AED5-8A47-4DA9-98DC-36EA5FF76E65}"/>
    <cellStyle name="Normal 23 3 3 3" xfId="20578" xr:uid="{04C83636-51F0-4262-9D67-33EAD8416742}"/>
    <cellStyle name="Normal 23 3 3 3 2" xfId="40917" xr:uid="{7757B314-C07A-42C0-A472-E7EC36A8E474}"/>
    <cellStyle name="Normal 23 3 3 4" xfId="23833" xr:uid="{D3AD448D-0E36-4105-ACD9-2D685E3BBB76}"/>
    <cellStyle name="Normal 23 3 3 4 2" xfId="44168" xr:uid="{085833EF-F920-409E-8943-5E95FEDA9790}"/>
    <cellStyle name="Normal 23 3 3 5" xfId="14167" xr:uid="{5A1E202F-80CB-4D25-8963-AB9ABC1C6991}"/>
    <cellStyle name="Normal 23 3 3 5 2" xfId="34508" xr:uid="{6470E0EC-AD40-4193-8A3E-86A986614580}"/>
    <cellStyle name="Normal 23 3 3 6" xfId="10289" xr:uid="{DADC72A4-58DC-4428-A98E-B02B95D1AAE1}"/>
    <cellStyle name="Normal 23 3 3 6 2" xfId="30632" xr:uid="{F4764FB6-887B-4A49-9C5B-957BA0E93A74}"/>
    <cellStyle name="Normal 23 3 3 7" xfId="27138" xr:uid="{23E317E3-ADC6-488E-AF12-5B4A935B0BE7}"/>
    <cellStyle name="Normal 23 3 4" xfId="7954" xr:uid="{1EA98BA7-1E7F-485E-A173-4E5283C6A1FB}"/>
    <cellStyle name="Normal 23 3 4 2" xfId="18239" xr:uid="{11F50736-7DD9-41BF-A09F-EA4A1FC1723B}"/>
    <cellStyle name="Normal 23 3 4 2 2" xfId="38579" xr:uid="{57CBCF17-624D-47E6-B447-EA67A59D261E}"/>
    <cellStyle name="Normal 23 3 4 3" xfId="21741" xr:uid="{66E5DE42-FB3A-4F2D-9356-7434CBF808CD}"/>
    <cellStyle name="Normal 23 3 4 3 2" xfId="42080" xr:uid="{39F7C6F9-3A17-4BDE-A02B-53A0162A0C40}"/>
    <cellStyle name="Normal 23 3 4 4" xfId="24996" xr:uid="{A66AF897-5C57-4575-9F34-CBBF42BC277D}"/>
    <cellStyle name="Normal 23 3 4 4 2" xfId="45331" xr:uid="{46721AC8-A311-49A2-B0C8-19E1D9B88C51}"/>
    <cellStyle name="Normal 23 3 4 5" xfId="15331" xr:uid="{24A76CB9-400C-4C80-B281-BE9311AC1B7B}"/>
    <cellStyle name="Normal 23 3 4 5 2" xfId="35671" xr:uid="{2C4260F0-9D9D-4AA4-AA1B-108732210F24}"/>
    <cellStyle name="Normal 23 3 4 6" xfId="11452" xr:uid="{BAB745D4-208F-4CFA-8D91-E0F94B03ACA1}"/>
    <cellStyle name="Normal 23 3 4 6 2" xfId="31795" xr:uid="{22345C53-4534-49B0-BC48-880F085F52F6}"/>
    <cellStyle name="Normal 23 3 4 7" xfId="28301" xr:uid="{BF285BA2-4BE9-4114-93B5-7884522C6F60}"/>
    <cellStyle name="Normal 23 3 5" xfId="13021" xr:uid="{6A22AEDF-E8BB-4871-B42F-5AF29F9E9A36}"/>
    <cellStyle name="Normal 23 3 5 2" xfId="33362" xr:uid="{A25526C7-7E04-45E5-B985-491D30499384}"/>
    <cellStyle name="Normal 23 3 6" xfId="15918" xr:uid="{A1305CB9-8DFC-4556-86DF-96B79F5336D0}"/>
    <cellStyle name="Normal 23 3 6 2" xfId="36258" xr:uid="{DC0DA5E2-9262-4E74-BEC8-1B576D32FE1A}"/>
    <cellStyle name="Normal 23 3 7" xfId="18832" xr:uid="{048F703E-4DB6-4117-BE7B-209F646DFE30}"/>
    <cellStyle name="Normal 23 3 7 2" xfId="39172" xr:uid="{13F0B15F-E19D-47BE-9248-4223B44ACC30}"/>
    <cellStyle name="Normal 23 3 8" xfId="19420" xr:uid="{2CCBC9DA-3AAC-446E-94FC-2F0D2C081FAB}"/>
    <cellStyle name="Normal 23 3 8 2" xfId="39759" xr:uid="{E90F5B18-62C7-4D18-BF67-6903927CE210}"/>
    <cellStyle name="Normal 23 3 9" xfId="22675" xr:uid="{710D3EE9-1F3A-4D7A-ACE9-6BDE5E7771EB}"/>
    <cellStyle name="Normal 23 3 9 2" xfId="43010" xr:uid="{8A6423BD-DB0C-4636-B6E1-BD58EBE85866}"/>
    <cellStyle name="Normal 23 4" xfId="5869" xr:uid="{9F896DF7-C342-44EB-9BC3-82153AE1F646}"/>
    <cellStyle name="Normal 23 4 2" xfId="7027" xr:uid="{E2F13310-DFD5-463D-820B-BABB9E938DCB}"/>
    <cellStyle name="Normal 23 4 2 2" xfId="17313" xr:uid="{EE3AB4B6-DAD5-4D3A-9DDE-2FFD4D39A327}"/>
    <cellStyle name="Normal 23 4 2 2 2" xfId="37653" xr:uid="{61FDEA8F-0BB8-4E88-B9BA-3584CA1BD1E4}"/>
    <cellStyle name="Normal 23 4 2 3" xfId="20815" xr:uid="{3F78F42C-FA7C-405F-81E6-141F5E4D3E16}"/>
    <cellStyle name="Normal 23 4 2 3 2" xfId="41154" xr:uid="{3E1AC219-A8C7-474E-9A72-22FE678D9C56}"/>
    <cellStyle name="Normal 23 4 2 4" xfId="24070" xr:uid="{5CEAC758-20D7-4815-A8A6-3C58EDC61964}"/>
    <cellStyle name="Normal 23 4 2 4 2" xfId="44405" xr:uid="{145F41E2-CC9F-44FA-BB03-7E7701C6A82A}"/>
    <cellStyle name="Normal 23 4 2 5" xfId="14404" xr:uid="{56BD79DF-7B78-4A93-BBCC-E6C23E820ECB}"/>
    <cellStyle name="Normal 23 4 2 5 2" xfId="34745" xr:uid="{38956BFC-7131-44C5-B5F3-EACE0C5D1680}"/>
    <cellStyle name="Normal 23 4 2 6" xfId="10526" xr:uid="{111D02FC-BEAB-4531-BF10-ABDE879B25C0}"/>
    <cellStyle name="Normal 23 4 2 6 2" xfId="30869" xr:uid="{73A4D744-EA35-4432-9AB1-AC9F03CB7D83}"/>
    <cellStyle name="Normal 23 4 2 7" xfId="27375" xr:uid="{53A84F9F-1435-459E-AF67-F6F4251F3AAE}"/>
    <cellStyle name="Normal 23 4 3" xfId="16155" xr:uid="{24F60B95-7ADA-4ECA-8A6F-0F7D4E156C06}"/>
    <cellStyle name="Normal 23 4 3 2" xfId="36495" xr:uid="{4D524971-BEA6-47B7-B7AB-8CF445F7381B}"/>
    <cellStyle name="Normal 23 4 4" xfId="19657" xr:uid="{F9CF5E56-B775-4E80-AD90-C8C0F41C8342}"/>
    <cellStyle name="Normal 23 4 4 2" xfId="39996" xr:uid="{8567A18C-983E-46F2-B9FA-4096036896CF}"/>
    <cellStyle name="Normal 23 4 5" xfId="22912" xr:uid="{6AFD11DA-DC9D-4445-92F1-4E673C55D95B}"/>
    <cellStyle name="Normal 23 4 5 2" xfId="43247" xr:uid="{B6BDA2F2-5B71-453C-950D-146AAD6A45C7}"/>
    <cellStyle name="Normal 23 4 6" xfId="13248" xr:uid="{D2A92B51-A161-4CBC-A3EC-FC87D6BEAC13}"/>
    <cellStyle name="Normal 23 4 6 2" xfId="33589" xr:uid="{7FEB4AA6-E4FC-43CA-9F3E-F6751DEDF40E}"/>
    <cellStyle name="Normal 23 4 7" xfId="9368" xr:uid="{48C88E2B-0121-4A0A-83E0-323052508F83}"/>
    <cellStyle name="Normal 23 4 7 2" xfId="29711" xr:uid="{CEADF18D-E8A4-45FE-972C-4661FD00AF20}"/>
    <cellStyle name="Normal 23 4 8" xfId="26217" xr:uid="{B93BD5E9-760A-467F-9879-248F98579330}"/>
    <cellStyle name="Normal 23 5" xfId="6446" xr:uid="{4B3375F1-7AA5-4898-9B99-3D1380156504}"/>
    <cellStyle name="Normal 23 5 2" xfId="16732" xr:uid="{BBF9E152-DCCB-4011-8263-3E53402358F5}"/>
    <cellStyle name="Normal 23 5 2 2" xfId="37072" xr:uid="{F3E68166-95C6-4692-8B23-20E404E566EC}"/>
    <cellStyle name="Normal 23 5 3" xfId="20234" xr:uid="{0A5A8203-5E97-47FB-9A8E-16A35DADF243}"/>
    <cellStyle name="Normal 23 5 3 2" xfId="40573" xr:uid="{DCBF0D06-0318-4DEB-AE64-7D4E70F302B2}"/>
    <cellStyle name="Normal 23 5 4" xfId="23489" xr:uid="{7740CB9E-366A-43CB-BE6A-3FE2EAB9F6D5}"/>
    <cellStyle name="Normal 23 5 4 2" xfId="43824" xr:uid="{5D33427D-77FC-41AA-9F2B-2FA7936B912B}"/>
    <cellStyle name="Normal 23 5 5" xfId="13823" xr:uid="{91A9CAD9-8811-47BD-A933-1F7945101547}"/>
    <cellStyle name="Normal 23 5 5 2" xfId="34164" xr:uid="{61A276E0-B198-4FE6-88B8-1FC886674877}"/>
    <cellStyle name="Normal 23 5 6" xfId="9945" xr:uid="{13923734-6C06-41FF-9EFF-5688B0ACEA8A}"/>
    <cellStyle name="Normal 23 5 6 2" xfId="30288" xr:uid="{B0AE82FD-DA64-4D44-9DDB-5D6CCA993094}"/>
    <cellStyle name="Normal 23 5 7" xfId="26794" xr:uid="{8CC176FB-47B8-4305-8CF1-E6BE2BDB4B08}"/>
    <cellStyle name="Normal 23 6" xfId="7610" xr:uid="{9021E3C4-1180-4CA7-936C-DE9279FC5DB8}"/>
    <cellStyle name="Normal 23 6 2" xfId="17895" xr:uid="{A1D1F339-5FC3-4F2D-92CC-A7B8B9EE6DCE}"/>
    <cellStyle name="Normal 23 6 2 2" xfId="38235" xr:uid="{9DCCFD74-45B8-42AC-974E-8DB0D1BA59A6}"/>
    <cellStyle name="Normal 23 6 3" xfId="21397" xr:uid="{C3858F9F-65BD-4F01-8643-04C9538F3800}"/>
    <cellStyle name="Normal 23 6 3 2" xfId="41736" xr:uid="{F984BE9D-EAFF-4297-9C0C-BF67227F9CF6}"/>
    <cellStyle name="Normal 23 6 4" xfId="24652" xr:uid="{22034297-96DC-4B3F-B475-2C4B3DFBA499}"/>
    <cellStyle name="Normal 23 6 4 2" xfId="44987" xr:uid="{1C6A27DB-8975-4BD5-AB03-196BDCE3AB17}"/>
    <cellStyle name="Normal 23 6 5" xfId="14987" xr:uid="{4718A739-6875-4AD0-9964-CB9874A6F66F}"/>
    <cellStyle name="Normal 23 6 5 2" xfId="35327" xr:uid="{8A876E7C-AD1C-4663-848A-91815A3BB23D}"/>
    <cellStyle name="Normal 23 6 6" xfId="11108" xr:uid="{55FD05D5-FE9C-4C78-BE4C-0ED1F91FD8B7}"/>
    <cellStyle name="Normal 23 6 6 2" xfId="31451" xr:uid="{E6D887A7-4B40-405A-8C84-4E6C6957FE83}"/>
    <cellStyle name="Normal 23 6 7" xfId="27957" xr:uid="{C21116C3-00EE-4F16-BA83-BFAE5D47C05C}"/>
    <cellStyle name="Normal 23 7" xfId="12679" xr:uid="{87FE541F-1524-4AD1-8F02-F16BD959BC7C}"/>
    <cellStyle name="Normal 23 7 2" xfId="33020" xr:uid="{A63EF210-32A1-4620-BC66-0538F3B1562A}"/>
    <cellStyle name="Normal 23 8" xfId="15574" xr:uid="{9F23DA0F-A044-4BB3-8A30-7748F9BE57DB}"/>
    <cellStyle name="Normal 23 8 2" xfId="35914" xr:uid="{3DC8A9F2-DF76-4320-BE8B-1BDB8B55A984}"/>
    <cellStyle name="Normal 23 9" xfId="18488" xr:uid="{E5875F4E-B645-4A7F-8AD0-2683336C8B1F}"/>
    <cellStyle name="Normal 23 9 2" xfId="38828" xr:uid="{70BBAD98-0776-4B35-93CF-8C3441D583B2}"/>
    <cellStyle name="Normal 24" xfId="5319" xr:uid="{4B4723DE-8F73-4174-80FC-16A8CD24F837}"/>
    <cellStyle name="Normal 24 10" xfId="19077" xr:uid="{B896910B-5F23-428F-BB63-725EDB8B2C6F}"/>
    <cellStyle name="Normal 24 10 2" xfId="39416" xr:uid="{8A371BA5-DCAD-42A6-98D9-B17560A416AA}"/>
    <cellStyle name="Normal 24 11" xfId="22332" xr:uid="{E8477E54-8069-4600-9594-9C061C2CEA45}"/>
    <cellStyle name="Normal 24 11 2" xfId="42667" xr:uid="{615EDAC9-D207-4713-A99F-180AA847DE48}"/>
    <cellStyle name="Normal 24 12" xfId="12049" xr:uid="{8FBCD4E5-7BE1-4199-BD4D-F9D489191C0A}"/>
    <cellStyle name="Normal 24 12 2" xfId="32390" xr:uid="{9407BC5E-A3D8-46C8-A404-59B837A97658}"/>
    <cellStyle name="Normal 24 13" xfId="8788" xr:uid="{C8A2EA31-0C7E-4E41-90D5-C1D69180F674}"/>
    <cellStyle name="Normal 24 13 2" xfId="29131" xr:uid="{5BD44CE9-E147-4CBC-B8BC-D56A1AE91042}"/>
    <cellStyle name="Normal 24 14" xfId="25637" xr:uid="{D38FAD70-280B-442A-8255-2C8E56ABB391}"/>
    <cellStyle name="Normal 24 2" xfId="5421" xr:uid="{2AF66F77-FAB1-484E-8828-EAB925F8C8D8}"/>
    <cellStyle name="Normal 24 2 10" xfId="12164" xr:uid="{DFF78375-BC84-4052-A2AC-BAFA860616EA}"/>
    <cellStyle name="Normal 24 2 10 2" xfId="32505" xr:uid="{AF19CBA6-8704-4185-B450-595B511157EE}"/>
    <cellStyle name="Normal 24 2 11" xfId="8903" xr:uid="{87ED21E7-B8F3-48D5-A008-684F3407D739}"/>
    <cellStyle name="Normal 24 2 11 2" xfId="29246" xr:uid="{8EBB7867-F6C8-4777-8590-A749741B0F7F}"/>
    <cellStyle name="Normal 24 2 12" xfId="25752" xr:uid="{94DA0DB2-A53A-450D-8A1F-3AC7DF3C9253}"/>
    <cellStyle name="Normal 24 2 2" xfId="5985" xr:uid="{CC8075B8-1113-4C1D-A54E-C2CD9C91D854}"/>
    <cellStyle name="Normal 24 2 2 2" xfId="7143" xr:uid="{32E8C4F3-F844-4694-9E31-8BF13537B65C}"/>
    <cellStyle name="Normal 24 2 2 2 2" xfId="17429" xr:uid="{016B169F-D2FF-4190-846D-2AF36E2D64BF}"/>
    <cellStyle name="Normal 24 2 2 2 2 2" xfId="37769" xr:uid="{CE92A5D5-E04D-462D-BDD5-18C90A14C61A}"/>
    <cellStyle name="Normal 24 2 2 2 3" xfId="20931" xr:uid="{3985F728-C0EF-4B16-9AC1-6BA12F34B630}"/>
    <cellStyle name="Normal 24 2 2 2 3 2" xfId="41270" xr:uid="{CCF76408-AAB9-4C31-9BE5-D14C275EEE6D}"/>
    <cellStyle name="Normal 24 2 2 2 4" xfId="24186" xr:uid="{24F09AB8-4B34-48A4-B2DD-C4E55E12FADF}"/>
    <cellStyle name="Normal 24 2 2 2 4 2" xfId="44521" xr:uid="{6F3D3603-2359-49BE-BE47-F63990F8A3E9}"/>
    <cellStyle name="Normal 24 2 2 2 5" xfId="14520" xr:uid="{2822693B-6FF6-495C-B2BA-36E7BEE503CC}"/>
    <cellStyle name="Normal 24 2 2 2 5 2" xfId="34861" xr:uid="{CD9C7D6C-0230-42A5-9AF1-F968692EF25F}"/>
    <cellStyle name="Normal 24 2 2 2 6" xfId="10642" xr:uid="{D8E13C6E-1E22-4486-B4B7-7BABB00A557D}"/>
    <cellStyle name="Normal 24 2 2 2 6 2" xfId="30985" xr:uid="{F1C821CE-F377-4985-87B6-7F91DE8E1A6D}"/>
    <cellStyle name="Normal 24 2 2 2 7" xfId="27491" xr:uid="{930514F0-E6C2-4E52-82AE-CAC94D331681}"/>
    <cellStyle name="Normal 24 2 2 3" xfId="16271" xr:uid="{7653E195-1F49-4B85-B031-ADB4041D53EC}"/>
    <cellStyle name="Normal 24 2 2 3 2" xfId="36611" xr:uid="{E590F0D5-41AA-4156-8B2E-1B0D30C21592}"/>
    <cellStyle name="Normal 24 2 2 4" xfId="19773" xr:uid="{343F7F61-24CA-4987-A444-F3392061849E}"/>
    <cellStyle name="Normal 24 2 2 4 2" xfId="40112" xr:uid="{32CFF4C4-3D28-4601-9809-94018E9FC98B}"/>
    <cellStyle name="Normal 24 2 2 5" xfId="23028" xr:uid="{83FBF29F-A5E8-4F83-9E82-993C3BADFD44}"/>
    <cellStyle name="Normal 24 2 2 5 2" xfId="43363" xr:uid="{85D28292-2D34-4425-9CFD-47C3D28831E3}"/>
    <cellStyle name="Normal 24 2 2 6" xfId="13362" xr:uid="{5EE8C641-22F9-4AB1-BCE8-0EB535E2A6A4}"/>
    <cellStyle name="Normal 24 2 2 6 2" xfId="33703" xr:uid="{20972042-3741-4E0D-BC07-8F3F86F0D969}"/>
    <cellStyle name="Normal 24 2 2 7" xfId="9484" xr:uid="{2167EBDC-A6C1-41F8-BD65-A5AA1A9CBC0B}"/>
    <cellStyle name="Normal 24 2 2 7 2" xfId="29827" xr:uid="{40F821F5-9F99-484D-8B70-5C5C0A02B764}"/>
    <cellStyle name="Normal 24 2 2 8" xfId="26333" xr:uid="{895714AA-B090-4B25-8CBE-34107BB51444}"/>
    <cellStyle name="Normal 24 2 3" xfId="6562" xr:uid="{42E0A9D1-C72D-4657-8440-665671819E81}"/>
    <cellStyle name="Normal 24 2 3 2" xfId="16848" xr:uid="{C089D2F7-91E1-4674-B882-9A40BBDABD68}"/>
    <cellStyle name="Normal 24 2 3 2 2" xfId="37188" xr:uid="{B13544B5-D4B9-4F23-8806-67EAFC781295}"/>
    <cellStyle name="Normal 24 2 3 3" xfId="20350" xr:uid="{BDBD0F79-A9B2-43DB-AB14-3019B8B80956}"/>
    <cellStyle name="Normal 24 2 3 3 2" xfId="40689" xr:uid="{119D98EE-C25A-4FC2-9F2B-54EAEE412B8B}"/>
    <cellStyle name="Normal 24 2 3 4" xfId="23605" xr:uid="{DB7AABD2-AC3C-4278-A685-A86C3DBD7C2E}"/>
    <cellStyle name="Normal 24 2 3 4 2" xfId="43940" xr:uid="{9DF707CE-E077-4860-95C4-06A3621FE83A}"/>
    <cellStyle name="Normal 24 2 3 5" xfId="13939" xr:uid="{DE428BC4-6389-45D6-8087-9B0504277041}"/>
    <cellStyle name="Normal 24 2 3 5 2" xfId="34280" xr:uid="{A8343330-5578-4620-9B27-D3D0DCA2EB3E}"/>
    <cellStyle name="Normal 24 2 3 6" xfId="10061" xr:uid="{56C76577-8ACF-40DC-84DC-0DE3A05DB5C8}"/>
    <cellStyle name="Normal 24 2 3 6 2" xfId="30404" xr:uid="{A3D5C6ED-8DC2-4EBE-A41A-5C19C4071BC8}"/>
    <cellStyle name="Normal 24 2 3 7" xfId="26910" xr:uid="{83C13415-A5E1-4F20-ABEE-63293BE71C69}"/>
    <cellStyle name="Normal 24 2 4" xfId="7726" xr:uid="{FFE37509-A735-4075-A267-62FF5998DE51}"/>
    <cellStyle name="Normal 24 2 4 2" xfId="18011" xr:uid="{E25FA497-A42A-4E27-9572-134020C4CF61}"/>
    <cellStyle name="Normal 24 2 4 2 2" xfId="38351" xr:uid="{038FD6C5-9B05-4569-89E2-BEE8F15C6D6A}"/>
    <cellStyle name="Normal 24 2 4 3" xfId="21513" xr:uid="{246B4056-BC4B-4EDB-821B-920699331751}"/>
    <cellStyle name="Normal 24 2 4 3 2" xfId="41852" xr:uid="{1F2B0D06-D0AF-42E6-B19A-7DBAABCA792E}"/>
    <cellStyle name="Normal 24 2 4 4" xfId="24768" xr:uid="{13A1ED53-420A-41EF-8A6A-8C6F36E6A50B}"/>
    <cellStyle name="Normal 24 2 4 4 2" xfId="45103" xr:uid="{A508C855-1C86-4EB4-89C6-527FD258CA4E}"/>
    <cellStyle name="Normal 24 2 4 5" xfId="15103" xr:uid="{FB4146A9-4BF5-447F-8E85-D75E8E609ABE}"/>
    <cellStyle name="Normal 24 2 4 5 2" xfId="35443" xr:uid="{0225C2B6-AA18-42CA-BE13-E21980D6736B}"/>
    <cellStyle name="Normal 24 2 4 6" xfId="11224" xr:uid="{C0D5F4F8-0DA3-4A5D-A132-5B1E0BD27907}"/>
    <cellStyle name="Normal 24 2 4 6 2" xfId="31567" xr:uid="{94763E93-BFED-4428-AB66-9B9D79E3F46E}"/>
    <cellStyle name="Normal 24 2 4 7" xfId="28073" xr:uid="{064A3333-2A0C-44F0-8563-83EFF403AE2E}"/>
    <cellStyle name="Normal 24 2 5" xfId="12793" xr:uid="{799BF834-BE47-4B6C-924C-8061799CDD23}"/>
    <cellStyle name="Normal 24 2 5 2" xfId="33134" xr:uid="{AD16BCF1-F49F-4A33-9878-6010DF0FAFB5}"/>
    <cellStyle name="Normal 24 2 6" xfId="15690" xr:uid="{B349CE49-3163-476F-9F68-4B1612A26DF2}"/>
    <cellStyle name="Normal 24 2 6 2" xfId="36030" xr:uid="{228DDBB7-6C34-4869-BE51-C90348037221}"/>
    <cellStyle name="Normal 24 2 7" xfId="18604" xr:uid="{B1BCED06-9EF0-4B73-9F00-13D0774AE9CF}"/>
    <cellStyle name="Normal 24 2 7 2" xfId="38944" xr:uid="{89CAF906-54EC-4BA3-B909-5B9D8784F304}"/>
    <cellStyle name="Normal 24 2 8" xfId="19192" xr:uid="{23A3BEB4-41CE-4CDE-91B7-4B6A969FF5B0}"/>
    <cellStyle name="Normal 24 2 8 2" xfId="39531" xr:uid="{6C2964C6-2753-4CEF-90FC-F505CD12158E}"/>
    <cellStyle name="Normal 24 2 9" xfId="22447" xr:uid="{F3CC5334-84BD-4D69-B5BE-DA6019EA2FDD}"/>
    <cellStyle name="Normal 24 2 9 2" xfId="42782" xr:uid="{4C07D532-F5BB-4BDE-9B19-AA9458F4C2C2}"/>
    <cellStyle name="Normal 24 3" xfId="5642" xr:uid="{158828EB-A355-4DF1-8332-81953833445D}"/>
    <cellStyle name="Normal 24 3 10" xfId="12393" xr:uid="{E003797E-3DBB-4747-8F8B-BDB538ABED4C}"/>
    <cellStyle name="Normal 24 3 10 2" xfId="32734" xr:uid="{ABF1889A-27EE-4194-A541-4950416A436A}"/>
    <cellStyle name="Normal 24 3 11" xfId="9132" xr:uid="{D029E2B1-2A6F-4754-BB89-8FF267D757BE}"/>
    <cellStyle name="Normal 24 3 11 2" xfId="29475" xr:uid="{F26619C3-4091-4591-87C6-E756DE0829AF}"/>
    <cellStyle name="Normal 24 3 12" xfId="25981" xr:uid="{2B2534B6-7189-4178-9F5A-9EBE0B1B6017}"/>
    <cellStyle name="Normal 24 3 2" xfId="6214" xr:uid="{576D909A-7C5B-45C0-B80A-7ABE9D0862BD}"/>
    <cellStyle name="Normal 24 3 2 2" xfId="7372" xr:uid="{61D8AC7B-7684-470B-9A0B-3D154A8155C7}"/>
    <cellStyle name="Normal 24 3 2 2 2" xfId="17658" xr:uid="{309B592B-68C9-4F8E-AAA2-A6CFB8303E71}"/>
    <cellStyle name="Normal 24 3 2 2 2 2" xfId="37998" xr:uid="{85B3D634-A089-41EB-B35D-719B27B4D7B8}"/>
    <cellStyle name="Normal 24 3 2 2 3" xfId="21160" xr:uid="{CA61D0E6-CE87-4566-B40C-DC10C8189491}"/>
    <cellStyle name="Normal 24 3 2 2 3 2" xfId="41499" xr:uid="{F61C61B2-693B-45A1-8BC4-C8758508D3D1}"/>
    <cellStyle name="Normal 24 3 2 2 4" xfId="24415" xr:uid="{85A8D8FF-905B-4659-8743-390319F2C9D6}"/>
    <cellStyle name="Normal 24 3 2 2 4 2" xfId="44750" xr:uid="{258AB9CB-9319-41FF-A2DD-712735D7B11B}"/>
    <cellStyle name="Normal 24 3 2 2 5" xfId="14749" xr:uid="{73EF2A82-CCB6-44F9-8ED6-A6205BB35D74}"/>
    <cellStyle name="Normal 24 3 2 2 5 2" xfId="35090" xr:uid="{96B90AFD-A0EB-43A2-88A1-F115DFB692FA}"/>
    <cellStyle name="Normal 24 3 2 2 6" xfId="10871" xr:uid="{B8673AA4-3B33-46E5-8AF3-9734A1BD828B}"/>
    <cellStyle name="Normal 24 3 2 2 6 2" xfId="31214" xr:uid="{1AA8FEFA-8502-4476-AEBC-8B39D039B116}"/>
    <cellStyle name="Normal 24 3 2 2 7" xfId="27720" xr:uid="{789930EA-B84E-41CC-8C6F-8C4077FE5DCB}"/>
    <cellStyle name="Normal 24 3 2 3" xfId="16500" xr:uid="{C726EAD4-0FF1-4F60-B3FA-28A9D646BF54}"/>
    <cellStyle name="Normal 24 3 2 3 2" xfId="36840" xr:uid="{98C57CF6-D367-4912-B31B-844E5E2FD2ED}"/>
    <cellStyle name="Normal 24 3 2 4" xfId="20002" xr:uid="{8125B7DC-EC6E-4970-8CA6-DE1192ED437A}"/>
    <cellStyle name="Normal 24 3 2 4 2" xfId="40341" xr:uid="{43921367-E0B9-44B6-BE58-E4D342175A9D}"/>
    <cellStyle name="Normal 24 3 2 5" xfId="23257" xr:uid="{6FB9DE4F-73F9-4A76-9AB2-A4BA4D08CC3D}"/>
    <cellStyle name="Normal 24 3 2 5 2" xfId="43592" xr:uid="{6B3DE1B6-403F-430D-8BF2-60A551DA1744}"/>
    <cellStyle name="Normal 24 3 2 6" xfId="13591" xr:uid="{B0618669-C6DA-4922-BE0B-8C5F9CA07453}"/>
    <cellStyle name="Normal 24 3 2 6 2" xfId="33932" xr:uid="{A1968EE5-7717-43B4-B392-9D576116F4CE}"/>
    <cellStyle name="Normal 24 3 2 7" xfId="9713" xr:uid="{085DEA46-CBAD-4475-83F4-B81113C57664}"/>
    <cellStyle name="Normal 24 3 2 7 2" xfId="30056" xr:uid="{9DF77AEF-89E2-4F73-A0FD-8113B477B6B0}"/>
    <cellStyle name="Normal 24 3 2 8" xfId="26562" xr:uid="{13F78B7D-AC91-4F96-BDE6-0FE71330085A}"/>
    <cellStyle name="Normal 24 3 3" xfId="6791" xr:uid="{CCB559D5-8D50-401B-8E5E-0BCD615C1483}"/>
    <cellStyle name="Normal 24 3 3 2" xfId="17077" xr:uid="{41DCC7D2-3712-4EE8-817D-AD6B20FFC477}"/>
    <cellStyle name="Normal 24 3 3 2 2" xfId="37417" xr:uid="{B897A8D9-4E3F-4474-A0E7-C55D81AA2099}"/>
    <cellStyle name="Normal 24 3 3 3" xfId="20579" xr:uid="{BC2AD398-CD1B-4451-8CD5-FA7E6F802792}"/>
    <cellStyle name="Normal 24 3 3 3 2" xfId="40918" xr:uid="{88D114CD-D97D-4FB4-8267-373B165D8D5D}"/>
    <cellStyle name="Normal 24 3 3 4" xfId="23834" xr:uid="{897BAF77-858F-4334-BE4E-7A959B23EA2A}"/>
    <cellStyle name="Normal 24 3 3 4 2" xfId="44169" xr:uid="{9C614186-7AD7-4EB1-AED9-124B0860C424}"/>
    <cellStyle name="Normal 24 3 3 5" xfId="14168" xr:uid="{E3F84BC4-C4B0-49B7-A90B-1E05BE10974F}"/>
    <cellStyle name="Normal 24 3 3 5 2" xfId="34509" xr:uid="{BEDAA5CD-310C-4F1A-AC02-79A4AAE2D90A}"/>
    <cellStyle name="Normal 24 3 3 6" xfId="10290" xr:uid="{38EF0257-4EFB-4BB5-BFBD-71F501B0F9E4}"/>
    <cellStyle name="Normal 24 3 3 6 2" xfId="30633" xr:uid="{E4849AF5-50D7-4834-A602-2B5B853CECAA}"/>
    <cellStyle name="Normal 24 3 3 7" xfId="27139" xr:uid="{34E723EC-EB23-4203-B9FE-FE31CC39AEE2}"/>
    <cellStyle name="Normal 24 3 4" xfId="7955" xr:uid="{1D9A3EC9-573E-4E66-891E-54426442584C}"/>
    <cellStyle name="Normal 24 3 4 2" xfId="18240" xr:uid="{DDB57B1F-B4F0-4A46-93B4-B812CC3DBC35}"/>
    <cellStyle name="Normal 24 3 4 2 2" xfId="38580" xr:uid="{73725420-9428-4BE8-A6AA-D67607846109}"/>
    <cellStyle name="Normal 24 3 4 3" xfId="21742" xr:uid="{EC235E6C-9EE2-4151-9822-BE41FE990B79}"/>
    <cellStyle name="Normal 24 3 4 3 2" xfId="42081" xr:uid="{A5027CA2-E52A-4395-BD03-B4909AA372D3}"/>
    <cellStyle name="Normal 24 3 4 4" xfId="24997" xr:uid="{7C7D7CA5-F6F3-4250-BFD2-80C508DDA51E}"/>
    <cellStyle name="Normal 24 3 4 4 2" xfId="45332" xr:uid="{CD67BFFF-18E5-4B8D-9B4F-501DD8681702}"/>
    <cellStyle name="Normal 24 3 4 5" xfId="15332" xr:uid="{7CE5E473-8038-48AA-B381-2DE59D7FC81B}"/>
    <cellStyle name="Normal 24 3 4 5 2" xfId="35672" xr:uid="{DEE855EE-12A6-4BE2-8E7F-E91B0CAC1BF5}"/>
    <cellStyle name="Normal 24 3 4 6" xfId="11453" xr:uid="{DE048CB6-462F-4FFE-8B57-C508BFA795B8}"/>
    <cellStyle name="Normal 24 3 4 6 2" xfId="31796" xr:uid="{36A0ACAB-2676-4F94-8171-EEBA5765461A}"/>
    <cellStyle name="Normal 24 3 4 7" xfId="28302" xr:uid="{D74CE8F4-2C4C-495C-B504-B03C2CB4B680}"/>
    <cellStyle name="Normal 24 3 5" xfId="13022" xr:uid="{B66C1E0D-4C34-466F-BCE1-AB14D3CDA837}"/>
    <cellStyle name="Normal 24 3 5 2" xfId="33363" xr:uid="{7DFF03B1-AC8C-4AE7-8EC4-C5880F0EACF4}"/>
    <cellStyle name="Normal 24 3 6" xfId="15919" xr:uid="{45D66707-E10A-409F-AA14-3F909F3333A3}"/>
    <cellStyle name="Normal 24 3 6 2" xfId="36259" xr:uid="{81F6E6BD-93A5-4F7F-9E9E-97D01212E1FD}"/>
    <cellStyle name="Normal 24 3 7" xfId="18833" xr:uid="{EEB28E54-93E7-4A69-B275-4D65240F0ACB}"/>
    <cellStyle name="Normal 24 3 7 2" xfId="39173" xr:uid="{FDE20F34-26DD-47F1-A7CE-D7CE05E36BF1}"/>
    <cellStyle name="Normal 24 3 8" xfId="19421" xr:uid="{849860E9-9306-4225-A7CE-691744A9B9F6}"/>
    <cellStyle name="Normal 24 3 8 2" xfId="39760" xr:uid="{53F01133-16FB-480D-B415-080532B9832E}"/>
    <cellStyle name="Normal 24 3 9" xfId="22676" xr:uid="{283FAA00-F165-489B-BFED-24F70F20B6AE}"/>
    <cellStyle name="Normal 24 3 9 2" xfId="43011" xr:uid="{9DC74B61-2BD9-4A5D-B3E1-127F1BC356C6}"/>
    <cellStyle name="Normal 24 4" xfId="5870" xr:uid="{7F159B9F-F6B7-420A-A360-866AA9CA36E9}"/>
    <cellStyle name="Normal 24 4 2" xfId="7028" xr:uid="{B85BC9D1-807A-4D09-AC3F-4D6B612503BC}"/>
    <cellStyle name="Normal 24 4 2 2" xfId="17314" xr:uid="{3148A5D2-A275-49DF-9B43-0657ED96BDE7}"/>
    <cellStyle name="Normal 24 4 2 2 2" xfId="37654" xr:uid="{6E3C6926-ED1D-48AC-BA65-04ADEAAF50CB}"/>
    <cellStyle name="Normal 24 4 2 3" xfId="20816" xr:uid="{DBF93046-E6B5-40B2-99FC-269DF01D00BF}"/>
    <cellStyle name="Normal 24 4 2 3 2" xfId="41155" xr:uid="{DB4DB7E7-DDB9-4327-A137-D75035B668E0}"/>
    <cellStyle name="Normal 24 4 2 4" xfId="24071" xr:uid="{2A7B0AD0-F0E9-47E4-BDC9-6BBEDBA8C29E}"/>
    <cellStyle name="Normal 24 4 2 4 2" xfId="44406" xr:uid="{67ACB422-7DFE-4BD5-91E6-757F232C3B15}"/>
    <cellStyle name="Normal 24 4 2 5" xfId="14405" xr:uid="{06A8E2ED-9E33-4E35-9A8A-14F7EE048E0F}"/>
    <cellStyle name="Normal 24 4 2 5 2" xfId="34746" xr:uid="{B59E4BC7-CB07-440C-9A6B-1FDC3BB5B834}"/>
    <cellStyle name="Normal 24 4 2 6" xfId="10527" xr:uid="{202320C4-E7C8-4499-A0FD-F93FC9CC9656}"/>
    <cellStyle name="Normal 24 4 2 6 2" xfId="30870" xr:uid="{9683EB3E-6B41-4236-8A7A-C700C34DB8D1}"/>
    <cellStyle name="Normal 24 4 2 7" xfId="27376" xr:uid="{133EAAD5-C410-4DBE-BFFD-F0902CC91668}"/>
    <cellStyle name="Normal 24 4 3" xfId="16156" xr:uid="{17A67483-B39F-4562-A7E5-ABFB5B58BD22}"/>
    <cellStyle name="Normal 24 4 3 2" xfId="36496" xr:uid="{4F068265-CC75-4B3B-B3A5-05AAB1A90FAA}"/>
    <cellStyle name="Normal 24 4 4" xfId="19658" xr:uid="{F6DF3A7F-C1F2-40F7-BC90-86BF34C85D4C}"/>
    <cellStyle name="Normal 24 4 4 2" xfId="39997" xr:uid="{65F60065-E9F8-49B7-BF36-ED742B80DD08}"/>
    <cellStyle name="Normal 24 4 5" xfId="22913" xr:uid="{1E5CED85-DC9B-4934-A5D9-CC20E364AABD}"/>
    <cellStyle name="Normal 24 4 5 2" xfId="43248" xr:uid="{C7B0A3A7-70B4-4035-B4E5-71CCA17054B7}"/>
    <cellStyle name="Normal 24 4 6" xfId="13249" xr:uid="{6B96334C-9778-4A2B-BD0C-9422882ED5B0}"/>
    <cellStyle name="Normal 24 4 6 2" xfId="33590" xr:uid="{CD8878C3-6D85-4C18-8A3F-67E73BB52D04}"/>
    <cellStyle name="Normal 24 4 7" xfId="9369" xr:uid="{A0C7BE74-1C17-4B93-9AFB-04798207D6BE}"/>
    <cellStyle name="Normal 24 4 7 2" xfId="29712" xr:uid="{6116D72D-72B8-45CD-9214-5CEA6BD94213}"/>
    <cellStyle name="Normal 24 4 8" xfId="26218" xr:uid="{83E23D6D-CF34-4222-B13D-1DBE541DCC32}"/>
    <cellStyle name="Normal 24 5" xfId="6447" xr:uid="{8DFD77B1-459A-4C2A-AAE5-B8D924C1FC44}"/>
    <cellStyle name="Normal 24 5 2" xfId="16733" xr:uid="{5AF17C6C-7B98-47D8-A5BA-57CB94B4D031}"/>
    <cellStyle name="Normal 24 5 2 2" xfId="37073" xr:uid="{CB689D33-CD49-4D5C-8466-677627B43867}"/>
    <cellStyle name="Normal 24 5 3" xfId="20235" xr:uid="{19697D4D-C9DC-499F-A61F-6D85E030A2AC}"/>
    <cellStyle name="Normal 24 5 3 2" xfId="40574" xr:uid="{E30BB04E-F735-4DE2-B10E-4465EFC270C8}"/>
    <cellStyle name="Normal 24 5 4" xfId="23490" xr:uid="{537C3BF5-1D91-479B-8BA0-DE655522179C}"/>
    <cellStyle name="Normal 24 5 4 2" xfId="43825" xr:uid="{DBCA136A-247C-491F-B148-306CD7B6D29F}"/>
    <cellStyle name="Normal 24 5 5" xfId="13824" xr:uid="{2689EF7E-6DF1-472F-B42F-32711A3205CE}"/>
    <cellStyle name="Normal 24 5 5 2" xfId="34165" xr:uid="{0620E080-2BA0-4408-8CF5-865B378DC1B3}"/>
    <cellStyle name="Normal 24 5 6" xfId="9946" xr:uid="{1A38F8C9-BD3F-43E2-96F5-A9021D6495F8}"/>
    <cellStyle name="Normal 24 5 6 2" xfId="30289" xr:uid="{411C7795-CB93-401B-88B4-AF9C557AD9DF}"/>
    <cellStyle name="Normal 24 5 7" xfId="26795" xr:uid="{6783EAD6-D135-40A3-A8B9-85F591754EAF}"/>
    <cellStyle name="Normal 24 6" xfId="7611" xr:uid="{4945D587-5C53-4FCE-8BE2-967335A7F5ED}"/>
    <cellStyle name="Normal 24 6 2" xfId="17896" xr:uid="{5BC3DB66-D873-431F-8FBF-CD79F2DDA7C8}"/>
    <cellStyle name="Normal 24 6 2 2" xfId="38236" xr:uid="{56143D23-4010-47EB-8749-128F468781F4}"/>
    <cellStyle name="Normal 24 6 3" xfId="21398" xr:uid="{153BBB01-53B0-495C-8EDF-BF4ECE8182C3}"/>
    <cellStyle name="Normal 24 6 3 2" xfId="41737" xr:uid="{A36F3A47-4052-4905-9BC6-2C713E785401}"/>
    <cellStyle name="Normal 24 6 4" xfId="24653" xr:uid="{165A4A75-4589-431B-AD81-26CED4979711}"/>
    <cellStyle name="Normal 24 6 4 2" xfId="44988" xr:uid="{2B3BD42D-A4FB-436F-BB42-679FD86DB8C8}"/>
    <cellStyle name="Normal 24 6 5" xfId="14988" xr:uid="{A7C3CE56-A7D6-458F-AAD5-93C52F326E5D}"/>
    <cellStyle name="Normal 24 6 5 2" xfId="35328" xr:uid="{BD55F0DE-FEE3-4BB9-A8A7-28DDB340B694}"/>
    <cellStyle name="Normal 24 6 6" xfId="11109" xr:uid="{3B72192B-6EE2-409D-8224-60D6810A3EE8}"/>
    <cellStyle name="Normal 24 6 6 2" xfId="31452" xr:uid="{E06A81A4-BEBE-4C41-922C-79E62E641E83}"/>
    <cellStyle name="Normal 24 6 7" xfId="27958" xr:uid="{5986A098-8C4C-46F4-BAF0-D3F925F9E922}"/>
    <cellStyle name="Normal 24 7" xfId="12680" xr:uid="{56969DB9-4E45-4FAA-9CAA-84723429DF7B}"/>
    <cellStyle name="Normal 24 7 2" xfId="33021" xr:uid="{61DBEF64-53CA-4E6D-AB3C-FA9348805DF1}"/>
    <cellStyle name="Normal 24 8" xfId="15575" xr:uid="{F62DBCBD-BC39-47E7-861D-050B278546F8}"/>
    <cellStyle name="Normal 24 8 2" xfId="35915" xr:uid="{D4643B11-4820-44E8-B587-C600C28DCB93}"/>
    <cellStyle name="Normal 24 9" xfId="18489" xr:uid="{FD2A7ADE-91D0-4545-BB93-FA30162788F6}"/>
    <cellStyle name="Normal 24 9 2" xfId="38829" xr:uid="{F9905FCE-0CBB-430E-A66C-17AA883D0FC7}"/>
    <cellStyle name="Normal 25" xfId="5320" xr:uid="{900EFD97-97A5-42B8-A602-C41EF2BF35DE}"/>
    <cellStyle name="Normal 25 10" xfId="19078" xr:uid="{08AD1629-FA99-4FB0-8926-255F708FAF73}"/>
    <cellStyle name="Normal 25 10 2" xfId="39417" xr:uid="{A9A84210-13CE-45DA-8409-DF4BBFD9E73B}"/>
    <cellStyle name="Normal 25 11" xfId="22333" xr:uid="{DFF8F0E3-1EFA-4B84-89CA-9641388298DF}"/>
    <cellStyle name="Normal 25 11 2" xfId="42668" xr:uid="{AE35B8DA-7AFE-4E6B-81EB-F0E7B1976504}"/>
    <cellStyle name="Normal 25 12" xfId="12050" xr:uid="{C1EE9C6C-F7DC-4EAD-9D5B-9FD01A16F122}"/>
    <cellStyle name="Normal 25 12 2" xfId="32391" xr:uid="{734640C3-94BF-4A74-8045-A0528B337BED}"/>
    <cellStyle name="Normal 25 13" xfId="8789" xr:uid="{D24B6547-E752-4B61-B25C-6968B14FE678}"/>
    <cellStyle name="Normal 25 13 2" xfId="29132" xr:uid="{DD1B2C3F-FF56-4E37-BEE8-93DE813B5F5F}"/>
    <cellStyle name="Normal 25 14" xfId="25638" xr:uid="{1A74A48E-42F3-49D4-A644-4A6FD7677028}"/>
    <cellStyle name="Normal 25 2" xfId="5422" xr:uid="{1AA177BA-AE30-4BA3-9913-488CD01005B1}"/>
    <cellStyle name="Normal 25 2 10" xfId="12165" xr:uid="{4EEC7314-DBF5-4D8C-A289-C07B8B01C538}"/>
    <cellStyle name="Normal 25 2 10 2" xfId="32506" xr:uid="{407702BF-5EB1-4FBB-99E1-27BF5B70E4EA}"/>
    <cellStyle name="Normal 25 2 11" xfId="8904" xr:uid="{420583E9-A61D-477E-936D-44AEF76DC7B4}"/>
    <cellStyle name="Normal 25 2 11 2" xfId="29247" xr:uid="{A1F6B886-747C-4BC9-8BD2-03A9EB3DE383}"/>
    <cellStyle name="Normal 25 2 12" xfId="25753" xr:uid="{F4E8D47D-FF80-45CC-A6BF-07140F6D4926}"/>
    <cellStyle name="Normal 25 2 2" xfId="5986" xr:uid="{41B9E6FB-3CA2-4C67-8031-971235D07C37}"/>
    <cellStyle name="Normal 25 2 2 2" xfId="7144" xr:uid="{7440FFDC-18E4-4425-BF46-C9A0EFB5FE46}"/>
    <cellStyle name="Normal 25 2 2 2 2" xfId="17430" xr:uid="{E6FEAC4E-3F30-4BF1-98E6-763401FB703E}"/>
    <cellStyle name="Normal 25 2 2 2 2 2" xfId="37770" xr:uid="{A47CF50F-6ADF-454C-BFCD-00A11DF72F16}"/>
    <cellStyle name="Normal 25 2 2 2 3" xfId="20932" xr:uid="{C7000189-48EB-463E-8AA5-75612212BCB4}"/>
    <cellStyle name="Normal 25 2 2 2 3 2" xfId="41271" xr:uid="{5BD01590-5933-4443-89E9-0FE41EBEC16C}"/>
    <cellStyle name="Normal 25 2 2 2 4" xfId="24187" xr:uid="{21632334-98CC-4C05-9A2B-74F035C88B4C}"/>
    <cellStyle name="Normal 25 2 2 2 4 2" xfId="44522" xr:uid="{6989A7F3-558C-47E5-B476-8FC63B4CA11F}"/>
    <cellStyle name="Normal 25 2 2 2 5" xfId="14521" xr:uid="{0D5FF88E-4DDD-4897-93EA-CD9CF7AF30FE}"/>
    <cellStyle name="Normal 25 2 2 2 5 2" xfId="34862" xr:uid="{2D770A67-5B57-4C5E-AFFA-234B4C2FF550}"/>
    <cellStyle name="Normal 25 2 2 2 6" xfId="10643" xr:uid="{014E1B00-F2B4-45E5-B4B2-82109FE5F06D}"/>
    <cellStyle name="Normal 25 2 2 2 6 2" xfId="30986" xr:uid="{F20E661C-30B5-484F-A650-2A86EA8DAFB6}"/>
    <cellStyle name="Normal 25 2 2 2 7" xfId="27492" xr:uid="{C592E663-7F10-42EF-A202-591CB93D090A}"/>
    <cellStyle name="Normal 25 2 2 3" xfId="16272" xr:uid="{7720B2C8-42BD-4085-B6CA-6AEA77EC3EAB}"/>
    <cellStyle name="Normal 25 2 2 3 2" xfId="36612" xr:uid="{280CD11C-5566-4570-974E-B4FC67E71CFC}"/>
    <cellStyle name="Normal 25 2 2 4" xfId="19774" xr:uid="{CB71FE42-3C04-4011-BD4D-6C53421A7610}"/>
    <cellStyle name="Normal 25 2 2 4 2" xfId="40113" xr:uid="{A7C90524-3E0B-4B94-A87E-6D6386252CCB}"/>
    <cellStyle name="Normal 25 2 2 5" xfId="23029" xr:uid="{23E33AA3-06B4-41E1-9734-7D876F3DAA5D}"/>
    <cellStyle name="Normal 25 2 2 5 2" xfId="43364" xr:uid="{7B7461C6-E85A-449F-9B98-861D2E71A9F3}"/>
    <cellStyle name="Normal 25 2 2 6" xfId="13363" xr:uid="{C8F598FA-9ED2-4783-A36F-41786D8E1CE6}"/>
    <cellStyle name="Normal 25 2 2 6 2" xfId="33704" xr:uid="{8ACD2BB8-89A0-4FF5-83F2-FEDEF7745B17}"/>
    <cellStyle name="Normal 25 2 2 7" xfId="9485" xr:uid="{16ACD952-DC15-4D45-92AF-A20490205885}"/>
    <cellStyle name="Normal 25 2 2 7 2" xfId="29828" xr:uid="{54FDF349-FF22-42F8-93A6-AC58B0C2AAD5}"/>
    <cellStyle name="Normal 25 2 2 8" xfId="26334" xr:uid="{34C8816E-9551-4817-9B7D-7E635E653DB2}"/>
    <cellStyle name="Normal 25 2 3" xfId="6563" xr:uid="{F721B462-9292-46FD-8A68-63A13FFCAC3E}"/>
    <cellStyle name="Normal 25 2 3 2" xfId="16849" xr:uid="{615A0785-3FB9-4590-B9CC-FA9744CF36A1}"/>
    <cellStyle name="Normal 25 2 3 2 2" xfId="37189" xr:uid="{B221EA8D-AB9E-4288-9A17-96FAD5651928}"/>
    <cellStyle name="Normal 25 2 3 3" xfId="20351" xr:uid="{3DED2B48-CD40-4E1E-AF1B-C1A0F14BF754}"/>
    <cellStyle name="Normal 25 2 3 3 2" xfId="40690" xr:uid="{D83DF824-D7AE-41EA-ACD0-D8155746334E}"/>
    <cellStyle name="Normal 25 2 3 4" xfId="23606" xr:uid="{E98593FD-F58F-42F7-B322-C12F97CD893F}"/>
    <cellStyle name="Normal 25 2 3 4 2" xfId="43941" xr:uid="{C3AB21DA-F2A7-4239-A302-D9C965F76B36}"/>
    <cellStyle name="Normal 25 2 3 5" xfId="13940" xr:uid="{00EC984F-68AD-4F10-9BDC-2025DA4ECB7D}"/>
    <cellStyle name="Normal 25 2 3 5 2" xfId="34281" xr:uid="{D2A00C3C-40E6-43BF-9A2C-A87239600FF3}"/>
    <cellStyle name="Normal 25 2 3 6" xfId="10062" xr:uid="{E5A4496D-7730-417B-8547-3DBD8A093B43}"/>
    <cellStyle name="Normal 25 2 3 6 2" xfId="30405" xr:uid="{D3E4388A-2898-40A5-B941-BBE9FED767E5}"/>
    <cellStyle name="Normal 25 2 3 7" xfId="26911" xr:uid="{8502278A-FFAB-4541-8176-C8F16465AD0C}"/>
    <cellStyle name="Normal 25 2 4" xfId="7727" xr:uid="{EDD55F63-645A-478D-B9CA-72F9712E28D7}"/>
    <cellStyle name="Normal 25 2 4 2" xfId="18012" xr:uid="{43ECDD07-62C5-4243-90DA-ECFF36A56BA5}"/>
    <cellStyle name="Normal 25 2 4 2 2" xfId="38352" xr:uid="{75E6F110-44EF-4F0C-AF08-08964EB1E72D}"/>
    <cellStyle name="Normal 25 2 4 3" xfId="21514" xr:uid="{9358AC12-E69B-452F-A3F5-30314EB0A67C}"/>
    <cellStyle name="Normal 25 2 4 3 2" xfId="41853" xr:uid="{AAA6F5B6-A846-4D3E-B7F5-CF785D7D767E}"/>
    <cellStyle name="Normal 25 2 4 4" xfId="24769" xr:uid="{14D869FD-D653-4764-83E6-F7AAEDFCDE38}"/>
    <cellStyle name="Normal 25 2 4 4 2" xfId="45104" xr:uid="{4A43F497-F201-47CD-98F5-55C611020FB4}"/>
    <cellStyle name="Normal 25 2 4 5" xfId="15104" xr:uid="{D4892B27-74D5-477E-8C09-E1D875DF09FC}"/>
    <cellStyle name="Normal 25 2 4 5 2" xfId="35444" xr:uid="{FAECE401-1AD5-43AC-9DAF-B5140954D01C}"/>
    <cellStyle name="Normal 25 2 4 6" xfId="11225" xr:uid="{1C38DA77-630D-4D2C-B3EC-4D25E6E89BF0}"/>
    <cellStyle name="Normal 25 2 4 6 2" xfId="31568" xr:uid="{B45D63D3-AA68-4F75-8396-4FCBD7E3BFAC}"/>
    <cellStyle name="Normal 25 2 4 7" xfId="28074" xr:uid="{699F2224-65F9-4B3B-AE99-D9D674101F80}"/>
    <cellStyle name="Normal 25 2 5" xfId="12794" xr:uid="{38578A46-E293-4498-955A-136028E10ED9}"/>
    <cellStyle name="Normal 25 2 5 2" xfId="33135" xr:uid="{924FA05E-7A50-447F-8CC0-E0435DA3CF5D}"/>
    <cellStyle name="Normal 25 2 6" xfId="15691" xr:uid="{273F5734-F933-4108-9BAE-9332DD302A77}"/>
    <cellStyle name="Normal 25 2 6 2" xfId="36031" xr:uid="{16CD91A2-5ED9-43BB-96AC-6F5D5D9672C6}"/>
    <cellStyle name="Normal 25 2 7" xfId="18605" xr:uid="{32137F90-2A03-4B0D-B7D9-4841DD385A67}"/>
    <cellStyle name="Normal 25 2 7 2" xfId="38945" xr:uid="{8321D302-F465-483A-BEA9-6897D2CE86E2}"/>
    <cellStyle name="Normal 25 2 8" xfId="19193" xr:uid="{BE6DA2A6-1ED8-467C-AED8-60248BAFB571}"/>
    <cellStyle name="Normal 25 2 8 2" xfId="39532" xr:uid="{3D4011A3-065A-4928-9F57-395D6E73352E}"/>
    <cellStyle name="Normal 25 2 9" xfId="22448" xr:uid="{3834B481-F463-41CA-830A-47634A411E1C}"/>
    <cellStyle name="Normal 25 2 9 2" xfId="42783" xr:uid="{4A8ACFE2-4AEA-4A91-A4EC-74B354C4767C}"/>
    <cellStyle name="Normal 25 3" xfId="5643" xr:uid="{E84F0454-4F83-4A7C-8295-56238E0D4DBF}"/>
    <cellStyle name="Normal 25 3 10" xfId="12394" xr:uid="{5A33E527-F367-414F-B0F0-5CE0E0462DE3}"/>
    <cellStyle name="Normal 25 3 10 2" xfId="32735" xr:uid="{56B41A5B-3F04-4E81-9413-73E7D12F2A9D}"/>
    <cellStyle name="Normal 25 3 11" xfId="9133" xr:uid="{60BCE11A-C857-4E25-BFAE-4F17D0FC2CD6}"/>
    <cellStyle name="Normal 25 3 11 2" xfId="29476" xr:uid="{51776632-07C9-4477-B9E5-75A34E0597B2}"/>
    <cellStyle name="Normal 25 3 12" xfId="25982" xr:uid="{CB4D188A-D5F4-4EBF-8B8D-25FBFD4AE78F}"/>
    <cellStyle name="Normal 25 3 2" xfId="6215" xr:uid="{313BFB09-B8F7-4E63-A984-BE82BFD1F2CA}"/>
    <cellStyle name="Normal 25 3 2 2" xfId="7373" xr:uid="{91F78EFD-351F-4E05-AF17-BB7CD8299A86}"/>
    <cellStyle name="Normal 25 3 2 2 2" xfId="17659" xr:uid="{9A05D81E-D6A1-4233-8D31-B7D261A7D3EA}"/>
    <cellStyle name="Normal 25 3 2 2 2 2" xfId="37999" xr:uid="{7A74DEBB-ED22-4E38-B194-5945B1CDD097}"/>
    <cellStyle name="Normal 25 3 2 2 3" xfId="21161" xr:uid="{879E78AD-ABBA-4575-8447-808164869126}"/>
    <cellStyle name="Normal 25 3 2 2 3 2" xfId="41500" xr:uid="{7AF143DE-89C6-4FED-801C-05A534494E9F}"/>
    <cellStyle name="Normal 25 3 2 2 4" xfId="24416" xr:uid="{78E3F6D6-03C9-45C6-88A0-7FFB0C15075A}"/>
    <cellStyle name="Normal 25 3 2 2 4 2" xfId="44751" xr:uid="{EAF2790C-B37C-4532-90D3-6840C0EC2A8D}"/>
    <cellStyle name="Normal 25 3 2 2 5" xfId="14750" xr:uid="{167926C1-BA2F-4EC1-9935-BF9A02EE6555}"/>
    <cellStyle name="Normal 25 3 2 2 5 2" xfId="35091" xr:uid="{F284076C-636E-4FE6-B288-3B31AC70FE0A}"/>
    <cellStyle name="Normal 25 3 2 2 6" xfId="10872" xr:uid="{9B0CA796-F1FB-4502-A268-1A2484BABA77}"/>
    <cellStyle name="Normal 25 3 2 2 6 2" xfId="31215" xr:uid="{EB711D00-29BC-49E6-9A1E-4E6E2E6E0B83}"/>
    <cellStyle name="Normal 25 3 2 2 7" xfId="27721" xr:uid="{4AB5C2BB-D9F7-45A0-817D-EB43B91E87FA}"/>
    <cellStyle name="Normal 25 3 2 3" xfId="16501" xr:uid="{10182B69-C732-4432-820E-05B37A5FF224}"/>
    <cellStyle name="Normal 25 3 2 3 2" xfId="36841" xr:uid="{994941C7-AC67-4674-B3B5-8891D3DA2202}"/>
    <cellStyle name="Normal 25 3 2 4" xfId="20003" xr:uid="{07437FA3-385D-425A-8DA3-B16CC44B9A86}"/>
    <cellStyle name="Normal 25 3 2 4 2" xfId="40342" xr:uid="{F1D3224F-1872-4625-8E52-2B1A61B6E75E}"/>
    <cellStyle name="Normal 25 3 2 5" xfId="23258" xr:uid="{C62614C6-7F57-4522-8CD4-AB990B8A31DB}"/>
    <cellStyle name="Normal 25 3 2 5 2" xfId="43593" xr:uid="{5F71F6C5-B8AE-4894-B18C-20D8EC94B133}"/>
    <cellStyle name="Normal 25 3 2 6" xfId="13592" xr:uid="{EF3B8AEE-FEE8-41CB-9B44-1BA95581D2BF}"/>
    <cellStyle name="Normal 25 3 2 6 2" xfId="33933" xr:uid="{082228C5-8056-49CF-B438-E687D28960F5}"/>
    <cellStyle name="Normal 25 3 2 7" xfId="9714" xr:uid="{EE62031C-0B96-490B-BFA6-EE5DE1315F32}"/>
    <cellStyle name="Normal 25 3 2 7 2" xfId="30057" xr:uid="{58951DAC-431E-4A54-A416-959DCF344887}"/>
    <cellStyle name="Normal 25 3 2 8" xfId="26563" xr:uid="{76DC6518-A240-4D4A-A9CC-6F8D3708DC1D}"/>
    <cellStyle name="Normal 25 3 3" xfId="6792" xr:uid="{BB11B2E6-8388-410D-B7AC-530082E77270}"/>
    <cellStyle name="Normal 25 3 3 2" xfId="17078" xr:uid="{5E78C0AB-5BAB-4C8B-B7B6-70B3072E5226}"/>
    <cellStyle name="Normal 25 3 3 2 2" xfId="37418" xr:uid="{57280AB9-B427-4B11-BB54-BE4C90BDC679}"/>
    <cellStyle name="Normal 25 3 3 3" xfId="20580" xr:uid="{0FE2015D-357C-4B48-A8F2-3D9586D5DB78}"/>
    <cellStyle name="Normal 25 3 3 3 2" xfId="40919" xr:uid="{7793A389-367D-428B-87E3-846A88426E22}"/>
    <cellStyle name="Normal 25 3 3 4" xfId="23835" xr:uid="{E139411C-F054-411C-AD8A-E08C25B4FA2F}"/>
    <cellStyle name="Normal 25 3 3 4 2" xfId="44170" xr:uid="{0BFCFCB0-99B5-43F4-AA02-A0F2E37BB159}"/>
    <cellStyle name="Normal 25 3 3 5" xfId="14169" xr:uid="{1F334881-F91B-4EDE-B64B-D8BAB3DABC46}"/>
    <cellStyle name="Normal 25 3 3 5 2" xfId="34510" xr:uid="{9760B9B4-A61D-43E7-A7E0-FAB2413EF902}"/>
    <cellStyle name="Normal 25 3 3 6" xfId="10291" xr:uid="{FFF34132-B7F5-49A7-87A6-A88998F64DA9}"/>
    <cellStyle name="Normal 25 3 3 6 2" xfId="30634" xr:uid="{F469C613-FC86-493D-A21E-B217AB188F3A}"/>
    <cellStyle name="Normal 25 3 3 7" xfId="27140" xr:uid="{CF052AB4-3E5D-4591-BD52-9B53CF3B8FED}"/>
    <cellStyle name="Normal 25 3 4" xfId="7956" xr:uid="{6883C0BD-D3DA-4959-B6A6-B52152E1EAC4}"/>
    <cellStyle name="Normal 25 3 4 2" xfId="18241" xr:uid="{CFB88392-7C79-427A-A341-C6558BA5A951}"/>
    <cellStyle name="Normal 25 3 4 2 2" xfId="38581" xr:uid="{CFF47899-094D-4C49-845A-8338BDC76FFB}"/>
    <cellStyle name="Normal 25 3 4 3" xfId="21743" xr:uid="{3FCDFFB6-11FD-481C-8379-96D2B4B2E122}"/>
    <cellStyle name="Normal 25 3 4 3 2" xfId="42082" xr:uid="{E578B458-2594-4C5D-8B9F-71E888D7A8D8}"/>
    <cellStyle name="Normal 25 3 4 4" xfId="24998" xr:uid="{A7D3A810-2F60-487D-BF4E-C6BC4D99321C}"/>
    <cellStyle name="Normal 25 3 4 4 2" xfId="45333" xr:uid="{C9C41514-5883-40BA-929C-8B7693E6206A}"/>
    <cellStyle name="Normal 25 3 4 5" xfId="15333" xr:uid="{531E5DA1-93DA-401E-BC2E-D5169930BB98}"/>
    <cellStyle name="Normal 25 3 4 5 2" xfId="35673" xr:uid="{C3A9E98B-8337-4E9B-B8DC-85E750467881}"/>
    <cellStyle name="Normal 25 3 4 6" xfId="11454" xr:uid="{3A9A9C17-24CD-42C5-A3A1-6857A5568D87}"/>
    <cellStyle name="Normal 25 3 4 6 2" xfId="31797" xr:uid="{7CE12CFD-2761-42D7-8CC8-B4C2A838748C}"/>
    <cellStyle name="Normal 25 3 4 7" xfId="28303" xr:uid="{29A20AD5-321E-413E-B88D-234625FCD18B}"/>
    <cellStyle name="Normal 25 3 5" xfId="13023" xr:uid="{FEB1B6A4-EBDF-4EFB-90A1-E1EB37804927}"/>
    <cellStyle name="Normal 25 3 5 2" xfId="33364" xr:uid="{001A0C32-50FC-4F85-968A-83230B56827D}"/>
    <cellStyle name="Normal 25 3 6" xfId="15920" xr:uid="{11C0444C-4993-4F5C-8D9D-0EEC8167BE12}"/>
    <cellStyle name="Normal 25 3 6 2" xfId="36260" xr:uid="{67E894A4-CF2D-46F3-87F9-D6EE451A8251}"/>
    <cellStyle name="Normal 25 3 7" xfId="18834" xr:uid="{E0A133A8-5372-4788-B996-E3B67CC9771D}"/>
    <cellStyle name="Normal 25 3 7 2" xfId="39174" xr:uid="{0D2AAC92-1D26-4472-A9A0-8919FB9D8842}"/>
    <cellStyle name="Normal 25 3 8" xfId="19422" xr:uid="{2250E41C-A37C-4F99-BE92-2A95360C7E29}"/>
    <cellStyle name="Normal 25 3 8 2" xfId="39761" xr:uid="{2A5FAB34-226A-4F97-9141-711D5495EB17}"/>
    <cellStyle name="Normal 25 3 9" xfId="22677" xr:uid="{541B59DC-ABAF-4967-BC39-D4687A96C171}"/>
    <cellStyle name="Normal 25 3 9 2" xfId="43012" xr:uid="{2190B1DE-B7A2-48CC-BE74-0D6EF414C1D4}"/>
    <cellStyle name="Normal 25 4" xfId="5871" xr:uid="{B94CE8C1-B9BE-4AAC-B1DA-4CF5EF0A4E1C}"/>
    <cellStyle name="Normal 25 4 2" xfId="7029" xr:uid="{0191C127-32A3-422A-8B73-776D475F37A5}"/>
    <cellStyle name="Normal 25 4 2 2" xfId="17315" xr:uid="{C5435782-4B9C-4002-9464-4B14C17FBD76}"/>
    <cellStyle name="Normal 25 4 2 2 2" xfId="37655" xr:uid="{73BD49E9-29D8-401B-9251-D0034749E2B5}"/>
    <cellStyle name="Normal 25 4 2 3" xfId="20817" xr:uid="{EE36013B-C0A3-4C07-A7AD-629BE004F22C}"/>
    <cellStyle name="Normal 25 4 2 3 2" xfId="41156" xr:uid="{031A65F1-F4C0-4844-9E64-CA6D02BF07C8}"/>
    <cellStyle name="Normal 25 4 2 4" xfId="24072" xr:uid="{E2031517-82B2-4500-B226-5CC047C049FF}"/>
    <cellStyle name="Normal 25 4 2 4 2" xfId="44407" xr:uid="{A99ADDEF-08F2-4B76-8855-4707C273ED70}"/>
    <cellStyle name="Normal 25 4 2 5" xfId="14406" xr:uid="{D75F97A8-42D1-4F9B-9B09-8664FA2BC553}"/>
    <cellStyle name="Normal 25 4 2 5 2" xfId="34747" xr:uid="{23D08751-8BB1-4BFC-B94D-70DC536A6250}"/>
    <cellStyle name="Normal 25 4 2 6" xfId="10528" xr:uid="{C6E9A6C6-F1E3-4D65-9E02-4DB546CB1029}"/>
    <cellStyle name="Normal 25 4 2 6 2" xfId="30871" xr:uid="{CBA17A7B-53B4-4BEA-B9AC-168316F34636}"/>
    <cellStyle name="Normal 25 4 2 7" xfId="27377" xr:uid="{F3F52964-2325-4DDE-90DE-BF17C7C9DF43}"/>
    <cellStyle name="Normal 25 4 3" xfId="16157" xr:uid="{7D94D028-F27D-4908-8209-A5AFF7533897}"/>
    <cellStyle name="Normal 25 4 3 2" xfId="36497" xr:uid="{F87C1E18-EEED-4824-B01E-E672207AA5F5}"/>
    <cellStyle name="Normal 25 4 4" xfId="19659" xr:uid="{53C97036-EE6A-4B4F-85DB-92A7935E2363}"/>
    <cellStyle name="Normal 25 4 4 2" xfId="39998" xr:uid="{68362672-30FF-4ACB-BAEA-FC19EAB0F721}"/>
    <cellStyle name="Normal 25 4 5" xfId="22914" xr:uid="{9B90E5D8-F6E3-4F39-87EA-4D8B69129247}"/>
    <cellStyle name="Normal 25 4 5 2" xfId="43249" xr:uid="{664D8B56-A945-410F-A995-E494917C5A3C}"/>
    <cellStyle name="Normal 25 4 6" xfId="13250" xr:uid="{C87CE0F0-4FB1-449F-B8D6-321F98923961}"/>
    <cellStyle name="Normal 25 4 6 2" xfId="33591" xr:uid="{757749EC-CD41-4E7C-8236-725622F84567}"/>
    <cellStyle name="Normal 25 4 7" xfId="9370" xr:uid="{B111B67C-054C-44C4-B692-4140963F7BC2}"/>
    <cellStyle name="Normal 25 4 7 2" xfId="29713" xr:uid="{1E3AF4AF-0402-4CEB-AC94-2DB5B84DE622}"/>
    <cellStyle name="Normal 25 4 8" xfId="26219" xr:uid="{E4E07752-E9FC-4C24-BDFD-1578005F75CA}"/>
    <cellStyle name="Normal 25 5" xfId="6448" xr:uid="{43243416-1C23-4521-B055-487D1B7F0B1B}"/>
    <cellStyle name="Normal 25 5 2" xfId="16734" xr:uid="{4C15D681-139C-4815-A4C2-A467D7C36310}"/>
    <cellStyle name="Normal 25 5 2 2" xfId="37074" xr:uid="{8C707BED-73EE-44CE-AE34-01188A0E60A5}"/>
    <cellStyle name="Normal 25 5 3" xfId="20236" xr:uid="{E6320638-DED0-4E4A-8F6D-ECD69BAC994A}"/>
    <cellStyle name="Normal 25 5 3 2" xfId="40575" xr:uid="{F28718CD-C514-40E6-AAB5-4608DA3D2D7B}"/>
    <cellStyle name="Normal 25 5 4" xfId="23491" xr:uid="{C88C2651-1411-434D-8039-E6FFC1FA39BE}"/>
    <cellStyle name="Normal 25 5 4 2" xfId="43826" xr:uid="{1008137D-F8CA-4828-A8EB-4F2532235EAA}"/>
    <cellStyle name="Normal 25 5 5" xfId="13825" xr:uid="{4458FFCF-F09A-432B-B93D-350CCCA46638}"/>
    <cellStyle name="Normal 25 5 5 2" xfId="34166" xr:uid="{EBA6F9CB-0770-4417-9D42-39FBAAAD07B5}"/>
    <cellStyle name="Normal 25 5 6" xfId="9947" xr:uid="{D532B682-1BBD-482B-B348-F7AB4F0C23FE}"/>
    <cellStyle name="Normal 25 5 6 2" xfId="30290" xr:uid="{DDA4C2BC-1471-4DBF-B93D-E34CAE806277}"/>
    <cellStyle name="Normal 25 5 7" xfId="26796" xr:uid="{6D37EDDE-7293-4F3A-9456-C92E5210A98C}"/>
    <cellStyle name="Normal 25 6" xfId="7612" xr:uid="{F3DDC217-F669-40FC-BAD1-463BBCC384BC}"/>
    <cellStyle name="Normal 25 6 2" xfId="17897" xr:uid="{FD3D8D8C-2815-4EA9-B637-D5FED1FB0A46}"/>
    <cellStyle name="Normal 25 6 2 2" xfId="38237" xr:uid="{A04AD2D0-0A5C-4422-95F5-0E76DD1D07D0}"/>
    <cellStyle name="Normal 25 6 3" xfId="21399" xr:uid="{2263D185-5AA2-4648-A866-A65A611E5510}"/>
    <cellStyle name="Normal 25 6 3 2" xfId="41738" xr:uid="{FD55BEEF-151D-4898-8CAA-757CEFA6A676}"/>
    <cellStyle name="Normal 25 6 4" xfId="24654" xr:uid="{2368CDDD-EDEB-4CED-A34F-57948F279B18}"/>
    <cellStyle name="Normal 25 6 4 2" xfId="44989" xr:uid="{DF4998FF-2655-4AF8-B123-E192D758D902}"/>
    <cellStyle name="Normal 25 6 5" xfId="14989" xr:uid="{52F02BBA-FE4D-45AC-859B-20B763806BB3}"/>
    <cellStyle name="Normal 25 6 5 2" xfId="35329" xr:uid="{31214EBF-2353-4799-8A00-ED2ED0A3E2DA}"/>
    <cellStyle name="Normal 25 6 6" xfId="11110" xr:uid="{B335CA86-257A-41AC-A200-70C776D3A609}"/>
    <cellStyle name="Normal 25 6 6 2" xfId="31453" xr:uid="{1288A102-C5B2-40E3-96C6-9BC98F83DB20}"/>
    <cellStyle name="Normal 25 6 7" xfId="27959" xr:uid="{2D4346F6-F481-49CC-94D1-BC6EE2C3D477}"/>
    <cellStyle name="Normal 25 7" xfId="12681" xr:uid="{51D294FF-AD86-49FE-812B-FD844A3706B7}"/>
    <cellStyle name="Normal 25 7 2" xfId="33022" xr:uid="{408D0052-9994-492B-A0B1-2E326B244593}"/>
    <cellStyle name="Normal 25 8" xfId="15576" xr:uid="{7D77AC25-9326-4379-88CF-A9FD55B2CA5C}"/>
    <cellStyle name="Normal 25 8 2" xfId="35916" xr:uid="{69A8430B-8A03-4CF6-8E60-400755C18F6A}"/>
    <cellStyle name="Normal 25 9" xfId="18490" xr:uid="{9131A17C-5895-499B-B232-E6515112F120}"/>
    <cellStyle name="Normal 25 9 2" xfId="38830" xr:uid="{81135558-4934-4DD6-B6FA-146580A34000}"/>
    <cellStyle name="Normal 26" xfId="5321" xr:uid="{B0C8B9CE-B4DB-49AB-9B5A-404657E88948}"/>
    <cellStyle name="Normal 26 10" xfId="19079" xr:uid="{A3896BDC-03DF-403F-ABEC-562E5C02AB28}"/>
    <cellStyle name="Normal 26 10 2" xfId="39418" xr:uid="{67517A0A-2E97-43EB-84B9-88C19CD889E5}"/>
    <cellStyle name="Normal 26 11" xfId="22334" xr:uid="{6FB6544A-0443-4CCE-9D8B-7AE870BC43E8}"/>
    <cellStyle name="Normal 26 11 2" xfId="42669" xr:uid="{657EB521-538C-47C9-AC07-3D910FC051C2}"/>
    <cellStyle name="Normal 26 12" xfId="12051" xr:uid="{6A2295D9-16C8-47FA-9824-6C10E651B1D5}"/>
    <cellStyle name="Normal 26 12 2" xfId="32392" xr:uid="{C415273F-D714-4FE3-ABAC-BBD88BA87946}"/>
    <cellStyle name="Normal 26 13" xfId="8790" xr:uid="{A9483E58-3307-4FF6-AB4B-A43E9ECEF54A}"/>
    <cellStyle name="Normal 26 13 2" xfId="29133" xr:uid="{0323804B-B41C-4B9F-9489-5A96407D9488}"/>
    <cellStyle name="Normal 26 14" xfId="25639" xr:uid="{1FFEB68D-7AC8-4C84-80CA-DCF1B6027B28}"/>
    <cellStyle name="Normal 26 2" xfId="5423" xr:uid="{9D5A179A-BE68-43C6-9E5C-3FFBBD16F4E9}"/>
    <cellStyle name="Normal 26 2 10" xfId="12166" xr:uid="{DD26FA4A-AB93-4751-ABB4-03DF1F0F4E96}"/>
    <cellStyle name="Normal 26 2 10 2" xfId="32507" xr:uid="{3093DCC3-CA64-4A23-A6A4-D59DBDDF2EFE}"/>
    <cellStyle name="Normal 26 2 11" xfId="8905" xr:uid="{6E76B6BF-FE7B-4958-B91D-0DAD05F7E363}"/>
    <cellStyle name="Normal 26 2 11 2" xfId="29248" xr:uid="{E5874DB8-C871-47A5-BC05-B3478CEDC57A}"/>
    <cellStyle name="Normal 26 2 12" xfId="25754" xr:uid="{03F896A0-FBCD-437A-8305-166A2C4D845A}"/>
    <cellStyle name="Normal 26 2 2" xfId="5987" xr:uid="{4A8AB7FF-B19C-4004-86E9-52DE926474D2}"/>
    <cellStyle name="Normal 26 2 2 2" xfId="7145" xr:uid="{9172E0F1-6CE8-4BD5-B244-2CABD52E6C00}"/>
    <cellStyle name="Normal 26 2 2 2 2" xfId="17431" xr:uid="{067017B3-737C-4725-AFED-48B35DE7FCCD}"/>
    <cellStyle name="Normal 26 2 2 2 2 2" xfId="37771" xr:uid="{64055572-A47A-47A9-A703-1D40C02F8C26}"/>
    <cellStyle name="Normal 26 2 2 2 3" xfId="20933" xr:uid="{E125AF20-3292-44C6-A78A-5B67CE918B2E}"/>
    <cellStyle name="Normal 26 2 2 2 3 2" xfId="41272" xr:uid="{F87ED100-2EAC-41A5-B935-2F28C41015BF}"/>
    <cellStyle name="Normal 26 2 2 2 4" xfId="24188" xr:uid="{FE881C05-AC98-4320-B5F9-A3AC6B7FCF5D}"/>
    <cellStyle name="Normal 26 2 2 2 4 2" xfId="44523" xr:uid="{9B19700D-67F8-440A-B40D-729A59BF8196}"/>
    <cellStyle name="Normal 26 2 2 2 5" xfId="14522" xr:uid="{E69455B4-5E79-4755-AF69-AE5850B6FED7}"/>
    <cellStyle name="Normal 26 2 2 2 5 2" xfId="34863" xr:uid="{539FF3FD-A756-441C-AC00-3ADCCFD8E0FB}"/>
    <cellStyle name="Normal 26 2 2 2 6" xfId="10644" xr:uid="{4150266F-B152-47E2-8235-FA02B2F4614E}"/>
    <cellStyle name="Normal 26 2 2 2 6 2" xfId="30987" xr:uid="{67BD87C7-32DD-4985-9F57-B2F8E5EA5FFD}"/>
    <cellStyle name="Normal 26 2 2 2 7" xfId="27493" xr:uid="{06D183E7-49E1-4E41-8300-81765D242CE0}"/>
    <cellStyle name="Normal 26 2 2 3" xfId="16273" xr:uid="{14333E4E-E6CA-4868-8D7E-5AE351743C93}"/>
    <cellStyle name="Normal 26 2 2 3 2" xfId="36613" xr:uid="{FF6DD3A5-A8DE-4FC6-875A-FFDE2B8D6DD5}"/>
    <cellStyle name="Normal 26 2 2 4" xfId="19775" xr:uid="{EE94B4A7-C07D-4761-B99F-65F06D5DD9B1}"/>
    <cellStyle name="Normal 26 2 2 4 2" xfId="40114" xr:uid="{8A6E2C05-6EAF-46C1-8782-222611D29BAC}"/>
    <cellStyle name="Normal 26 2 2 5" xfId="23030" xr:uid="{12A62DCC-234F-47CB-892F-640E7DCC96C2}"/>
    <cellStyle name="Normal 26 2 2 5 2" xfId="43365" xr:uid="{392E63A5-7608-4EE2-B44D-0CBA1AA932C9}"/>
    <cellStyle name="Normal 26 2 2 6" xfId="13364" xr:uid="{652FBFBA-2B30-4C23-B6BB-CFBA78085652}"/>
    <cellStyle name="Normal 26 2 2 6 2" xfId="33705" xr:uid="{51BCA182-F688-40CC-B0C8-B8A4826F97B0}"/>
    <cellStyle name="Normal 26 2 2 7" xfId="9486" xr:uid="{D03E4DAA-0E6C-4328-8C9C-ADFDE7A147F7}"/>
    <cellStyle name="Normal 26 2 2 7 2" xfId="29829" xr:uid="{55C2353C-4DED-49E2-9FF1-4F13F7CE8DAD}"/>
    <cellStyle name="Normal 26 2 2 8" xfId="26335" xr:uid="{F916FCEC-D337-4971-AD89-5BB9EDFE1BF4}"/>
    <cellStyle name="Normal 26 2 3" xfId="6564" xr:uid="{40B7F61A-DD31-4F61-A9ED-006C6B53CB5B}"/>
    <cellStyle name="Normal 26 2 3 2" xfId="16850" xr:uid="{ECDBF0EA-2D80-4A98-A877-7C7A43184C62}"/>
    <cellStyle name="Normal 26 2 3 2 2" xfId="37190" xr:uid="{2A9A4A03-B3BD-477A-B9D2-C13FCC052206}"/>
    <cellStyle name="Normal 26 2 3 3" xfId="20352" xr:uid="{549740D9-996B-4AC6-B2D0-80E7EE4B4C6C}"/>
    <cellStyle name="Normal 26 2 3 3 2" xfId="40691" xr:uid="{3E71BB85-3493-480C-A0F9-C615F5627A17}"/>
    <cellStyle name="Normal 26 2 3 4" xfId="23607" xr:uid="{4CB7616E-720F-44D1-A142-920FA4B56D53}"/>
    <cellStyle name="Normal 26 2 3 4 2" xfId="43942" xr:uid="{7B0ABF5F-14E1-4E83-BABE-48F2117A6924}"/>
    <cellStyle name="Normal 26 2 3 5" xfId="13941" xr:uid="{2A48DFE4-8A55-45E5-AD18-ACCCD4F2F628}"/>
    <cellStyle name="Normal 26 2 3 5 2" xfId="34282" xr:uid="{152425E5-6458-41D3-8184-706686C72496}"/>
    <cellStyle name="Normal 26 2 3 6" xfId="10063" xr:uid="{BC4C734E-9415-4E4A-B2C4-362E19773798}"/>
    <cellStyle name="Normal 26 2 3 6 2" xfId="30406" xr:uid="{F03C5F2D-3A80-4EA3-9E36-EB78604B9A31}"/>
    <cellStyle name="Normal 26 2 3 7" xfId="26912" xr:uid="{7C1E6A1A-9FFC-48B1-9D91-2EB9C6572B37}"/>
    <cellStyle name="Normal 26 2 4" xfId="7728" xr:uid="{16A027FD-3F9C-4664-B0DA-3BC9D584BC81}"/>
    <cellStyle name="Normal 26 2 4 2" xfId="18013" xr:uid="{49FE245B-763C-4C13-8ECE-B4F66BB72CD0}"/>
    <cellStyle name="Normal 26 2 4 2 2" xfId="38353" xr:uid="{FFC5E5D7-CE51-4BCF-B9F3-27DB55B4B282}"/>
    <cellStyle name="Normal 26 2 4 3" xfId="21515" xr:uid="{28B8513F-DA54-4954-BD98-E301F8A516C4}"/>
    <cellStyle name="Normal 26 2 4 3 2" xfId="41854" xr:uid="{0874ECB2-CEF8-4570-8FA2-83305505D5A3}"/>
    <cellStyle name="Normal 26 2 4 4" xfId="24770" xr:uid="{2D33728F-BE5E-4E68-A6CB-8695D35879D7}"/>
    <cellStyle name="Normal 26 2 4 4 2" xfId="45105" xr:uid="{22167DCD-33DE-4D94-9B15-E4F8345176FA}"/>
    <cellStyle name="Normal 26 2 4 5" xfId="15105" xr:uid="{40CD82F9-B4CA-48D3-948F-F0B07ED1E9F2}"/>
    <cellStyle name="Normal 26 2 4 5 2" xfId="35445" xr:uid="{ACCD3F90-6CEE-4089-8330-937D0FF11C18}"/>
    <cellStyle name="Normal 26 2 4 6" xfId="11226" xr:uid="{86EA6B03-EFE5-47E7-B798-AADEB14B8AF7}"/>
    <cellStyle name="Normal 26 2 4 6 2" xfId="31569" xr:uid="{C264110E-FC09-42B2-9FB4-2DE038964716}"/>
    <cellStyle name="Normal 26 2 4 7" xfId="28075" xr:uid="{3AD2C621-8B0F-4604-808B-424B9084C68C}"/>
    <cellStyle name="Normal 26 2 5" xfId="12795" xr:uid="{D3562075-5EA9-4AD0-B1B0-78DB1772A7DF}"/>
    <cellStyle name="Normal 26 2 5 2" xfId="33136" xr:uid="{FE7E441B-F374-493C-BB9A-96185636263F}"/>
    <cellStyle name="Normal 26 2 6" xfId="15692" xr:uid="{0C6728B3-03F8-44EE-AC14-83FE80D16FE8}"/>
    <cellStyle name="Normal 26 2 6 2" xfId="36032" xr:uid="{3120939D-72EE-42EA-8C40-4D6603954C03}"/>
    <cellStyle name="Normal 26 2 7" xfId="18606" xr:uid="{255CF252-5577-462D-B5A3-3FDEF659A60A}"/>
    <cellStyle name="Normal 26 2 7 2" xfId="38946" xr:uid="{7B6679E5-130A-4B2E-9258-FB06A8BCA63E}"/>
    <cellStyle name="Normal 26 2 8" xfId="19194" xr:uid="{F0649AA3-12CB-4C52-9B90-757C83EB143B}"/>
    <cellStyle name="Normal 26 2 8 2" xfId="39533" xr:uid="{3C34E4CA-9499-4924-83BF-8CC1942C11BF}"/>
    <cellStyle name="Normal 26 2 9" xfId="22449" xr:uid="{21633FBF-11C1-4268-9A3F-310916C3386E}"/>
    <cellStyle name="Normal 26 2 9 2" xfId="42784" xr:uid="{5D100E79-A83A-47B3-9F46-9641A87822B4}"/>
    <cellStyle name="Normal 26 3" xfId="5644" xr:uid="{4D51AD1F-7721-4DA5-AA98-8836279EBC5C}"/>
    <cellStyle name="Normal 26 3 10" xfId="12395" xr:uid="{F5D9DEED-DB44-4234-BF6F-DE4A4AFFA283}"/>
    <cellStyle name="Normal 26 3 10 2" xfId="32736" xr:uid="{6F4D07BE-9564-4C00-94C6-3E8247A0BA0F}"/>
    <cellStyle name="Normal 26 3 11" xfId="9134" xr:uid="{1B3430BF-09C5-4B7F-872F-A8B86799E280}"/>
    <cellStyle name="Normal 26 3 11 2" xfId="29477" xr:uid="{D29E7FCE-0AC9-4994-9E24-A4F8941BBC48}"/>
    <cellStyle name="Normal 26 3 12" xfId="25983" xr:uid="{F34D2110-4228-4600-949C-73655E2A52B8}"/>
    <cellStyle name="Normal 26 3 2" xfId="6216" xr:uid="{6C067DA9-1C02-4879-9630-BD8D7EE28217}"/>
    <cellStyle name="Normal 26 3 2 2" xfId="7374" xr:uid="{A06E66D6-4EF4-4C36-9470-C6A6616B52F0}"/>
    <cellStyle name="Normal 26 3 2 2 2" xfId="17660" xr:uid="{468D04B5-F79B-4921-B30D-10FF52FC7154}"/>
    <cellStyle name="Normal 26 3 2 2 2 2" xfId="38000" xr:uid="{06E199A9-C0D4-4EBE-AB74-95C0A817D952}"/>
    <cellStyle name="Normal 26 3 2 2 3" xfId="21162" xr:uid="{F5CFA865-4595-47DB-A109-A23D9D47E050}"/>
    <cellStyle name="Normal 26 3 2 2 3 2" xfId="41501" xr:uid="{BCA69055-B317-4A28-8735-DBAF6D5E2FD0}"/>
    <cellStyle name="Normal 26 3 2 2 4" xfId="24417" xr:uid="{56046D5A-C28B-42B0-AAA9-892B52A32559}"/>
    <cellStyle name="Normal 26 3 2 2 4 2" xfId="44752" xr:uid="{BA208087-C6FF-47CD-AA5A-86E033514FFA}"/>
    <cellStyle name="Normal 26 3 2 2 5" xfId="14751" xr:uid="{63696A86-17A8-41DB-A256-1295D759CF8F}"/>
    <cellStyle name="Normal 26 3 2 2 5 2" xfId="35092" xr:uid="{2B03DFE4-F6B3-4944-AE83-0ACCB38BBABB}"/>
    <cellStyle name="Normal 26 3 2 2 6" xfId="10873" xr:uid="{DEA8FC0E-02B2-45C9-8028-7FD8B3FF4F59}"/>
    <cellStyle name="Normal 26 3 2 2 6 2" xfId="31216" xr:uid="{606520BB-ED4D-47A3-932E-1155C80704F9}"/>
    <cellStyle name="Normal 26 3 2 2 7" xfId="27722" xr:uid="{E1A668F2-949B-4B2D-9D85-59FAC08AE5EA}"/>
    <cellStyle name="Normal 26 3 2 3" xfId="16502" xr:uid="{07C0627C-B185-4913-AC09-24BC6039A5B0}"/>
    <cellStyle name="Normal 26 3 2 3 2" xfId="36842" xr:uid="{A9EB5C80-439A-4A24-A572-4238990B4AAC}"/>
    <cellStyle name="Normal 26 3 2 4" xfId="20004" xr:uid="{763C839C-FE87-44A8-9F78-9470E57CEFF8}"/>
    <cellStyle name="Normal 26 3 2 4 2" xfId="40343" xr:uid="{14FADA48-30D5-40F1-A5BE-760E686FE89F}"/>
    <cellStyle name="Normal 26 3 2 5" xfId="23259" xr:uid="{8FB7723F-F88B-4437-A026-6788EFF107DD}"/>
    <cellStyle name="Normal 26 3 2 5 2" xfId="43594" xr:uid="{2AAAE810-5BA0-49C9-85EE-99088906C5CE}"/>
    <cellStyle name="Normal 26 3 2 6" xfId="13593" xr:uid="{A1DD03D5-FADE-4B77-8A82-D433E2C8BBD7}"/>
    <cellStyle name="Normal 26 3 2 6 2" xfId="33934" xr:uid="{109908AE-B24F-40F8-B178-B0A8577059D4}"/>
    <cellStyle name="Normal 26 3 2 7" xfId="9715" xr:uid="{0106E2D5-2D53-446C-949A-244222145196}"/>
    <cellStyle name="Normal 26 3 2 7 2" xfId="30058" xr:uid="{B7986197-6655-4851-B035-417ED65830B8}"/>
    <cellStyle name="Normal 26 3 2 8" xfId="26564" xr:uid="{CADC446E-1A66-46CF-905F-394E05E6E8BF}"/>
    <cellStyle name="Normal 26 3 3" xfId="6793" xr:uid="{0BDADE7C-C4C6-48EA-8E1F-D1DEDC67F7E8}"/>
    <cellStyle name="Normal 26 3 3 2" xfId="17079" xr:uid="{12214FB4-F9E6-47F4-ADA3-5EC49BA304EC}"/>
    <cellStyle name="Normal 26 3 3 2 2" xfId="37419" xr:uid="{75F8264D-F57A-4925-BD6A-F8ED80EEAE92}"/>
    <cellStyle name="Normal 26 3 3 3" xfId="20581" xr:uid="{E59861F3-6ACD-4898-AAD5-CD483F106728}"/>
    <cellStyle name="Normal 26 3 3 3 2" xfId="40920" xr:uid="{29769AF3-7413-4C54-BDD2-9E1739DA07A6}"/>
    <cellStyle name="Normal 26 3 3 4" xfId="23836" xr:uid="{76CB8405-3E5F-49C0-A57D-8D6E1293CFBA}"/>
    <cellStyle name="Normal 26 3 3 4 2" xfId="44171" xr:uid="{2593C8E0-E4D7-4026-871A-61AFCC513A64}"/>
    <cellStyle name="Normal 26 3 3 5" xfId="14170" xr:uid="{9B965C53-3D1D-4869-BFAC-C2D53BF835B8}"/>
    <cellStyle name="Normal 26 3 3 5 2" xfId="34511" xr:uid="{B5161732-4E9D-422C-98FC-EC3976F4459B}"/>
    <cellStyle name="Normal 26 3 3 6" xfId="10292" xr:uid="{C6CD1448-B58B-48BB-84DF-3332B288E152}"/>
    <cellStyle name="Normal 26 3 3 6 2" xfId="30635" xr:uid="{84E7EC58-7827-4961-A274-9F8912ADE761}"/>
    <cellStyle name="Normal 26 3 3 7" xfId="27141" xr:uid="{800E6478-1781-4D7A-A940-081B6B305334}"/>
    <cellStyle name="Normal 26 3 4" xfId="7957" xr:uid="{0F4CA639-A9A4-4BBE-837D-5F12F782ED80}"/>
    <cellStyle name="Normal 26 3 4 2" xfId="18242" xr:uid="{D5EFE808-082B-4396-8549-18F891EE9798}"/>
    <cellStyle name="Normal 26 3 4 2 2" xfId="38582" xr:uid="{438507AF-AE76-4EEB-9E46-D73BABAA4D8E}"/>
    <cellStyle name="Normal 26 3 4 3" xfId="21744" xr:uid="{B71A0C8E-46BC-4323-9CBA-FC469AE10C62}"/>
    <cellStyle name="Normal 26 3 4 3 2" xfId="42083" xr:uid="{2AB8A87D-AEFC-4E1F-B7A5-7603251098B7}"/>
    <cellStyle name="Normal 26 3 4 4" xfId="24999" xr:uid="{7D132CD7-EA5D-474E-AB5F-C4C266E472DF}"/>
    <cellStyle name="Normal 26 3 4 4 2" xfId="45334" xr:uid="{571686E0-CFB8-4384-ABB3-2111F6E5E03A}"/>
    <cellStyle name="Normal 26 3 4 5" xfId="15334" xr:uid="{4279E89D-B688-456F-A243-7F80DA5DC80E}"/>
    <cellStyle name="Normal 26 3 4 5 2" xfId="35674" xr:uid="{51275FD9-93AE-42E5-972F-7D48927E7AFE}"/>
    <cellStyle name="Normal 26 3 4 6" xfId="11455" xr:uid="{59AA0730-8ADD-4DB7-942B-DE652C697774}"/>
    <cellStyle name="Normal 26 3 4 6 2" xfId="31798" xr:uid="{67D679B7-0818-4003-A795-80950520ACEA}"/>
    <cellStyle name="Normal 26 3 4 7" xfId="28304" xr:uid="{EBE58DC8-B257-4200-9117-CA7DE2C592CB}"/>
    <cellStyle name="Normal 26 3 5" xfId="13024" xr:uid="{B6236B9F-F53C-490B-85B9-27B00CEA248F}"/>
    <cellStyle name="Normal 26 3 5 2" xfId="33365" xr:uid="{A6F803CA-4960-42DF-9B34-0037211F0C70}"/>
    <cellStyle name="Normal 26 3 6" xfId="15921" xr:uid="{D115D8A3-FCD8-4EB3-AFF2-67644AC46E99}"/>
    <cellStyle name="Normal 26 3 6 2" xfId="36261" xr:uid="{CCDBD7AD-0B3A-4F4D-B865-5AE741A44629}"/>
    <cellStyle name="Normal 26 3 7" xfId="18835" xr:uid="{93078019-6C12-4532-BEF8-FEC56CE8739C}"/>
    <cellStyle name="Normal 26 3 7 2" xfId="39175" xr:uid="{1FD929CA-FF93-4C8F-9709-6ACD8B015D24}"/>
    <cellStyle name="Normal 26 3 8" xfId="19423" xr:uid="{09DDC89B-E702-47AF-BB31-46C33515F578}"/>
    <cellStyle name="Normal 26 3 8 2" xfId="39762" xr:uid="{A6EFE814-A0C5-40F3-9BB6-3A72F9815419}"/>
    <cellStyle name="Normal 26 3 9" xfId="22678" xr:uid="{9A506A1C-C49A-4B01-8E00-A291CEEC177E}"/>
    <cellStyle name="Normal 26 3 9 2" xfId="43013" xr:uid="{A9F02EAD-507D-426C-B207-0BBE789EE747}"/>
    <cellStyle name="Normal 26 4" xfId="5872" xr:uid="{38AB2099-12C4-4171-8943-D7BDDE3CDE6A}"/>
    <cellStyle name="Normal 26 4 2" xfId="7030" xr:uid="{C293F304-00BB-408A-857E-767D27ECB83A}"/>
    <cellStyle name="Normal 26 4 2 2" xfId="17316" xr:uid="{8E6E62A5-844D-4BBF-A9AD-32F479F44F39}"/>
    <cellStyle name="Normal 26 4 2 2 2" xfId="37656" xr:uid="{BA5ECB1E-D829-4A23-9D46-8214C8C99003}"/>
    <cellStyle name="Normal 26 4 2 3" xfId="20818" xr:uid="{64F8E879-BF41-4889-A463-887F1BF36888}"/>
    <cellStyle name="Normal 26 4 2 3 2" xfId="41157" xr:uid="{5EFD78BC-B7C3-4D06-BD63-6CDC4EA9EB1F}"/>
    <cellStyle name="Normal 26 4 2 4" xfId="24073" xr:uid="{E057D672-6580-4260-849A-36047C6C9BB7}"/>
    <cellStyle name="Normal 26 4 2 4 2" xfId="44408" xr:uid="{063060A4-D335-4DEE-95B7-7339FB4FEE2B}"/>
    <cellStyle name="Normal 26 4 2 5" xfId="14407" xr:uid="{ACFD0415-4B89-44A6-AF75-84B951EDD588}"/>
    <cellStyle name="Normal 26 4 2 5 2" xfId="34748" xr:uid="{C8A3D546-1B7C-4434-9008-BF6928E29926}"/>
    <cellStyle name="Normal 26 4 2 6" xfId="10529" xr:uid="{9C3E3E6C-FCC5-4488-AAB6-42C5533A3498}"/>
    <cellStyle name="Normal 26 4 2 6 2" xfId="30872" xr:uid="{78DADE91-FDCE-4833-87A9-04A08FBE1E3C}"/>
    <cellStyle name="Normal 26 4 2 7" xfId="27378" xr:uid="{67E8E1EC-84EA-4FA1-9174-C0BB3447F682}"/>
    <cellStyle name="Normal 26 4 3" xfId="16158" xr:uid="{67E434AE-75A2-426A-92BB-3C6A240C6D58}"/>
    <cellStyle name="Normal 26 4 3 2" xfId="36498" xr:uid="{709F3559-35CD-4861-995A-8466D65DBD57}"/>
    <cellStyle name="Normal 26 4 4" xfId="19660" xr:uid="{9BCBF93C-CFA2-41EB-A1C4-21034599FB8C}"/>
    <cellStyle name="Normal 26 4 4 2" xfId="39999" xr:uid="{567157F0-98D9-4B42-AEA1-E3646654AAAC}"/>
    <cellStyle name="Normal 26 4 5" xfId="22915" xr:uid="{EF9B8B25-EF54-4366-A695-85E14525BBB0}"/>
    <cellStyle name="Normal 26 4 5 2" xfId="43250" xr:uid="{A50D693B-23FC-4026-B639-1892363934D7}"/>
    <cellStyle name="Normal 26 4 6" xfId="13251" xr:uid="{EBE2636C-1436-46D9-B82E-831F67111B11}"/>
    <cellStyle name="Normal 26 4 6 2" xfId="33592" xr:uid="{339EF2DF-1782-4535-AC87-4D3FCC94319D}"/>
    <cellStyle name="Normal 26 4 7" xfId="9371" xr:uid="{8BFCA959-E637-448D-94B0-740A13298060}"/>
    <cellStyle name="Normal 26 4 7 2" xfId="29714" xr:uid="{B6556118-B362-4B7B-9550-1E1D9145CBA8}"/>
    <cellStyle name="Normal 26 4 8" xfId="26220" xr:uid="{7B2FC948-8CA0-4223-8A7B-3D1B1BDD2A71}"/>
    <cellStyle name="Normal 26 5" xfId="6449" xr:uid="{F9A36B83-F16A-4902-AD06-E874F08773D2}"/>
    <cellStyle name="Normal 26 5 2" xfId="16735" xr:uid="{BA7222B2-1045-4048-BBA8-724B645EF8D4}"/>
    <cellStyle name="Normal 26 5 2 2" xfId="37075" xr:uid="{DFA6DDB7-5430-4462-9362-613F29493BE5}"/>
    <cellStyle name="Normal 26 5 3" xfId="20237" xr:uid="{F6CFF7B5-A293-47FE-AE8D-647E163FC5A1}"/>
    <cellStyle name="Normal 26 5 3 2" xfId="40576" xr:uid="{F0C41FE6-D82F-4B63-9262-81372AF96D3C}"/>
    <cellStyle name="Normal 26 5 4" xfId="23492" xr:uid="{F1EA2173-E912-4522-8AB2-AE9846E037C1}"/>
    <cellStyle name="Normal 26 5 4 2" xfId="43827" xr:uid="{AE982ED9-9CF5-4BD3-9CE4-7B0913CC73D5}"/>
    <cellStyle name="Normal 26 5 5" xfId="13826" xr:uid="{7A54B222-B073-47FB-AD21-3F19AE89A80E}"/>
    <cellStyle name="Normal 26 5 5 2" xfId="34167" xr:uid="{CA407302-1C12-499B-918C-0C5160E2F20A}"/>
    <cellStyle name="Normal 26 5 6" xfId="9948" xr:uid="{00E5F90B-73E5-40CA-8C23-16871CC223B8}"/>
    <cellStyle name="Normal 26 5 6 2" xfId="30291" xr:uid="{1BFD29E7-CFA6-49F1-9C6C-11E965D90BDF}"/>
    <cellStyle name="Normal 26 5 7" xfId="26797" xr:uid="{B299A9B1-AED6-48F8-A51D-CFCA61DD814B}"/>
    <cellStyle name="Normal 26 6" xfId="7613" xr:uid="{8167C091-88F7-40C3-8CBC-5CD96531811A}"/>
    <cellStyle name="Normal 26 6 2" xfId="17898" xr:uid="{9AF93ACA-1FC7-4CF6-A52D-82401E73DD69}"/>
    <cellStyle name="Normal 26 6 2 2" xfId="38238" xr:uid="{018F29F5-1661-4BEB-A7DE-E4DE43EF8C00}"/>
    <cellStyle name="Normal 26 6 3" xfId="21400" xr:uid="{42028A1B-3291-49C4-B9C9-70A1A61F8BCC}"/>
    <cellStyle name="Normal 26 6 3 2" xfId="41739" xr:uid="{7465B291-28B6-4AA3-9830-72070781D21D}"/>
    <cellStyle name="Normal 26 6 4" xfId="24655" xr:uid="{5C0A6940-B9AC-4F9A-8DA3-4ACB7A919967}"/>
    <cellStyle name="Normal 26 6 4 2" xfId="44990" xr:uid="{F64C162C-D305-4081-B23E-3FA638543649}"/>
    <cellStyle name="Normal 26 6 5" xfId="14990" xr:uid="{CE4CB005-7343-4E87-8933-7D13E45EAD12}"/>
    <cellStyle name="Normal 26 6 5 2" xfId="35330" xr:uid="{D8E34647-D092-4C1F-88D3-415C00847326}"/>
    <cellStyle name="Normal 26 6 6" xfId="11111" xr:uid="{06815085-B446-4E12-BED6-B9F30698C4A2}"/>
    <cellStyle name="Normal 26 6 6 2" xfId="31454" xr:uid="{BFEE1F4A-0962-4603-9446-A269848D2076}"/>
    <cellStyle name="Normal 26 6 7" xfId="27960" xr:uid="{81502FDC-564D-46A8-99B9-F8CE2C6FF799}"/>
    <cellStyle name="Normal 26 7" xfId="12682" xr:uid="{84D50C89-4965-4114-A93C-217A6326338F}"/>
    <cellStyle name="Normal 26 7 2" xfId="33023" xr:uid="{9199A46C-C0A0-43EF-BE57-5F5499CF1A02}"/>
    <cellStyle name="Normal 26 8" xfId="15577" xr:uid="{F6D9906B-7F79-43B7-9274-52E3CAE76E21}"/>
    <cellStyle name="Normal 26 8 2" xfId="35917" xr:uid="{77094632-EDDE-4186-AD7F-9894FA2FCA6C}"/>
    <cellStyle name="Normal 26 9" xfId="18491" xr:uid="{EF6F7C08-22E8-4B7F-8F47-AD4BFC50B0B3}"/>
    <cellStyle name="Normal 26 9 2" xfId="38831" xr:uid="{1D34C3DF-5580-4A4D-94A7-1441CD24C918}"/>
    <cellStyle name="Normal 27" xfId="5322" xr:uid="{8026B4FB-756F-4FED-893E-B8F8DEAB0077}"/>
    <cellStyle name="Normal 27 10" xfId="19080" xr:uid="{4D0B84F3-2821-4BB7-A9B0-BD2A547F1EC8}"/>
    <cellStyle name="Normal 27 10 2" xfId="39419" xr:uid="{FFE41388-5EC8-4526-8007-3BD5993BD25F}"/>
    <cellStyle name="Normal 27 11" xfId="22335" xr:uid="{97465E88-6CF3-4693-A9E6-CAFD69DB0B1A}"/>
    <cellStyle name="Normal 27 11 2" xfId="42670" xr:uid="{23BC0F85-720A-4569-82A3-194DE1214AC8}"/>
    <cellStyle name="Normal 27 12" xfId="12052" xr:uid="{2358D94C-E984-4BEE-A921-E36FA3BE9EAD}"/>
    <cellStyle name="Normal 27 12 2" xfId="32393" xr:uid="{858D7DEB-F309-49DF-9359-4F83BC620F0B}"/>
    <cellStyle name="Normal 27 13" xfId="8791" xr:uid="{45FAC883-722B-43BA-A006-20FAD1A83370}"/>
    <cellStyle name="Normal 27 13 2" xfId="29134" xr:uid="{8CD8E4E8-16A9-461B-AB24-AC11C4984466}"/>
    <cellStyle name="Normal 27 14" xfId="25640" xr:uid="{922C249F-FC08-469D-82F5-377900CDB020}"/>
    <cellStyle name="Normal 27 2" xfId="5424" xr:uid="{7647F22A-549E-4200-A09B-5FD0A4531325}"/>
    <cellStyle name="Normal 27 2 10" xfId="12167" xr:uid="{9AF6E29C-7004-465F-9BFA-8E856D521BD8}"/>
    <cellStyle name="Normal 27 2 10 2" xfId="32508" xr:uid="{88F1C932-B9A1-43EA-BBA4-231E96176A4B}"/>
    <cellStyle name="Normal 27 2 11" xfId="8906" xr:uid="{906F2E9D-DCF7-4396-955D-81F93B21E995}"/>
    <cellStyle name="Normal 27 2 11 2" xfId="29249" xr:uid="{FF559310-8693-4B05-A2B4-9F2C44914034}"/>
    <cellStyle name="Normal 27 2 12" xfId="25755" xr:uid="{942C04C6-3E6D-4B8E-8E89-F0B09B6C8853}"/>
    <cellStyle name="Normal 27 2 2" xfId="5988" xr:uid="{D5A7CBD0-37B5-4587-B241-7B4BDAEB7329}"/>
    <cellStyle name="Normal 27 2 2 2" xfId="7146" xr:uid="{CE4AD01A-FDD9-4FB8-9BFF-BCF68F5C74FA}"/>
    <cellStyle name="Normal 27 2 2 2 2" xfId="17432" xr:uid="{78533B34-9546-4BB4-A3F0-321B632715F5}"/>
    <cellStyle name="Normal 27 2 2 2 2 2" xfId="37772" xr:uid="{70407D3D-0311-4896-A58F-8DA8082D5EF2}"/>
    <cellStyle name="Normal 27 2 2 2 3" xfId="20934" xr:uid="{D461EAEF-D226-4C0F-B393-6118873DE6A8}"/>
    <cellStyle name="Normal 27 2 2 2 3 2" xfId="41273" xr:uid="{1F88B9B0-A398-4E81-B25B-B7D7B66D6F08}"/>
    <cellStyle name="Normal 27 2 2 2 4" xfId="24189" xr:uid="{93DC30C9-0731-4E7C-BACC-F29562D91E03}"/>
    <cellStyle name="Normal 27 2 2 2 4 2" xfId="44524" xr:uid="{7B71CBC8-D50F-4AB3-A24F-FA04BC34F45D}"/>
    <cellStyle name="Normal 27 2 2 2 5" xfId="14523" xr:uid="{72A723AE-3789-4E7A-ACC4-776FF7FD7AB9}"/>
    <cellStyle name="Normal 27 2 2 2 5 2" xfId="34864" xr:uid="{300252C1-3D8E-4759-A685-D18B48F0B1AA}"/>
    <cellStyle name="Normal 27 2 2 2 6" xfId="10645" xr:uid="{4179E12B-5F91-4D73-B435-2A4324816AAE}"/>
    <cellStyle name="Normal 27 2 2 2 6 2" xfId="30988" xr:uid="{BB750AC9-68A2-437F-8C2E-A91C17E09BD4}"/>
    <cellStyle name="Normal 27 2 2 2 7" xfId="27494" xr:uid="{48F9B322-6080-4401-ADE9-70497BDC0E17}"/>
    <cellStyle name="Normal 27 2 2 3" xfId="16274" xr:uid="{6C05000F-D2BF-4CA2-82E9-A2E0B87B0993}"/>
    <cellStyle name="Normal 27 2 2 3 2" xfId="36614" xr:uid="{F3F2ABED-F2A4-4CC1-8E01-D852D27ED7A6}"/>
    <cellStyle name="Normal 27 2 2 4" xfId="19776" xr:uid="{820793DF-B655-4E31-8CA9-7A5041174811}"/>
    <cellStyle name="Normal 27 2 2 4 2" xfId="40115" xr:uid="{C80034FB-2203-41F0-BD42-EDB56268C54B}"/>
    <cellStyle name="Normal 27 2 2 5" xfId="23031" xr:uid="{25925075-1125-4A0C-890D-3027D43FF82C}"/>
    <cellStyle name="Normal 27 2 2 5 2" xfId="43366" xr:uid="{A8744002-DD55-4277-9779-4040FD7EEEDC}"/>
    <cellStyle name="Normal 27 2 2 6" xfId="13365" xr:uid="{06F34B2F-B12C-4A51-85F2-7594CA06C542}"/>
    <cellStyle name="Normal 27 2 2 6 2" xfId="33706" xr:uid="{EB91DB84-CD80-43AB-BC22-20B1DD0CA981}"/>
    <cellStyle name="Normal 27 2 2 7" xfId="9487" xr:uid="{ADAA2F6D-803A-48F2-A65D-1D9B714EA394}"/>
    <cellStyle name="Normal 27 2 2 7 2" xfId="29830" xr:uid="{49D4F406-3939-4273-B29E-20E86FC070D9}"/>
    <cellStyle name="Normal 27 2 2 8" xfId="26336" xr:uid="{85887081-1700-49F6-9852-C3429E1A563F}"/>
    <cellStyle name="Normal 27 2 3" xfId="6565" xr:uid="{63FC78E3-89EB-450A-A632-FC041DDE1847}"/>
    <cellStyle name="Normal 27 2 3 2" xfId="16851" xr:uid="{55DB774F-CF91-4454-ABB1-1700BAAFB8B4}"/>
    <cellStyle name="Normal 27 2 3 2 2" xfId="37191" xr:uid="{9FC7CF49-A94E-42FB-AE90-BED7D759F3CF}"/>
    <cellStyle name="Normal 27 2 3 3" xfId="20353" xr:uid="{3CEF5AD9-0C7E-41AE-903D-44BEE87880AC}"/>
    <cellStyle name="Normal 27 2 3 3 2" xfId="40692" xr:uid="{5804610F-2DB9-41DF-AC9E-CF0BBD9AD368}"/>
    <cellStyle name="Normal 27 2 3 4" xfId="23608" xr:uid="{40799BDE-7749-4A61-8E32-3AE5572C383D}"/>
    <cellStyle name="Normal 27 2 3 4 2" xfId="43943" xr:uid="{9F3E98FC-5E14-42FE-A41D-55A42CD68DF2}"/>
    <cellStyle name="Normal 27 2 3 5" xfId="13942" xr:uid="{3F3FBF2E-7F98-4080-BE17-56A4776CABBF}"/>
    <cellStyle name="Normal 27 2 3 5 2" xfId="34283" xr:uid="{F873125A-9604-48EA-B81D-843D8821AEB0}"/>
    <cellStyle name="Normal 27 2 3 6" xfId="10064" xr:uid="{6E8EBB01-B2D3-403C-9FE8-524B28358A3D}"/>
    <cellStyle name="Normal 27 2 3 6 2" xfId="30407" xr:uid="{29D2CF5B-65C6-4486-8A1A-77F3A1C0EDEF}"/>
    <cellStyle name="Normal 27 2 3 7" xfId="26913" xr:uid="{4C8CA67D-9257-49ED-A5AA-B33369AFCF1E}"/>
    <cellStyle name="Normal 27 2 4" xfId="7729" xr:uid="{43023B3C-E614-4797-9E39-010F206D737D}"/>
    <cellStyle name="Normal 27 2 4 2" xfId="18014" xr:uid="{9E604B4A-C8E4-4136-9F24-A211246C0B76}"/>
    <cellStyle name="Normal 27 2 4 2 2" xfId="38354" xr:uid="{B4BB1025-8650-4920-ABD6-31A2FFDB9E45}"/>
    <cellStyle name="Normal 27 2 4 3" xfId="21516" xr:uid="{A134F877-1CDF-4C68-8C91-69D72B7E00FE}"/>
    <cellStyle name="Normal 27 2 4 3 2" xfId="41855" xr:uid="{764A4309-74AC-40FF-82F0-16C8400AB61F}"/>
    <cellStyle name="Normal 27 2 4 4" xfId="24771" xr:uid="{0C7D7C4B-5E96-4365-B9AE-183D0788D874}"/>
    <cellStyle name="Normal 27 2 4 4 2" xfId="45106" xr:uid="{8B503F74-7234-4DB7-B9D3-C86E4302F14B}"/>
    <cellStyle name="Normal 27 2 4 5" xfId="15106" xr:uid="{43FE9457-EE2A-446C-A395-F0FD06B62BA2}"/>
    <cellStyle name="Normal 27 2 4 5 2" xfId="35446" xr:uid="{F2DD2632-592C-4184-9905-E19B0AD71F4B}"/>
    <cellStyle name="Normal 27 2 4 6" xfId="11227" xr:uid="{F7C72E40-3F50-4017-A690-1D3CBB9C4BB3}"/>
    <cellStyle name="Normal 27 2 4 6 2" xfId="31570" xr:uid="{04F17440-C7E8-4B6E-8AA5-81C42A39C0CF}"/>
    <cellStyle name="Normal 27 2 4 7" xfId="28076" xr:uid="{8F1AAD1C-CDBB-4F9D-82C5-38EE3C65A953}"/>
    <cellStyle name="Normal 27 2 5" xfId="12796" xr:uid="{C44617C0-70EC-415D-9B41-E68B0760DBD4}"/>
    <cellStyle name="Normal 27 2 5 2" xfId="33137" xr:uid="{FB9B3B97-DD7D-4DA9-B42A-401F9DA42A72}"/>
    <cellStyle name="Normal 27 2 6" xfId="15693" xr:uid="{7AF6126D-1978-44D8-B146-21BF9DE2FDAB}"/>
    <cellStyle name="Normal 27 2 6 2" xfId="36033" xr:uid="{FC6CAC48-F284-4780-AA21-09938DC3B4AD}"/>
    <cellStyle name="Normal 27 2 7" xfId="18607" xr:uid="{988CE2A3-BDA1-45FF-AB66-CF0D684AF089}"/>
    <cellStyle name="Normal 27 2 7 2" xfId="38947" xr:uid="{A228F1D5-0908-4999-819E-685132CC3EB6}"/>
    <cellStyle name="Normal 27 2 8" xfId="19195" xr:uid="{2E04E8E6-D80C-4BC5-BF4B-47A2CDD1B342}"/>
    <cellStyle name="Normal 27 2 8 2" xfId="39534" xr:uid="{16B64F35-60E0-4E28-B1FB-7923D9B23F0F}"/>
    <cellStyle name="Normal 27 2 9" xfId="22450" xr:uid="{9932BC95-C923-4F55-8E1D-9C635580A40E}"/>
    <cellStyle name="Normal 27 2 9 2" xfId="42785" xr:uid="{C00F2298-041E-46EF-AF06-FE611A10CD66}"/>
    <cellStyle name="Normal 27 3" xfId="5645" xr:uid="{A9344EB7-5B10-4B9E-95B6-C3C2DB732061}"/>
    <cellStyle name="Normal 27 3 10" xfId="12396" xr:uid="{2EFBCCBC-50F6-4BBB-ADC9-5247F948C710}"/>
    <cellStyle name="Normal 27 3 10 2" xfId="32737" xr:uid="{4C303E9B-1DED-4C4C-878D-A23F1CBF1005}"/>
    <cellStyle name="Normal 27 3 11" xfId="9135" xr:uid="{2ACD2F4F-6F0F-48DC-8BCA-D421E1DEEB15}"/>
    <cellStyle name="Normal 27 3 11 2" xfId="29478" xr:uid="{049D41B8-FC8E-4606-A734-D6AFAD10C365}"/>
    <cellStyle name="Normal 27 3 12" xfId="25984" xr:uid="{4AF03C6D-9592-489F-823D-0797604706B5}"/>
    <cellStyle name="Normal 27 3 2" xfId="6217" xr:uid="{E3F533D0-9D0B-44DA-ACC0-282B22630F6D}"/>
    <cellStyle name="Normal 27 3 2 2" xfId="7375" xr:uid="{795C6521-94EA-4243-AED6-910C45C832A9}"/>
    <cellStyle name="Normal 27 3 2 2 2" xfId="17661" xr:uid="{FB60ED21-A115-4FF6-8CC7-C13EB19391CB}"/>
    <cellStyle name="Normal 27 3 2 2 2 2" xfId="38001" xr:uid="{A40AB92E-B0D7-4D1A-89C2-899D473431CD}"/>
    <cellStyle name="Normal 27 3 2 2 3" xfId="21163" xr:uid="{041A0D58-1AAE-424B-9819-BE415D48CB7E}"/>
    <cellStyle name="Normal 27 3 2 2 3 2" xfId="41502" xr:uid="{9B63132B-DFCA-4D43-BF71-C07912708426}"/>
    <cellStyle name="Normal 27 3 2 2 4" xfId="24418" xr:uid="{39B8AA2B-654D-4816-90C1-97B6435DCA39}"/>
    <cellStyle name="Normal 27 3 2 2 4 2" xfId="44753" xr:uid="{D990B53C-2629-4F40-8E52-6F0CDA10DB94}"/>
    <cellStyle name="Normal 27 3 2 2 5" xfId="14752" xr:uid="{316467D3-0EC9-4FF7-9F42-D764118342DC}"/>
    <cellStyle name="Normal 27 3 2 2 5 2" xfId="35093" xr:uid="{F7102318-41D9-4125-84A9-246A83AECDA4}"/>
    <cellStyle name="Normal 27 3 2 2 6" xfId="10874" xr:uid="{B9D6DF41-B863-407A-B182-E084C52982F0}"/>
    <cellStyle name="Normal 27 3 2 2 6 2" xfId="31217" xr:uid="{6C22B5D4-041C-4ACB-96A5-C55EE3B3F638}"/>
    <cellStyle name="Normal 27 3 2 2 7" xfId="27723" xr:uid="{CD8F9D78-1897-44B8-9099-ADAD81EE409C}"/>
    <cellStyle name="Normal 27 3 2 3" xfId="16503" xr:uid="{44928C87-A5FD-45CD-8DAE-6B851B2B5992}"/>
    <cellStyle name="Normal 27 3 2 3 2" xfId="36843" xr:uid="{D9095B3B-0E2A-431B-8FBE-6327618B1966}"/>
    <cellStyle name="Normal 27 3 2 4" xfId="20005" xr:uid="{6A489506-E7E2-421D-868D-567931962D89}"/>
    <cellStyle name="Normal 27 3 2 4 2" xfId="40344" xr:uid="{290AEA79-6212-4B12-96A4-990209987B07}"/>
    <cellStyle name="Normal 27 3 2 5" xfId="23260" xr:uid="{DE95726F-ABF6-477C-87F0-1CBBB8553830}"/>
    <cellStyle name="Normal 27 3 2 5 2" xfId="43595" xr:uid="{92B4674B-7B17-470E-B1D3-3C804D2FE74B}"/>
    <cellStyle name="Normal 27 3 2 6" xfId="13594" xr:uid="{001E0522-1C0D-4EE9-8627-2920CA466565}"/>
    <cellStyle name="Normal 27 3 2 6 2" xfId="33935" xr:uid="{943B4AD6-A55B-483C-B983-FA1600085B61}"/>
    <cellStyle name="Normal 27 3 2 7" xfId="9716" xr:uid="{7DB97BB7-A158-461B-9565-510E35170CB0}"/>
    <cellStyle name="Normal 27 3 2 7 2" xfId="30059" xr:uid="{9677BB87-463E-48AD-9035-7A58D582CB6A}"/>
    <cellStyle name="Normal 27 3 2 8" xfId="26565" xr:uid="{2726AA4F-C695-4DF0-AE31-91A706A20859}"/>
    <cellStyle name="Normal 27 3 3" xfId="6794" xr:uid="{E52B6D34-43FC-466A-850C-AF0B60770E85}"/>
    <cellStyle name="Normal 27 3 3 2" xfId="17080" xr:uid="{6F47725F-3172-4C40-88EB-C439A82C0201}"/>
    <cellStyle name="Normal 27 3 3 2 2" xfId="37420" xr:uid="{1496E077-FA94-4DE5-AABB-0B0AFA784096}"/>
    <cellStyle name="Normal 27 3 3 3" xfId="20582" xr:uid="{5F497FA8-1E7B-4862-B1FF-A7CAD8EF65A7}"/>
    <cellStyle name="Normal 27 3 3 3 2" xfId="40921" xr:uid="{CB3387C3-F340-42F7-9D39-79A1684CC2F0}"/>
    <cellStyle name="Normal 27 3 3 4" xfId="23837" xr:uid="{865A39C2-2BF4-4602-87AC-9065341CFD58}"/>
    <cellStyle name="Normal 27 3 3 4 2" xfId="44172" xr:uid="{5998868C-54FC-46EA-931E-45B42D60E472}"/>
    <cellStyle name="Normal 27 3 3 5" xfId="14171" xr:uid="{2BA3AA54-A0C4-4C44-A046-9407DBF917BE}"/>
    <cellStyle name="Normal 27 3 3 5 2" xfId="34512" xr:uid="{23911ABE-2E1E-42C4-B08A-BFE5D501990F}"/>
    <cellStyle name="Normal 27 3 3 6" xfId="10293" xr:uid="{13B520DF-98CA-4991-B549-48FDA50FD8C0}"/>
    <cellStyle name="Normal 27 3 3 6 2" xfId="30636" xr:uid="{465BD5D5-FCA0-4C8A-9A26-BD5A0B5D1A6B}"/>
    <cellStyle name="Normal 27 3 3 7" xfId="27142" xr:uid="{EA519349-73B4-49F2-9FFD-819F4AFC53D3}"/>
    <cellStyle name="Normal 27 3 4" xfId="7958" xr:uid="{8553BFCD-4D42-4149-8156-1124FA80B259}"/>
    <cellStyle name="Normal 27 3 4 2" xfId="18243" xr:uid="{6EEDAC1C-A6CA-40E3-8B8D-2FE8363CCB3D}"/>
    <cellStyle name="Normal 27 3 4 2 2" xfId="38583" xr:uid="{ABA83B5D-0DE2-43DC-97B9-5FE05ACEF3CE}"/>
    <cellStyle name="Normal 27 3 4 3" xfId="21745" xr:uid="{001ACFBE-28A7-4172-A9E3-FD0BFCA17576}"/>
    <cellStyle name="Normal 27 3 4 3 2" xfId="42084" xr:uid="{032ABE80-EF6D-469B-B810-C3471B6784B9}"/>
    <cellStyle name="Normal 27 3 4 4" xfId="25000" xr:uid="{71C6319C-A49E-4E45-8986-17595E7EC2D7}"/>
    <cellStyle name="Normal 27 3 4 4 2" xfId="45335" xr:uid="{78023AB7-7864-4CEC-94D5-C77B2530FA34}"/>
    <cellStyle name="Normal 27 3 4 5" xfId="15335" xr:uid="{8290972D-0C96-40C1-816A-183E4C3FAAFA}"/>
    <cellStyle name="Normal 27 3 4 5 2" xfId="35675" xr:uid="{F64DF489-01DA-459D-B2B9-EEB3EF36CD38}"/>
    <cellStyle name="Normal 27 3 4 6" xfId="11456" xr:uid="{CA2EB640-F42D-4655-A7CB-4998893A1694}"/>
    <cellStyle name="Normal 27 3 4 6 2" xfId="31799" xr:uid="{CC77F21D-3625-4EB2-A0B1-099CB023EBDB}"/>
    <cellStyle name="Normal 27 3 4 7" xfId="28305" xr:uid="{20205360-BF05-43D5-A91C-8B9E2EF6C13F}"/>
    <cellStyle name="Normal 27 3 5" xfId="13025" xr:uid="{0BB29EA0-97CE-4B57-A5F9-86DA3FF622D7}"/>
    <cellStyle name="Normal 27 3 5 2" xfId="33366" xr:uid="{57707256-F19F-4C39-960B-9007548544D5}"/>
    <cellStyle name="Normal 27 3 6" xfId="15922" xr:uid="{20581975-51F2-4A88-BBDF-1AC3188B2527}"/>
    <cellStyle name="Normal 27 3 6 2" xfId="36262" xr:uid="{EEC5CA6F-1BBD-49E8-B8A9-F8548BF97239}"/>
    <cellStyle name="Normal 27 3 7" xfId="18836" xr:uid="{E1371747-7D94-42F5-8933-A8571D3A512C}"/>
    <cellStyle name="Normal 27 3 7 2" xfId="39176" xr:uid="{B4049559-F2A1-4AEC-987C-82352072D3EE}"/>
    <cellStyle name="Normal 27 3 8" xfId="19424" xr:uid="{8A2166B3-E582-41F4-9137-2335BED66170}"/>
    <cellStyle name="Normal 27 3 8 2" xfId="39763" xr:uid="{43B863B3-EF79-43BC-9612-E94E50241A4F}"/>
    <cellStyle name="Normal 27 3 9" xfId="22679" xr:uid="{26FC4B6D-3977-4B27-8E0E-14C31F24436E}"/>
    <cellStyle name="Normal 27 3 9 2" xfId="43014" xr:uid="{9C087958-99CE-4499-A32E-F361FB18A3F5}"/>
    <cellStyle name="Normal 27 4" xfId="5873" xr:uid="{0929E8A7-6CCB-4628-A2DC-51B6B7952B57}"/>
    <cellStyle name="Normal 27 4 2" xfId="7031" xr:uid="{D446A97D-975E-4626-9417-94F382828D37}"/>
    <cellStyle name="Normal 27 4 2 2" xfId="17317" xr:uid="{DD55B10A-76D5-477B-BD51-5D43314B2977}"/>
    <cellStyle name="Normal 27 4 2 2 2" xfId="37657" xr:uid="{78DFAD72-1375-42DB-A659-1B14A4799A04}"/>
    <cellStyle name="Normal 27 4 2 3" xfId="20819" xr:uid="{3CD2D033-6BC0-42DF-956E-6665E54CC0BD}"/>
    <cellStyle name="Normal 27 4 2 3 2" xfId="41158" xr:uid="{3C37B22C-8952-4E46-8C4E-A23BC618A5D7}"/>
    <cellStyle name="Normal 27 4 2 4" xfId="24074" xr:uid="{DA7D4A23-0795-431D-B493-83FA020E587F}"/>
    <cellStyle name="Normal 27 4 2 4 2" xfId="44409" xr:uid="{49366B17-B04C-413E-AE1B-014AA2057170}"/>
    <cellStyle name="Normal 27 4 2 5" xfId="14408" xr:uid="{730F4951-16FF-46B0-AD27-35C2E835D94B}"/>
    <cellStyle name="Normal 27 4 2 5 2" xfId="34749" xr:uid="{DCAD6420-989F-4EAC-922C-2133762A2099}"/>
    <cellStyle name="Normal 27 4 2 6" xfId="10530" xr:uid="{36E90129-48E3-4764-8FF5-9C7142B607DB}"/>
    <cellStyle name="Normal 27 4 2 6 2" xfId="30873" xr:uid="{EEB9DC08-1E9F-43A6-9889-06AAE4E27FEE}"/>
    <cellStyle name="Normal 27 4 2 7" xfId="27379" xr:uid="{4AAF5B3F-B845-41D2-A120-949163942158}"/>
    <cellStyle name="Normal 27 4 3" xfId="16159" xr:uid="{7F8CB83E-4137-4466-8B60-30A015ABB933}"/>
    <cellStyle name="Normal 27 4 3 2" xfId="36499" xr:uid="{11AFCF35-65DD-4FBC-B5B0-1D761B685B89}"/>
    <cellStyle name="Normal 27 4 4" xfId="19661" xr:uid="{F5697596-EC28-469F-B3E9-0CB54E2416B5}"/>
    <cellStyle name="Normal 27 4 4 2" xfId="40000" xr:uid="{11DCAF65-8630-4D8A-B5CD-616EC0822528}"/>
    <cellStyle name="Normal 27 4 5" xfId="22916" xr:uid="{C7B5B99D-CEAC-4125-B692-3BD263720C41}"/>
    <cellStyle name="Normal 27 4 5 2" xfId="43251" xr:uid="{07980022-A8AA-48B7-BF18-AFBFA19BB7F4}"/>
    <cellStyle name="Normal 27 4 6" xfId="13252" xr:uid="{FD0AB8C3-1C0B-447C-B5A3-AAF3B2EDAAC5}"/>
    <cellStyle name="Normal 27 4 6 2" xfId="33593" xr:uid="{DFB08657-B46C-4C1C-B77E-A116FD6BDF0A}"/>
    <cellStyle name="Normal 27 4 7" xfId="9372" xr:uid="{50D9CA3E-DF5A-4495-BC73-F355C8E1A4AD}"/>
    <cellStyle name="Normal 27 4 7 2" xfId="29715" xr:uid="{1B8B189E-7EC8-45FB-B8D7-E2150F1CE49A}"/>
    <cellStyle name="Normal 27 4 8" xfId="26221" xr:uid="{8EABC3AF-E630-4630-B851-942471D67C20}"/>
    <cellStyle name="Normal 27 5" xfId="6450" xr:uid="{D47EB390-4C74-46D1-A926-239EA83BBD38}"/>
    <cellStyle name="Normal 27 5 2" xfId="16736" xr:uid="{823B4D29-5DBE-4A50-ADD2-A24410E8D64B}"/>
    <cellStyle name="Normal 27 5 2 2" xfId="37076" xr:uid="{4E4BBD08-3EC1-43EA-9869-AB39DCABD6B1}"/>
    <cellStyle name="Normal 27 5 3" xfId="20238" xr:uid="{D0F88E3E-5526-4967-866D-158621DDEE56}"/>
    <cellStyle name="Normal 27 5 3 2" xfId="40577" xr:uid="{36F50601-BDB0-421E-B92C-8391E36027F4}"/>
    <cellStyle name="Normal 27 5 4" xfId="23493" xr:uid="{D91EDE3D-3A84-482C-97E0-1370FFC12FF6}"/>
    <cellStyle name="Normal 27 5 4 2" xfId="43828" xr:uid="{878693DB-902C-4594-B9C7-2FA1E58176BA}"/>
    <cellStyle name="Normal 27 5 5" xfId="13827" xr:uid="{0A6CB1F2-2612-4F0A-AD0E-9EB1D198773C}"/>
    <cellStyle name="Normal 27 5 5 2" xfId="34168" xr:uid="{5C00958A-4639-40A1-8441-29EA4C0936BA}"/>
    <cellStyle name="Normal 27 5 6" xfId="9949" xr:uid="{567B04BC-F453-4A19-A3B3-AB82D1CFDBDB}"/>
    <cellStyle name="Normal 27 5 6 2" xfId="30292" xr:uid="{00836D37-4A7F-4898-8CD6-976F15622BEC}"/>
    <cellStyle name="Normal 27 5 7" xfId="26798" xr:uid="{789BA018-B3B4-45CF-935F-6F2FD32B7C2F}"/>
    <cellStyle name="Normal 27 6" xfId="7614" xr:uid="{7AB35CA6-0D09-4ACE-B17F-5CF33F663697}"/>
    <cellStyle name="Normal 27 6 2" xfId="17899" xr:uid="{914FD7F4-4856-4B5F-A3DA-4EAF491C54B0}"/>
    <cellStyle name="Normal 27 6 2 2" xfId="38239" xr:uid="{E1C78FDC-338C-4AFF-A38D-1725A2AFCF83}"/>
    <cellStyle name="Normal 27 6 3" xfId="21401" xr:uid="{6E9B082B-7432-47A5-8F6C-725BAC250A5A}"/>
    <cellStyle name="Normal 27 6 3 2" xfId="41740" xr:uid="{DADD35F7-1964-402B-B550-4BA9A665F0CD}"/>
    <cellStyle name="Normal 27 6 4" xfId="24656" xr:uid="{9222291C-60EF-4062-B1A3-1EBC919B190F}"/>
    <cellStyle name="Normal 27 6 4 2" xfId="44991" xr:uid="{4BEFA376-454E-4C45-8C43-5B1659623CB1}"/>
    <cellStyle name="Normal 27 6 5" xfId="14991" xr:uid="{B686286C-1D92-40AE-8853-A43634E2B4BA}"/>
    <cellStyle name="Normal 27 6 5 2" xfId="35331" xr:uid="{430F9805-ADB4-4826-AA6C-2ED969D09033}"/>
    <cellStyle name="Normal 27 6 6" xfId="11112" xr:uid="{5BE84946-E5AA-4848-BF24-84A75E110D6F}"/>
    <cellStyle name="Normal 27 6 6 2" xfId="31455" xr:uid="{943D937F-EA33-424D-9D3D-498D04A9C2CC}"/>
    <cellStyle name="Normal 27 6 7" xfId="27961" xr:uid="{527A70AC-906B-42CA-B67A-7A7652EB678C}"/>
    <cellStyle name="Normal 27 7" xfId="12683" xr:uid="{DA1007F1-7E82-451F-9334-E78A4B9D1A9C}"/>
    <cellStyle name="Normal 27 7 2" xfId="33024" xr:uid="{24F61027-9824-453D-B0A7-D6B1F07C4E28}"/>
    <cellStyle name="Normal 27 8" xfId="15578" xr:uid="{6E5673A7-1825-4058-A5A2-0F0B875D512C}"/>
    <cellStyle name="Normal 27 8 2" xfId="35918" xr:uid="{96493D0F-0C54-415F-AFFC-0D07B388D6F0}"/>
    <cellStyle name="Normal 27 9" xfId="18492" xr:uid="{C8E325AF-C532-4366-908B-8E600B73C670}"/>
    <cellStyle name="Normal 27 9 2" xfId="38832" xr:uid="{B8D18265-6C3D-419A-AA5E-B0279B6BEF20}"/>
    <cellStyle name="Normal 28" xfId="5473" xr:uid="{3D986D14-05EF-4F67-BFA3-5C2E950EDC03}"/>
    <cellStyle name="Normal 28 10" xfId="12224" xr:uid="{AF1FCAD1-1BE0-46E7-994D-ED50AFF258CB}"/>
    <cellStyle name="Normal 28 10 2" xfId="32565" xr:uid="{3DB42AA3-E02E-4CD9-BDF1-72907CBDA874}"/>
    <cellStyle name="Normal 28 11" xfId="8963" xr:uid="{D6251778-80FD-4B1B-B2BF-C2F8AC8C77FB}"/>
    <cellStyle name="Normal 28 11 2" xfId="29306" xr:uid="{DC5CB995-1975-44B6-880A-4CF6BF532A9B}"/>
    <cellStyle name="Normal 28 12" xfId="25812" xr:uid="{0C413A60-0969-45E4-9900-52BD826974C2}"/>
    <cellStyle name="Normal 28 2" xfId="6045" xr:uid="{C8C29846-3058-41EF-A51B-8722435B9E1D}"/>
    <cellStyle name="Normal 28 2 2" xfId="7203" xr:uid="{CEFA184E-9FF7-4C07-8A4D-739FA5A39963}"/>
    <cellStyle name="Normal 28 2 2 2" xfId="17489" xr:uid="{E016A7B1-1074-4E4E-95E2-9F4CAEBEF365}"/>
    <cellStyle name="Normal 28 2 2 2 2" xfId="37829" xr:uid="{73F1296B-18EA-44C6-AEBA-E420AD76EC55}"/>
    <cellStyle name="Normal 28 2 2 3" xfId="20991" xr:uid="{47536694-B028-4767-A81A-DBEBF2399DF2}"/>
    <cellStyle name="Normal 28 2 2 3 2" xfId="41330" xr:uid="{CC4428BB-FA83-48FE-ADF9-A12BD6D154C8}"/>
    <cellStyle name="Normal 28 2 2 4" xfId="24246" xr:uid="{98FE8DC5-81DD-44C0-9CFB-485E298E1EB4}"/>
    <cellStyle name="Normal 28 2 2 4 2" xfId="44581" xr:uid="{5A2B2AD3-C24B-44D8-B68D-70797FB91CB7}"/>
    <cellStyle name="Normal 28 2 2 5" xfId="14580" xr:uid="{7E03D8D0-1B49-47E5-8092-BA511039F861}"/>
    <cellStyle name="Normal 28 2 2 5 2" xfId="34921" xr:uid="{5423DF18-33B0-445C-8040-EEA630E24B93}"/>
    <cellStyle name="Normal 28 2 2 6" xfId="10702" xr:uid="{858A934F-503F-4F99-AD98-E8AA52AD455B}"/>
    <cellStyle name="Normal 28 2 2 6 2" xfId="31045" xr:uid="{59D55F4D-222A-4779-86FD-7ABBE34F28FF}"/>
    <cellStyle name="Normal 28 2 2 7" xfId="27551" xr:uid="{50E7F4FD-D987-4B43-B37C-85B0118C3F59}"/>
    <cellStyle name="Normal 28 2 3" xfId="16331" xr:uid="{D44BEA25-7028-4C69-8366-C67D985FE97B}"/>
    <cellStyle name="Normal 28 2 3 2" xfId="36671" xr:uid="{E84A431A-12ED-41BF-A29C-1A6522E44158}"/>
    <cellStyle name="Normal 28 2 4" xfId="19833" xr:uid="{46F7E0F2-103C-43C1-B60A-879A25E815D0}"/>
    <cellStyle name="Normal 28 2 4 2" xfId="40172" xr:uid="{34B8E362-C6B7-4AF4-B4C5-6B3E60AF8DCC}"/>
    <cellStyle name="Normal 28 2 5" xfId="23088" xr:uid="{B4F5181E-5230-4561-824D-967D28BA1803}"/>
    <cellStyle name="Normal 28 2 5 2" xfId="43423" xr:uid="{6F5EE3D4-F7D3-42F0-A9AA-02E783B99A03}"/>
    <cellStyle name="Normal 28 2 6" xfId="13422" xr:uid="{18CF9F6A-6B04-4241-91A5-906A230DF26E}"/>
    <cellStyle name="Normal 28 2 6 2" xfId="33763" xr:uid="{4D2BA34A-CEDE-4648-AD98-7D8489C6003A}"/>
    <cellStyle name="Normal 28 2 7" xfId="9544" xr:uid="{054DB52F-5FC4-4CC5-A9C2-8FA736547AA7}"/>
    <cellStyle name="Normal 28 2 7 2" xfId="29887" xr:uid="{AA9F16A8-9A1B-482B-88BB-167612F9CC97}"/>
    <cellStyle name="Normal 28 2 8" xfId="26393" xr:uid="{F17C249E-2884-40D3-898A-16906AF576FD}"/>
    <cellStyle name="Normal 28 3" xfId="6622" xr:uid="{875F752E-0509-4BB5-9BF6-A27B9543CB25}"/>
    <cellStyle name="Normal 28 3 2" xfId="16908" xr:uid="{13D09781-33B2-4A70-A38B-9E8E5192394D}"/>
    <cellStyle name="Normal 28 3 2 2" xfId="37248" xr:uid="{F3B801D8-FCB0-4306-90AC-11C343CB1496}"/>
    <cellStyle name="Normal 28 3 3" xfId="20410" xr:uid="{3212F2EC-70E9-4892-8B21-894E7E10A161}"/>
    <cellStyle name="Normal 28 3 3 2" xfId="40749" xr:uid="{568482AB-29F3-420D-8925-3E9346159540}"/>
    <cellStyle name="Normal 28 3 4" xfId="23665" xr:uid="{D0BECD01-7CC3-483E-A4E9-210C935BEE61}"/>
    <cellStyle name="Normal 28 3 4 2" xfId="44000" xr:uid="{57AD1E48-74B9-4884-B747-2113A5E8460A}"/>
    <cellStyle name="Normal 28 3 5" xfId="13999" xr:uid="{D8329ABC-A2CB-4086-AFAB-44EE5655B9FB}"/>
    <cellStyle name="Normal 28 3 5 2" xfId="34340" xr:uid="{497341F6-580F-4214-AE82-5785F9109C53}"/>
    <cellStyle name="Normal 28 3 6" xfId="10121" xr:uid="{99ED9ED9-2F66-4370-9F3F-8588CAB835D7}"/>
    <cellStyle name="Normal 28 3 6 2" xfId="30464" xr:uid="{E262A758-664A-4A72-8312-3490BC954D85}"/>
    <cellStyle name="Normal 28 3 7" xfId="26970" xr:uid="{89EA75F7-9B82-4398-BAA0-1756C6666876}"/>
    <cellStyle name="Normal 28 4" xfId="7786" xr:uid="{5F37CA2D-14AC-45CA-9347-875D77635DDC}"/>
    <cellStyle name="Normal 28 4 2" xfId="18071" xr:uid="{30FF7E79-772E-4400-99E2-748A03EBD28A}"/>
    <cellStyle name="Normal 28 4 2 2" xfId="38411" xr:uid="{F348A6DF-71CB-4AF4-A05A-C48F01F02715}"/>
    <cellStyle name="Normal 28 4 3" xfId="21573" xr:uid="{DE2A44D1-689F-4E39-A666-DC6A18F94886}"/>
    <cellStyle name="Normal 28 4 3 2" xfId="41912" xr:uid="{ED1D4932-B2E9-4860-A6E8-78E391CF9CD0}"/>
    <cellStyle name="Normal 28 4 4" xfId="24828" xr:uid="{B7340ECE-C77D-480E-B111-F9CC62892EF9}"/>
    <cellStyle name="Normal 28 4 4 2" xfId="45163" xr:uid="{F79173E1-5BDA-40E8-A491-0A3EABCA17E0}"/>
    <cellStyle name="Normal 28 4 5" xfId="15163" xr:uid="{16583483-4837-46A3-A62C-AFFEB3DF76B6}"/>
    <cellStyle name="Normal 28 4 5 2" xfId="35503" xr:uid="{49ED3770-BC28-4043-A019-1A1D9F4283B3}"/>
    <cellStyle name="Normal 28 4 6" xfId="11284" xr:uid="{47614954-9D5B-45D2-9807-813D15C42B5E}"/>
    <cellStyle name="Normal 28 4 6 2" xfId="31627" xr:uid="{1DC4E1FA-DE35-4B7E-BE7B-53E2A8E48C9B}"/>
    <cellStyle name="Normal 28 4 7" xfId="28133" xr:uid="{5865A751-C31D-4628-8811-E96C9F470F7A}"/>
    <cellStyle name="Normal 28 5" xfId="12853" xr:uid="{C522D004-2309-400A-9E6C-54EA77D86BAE}"/>
    <cellStyle name="Normal 28 5 2" xfId="33194" xr:uid="{DB867F9C-7430-442E-A4C7-B1C11FA8064A}"/>
    <cellStyle name="Normal 28 6" xfId="15750" xr:uid="{E05647B0-1DB7-4392-AF10-5F6F186A358B}"/>
    <cellStyle name="Normal 28 6 2" xfId="36090" xr:uid="{FE6F7656-9C7D-4E75-820C-C670F187AC4E}"/>
    <cellStyle name="Normal 28 7" xfId="18664" xr:uid="{E5163C2A-4347-4F71-80F1-C7760048C39F}"/>
    <cellStyle name="Normal 28 7 2" xfId="39004" xr:uid="{60F55882-69BD-4CB3-B98D-4B5F9149D173}"/>
    <cellStyle name="Normal 28 8" xfId="19252" xr:uid="{475C1DA0-9356-4281-B8B7-6F838F6467FC}"/>
    <cellStyle name="Normal 28 8 2" xfId="39591" xr:uid="{F2DD67C1-F13A-44D8-9D57-06201798F890}"/>
    <cellStyle name="Normal 28 9" xfId="22507" xr:uid="{0F59AC40-942F-42CE-A671-DB87219E6069}"/>
    <cellStyle name="Normal 28 9 2" xfId="42842" xr:uid="{D6A4E306-63A9-4606-A21E-AC83B2EB8CCD}"/>
    <cellStyle name="Normal 29" xfId="5646" xr:uid="{66138417-2CF4-4D54-B483-5B4CD160746F}"/>
    <cellStyle name="Normal 29 10" xfId="12397" xr:uid="{073848E4-67BD-47E0-8336-59E2CE7BAF92}"/>
    <cellStyle name="Normal 29 10 2" xfId="32738" xr:uid="{82E72DFC-73F8-41CA-903E-94375DACB004}"/>
    <cellStyle name="Normal 29 11" xfId="9136" xr:uid="{04165B45-B153-4C97-B1A7-D68223571B6C}"/>
    <cellStyle name="Normal 29 11 2" xfId="29479" xr:uid="{346BD41D-FBC4-461C-899D-C5A8E195FCE9}"/>
    <cellStyle name="Normal 29 12" xfId="25985" xr:uid="{8990BCF7-A6C1-42A7-AD10-C5B131034E7F}"/>
    <cellStyle name="Normal 29 2" xfId="6218" xr:uid="{B9F053CA-B27A-4930-AD09-5BBC377A8384}"/>
    <cellStyle name="Normal 29 2 2" xfId="7376" xr:uid="{675E5704-F3BE-4878-86BF-45A0EC12EC6A}"/>
    <cellStyle name="Normal 29 2 2 2" xfId="17662" xr:uid="{4C3F743C-070B-4828-A3D4-46FC8698FD7D}"/>
    <cellStyle name="Normal 29 2 2 2 2" xfId="38002" xr:uid="{7EDBF9E4-B8BB-43FB-8361-9BCF62E7BC7B}"/>
    <cellStyle name="Normal 29 2 2 3" xfId="21164" xr:uid="{F6EB4D93-DA3C-4FD4-9654-66CFDFBBB22C}"/>
    <cellStyle name="Normal 29 2 2 3 2" xfId="41503" xr:uid="{F1685CD2-3E11-4472-93F3-E32007416035}"/>
    <cellStyle name="Normal 29 2 2 4" xfId="24419" xr:uid="{7946AD3E-D296-454E-BB1E-39BD6D275884}"/>
    <cellStyle name="Normal 29 2 2 4 2" xfId="44754" xr:uid="{AB4BBE36-4E06-426D-AEA1-1F1DD59C0D87}"/>
    <cellStyle name="Normal 29 2 2 5" xfId="14753" xr:uid="{31D66F18-6807-417C-B658-3B8B8ACD6E91}"/>
    <cellStyle name="Normal 29 2 2 5 2" xfId="35094" xr:uid="{B2241808-572D-4DE5-81FA-B05635CCAA07}"/>
    <cellStyle name="Normal 29 2 2 6" xfId="10875" xr:uid="{1B10ECE7-4F50-4F5E-9B52-E20265383AAC}"/>
    <cellStyle name="Normal 29 2 2 6 2" xfId="31218" xr:uid="{0FD258DD-E4BA-4FCD-A1BE-F5BC632B7811}"/>
    <cellStyle name="Normal 29 2 2 7" xfId="27724" xr:uid="{9F1C0D4E-01BB-4FCD-8DA9-3B83B63AC9BD}"/>
    <cellStyle name="Normal 29 2 3" xfId="16504" xr:uid="{E09074B4-E12B-4212-94B3-5EA25DF7F790}"/>
    <cellStyle name="Normal 29 2 3 2" xfId="36844" xr:uid="{76AAB996-B5A7-4D97-B15B-465797E6AB27}"/>
    <cellStyle name="Normal 29 2 4" xfId="20006" xr:uid="{65C62069-FDE6-4352-824E-FF42ED510EBE}"/>
    <cellStyle name="Normal 29 2 4 2" xfId="40345" xr:uid="{215935DE-3FE8-4301-9D9E-0F7CDB36FA78}"/>
    <cellStyle name="Normal 29 2 5" xfId="23261" xr:uid="{5F8F1DBA-9499-4BD5-A4D4-E18C2E722871}"/>
    <cellStyle name="Normal 29 2 5 2" xfId="43596" xr:uid="{5038447C-0A0E-4112-9CD3-0CD5B52F731D}"/>
    <cellStyle name="Normal 29 2 6" xfId="13595" xr:uid="{DEFBEEFC-9C80-4E52-9AFC-DB341AAF10AF}"/>
    <cellStyle name="Normal 29 2 6 2" xfId="33936" xr:uid="{DD80A3A0-2CC1-4105-ACB5-FF23EA4490E8}"/>
    <cellStyle name="Normal 29 2 7" xfId="9717" xr:uid="{F79881BC-14EF-48AF-A967-AD2B2D4E0E75}"/>
    <cellStyle name="Normal 29 2 7 2" xfId="30060" xr:uid="{BA8F1C15-6190-4AB3-92F9-C366B79F0415}"/>
    <cellStyle name="Normal 29 2 8" xfId="26566" xr:uid="{2B327F97-5A4A-4919-A969-2E04705F0024}"/>
    <cellStyle name="Normal 29 3" xfId="6795" xr:uid="{EFBB2FEC-9C06-47AA-AE3B-4456EC5D98DB}"/>
    <cellStyle name="Normal 29 3 2" xfId="17081" xr:uid="{328551D3-6336-43CF-9630-6DAD17A04184}"/>
    <cellStyle name="Normal 29 3 2 2" xfId="37421" xr:uid="{B9546C62-A4EA-4D2E-BF1C-0EAE84394331}"/>
    <cellStyle name="Normal 29 3 3" xfId="20583" xr:uid="{F8DA3483-E46D-4DBE-9ADD-793EF0457524}"/>
    <cellStyle name="Normal 29 3 3 2" xfId="40922" xr:uid="{700AEB3B-B474-4045-8476-FBB2215074E6}"/>
    <cellStyle name="Normal 29 3 4" xfId="23838" xr:uid="{4602B4F0-7A4A-45E3-81FC-01D1CC68D2A1}"/>
    <cellStyle name="Normal 29 3 4 2" xfId="44173" xr:uid="{A478C8C5-6B45-4B44-921F-30C3211921D0}"/>
    <cellStyle name="Normal 29 3 5" xfId="14172" xr:uid="{3BE60208-65CF-46B1-8C66-C8C71055707F}"/>
    <cellStyle name="Normal 29 3 5 2" xfId="34513" xr:uid="{D58DC602-22A7-4CE5-8878-C1664568AE2D}"/>
    <cellStyle name="Normal 29 3 6" xfId="10294" xr:uid="{4574DCE8-2202-4E6B-B7EE-A8842218DFF0}"/>
    <cellStyle name="Normal 29 3 6 2" xfId="30637" xr:uid="{83014122-8C70-4277-8468-9081BBB046AE}"/>
    <cellStyle name="Normal 29 3 7" xfId="27143" xr:uid="{B0BF3F79-9D07-4A3C-BB15-4270B63B8C3A}"/>
    <cellStyle name="Normal 29 4" xfId="7959" xr:uid="{A519FB88-3904-4981-8381-5C2AE229714E}"/>
    <cellStyle name="Normal 29 4 2" xfId="18244" xr:uid="{CDE8F80B-C981-4621-B6A8-3B9B82176D88}"/>
    <cellStyle name="Normal 29 4 2 2" xfId="38584" xr:uid="{778679B9-E76E-4E0B-B9AB-CA844C2EC420}"/>
    <cellStyle name="Normal 29 4 3" xfId="21746" xr:uid="{29FE6E7F-CA79-4188-9FFA-651C8EA5984E}"/>
    <cellStyle name="Normal 29 4 3 2" xfId="42085" xr:uid="{BDE4AE2D-6F98-4557-A4B4-DEA7D637C4FC}"/>
    <cellStyle name="Normal 29 4 4" xfId="25001" xr:uid="{0EE67CC2-C753-4516-A2F2-882C257340C4}"/>
    <cellStyle name="Normal 29 4 4 2" xfId="45336" xr:uid="{A209E850-776D-4CBA-BCCE-53178FB13DAD}"/>
    <cellStyle name="Normal 29 4 5" xfId="15336" xr:uid="{E33E73B4-469E-4DB6-B4EB-0A09AEDC4F51}"/>
    <cellStyle name="Normal 29 4 5 2" xfId="35676" xr:uid="{6163F175-A95D-4491-8DAF-5262D8267426}"/>
    <cellStyle name="Normal 29 4 6" xfId="11457" xr:uid="{13C29672-40A0-47C5-B6C9-784A94D278FF}"/>
    <cellStyle name="Normal 29 4 6 2" xfId="31800" xr:uid="{7F4D5A51-7D93-4A07-8D27-71C3472048B2}"/>
    <cellStyle name="Normal 29 4 7" xfId="28306" xr:uid="{6FB39B65-23B5-4206-8D8A-D2C119CFDBDB}"/>
    <cellStyle name="Normal 29 5" xfId="13026" xr:uid="{B8E7B99B-C831-4594-B167-E4786D706612}"/>
    <cellStyle name="Normal 29 5 2" xfId="33367" xr:uid="{09CEAD13-4A17-4847-BF6A-ACAB00664122}"/>
    <cellStyle name="Normal 29 6" xfId="15923" xr:uid="{E1ADF97E-29A0-4433-A707-B4906D267DFD}"/>
    <cellStyle name="Normal 29 6 2" xfId="36263" xr:uid="{7648CF63-898F-44F3-90E2-F4F01F9B36D3}"/>
    <cellStyle name="Normal 29 7" xfId="18837" xr:uid="{06F78223-238A-40A9-8AE5-76883167FA1E}"/>
    <cellStyle name="Normal 29 7 2" xfId="39177" xr:uid="{3BA54941-E501-41B6-A387-23532A7EDCE2}"/>
    <cellStyle name="Normal 29 8" xfId="19425" xr:uid="{82AC6B35-CE8F-4C5D-B033-43D477376854}"/>
    <cellStyle name="Normal 29 8 2" xfId="39764" xr:uid="{5E1D75F9-D014-4481-A252-732895341B95}"/>
    <cellStyle name="Normal 29 9" xfId="22680" xr:uid="{E3A9D95F-23AE-4C97-9E57-39309A836D70}"/>
    <cellStyle name="Normal 29 9 2" xfId="43015" xr:uid="{6F0D642D-B806-4690-AE4B-61ABC324E602}"/>
    <cellStyle name="Normal 3" xfId="17" xr:uid="{2AADFC36-B8A1-4C24-8CF5-22FA67BFF059}"/>
    <cellStyle name="Normal 3 10" xfId="5651" xr:uid="{627663A7-A30F-44FE-AAD7-355249084AF1}"/>
    <cellStyle name="Normal 3 10 10" xfId="12402" xr:uid="{7ACC6763-5278-4C1B-B438-D0FB4B6F5B54}"/>
    <cellStyle name="Normal 3 10 10 2" xfId="32743" xr:uid="{14B80CD5-A4AD-42DF-B4E9-87033D028817}"/>
    <cellStyle name="Normal 3 10 11" xfId="9141" xr:uid="{BF4BA038-3987-4848-B8AC-99A1DDAB673F}"/>
    <cellStyle name="Normal 3 10 11 2" xfId="29484" xr:uid="{C4766A55-2260-45C1-A14B-D9E4651B9BCC}"/>
    <cellStyle name="Normal 3 10 12" xfId="25990" xr:uid="{9A309355-A1B5-4140-8C2F-D84189C2538A}"/>
    <cellStyle name="Normal 3 10 2" xfId="6223" xr:uid="{9D169483-D0A1-4B8C-BD84-E13808E5276D}"/>
    <cellStyle name="Normal 3 10 2 2" xfId="7381" xr:uid="{CCAB8C18-182C-45E2-A9AF-88B1D9ED566D}"/>
    <cellStyle name="Normal 3 10 2 2 2" xfId="17667" xr:uid="{5AA37EDE-3C89-4F13-897C-E0F92C73894D}"/>
    <cellStyle name="Normal 3 10 2 2 2 2" xfId="38007" xr:uid="{0B51FB47-85EA-40A0-89CF-8E1F25F32E0A}"/>
    <cellStyle name="Normal 3 10 2 2 3" xfId="21169" xr:uid="{40F61889-5523-417F-B9CB-DA7D6F51D9CE}"/>
    <cellStyle name="Normal 3 10 2 2 3 2" xfId="41508" xr:uid="{5C072912-0395-404E-9EEB-1D8E2946FF9A}"/>
    <cellStyle name="Normal 3 10 2 2 4" xfId="24424" xr:uid="{9C48DD48-2EDA-4FD0-9211-522E4036735D}"/>
    <cellStyle name="Normal 3 10 2 2 4 2" xfId="44759" xr:uid="{734D71A5-ACD1-40F6-95FC-F75D81769DF6}"/>
    <cellStyle name="Normal 3 10 2 2 5" xfId="14758" xr:uid="{B0205E8D-7A3B-457A-BAC5-0A0343DD5D71}"/>
    <cellStyle name="Normal 3 10 2 2 5 2" xfId="35099" xr:uid="{F60FB702-6738-492F-A5EC-9D3F36E16A1E}"/>
    <cellStyle name="Normal 3 10 2 2 6" xfId="10880" xr:uid="{D911FBE2-47EF-472D-A580-281D00FD87C6}"/>
    <cellStyle name="Normal 3 10 2 2 6 2" xfId="31223" xr:uid="{8E1D434B-5F4A-45E2-8658-4B332D569867}"/>
    <cellStyle name="Normal 3 10 2 2 7" xfId="27729" xr:uid="{77E15492-FE79-422A-B62C-3B574829EED9}"/>
    <cellStyle name="Normal 3 10 2 3" xfId="16509" xr:uid="{D3FCFDD6-C842-4261-821B-739C38D6D4C9}"/>
    <cellStyle name="Normal 3 10 2 3 2" xfId="36849" xr:uid="{3553837E-C84A-4CA7-BA40-A2EBB639CF21}"/>
    <cellStyle name="Normal 3 10 2 4" xfId="20011" xr:uid="{5B3C6346-1E80-4FBF-88C7-DC3946E7E0DB}"/>
    <cellStyle name="Normal 3 10 2 4 2" xfId="40350" xr:uid="{D21C0A4C-AFD0-4EEB-9312-025BB0503638}"/>
    <cellStyle name="Normal 3 10 2 5" xfId="23266" xr:uid="{0D188627-2EBD-4383-A681-BBE6DB298877}"/>
    <cellStyle name="Normal 3 10 2 5 2" xfId="43601" xr:uid="{FB8DBC0E-595B-40F6-B482-F572CFA34A69}"/>
    <cellStyle name="Normal 3 10 2 6" xfId="13600" xr:uid="{C51CDD05-B84C-4957-AC74-1C7F9EB80C10}"/>
    <cellStyle name="Normal 3 10 2 6 2" xfId="33941" xr:uid="{1AD79D10-68BF-40CD-9059-5D47D8A43E1A}"/>
    <cellStyle name="Normal 3 10 2 7" xfId="9722" xr:uid="{617218D2-219B-4D0B-B002-4B039CFA1279}"/>
    <cellStyle name="Normal 3 10 2 7 2" xfId="30065" xr:uid="{88CCCECD-0B32-4ECE-95B3-B10DB9341B70}"/>
    <cellStyle name="Normal 3 10 2 8" xfId="26571" xr:uid="{69E3480B-20DE-4CF3-9E28-E39364AF5EDC}"/>
    <cellStyle name="Normal 3 10 3" xfId="6800" xr:uid="{71C9A86C-6E5D-4E53-BD94-A5D8E2AE42B9}"/>
    <cellStyle name="Normal 3 10 3 2" xfId="17086" xr:uid="{3E626C06-AFFB-4976-93AC-6D7E9D35E72F}"/>
    <cellStyle name="Normal 3 10 3 2 2" xfId="37426" xr:uid="{F90229B9-A730-48D0-9FF6-464C2DDB149C}"/>
    <cellStyle name="Normal 3 10 3 3" xfId="20588" xr:uid="{7D5AC0A6-A6B2-45A6-A00E-A3D28DC75EC3}"/>
    <cellStyle name="Normal 3 10 3 3 2" xfId="40927" xr:uid="{106E1F45-C7B9-479B-BC2C-99AF59198AB5}"/>
    <cellStyle name="Normal 3 10 3 4" xfId="23843" xr:uid="{C7DA5A86-3D7D-4121-87B8-1941C600D167}"/>
    <cellStyle name="Normal 3 10 3 4 2" xfId="44178" xr:uid="{E3120ABF-AE0C-4F58-B4E1-4A2B75B74450}"/>
    <cellStyle name="Normal 3 10 3 5" xfId="14177" xr:uid="{960A97F7-10D3-411E-9270-EE45B9F38734}"/>
    <cellStyle name="Normal 3 10 3 5 2" xfId="34518" xr:uid="{4979937A-7D2C-4AFC-A4F9-D101FFB0A22A}"/>
    <cellStyle name="Normal 3 10 3 6" xfId="10299" xr:uid="{1B676B0F-DC9F-4923-9DCE-82DAE3918C78}"/>
    <cellStyle name="Normal 3 10 3 6 2" xfId="30642" xr:uid="{3319D543-89DE-43B9-8A8F-A981D8E0F8C9}"/>
    <cellStyle name="Normal 3 10 3 7" xfId="27148" xr:uid="{6FDBC22F-DA7B-4B0F-ACB1-202623F6A9DF}"/>
    <cellStyle name="Normal 3 10 4" xfId="7964" xr:uid="{8E007A9C-82C5-4AE3-8AB3-A93803149D87}"/>
    <cellStyle name="Normal 3 10 4 2" xfId="18249" xr:uid="{766F117B-94F4-4161-930B-F5FE2F6E458C}"/>
    <cellStyle name="Normal 3 10 4 2 2" xfId="38589" xr:uid="{BF572B0E-078C-4662-8F6E-508409BDE7EE}"/>
    <cellStyle name="Normal 3 10 4 3" xfId="21751" xr:uid="{544CAFF8-D56C-45DC-928C-43FA2A4CEDB0}"/>
    <cellStyle name="Normal 3 10 4 3 2" xfId="42090" xr:uid="{5FDB085B-32AE-4E7F-98A1-CE1843868B20}"/>
    <cellStyle name="Normal 3 10 4 4" xfId="25006" xr:uid="{1FC3AD4E-6EA0-4719-B6C4-A8C9C6433DB2}"/>
    <cellStyle name="Normal 3 10 4 4 2" xfId="45341" xr:uid="{C705D642-C96C-4DC9-B8E1-EF92F0BA7D5B}"/>
    <cellStyle name="Normal 3 10 4 5" xfId="15341" xr:uid="{B906E6B1-BE57-4DAA-BA85-D8DF1AEC3EC3}"/>
    <cellStyle name="Normal 3 10 4 5 2" xfId="35681" xr:uid="{8330B1CA-B735-40BE-9FDF-147326BFC241}"/>
    <cellStyle name="Normal 3 10 4 6" xfId="11462" xr:uid="{86D77B35-25F3-4450-9F68-5D08304AC12C}"/>
    <cellStyle name="Normal 3 10 4 6 2" xfId="31805" xr:uid="{4A136860-209B-468E-B2E3-996A0FAE501C}"/>
    <cellStyle name="Normal 3 10 4 7" xfId="28311" xr:uid="{1C6B5DD7-9F81-4E1B-95BC-2A2AEE959376}"/>
    <cellStyle name="Normal 3 10 5" xfId="13031" xr:uid="{CC4C138D-15F0-477E-8218-35662370B47B}"/>
    <cellStyle name="Normal 3 10 5 2" xfId="33372" xr:uid="{21A8BC3C-F1D5-4DD5-9AF0-6E74A94F6E11}"/>
    <cellStyle name="Normal 3 10 6" xfId="15928" xr:uid="{87404962-452F-407A-B479-50F59DE514D1}"/>
    <cellStyle name="Normal 3 10 6 2" xfId="36268" xr:uid="{1DFB44CC-CE4A-4692-BBC9-BEB021B0C845}"/>
    <cellStyle name="Normal 3 10 7" xfId="18842" xr:uid="{570468D0-55C9-4BF7-A905-3B3482601F23}"/>
    <cellStyle name="Normal 3 10 7 2" xfId="39182" xr:uid="{CA9AE68E-DF6A-4382-94F3-229CF5BCB484}"/>
    <cellStyle name="Normal 3 10 8" xfId="19430" xr:uid="{75A2B4CA-69F0-443D-8D21-DBCACAE030DB}"/>
    <cellStyle name="Normal 3 10 8 2" xfId="39769" xr:uid="{6D1B9C80-9A18-486F-AF59-1461203D3AB1}"/>
    <cellStyle name="Normal 3 10 9" xfId="22685" xr:uid="{DF5CEA06-6FE0-4502-9B0F-F93F12E960A4}"/>
    <cellStyle name="Normal 3 10 9 2" xfId="43020" xr:uid="{2B244007-04CB-41DB-A5AF-8CD5E66FBBF6}"/>
    <cellStyle name="Normal 3 11" xfId="5769" xr:uid="{565B8675-6952-46EE-AF7C-8108E6F0E87E}"/>
    <cellStyle name="Normal 3 11 2" xfId="6927" xr:uid="{111703FB-C48D-4E43-BAE9-FF74FE6556F4}"/>
    <cellStyle name="Normal 3 11 2 2" xfId="17213" xr:uid="{40FAC0CD-71EB-49F8-A1E9-8AEB49A7C62A}"/>
    <cellStyle name="Normal 3 11 2 2 2" xfId="37553" xr:uid="{12C2A147-3A9A-4F1C-BD8D-F07C4CE618B4}"/>
    <cellStyle name="Normal 3 11 2 3" xfId="20715" xr:uid="{5791E31E-D2B9-4A22-9D34-4F8DF4C8185D}"/>
    <cellStyle name="Normal 3 11 2 3 2" xfId="41054" xr:uid="{F88B20A2-521D-472E-B9C8-C7B43EF8AA90}"/>
    <cellStyle name="Normal 3 11 2 4" xfId="23970" xr:uid="{FECBFC84-8EFC-4225-8E4E-03838080BD94}"/>
    <cellStyle name="Normal 3 11 2 4 2" xfId="44305" xr:uid="{4175A83A-8ABD-431C-9E67-D5AB698CE048}"/>
    <cellStyle name="Normal 3 11 2 5" xfId="14304" xr:uid="{1BCDC78E-8574-4AFE-93B1-42BC0AF10A79}"/>
    <cellStyle name="Normal 3 11 2 5 2" xfId="34645" xr:uid="{D39B2FBA-5969-4B7E-B4EF-7BEE1935AB56}"/>
    <cellStyle name="Normal 3 11 2 6" xfId="10426" xr:uid="{ED312385-545E-4635-80E6-613FA0ABCF76}"/>
    <cellStyle name="Normal 3 11 2 6 2" xfId="30769" xr:uid="{05B8AD9E-5717-4ECE-A79A-3A6BB771DCB3}"/>
    <cellStyle name="Normal 3 11 2 7" xfId="27275" xr:uid="{404783EC-790A-4A04-84C1-B6C40057269A}"/>
    <cellStyle name="Normal 3 11 3" xfId="16055" xr:uid="{BA91E73F-61F1-44E7-9695-5FEF72EFBCC7}"/>
    <cellStyle name="Normal 3 11 3 2" xfId="36395" xr:uid="{97210B50-D104-40BD-B9AB-63F396C38259}"/>
    <cellStyle name="Normal 3 11 4" xfId="19557" xr:uid="{E6D6AAA7-F5EF-4300-B757-39A336478171}"/>
    <cellStyle name="Normal 3 11 4 2" xfId="39896" xr:uid="{EF007874-A102-4FE0-A3BE-CFFC74085814}"/>
    <cellStyle name="Normal 3 11 5" xfId="22812" xr:uid="{DAC075CD-BB8B-47A2-A48F-F2F45F6DE5BC}"/>
    <cellStyle name="Normal 3 11 5 2" xfId="43147" xr:uid="{8A633FE5-E34B-460C-A5BC-B7181C1ED2A2}"/>
    <cellStyle name="Normal 3 11 6" xfId="13157" xr:uid="{8957B3BF-8BA6-4F52-9699-33A81A54B052}"/>
    <cellStyle name="Normal 3 11 6 2" xfId="33498" xr:uid="{F14D67AD-99F6-47C5-8CFC-56517A442D14}"/>
    <cellStyle name="Normal 3 11 7" xfId="9268" xr:uid="{AB816A7B-2374-4CF7-805C-7943FF345FFA}"/>
    <cellStyle name="Normal 3 11 7 2" xfId="29611" xr:uid="{2A99B509-CFF0-493A-AC42-4B057BC3049D}"/>
    <cellStyle name="Normal 3 11 8" xfId="26117" xr:uid="{7546C139-C7BD-4BB2-A5E1-2CA19B075BBF}"/>
    <cellStyle name="Normal 3 12" xfId="6346" xr:uid="{39D8E4B1-70D4-49C6-B18A-9DB482023DA4}"/>
    <cellStyle name="Normal 3 12 2" xfId="16632" xr:uid="{F4A84240-1814-4B5D-9A8C-18009B272AFC}"/>
    <cellStyle name="Normal 3 12 2 2" xfId="36972" xr:uid="{171D6191-F1EC-4DC3-961F-945E7DFA4182}"/>
    <cellStyle name="Normal 3 12 3" xfId="20134" xr:uid="{5982B8FD-7364-4C66-AF79-E6E60D8B31FF}"/>
    <cellStyle name="Normal 3 12 3 2" xfId="40473" xr:uid="{08AC73F2-6624-4D48-9B1B-39F96D4BC5D9}"/>
    <cellStyle name="Normal 3 12 4" xfId="23389" xr:uid="{ED4D2357-939B-414C-B1C0-F8EB4EA1EBBC}"/>
    <cellStyle name="Normal 3 12 4 2" xfId="43724" xr:uid="{4B99CFD7-ADF1-4EBE-9A82-05695CB8E9DB}"/>
    <cellStyle name="Normal 3 12 5" xfId="13723" xr:uid="{4EBFF571-DC8B-4060-9CF5-A22668618809}"/>
    <cellStyle name="Normal 3 12 5 2" xfId="34064" xr:uid="{61148998-31CB-4824-B922-31A854D1B64F}"/>
    <cellStyle name="Normal 3 12 6" xfId="9845" xr:uid="{881B75AC-1072-4634-821F-6D39644D588C}"/>
    <cellStyle name="Normal 3 12 6 2" xfId="30188" xr:uid="{4829DDE5-ED9D-4A36-A131-D1FEDC70CC00}"/>
    <cellStyle name="Normal 3 12 7" xfId="26694" xr:uid="{A46664DC-F3C1-4159-8362-F5E0C2E776C4}"/>
    <cellStyle name="Normal 3 13" xfId="7510" xr:uid="{C39C86AC-4435-4833-BD56-0C6D28D73B8C}"/>
    <cellStyle name="Normal 3 13 2" xfId="17795" xr:uid="{8A6A2653-43C4-41DA-A1D5-5E6AF7F6F56C}"/>
    <cellStyle name="Normal 3 13 2 2" xfId="38135" xr:uid="{B476C21E-D5EA-4E3E-8000-2958E57708E7}"/>
    <cellStyle name="Normal 3 13 3" xfId="21297" xr:uid="{4E96E885-665C-4242-9B41-47591B9244C6}"/>
    <cellStyle name="Normal 3 13 3 2" xfId="41636" xr:uid="{A3C9181A-5833-4C5F-97A8-DB9BDC6DB859}"/>
    <cellStyle name="Normal 3 13 4" xfId="24552" xr:uid="{9603430C-6358-4EAD-A82A-D9187CF16454}"/>
    <cellStyle name="Normal 3 13 4 2" xfId="44887" xr:uid="{77555F50-6D6B-474A-8A62-148C4B7D5C84}"/>
    <cellStyle name="Normal 3 13 5" xfId="14887" xr:uid="{0A3C798C-6A22-4368-83DB-87B9043CD3B8}"/>
    <cellStyle name="Normal 3 13 5 2" xfId="35227" xr:uid="{AC2F3E1F-7201-4874-B902-5F5E57472B95}"/>
    <cellStyle name="Normal 3 13 6" xfId="11008" xr:uid="{F421EF76-DE6A-4C72-AD40-0A5F039AE273}"/>
    <cellStyle name="Normal 3 13 6 2" xfId="31351" xr:uid="{CF9340FF-4F88-467B-B455-4372919784C9}"/>
    <cellStyle name="Normal 3 13 7" xfId="27857" xr:uid="{BB015478-AD46-48C7-A87C-6B9E201B4B0F}"/>
    <cellStyle name="Normal 3 14" xfId="8090" xr:uid="{AF1779B9-45D5-408D-B68E-562389CB9390}"/>
    <cellStyle name="Normal 3 14 2" xfId="21877" xr:uid="{98907228-6095-478D-BE24-52D5EEAAA7D6}"/>
    <cellStyle name="Normal 3 14 2 2" xfId="42213" xr:uid="{ACC8656B-7C43-4C26-A302-414ED02CDA42}"/>
    <cellStyle name="Normal 3 14 3" xfId="25129" xr:uid="{4BDCDDD6-314E-4760-9A2A-1E8DA1FCBE1D}"/>
    <cellStyle name="Normal 3 14 3 2" xfId="45464" xr:uid="{342C9F4B-2E7A-4469-B9EF-BFD6D3970CF0}"/>
    <cellStyle name="Normal 3 14 4" xfId="12588" xr:uid="{92B0B1EE-69E3-41A1-9CA6-386F24741EF2}"/>
    <cellStyle name="Normal 3 14 4 2" xfId="32929" xr:uid="{91D83A69-1B8D-47E1-8162-065320D3B00D}"/>
    <cellStyle name="Normal 3 14 5" xfId="11586" xr:uid="{F7CA503D-C556-4CEF-8BD8-90D9134C3DEF}"/>
    <cellStyle name="Normal 3 14 5 2" xfId="31928" xr:uid="{91718A93-C5D9-4B15-866A-95C1AAFB870C}"/>
    <cellStyle name="Normal 3 14 6" xfId="28434" xr:uid="{2BFF4A96-6325-40A0-B734-EEA1CC60793F}"/>
    <cellStyle name="Normal 3 15" xfId="8437" xr:uid="{CF93F846-CA2F-4FF4-86B9-8E90280AFDDC}"/>
    <cellStyle name="Normal 3 15 2" xfId="15474" xr:uid="{95597560-0CCE-4E5C-8FE9-FA205851FF3D}"/>
    <cellStyle name="Normal 3 15 2 2" xfId="35814" xr:uid="{8421920F-6CA3-4918-8E9D-50F7EB9D235B}"/>
    <cellStyle name="Normal 3 15 3" xfId="28780" xr:uid="{41026882-4E3C-4C40-803C-6DDE577DD533}"/>
    <cellStyle name="Normal 3 16" xfId="18388" xr:uid="{D27CB564-4FD4-4C28-89B9-890AB2BE81D6}"/>
    <cellStyle name="Normal 3 16 2" xfId="38728" xr:uid="{7928D0C7-9FDE-4AB1-A5D8-FE2E8376E3B2}"/>
    <cellStyle name="Normal 3 17" xfId="18976" xr:uid="{53B60CFA-49FA-4528-8F75-C8D2B0F2671D}"/>
    <cellStyle name="Normal 3 17 2" xfId="39315" xr:uid="{03F84880-64CE-4F53-9D91-039FE8042A26}"/>
    <cellStyle name="Normal 3 18" xfId="22231" xr:uid="{719C54A0-4965-4CE7-BB82-DB5EA665CB70}"/>
    <cellStyle name="Normal 3 18 2" xfId="42566" xr:uid="{C538866F-1C64-467E-BF2C-00C544DE93E7}"/>
    <cellStyle name="Normal 3 19" xfId="11948" xr:uid="{42672B2A-6032-45C0-AF80-7C051DD1AE93}"/>
    <cellStyle name="Normal 3 19 2" xfId="32289" xr:uid="{0895D428-A5E5-4A95-BF0F-AC1CFF7E483B}"/>
    <cellStyle name="Normal 3 2" xfId="108" xr:uid="{597A8B9A-5150-4387-8D7B-A9E0184AED57}"/>
    <cellStyle name="Normal 3 2 10" xfId="6371" xr:uid="{6FC0E419-494F-4D75-80FF-8C857727C801}"/>
    <cellStyle name="Normal 3 2 10 2" xfId="16657" xr:uid="{942D25AB-3614-4873-B69F-91B3DCC65540}"/>
    <cellStyle name="Normal 3 2 10 2 2" xfId="36997" xr:uid="{B39F3FB4-E43B-4D36-B0EA-062BBD8F87FD}"/>
    <cellStyle name="Normal 3 2 10 3" xfId="20159" xr:uid="{C142407F-5A0C-4C4E-AD5A-DCDE74BAA718}"/>
    <cellStyle name="Normal 3 2 10 3 2" xfId="40498" xr:uid="{72C739A9-61B8-4D3C-8C8D-5B4320DF14BE}"/>
    <cellStyle name="Normal 3 2 10 4" xfId="23414" xr:uid="{4D96C8CD-DE4F-4280-8CA5-C5043F836E4F}"/>
    <cellStyle name="Normal 3 2 10 4 2" xfId="43749" xr:uid="{02FFA1F6-2A73-44B0-9D45-E8B1AC8FEC0A}"/>
    <cellStyle name="Normal 3 2 10 5" xfId="13748" xr:uid="{BE883C99-B374-4074-9EA2-4A6B408D5140}"/>
    <cellStyle name="Normal 3 2 10 5 2" xfId="34089" xr:uid="{C139538D-348A-4B57-942A-65834F6A7696}"/>
    <cellStyle name="Normal 3 2 10 6" xfId="9870" xr:uid="{33605A1D-302B-4534-9F0F-2BE522BBB16C}"/>
    <cellStyle name="Normal 3 2 10 6 2" xfId="30213" xr:uid="{4C63D6C5-91BF-489B-8C90-F20601C0343C}"/>
    <cellStyle name="Normal 3 2 10 7" xfId="26719" xr:uid="{3CA29A97-7F57-4B21-8F94-097C6AE8B7B4}"/>
    <cellStyle name="Normal 3 2 11" xfId="7535" xr:uid="{B4B3E3E0-67E0-46D4-9BC3-F809469A5852}"/>
    <cellStyle name="Normal 3 2 11 2" xfId="17820" xr:uid="{9D0D19E2-8846-4120-89AE-BD0CF27E1CB6}"/>
    <cellStyle name="Normal 3 2 11 2 2" xfId="38160" xr:uid="{43CC9974-88C2-4374-A8C7-00D11AB9827D}"/>
    <cellStyle name="Normal 3 2 11 3" xfId="21322" xr:uid="{665025B5-EB8B-4BB6-87BD-DCF22A346B44}"/>
    <cellStyle name="Normal 3 2 11 3 2" xfId="41661" xr:uid="{A8971A73-9E2F-47AC-B9A8-794AB7A434ED}"/>
    <cellStyle name="Normal 3 2 11 4" xfId="24577" xr:uid="{39C638FB-9E4E-467B-9873-19037BDB7C5E}"/>
    <cellStyle name="Normal 3 2 11 4 2" xfId="44912" xr:uid="{65B98651-390E-4374-8CAE-8477E34DA87B}"/>
    <cellStyle name="Normal 3 2 11 5" xfId="14912" xr:uid="{558FC8E5-127D-4DFC-87F8-9138D62050A4}"/>
    <cellStyle name="Normal 3 2 11 5 2" xfId="35252" xr:uid="{D2A44B28-582F-448B-9458-40EC967D83BB}"/>
    <cellStyle name="Normal 3 2 11 6" xfId="11033" xr:uid="{BA7D1A23-F0CF-4A5A-9B83-9EC90210CAF6}"/>
    <cellStyle name="Normal 3 2 11 6 2" xfId="31376" xr:uid="{864559D7-2E85-4A97-878E-28351DB648EA}"/>
    <cellStyle name="Normal 3 2 11 7" xfId="27882" xr:uid="{EFEAE505-1523-4DE2-BB48-B95F8C5D244C}"/>
    <cellStyle name="Normal 3 2 12" xfId="8091" xr:uid="{E6FC1A17-5DC5-4EDE-87D0-B85ED6EEF174}"/>
    <cellStyle name="Normal 3 2 12 2" xfId="21878" xr:uid="{AA3C61C7-3716-4010-AC07-7DF8793065E8}"/>
    <cellStyle name="Normal 3 2 12 2 2" xfId="42214" xr:uid="{12063637-5E1C-44D3-933A-4C98A492728B}"/>
    <cellStyle name="Normal 3 2 12 3" xfId="25130" xr:uid="{96DE8988-DB2C-4A2C-8899-671D8723BE39}"/>
    <cellStyle name="Normal 3 2 12 3 2" xfId="45465" xr:uid="{A2A725E2-29DD-4045-9A2A-DFCC856B9C57}"/>
    <cellStyle name="Normal 3 2 12 4" xfId="12611" xr:uid="{A1B6DE5B-13EB-41C8-8F6E-A5F5536444EB}"/>
    <cellStyle name="Normal 3 2 12 4 2" xfId="32952" xr:uid="{076AB068-9FFC-44B7-A279-CC3B68BA71E9}"/>
    <cellStyle name="Normal 3 2 12 5" xfId="11587" xr:uid="{D5E733E4-8F08-45C5-B8A0-F7BF22843024}"/>
    <cellStyle name="Normal 3 2 12 5 2" xfId="31929" xr:uid="{D571F0D5-93CE-409A-94E0-229FAD57539D}"/>
    <cellStyle name="Normal 3 2 12 6" xfId="28435" xr:uid="{3A7DAC11-B8A9-4193-A29B-15FB85B50BF5}"/>
    <cellStyle name="Normal 3 2 13" xfId="8450" xr:uid="{0BB2765E-16B4-490C-9D46-779F17216834}"/>
    <cellStyle name="Normal 3 2 13 2" xfId="15499" xr:uid="{F2C54FD1-D3CB-4689-AE40-15E206BD8EFF}"/>
    <cellStyle name="Normal 3 2 13 2 2" xfId="35839" xr:uid="{3D4AA401-E96A-42CF-B4A7-C3C488C82A3D}"/>
    <cellStyle name="Normal 3 2 13 3" xfId="28793" xr:uid="{2C1CA738-4FC2-4578-891C-8DF17822F5D7}"/>
    <cellStyle name="Normal 3 2 14" xfId="18413" xr:uid="{14BB9796-C642-4773-B372-6D0A6B0D3478}"/>
    <cellStyle name="Normal 3 2 14 2" xfId="38753" xr:uid="{9FA195FB-F99E-4BFC-8513-5CE369B973D4}"/>
    <cellStyle name="Normal 3 2 15" xfId="19001" xr:uid="{9728132B-F3ED-482A-9ADA-C9B2A66145BB}"/>
    <cellStyle name="Normal 3 2 15 2" xfId="39340" xr:uid="{5F4ADF88-E790-4F6E-8811-9C2E49EA3626}"/>
    <cellStyle name="Normal 3 2 16" xfId="22256" xr:uid="{9B397FB0-932C-400B-8D41-B91AAEDA6943}"/>
    <cellStyle name="Normal 3 2 16 2" xfId="42591" xr:uid="{BDDA6343-9363-4D02-BCB4-6BD547DD6A98}"/>
    <cellStyle name="Normal 3 2 17" xfId="11973" xr:uid="{01196070-5481-419A-8864-0AE4C44F148A}"/>
    <cellStyle name="Normal 3 2 17 2" xfId="32314" xr:uid="{A110CB28-69B3-4BDA-8523-1F660B414C47}"/>
    <cellStyle name="Normal 3 2 18" xfId="8712" xr:uid="{357D5DC6-A378-4A88-AB50-8B24505C7751}"/>
    <cellStyle name="Normal 3 2 18 2" xfId="29055" xr:uid="{7D2E6AD3-2D58-4A28-882E-3F0CC297C8A4}"/>
    <cellStyle name="Normal 3 2 19" xfId="25557" xr:uid="{FE9E8F7B-0C8B-4631-8E7E-9659B84CC25C}"/>
    <cellStyle name="Normal 3 2 2" xfId="4825" xr:uid="{CF6CCEE8-9A70-494F-B48F-0D4911BE8094}"/>
    <cellStyle name="Normal 3 2 2 10" xfId="8092" xr:uid="{8C901DE9-FCEA-423D-8465-5DA0024BC6CA}"/>
    <cellStyle name="Normal 3 2 2 10 2" xfId="21879" xr:uid="{95FB8EEF-0930-483A-8447-E99B06C2682E}"/>
    <cellStyle name="Normal 3 2 2 10 2 2" xfId="42215" xr:uid="{61D5DE88-E400-466C-A486-D3C606B465F2}"/>
    <cellStyle name="Normal 3 2 2 10 3" xfId="25131" xr:uid="{851C72EB-AEA7-49A7-A3CB-802F5F0CCA31}"/>
    <cellStyle name="Normal 3 2 2 10 3 2" xfId="45466" xr:uid="{7EBCDEB5-F05E-4CC3-A928-6DD582E1FE77}"/>
    <cellStyle name="Normal 3 2 2 10 4" xfId="12634" xr:uid="{3386ABD1-EDD5-4BB0-A2F7-B78D2EC07D19}"/>
    <cellStyle name="Normal 3 2 2 10 4 2" xfId="32975" xr:uid="{56C82367-687A-4D31-AE21-61F597272D32}"/>
    <cellStyle name="Normal 3 2 2 10 5" xfId="11588" xr:uid="{B2310EDE-62B9-405C-8C66-9A2D5036017E}"/>
    <cellStyle name="Normal 3 2 2 10 5 2" xfId="31930" xr:uid="{50C197BD-B1E9-411C-9D4C-163C89191A9A}"/>
    <cellStyle name="Normal 3 2 2 10 6" xfId="28436" xr:uid="{49C3183B-05FC-455D-919F-146DA7264A87}"/>
    <cellStyle name="Normal 3 2 2 11" xfId="8478" xr:uid="{96D51772-217C-4522-AEF2-07AE0C1D9324}"/>
    <cellStyle name="Normal 3 2 2 11 2" xfId="15527" xr:uid="{5BB04531-6F71-47E6-BC7F-1D0549E0950C}"/>
    <cellStyle name="Normal 3 2 2 11 2 2" xfId="35867" xr:uid="{93C2B5D8-C189-4F3A-9BA3-4074BA70EB92}"/>
    <cellStyle name="Normal 3 2 2 11 3" xfId="28821" xr:uid="{C592B1B2-8D07-4141-B2A8-219A095F9CD6}"/>
    <cellStyle name="Normal 3 2 2 12" xfId="18441" xr:uid="{31FF7DBE-B0E1-4591-9CD5-F09E11F95C09}"/>
    <cellStyle name="Normal 3 2 2 12 2" xfId="38781" xr:uid="{F024DE72-7479-48DA-8190-CE03ADA74AAE}"/>
    <cellStyle name="Normal 3 2 2 13" xfId="19029" xr:uid="{5CEBA983-AA85-4B6F-AFF6-A63CE5803E66}"/>
    <cellStyle name="Normal 3 2 2 13 2" xfId="39368" xr:uid="{9E965B44-56D3-4F9D-AD47-8965C357A4F4}"/>
    <cellStyle name="Normal 3 2 2 14" xfId="22284" xr:uid="{144E2DC0-D2A1-40F6-9BB3-45017C6A750D}"/>
    <cellStyle name="Normal 3 2 2 14 2" xfId="42619" xr:uid="{6DBCA1C1-078E-4876-8EE9-2D554FF2F61B}"/>
    <cellStyle name="Normal 3 2 2 15" xfId="12001" xr:uid="{1B0E0837-A66F-41B6-9D47-DB77478C0FF3}"/>
    <cellStyle name="Normal 3 2 2 15 2" xfId="32342" xr:uid="{E8CCE9FC-EF51-4F7B-A8B9-35B2D56EB292}"/>
    <cellStyle name="Normal 3 2 2 16" xfId="8740" xr:uid="{6E14EC4D-7323-4290-8C07-2970FB8940BA}"/>
    <cellStyle name="Normal 3 2 2 16 2" xfId="29083" xr:uid="{19A9050B-DE35-4868-9643-700E8A8D00F3}"/>
    <cellStyle name="Normal 3 2 2 17" xfId="25585" xr:uid="{B2DB9633-3E3E-4118-9D9A-814438DC57CC}"/>
    <cellStyle name="Normal 3 2 2 18" xfId="45853" xr:uid="{BE15AD49-D505-42E6-98C4-8E79DEF525B7}"/>
    <cellStyle name="Normal 3 2 2 19" xfId="46339" xr:uid="{2F08D081-6F5F-4D7D-95DE-C128F90C321E}"/>
    <cellStyle name="Normal 3 2 2 2" xfId="4838" xr:uid="{47FB9DA6-41CB-45B3-9BDE-FF38CF2BB16C}"/>
    <cellStyle name="Normal 3 2 2 2 10" xfId="22399" xr:uid="{E7237962-A028-45B8-93E2-434AD93973E6}"/>
    <cellStyle name="Normal 3 2 2 2 10 2" xfId="42734" xr:uid="{4FCC7ECF-8B36-4BD1-8C75-F9493D11CE28}"/>
    <cellStyle name="Normal 3 2 2 2 11" xfId="12116" xr:uid="{A1D07F2E-FF85-45D8-8F41-86B231C62B26}"/>
    <cellStyle name="Normal 3 2 2 2 11 2" xfId="32457" xr:uid="{DB738B42-7EDE-4A43-B8EE-20FCC2E3CD63}"/>
    <cellStyle name="Normal 3 2 2 2 12" xfId="8855" xr:uid="{BB4C9474-5BB4-4C9F-B34E-FEE480F85136}"/>
    <cellStyle name="Normal 3 2 2 2 12 2" xfId="29198" xr:uid="{363C8542-2B05-4D97-9084-1146E0A768C9}"/>
    <cellStyle name="Normal 3 2 2 2 13" xfId="25704" xr:uid="{A1FCA8E9-DE9E-4923-AE91-78CC775DF2DA}"/>
    <cellStyle name="Normal 3 2 2 2 14" xfId="45913" xr:uid="{CA094143-8851-42BB-8DF3-35DA0E3555FD}"/>
    <cellStyle name="Normal 3 2 2 2 15" xfId="46399" xr:uid="{51310B76-56F1-40EE-A29B-671BE8C2149B}"/>
    <cellStyle name="Normal 3 2 2 2 16" xfId="46891" xr:uid="{59D2252F-0F55-4193-8FAF-E1756B291391}"/>
    <cellStyle name="Normal 3 2 2 2 2" xfId="5046" xr:uid="{A10A5D45-6E6C-4BB8-AD89-A43835FC81AF}"/>
    <cellStyle name="Normal 3 2 2 2 2 10" xfId="12503" xr:uid="{789843B2-94DC-48A6-970E-25108621B9B1}"/>
    <cellStyle name="Normal 3 2 2 2 2 10 2" xfId="32844" xr:uid="{84858CED-E579-4A4F-BBF8-BBB9A1A79E51}"/>
    <cellStyle name="Normal 3 2 2 2 2 11" xfId="9242" xr:uid="{DD1D8139-4B08-42EC-85FD-1997AA1F8356}"/>
    <cellStyle name="Normal 3 2 2 2 2 11 2" xfId="29585" xr:uid="{9D470A44-5338-4C29-A4C9-00DDF04812E1}"/>
    <cellStyle name="Normal 3 2 2 2 2 12" xfId="26091" xr:uid="{2CB08DC1-AAD2-49E5-B6D3-21AD528B8D94}"/>
    <cellStyle name="Normal 3 2 2 2 2 13" xfId="45928" xr:uid="{D95EB77B-FCF2-4374-A4A1-D13396E780E8}"/>
    <cellStyle name="Normal 3 2 2 2 2 14" xfId="46414" xr:uid="{5AD1151A-B135-4274-93C6-040A75153FE9}"/>
    <cellStyle name="Normal 3 2 2 2 2 15" xfId="46906" xr:uid="{CAD9672C-C1F2-4AC6-A095-B3834EACC072}"/>
    <cellStyle name="Normal 3 2 2 2 2 2" xfId="6324" xr:uid="{4E4ABA70-4756-424F-B93D-712BD76FD307}"/>
    <cellStyle name="Normal 3 2 2 2 2 2 10" xfId="46657" xr:uid="{1E3F1871-05EE-4218-8E0E-F8674A4DF5D7}"/>
    <cellStyle name="Normal 3 2 2 2 2 2 11" xfId="47149" xr:uid="{D50942D6-4C18-4365-948F-0A4F3A7250FB}"/>
    <cellStyle name="Normal 3 2 2 2 2 2 2" xfId="7482" xr:uid="{D89FEF9D-2769-405A-AC1C-DDFB1899C295}"/>
    <cellStyle name="Normal 3 2 2 2 2 2 2 2" xfId="17768" xr:uid="{DA1351D4-C814-4617-B98F-A5C397852C2B}"/>
    <cellStyle name="Normal 3 2 2 2 2 2 2 2 2" xfId="38108" xr:uid="{D92AB883-5564-4FE7-ADD0-6C2DCCB5487D}"/>
    <cellStyle name="Normal 3 2 2 2 2 2 2 3" xfId="21270" xr:uid="{9AE77D2D-A964-4ECB-BEDE-5B3083D0EE8D}"/>
    <cellStyle name="Normal 3 2 2 2 2 2 2 3 2" xfId="41609" xr:uid="{76DE0225-972B-4A0F-A33A-49F52FFB2E50}"/>
    <cellStyle name="Normal 3 2 2 2 2 2 2 4" xfId="24525" xr:uid="{B6C583F4-4794-4557-B389-80845649BF1B}"/>
    <cellStyle name="Normal 3 2 2 2 2 2 2 4 2" xfId="44860" xr:uid="{AE11C85B-4814-4E1B-AC63-F0EE52B397F5}"/>
    <cellStyle name="Normal 3 2 2 2 2 2 2 5" xfId="14859" xr:uid="{CC068C13-C5F0-4E1F-9C16-4BBB9711251A}"/>
    <cellStyle name="Normal 3 2 2 2 2 2 2 5 2" xfId="35200" xr:uid="{DCFAA298-7A19-4B4A-8799-F6F335B7ABA5}"/>
    <cellStyle name="Normal 3 2 2 2 2 2 2 6" xfId="10981" xr:uid="{118ED489-0AEB-4992-A67A-F0E9B6099054}"/>
    <cellStyle name="Normal 3 2 2 2 2 2 2 6 2" xfId="31324" xr:uid="{376DB4E6-A600-4A0D-8091-62E4D08B498C}"/>
    <cellStyle name="Normal 3 2 2 2 2 2 2 7" xfId="27830" xr:uid="{6D494FC9-60C0-4924-A170-34CD0AB645DE}"/>
    <cellStyle name="Normal 3 2 2 2 2 2 3" xfId="16610" xr:uid="{1939D97A-9C07-473C-B76B-BD244E8D0858}"/>
    <cellStyle name="Normal 3 2 2 2 2 2 3 2" xfId="36950" xr:uid="{4060D881-83D4-4E06-8BCC-11F4A49ABE23}"/>
    <cellStyle name="Normal 3 2 2 2 2 2 4" xfId="20112" xr:uid="{C347849C-BB5F-4179-8215-D5BBF6FD7287}"/>
    <cellStyle name="Normal 3 2 2 2 2 2 4 2" xfId="40451" xr:uid="{84F13C97-22BC-44B2-8A8D-AFF4F9335D09}"/>
    <cellStyle name="Normal 3 2 2 2 2 2 5" xfId="23367" xr:uid="{A6F64562-06BA-46F2-AF2B-84A167D819FD}"/>
    <cellStyle name="Normal 3 2 2 2 2 2 5 2" xfId="43702" xr:uid="{5435C074-A17D-4219-8489-B8F742E290E9}"/>
    <cellStyle name="Normal 3 2 2 2 2 2 6" xfId="13701" xr:uid="{5F423F0C-EB86-4BD5-BC91-88DDEECD3F6F}"/>
    <cellStyle name="Normal 3 2 2 2 2 2 6 2" xfId="34042" xr:uid="{256E9483-41C3-4B0B-B5CF-AE69344F7BF7}"/>
    <cellStyle name="Normal 3 2 2 2 2 2 7" xfId="9823" xr:uid="{9475ABD3-8D62-44CA-BDD6-5F2FD55A7E33}"/>
    <cellStyle name="Normal 3 2 2 2 2 2 7 2" xfId="30166" xr:uid="{8B1D712D-697F-4646-BCFD-B5F1A0E333F2}"/>
    <cellStyle name="Normal 3 2 2 2 2 2 8" xfId="26672" xr:uid="{BEA0E34E-AFF5-4E60-808F-27A1A1707E5D}"/>
    <cellStyle name="Normal 3 2 2 2 2 2 9" xfId="46171" xr:uid="{1773BC4B-488B-4926-A7FB-E3C4550ABDDB}"/>
    <cellStyle name="Normal 3 2 2 2 2 3" xfId="6901" xr:uid="{9A4D72CE-8B2E-49D8-AC63-4B4C6009DE3E}"/>
    <cellStyle name="Normal 3 2 2 2 2 3 2" xfId="17187" xr:uid="{16069E56-CD9B-4C02-90AB-337B98B51860}"/>
    <cellStyle name="Normal 3 2 2 2 2 3 2 2" xfId="37527" xr:uid="{50C407B5-1723-44D0-A609-B8692CB8D0E4}"/>
    <cellStyle name="Normal 3 2 2 2 2 3 3" xfId="20689" xr:uid="{EC22D02B-DC8C-49A5-B631-7C4E93D7178F}"/>
    <cellStyle name="Normal 3 2 2 2 2 3 3 2" xfId="41028" xr:uid="{A820C75D-7E0C-4B5C-BBB1-F5E60F664BF4}"/>
    <cellStyle name="Normal 3 2 2 2 2 3 4" xfId="23944" xr:uid="{85E8396B-C51D-46E7-B31E-48501290E7D3}"/>
    <cellStyle name="Normal 3 2 2 2 2 3 4 2" xfId="44279" xr:uid="{6A4C3530-78AF-4FCD-A504-A1DC8C5656B2}"/>
    <cellStyle name="Normal 3 2 2 2 2 3 5" xfId="14278" xr:uid="{13C56501-6292-4B1B-9863-8D107654799B}"/>
    <cellStyle name="Normal 3 2 2 2 2 3 5 2" xfId="34619" xr:uid="{9D260997-C31B-429B-813A-D733726680BD}"/>
    <cellStyle name="Normal 3 2 2 2 2 3 6" xfId="10400" xr:uid="{C71EF525-0BE0-4E52-9E4D-1105F992F9ED}"/>
    <cellStyle name="Normal 3 2 2 2 2 3 6 2" xfId="30743" xr:uid="{DA4E6F54-B1D1-464B-9878-29FD2E71F54E}"/>
    <cellStyle name="Normal 3 2 2 2 2 3 7" xfId="27249" xr:uid="{38BC1DAD-7BC1-4409-8E99-EBE1AE49172F}"/>
    <cellStyle name="Normal 3 2 2 2 2 4" xfId="8065" xr:uid="{3B97BA63-AA02-43BB-9B87-339DE5E08F53}"/>
    <cellStyle name="Normal 3 2 2 2 2 4 2" xfId="18350" xr:uid="{78CD237F-D94A-4222-BEEC-445533CFE392}"/>
    <cellStyle name="Normal 3 2 2 2 2 4 2 2" xfId="38690" xr:uid="{732CA2B0-6064-4FD9-96C5-A1BED003BF78}"/>
    <cellStyle name="Normal 3 2 2 2 2 4 3" xfId="21852" xr:uid="{C1B05F30-FA48-4FE8-9AB5-6ACFE7B4ED1A}"/>
    <cellStyle name="Normal 3 2 2 2 2 4 3 2" xfId="42191" xr:uid="{BDEC614A-AA65-4F89-BBA0-68B84141CC1B}"/>
    <cellStyle name="Normal 3 2 2 2 2 4 4" xfId="25107" xr:uid="{D49449DE-E8B3-4627-9F5A-A92703519B90}"/>
    <cellStyle name="Normal 3 2 2 2 2 4 4 2" xfId="45442" xr:uid="{3B285B6F-D8F7-4B93-8887-E425B01A890A}"/>
    <cellStyle name="Normal 3 2 2 2 2 4 5" xfId="15442" xr:uid="{A3586188-EF61-4E3C-A33B-8AF6C18096F4}"/>
    <cellStyle name="Normal 3 2 2 2 2 4 5 2" xfId="35782" xr:uid="{111A93DC-72C9-4C9F-98BE-46F302F6C72A}"/>
    <cellStyle name="Normal 3 2 2 2 2 4 6" xfId="11563" xr:uid="{620A5205-B24D-4DD8-B948-A590E8E5BD80}"/>
    <cellStyle name="Normal 3 2 2 2 2 4 6 2" xfId="31906" xr:uid="{24D99EEE-C41E-4EEA-9D9D-E8EDD7ACA2B0}"/>
    <cellStyle name="Normal 3 2 2 2 2 4 7" xfId="28412" xr:uid="{D73B55DD-8C8F-406A-82A5-1B8305368EAB}"/>
    <cellStyle name="Normal 3 2 2 2 2 5" xfId="8094" xr:uid="{A1E8EE38-4E00-443E-B92B-E4B646C6E5FA}"/>
    <cellStyle name="Normal 3 2 2 2 2 5 2" xfId="21881" xr:uid="{8FDB9076-5F7D-4B32-BF09-F9CC4AA8982F}"/>
    <cellStyle name="Normal 3 2 2 2 2 5 2 2" xfId="42217" xr:uid="{066F1759-5F5A-4F17-A32D-5EEA92FD2325}"/>
    <cellStyle name="Normal 3 2 2 2 2 5 3" xfId="25133" xr:uid="{F4D640DC-9161-4516-A87F-88B95A353774}"/>
    <cellStyle name="Normal 3 2 2 2 2 5 3 2" xfId="45468" xr:uid="{B4D685CB-5B78-4D3D-A739-8DB146DFD2A6}"/>
    <cellStyle name="Normal 3 2 2 2 2 5 4" xfId="13132" xr:uid="{8B8CC31C-0B62-4752-BB34-A3DEE758F164}"/>
    <cellStyle name="Normal 3 2 2 2 2 5 4 2" xfId="33473" xr:uid="{2F7D81FE-5372-4955-B139-0AD5939B0E02}"/>
    <cellStyle name="Normal 3 2 2 2 2 5 5" xfId="11590" xr:uid="{0B17A37B-0292-4B42-80E3-6F087D3AB8BF}"/>
    <cellStyle name="Normal 3 2 2 2 2 5 5 2" xfId="31932" xr:uid="{87A5D673-BC9B-461A-8B97-A5385678B4AA}"/>
    <cellStyle name="Normal 3 2 2 2 2 5 6" xfId="28438" xr:uid="{A1EB9141-C07A-444F-B797-85DFB1F94042}"/>
    <cellStyle name="Normal 3 2 2 2 2 6" xfId="8553" xr:uid="{99BCAF47-275B-4A19-B56F-C346CE33D6E3}"/>
    <cellStyle name="Normal 3 2 2 2 2 6 2" xfId="16029" xr:uid="{D3AE0D1A-561E-429C-A819-32EF983FB654}"/>
    <cellStyle name="Normal 3 2 2 2 2 6 2 2" xfId="36369" xr:uid="{FD7209E2-286F-429C-98F8-8C2D89CDDA0D}"/>
    <cellStyle name="Normal 3 2 2 2 2 6 3" xfId="28896" xr:uid="{304D8E1B-B73D-4DD2-8074-D17FBDBD121C}"/>
    <cellStyle name="Normal 3 2 2 2 2 7" xfId="18943" xr:uid="{41B4F200-D595-4685-9964-40DD38F0E43A}"/>
    <cellStyle name="Normal 3 2 2 2 2 7 2" xfId="39283" xr:uid="{F63F0610-4015-49BF-ADFC-1A94183353AC}"/>
    <cellStyle name="Normal 3 2 2 2 2 8" xfId="19531" xr:uid="{B910ADE5-B41D-44DE-B88A-A6386B0E43A7}"/>
    <cellStyle name="Normal 3 2 2 2 2 8 2" xfId="39870" xr:uid="{8BE91B19-5653-4514-8474-348310C4B511}"/>
    <cellStyle name="Normal 3 2 2 2 2 9" xfId="22786" xr:uid="{B2A7339D-5FB4-4DE5-8DFD-29A3781A370C}"/>
    <cellStyle name="Normal 3 2 2 2 2 9 2" xfId="43121" xr:uid="{2C7A0DD6-0BE1-4505-87AF-AB982DAACE16}"/>
    <cellStyle name="Normal 3 2 2 2 3" xfId="5937" xr:uid="{6D8207F8-E8DE-4B0B-8B85-C542C6CAF45D}"/>
    <cellStyle name="Normal 3 2 2 2 3 10" xfId="46642" xr:uid="{60B8FA0E-AAC8-4B3D-9544-C454F6C7E1E1}"/>
    <cellStyle name="Normal 3 2 2 2 3 11" xfId="47134" xr:uid="{F1BAE338-B3C0-454E-B3C4-3EA612B53CF6}"/>
    <cellStyle name="Normal 3 2 2 2 3 2" xfId="7095" xr:uid="{E47D15D8-2073-43A9-84C1-F01DDF1232CC}"/>
    <cellStyle name="Normal 3 2 2 2 3 2 2" xfId="17381" xr:uid="{D9CDC2F7-31D7-4E44-9FD7-80BA65C0CE4E}"/>
    <cellStyle name="Normal 3 2 2 2 3 2 2 2" xfId="37721" xr:uid="{C0DF2A70-3593-419D-86B5-D1B55A54E5E1}"/>
    <cellStyle name="Normal 3 2 2 2 3 2 3" xfId="20883" xr:uid="{F1CE7E35-082A-441C-A015-863D053AE051}"/>
    <cellStyle name="Normal 3 2 2 2 3 2 3 2" xfId="41222" xr:uid="{AA55C1F2-C385-4683-BB40-7C5D79EAB0D5}"/>
    <cellStyle name="Normal 3 2 2 2 3 2 4" xfId="24138" xr:uid="{541E8190-0665-4904-B3F4-EB973B84FB31}"/>
    <cellStyle name="Normal 3 2 2 2 3 2 4 2" xfId="44473" xr:uid="{FD7B2BF3-56D2-4600-B4DC-DA3B03DDD1F5}"/>
    <cellStyle name="Normal 3 2 2 2 3 2 5" xfId="14472" xr:uid="{70391B59-8B35-4266-8203-9050B67A89D9}"/>
    <cellStyle name="Normal 3 2 2 2 3 2 5 2" xfId="34813" xr:uid="{A6F6886E-544D-4808-9C61-DB94BEA76D0A}"/>
    <cellStyle name="Normal 3 2 2 2 3 2 6" xfId="10594" xr:uid="{DFE9EE0D-6EFD-41D9-B148-6646F26A7A52}"/>
    <cellStyle name="Normal 3 2 2 2 3 2 6 2" xfId="30937" xr:uid="{D3979FB4-1236-4BAC-90BA-D230D863218E}"/>
    <cellStyle name="Normal 3 2 2 2 3 2 7" xfId="27443" xr:uid="{597E8C7F-DF11-4EE8-AB58-40DA639569E4}"/>
    <cellStyle name="Normal 3 2 2 2 3 3" xfId="16223" xr:uid="{AF4333C0-20B3-4ADB-97F1-1D617C626525}"/>
    <cellStyle name="Normal 3 2 2 2 3 3 2" xfId="36563" xr:uid="{45878680-C8DF-40CD-84A6-F21BF2FBDE10}"/>
    <cellStyle name="Normal 3 2 2 2 3 4" xfId="19725" xr:uid="{CC68FC4A-31C6-4883-BB1C-902E170EDE92}"/>
    <cellStyle name="Normal 3 2 2 2 3 4 2" xfId="40064" xr:uid="{1E93444E-8F90-4CFC-AA5F-749F9681B52A}"/>
    <cellStyle name="Normal 3 2 2 2 3 5" xfId="22980" xr:uid="{2CBF2514-6872-417E-B8A5-575614C44267}"/>
    <cellStyle name="Normal 3 2 2 2 3 5 2" xfId="43315" xr:uid="{A545BEAC-BC37-42D4-B3C6-D254B23AE061}"/>
    <cellStyle name="Normal 3 2 2 2 3 6" xfId="13315" xr:uid="{B889913D-5D37-4CD9-ADE9-F6B31769C607}"/>
    <cellStyle name="Normal 3 2 2 2 3 6 2" xfId="33656" xr:uid="{586073C6-6F53-4415-BA4F-655785ECEA96}"/>
    <cellStyle name="Normal 3 2 2 2 3 7" xfId="9436" xr:uid="{F3B9F69B-55F5-4DF0-B937-7DA95337947A}"/>
    <cellStyle name="Normal 3 2 2 2 3 7 2" xfId="29779" xr:uid="{6E056AA7-4DA8-4027-9433-2D9903A0A1BC}"/>
    <cellStyle name="Normal 3 2 2 2 3 8" xfId="26285" xr:uid="{62A8514A-B9E5-4178-B0EA-7D68FF0D89FE}"/>
    <cellStyle name="Normal 3 2 2 2 3 9" xfId="46156" xr:uid="{1647729E-D440-4AB9-9350-C2CED3A5ED81}"/>
    <cellStyle name="Normal 3 2 2 2 4" xfId="6514" xr:uid="{C56D78E9-CE94-41D2-B7EB-C9DA7A04B7F3}"/>
    <cellStyle name="Normal 3 2 2 2 4 2" xfId="16800" xr:uid="{02149767-FBBF-4619-B061-14B44ECD748F}"/>
    <cellStyle name="Normal 3 2 2 2 4 2 2" xfId="37140" xr:uid="{B4DE1148-E843-4E8C-B6FD-EDA596CD8F72}"/>
    <cellStyle name="Normal 3 2 2 2 4 3" xfId="20302" xr:uid="{E3C0756D-4C7F-4A2C-A66C-68A11F7123DE}"/>
    <cellStyle name="Normal 3 2 2 2 4 3 2" xfId="40641" xr:uid="{E37EFB88-7ADA-40A3-BC5B-6461A28DCEC2}"/>
    <cellStyle name="Normal 3 2 2 2 4 4" xfId="23557" xr:uid="{57E3EDD8-BDE4-4093-B859-84B724154008}"/>
    <cellStyle name="Normal 3 2 2 2 4 4 2" xfId="43892" xr:uid="{86894006-AE13-4F73-9F0E-4DFC3D5041A7}"/>
    <cellStyle name="Normal 3 2 2 2 4 5" xfId="13891" xr:uid="{04B71DD1-D106-48D7-8F72-C9F0A072EE53}"/>
    <cellStyle name="Normal 3 2 2 2 4 5 2" xfId="34232" xr:uid="{A57F087F-8F8E-418B-BB9A-48B5DB75DF28}"/>
    <cellStyle name="Normal 3 2 2 2 4 6" xfId="10013" xr:uid="{C540D792-B9ED-45BD-B451-2A32E4C53F03}"/>
    <cellStyle name="Normal 3 2 2 2 4 6 2" xfId="30356" xr:uid="{46C734AF-6B46-4CFF-AA7D-FB46FE3E8D7D}"/>
    <cellStyle name="Normal 3 2 2 2 4 7" xfId="26862" xr:uid="{331C14FE-8D2E-4CC6-BC3B-6EFAD14A348A}"/>
    <cellStyle name="Normal 3 2 2 2 5" xfId="7678" xr:uid="{CAAEC704-ADC4-458E-94E0-3A802163CE19}"/>
    <cellStyle name="Normal 3 2 2 2 5 2" xfId="17963" xr:uid="{CE54CD43-6D54-4861-871E-696DC901FA4F}"/>
    <cellStyle name="Normal 3 2 2 2 5 2 2" xfId="38303" xr:uid="{80D53490-4BE2-46F9-B4AA-27A608A42240}"/>
    <cellStyle name="Normal 3 2 2 2 5 3" xfId="21465" xr:uid="{D907B34C-0C0E-45B5-A98C-5090E3095474}"/>
    <cellStyle name="Normal 3 2 2 2 5 3 2" xfId="41804" xr:uid="{59657B6B-5722-4A25-BF68-602A921ADF96}"/>
    <cellStyle name="Normal 3 2 2 2 5 4" xfId="24720" xr:uid="{5E7885DF-AEE3-4D4D-B726-058D1A2E4676}"/>
    <cellStyle name="Normal 3 2 2 2 5 4 2" xfId="45055" xr:uid="{66F98C6F-8D91-4BBF-8DCA-8D0411E2D376}"/>
    <cellStyle name="Normal 3 2 2 2 5 5" xfId="15055" xr:uid="{F66309C0-B61E-40CF-A250-24E90AC336DA}"/>
    <cellStyle name="Normal 3 2 2 2 5 5 2" xfId="35395" xr:uid="{0297162E-0469-4955-9358-3D3DD79F5D1D}"/>
    <cellStyle name="Normal 3 2 2 2 5 6" xfId="11176" xr:uid="{D58FA240-6642-4986-955F-EA5B4CDE808E}"/>
    <cellStyle name="Normal 3 2 2 2 5 6 2" xfId="31519" xr:uid="{9C39CAEC-C0FD-4C82-B93A-B07C40F67F57}"/>
    <cellStyle name="Normal 3 2 2 2 5 7" xfId="28025" xr:uid="{38D2B6F8-4947-414F-9115-D60A94BCD2D4}"/>
    <cellStyle name="Normal 3 2 2 2 6" xfId="8093" xr:uid="{2210D735-46B6-4B15-A9FD-285D58695358}"/>
    <cellStyle name="Normal 3 2 2 2 6 2" xfId="21880" xr:uid="{93121077-6D57-4798-8C9B-98DD6778E055}"/>
    <cellStyle name="Normal 3 2 2 2 6 2 2" xfId="42216" xr:uid="{42C11DE9-6E70-4EF5-AE23-E0F91E857009}"/>
    <cellStyle name="Normal 3 2 2 2 6 3" xfId="25132" xr:uid="{4A19EAD5-EEB8-48FF-B5F8-1753D22DC8FC}"/>
    <cellStyle name="Normal 3 2 2 2 6 3 2" xfId="45467" xr:uid="{BEFAEB1C-BDD6-4AB9-AD75-2271C9047ED8}"/>
    <cellStyle name="Normal 3 2 2 2 6 4" xfId="12746" xr:uid="{B1F492B7-5601-4FD7-8041-841B0D4D52CE}"/>
    <cellStyle name="Normal 3 2 2 2 6 4 2" xfId="33087" xr:uid="{C4FF2D4E-705B-4D3A-AD4E-17A7BE7B22A1}"/>
    <cellStyle name="Normal 3 2 2 2 6 5" xfId="11589" xr:uid="{7005B335-4CAE-435D-9DB2-CF6ED6DD6A34}"/>
    <cellStyle name="Normal 3 2 2 2 6 5 2" xfId="31931" xr:uid="{EAE4F9FB-7876-4CE8-A82B-283E41A74530}"/>
    <cellStyle name="Normal 3 2 2 2 6 6" xfId="28437" xr:uid="{ABF0D85E-36FC-4868-B714-2DE39D90F3F1}"/>
    <cellStyle name="Normal 3 2 2 2 7" xfId="8538" xr:uid="{ECE0F0B9-43AD-4B34-9D6F-2E33A842F877}"/>
    <cellStyle name="Normal 3 2 2 2 7 2" xfId="15642" xr:uid="{2CA4FA38-FC72-41D9-84BF-B3E9FA3236B8}"/>
    <cellStyle name="Normal 3 2 2 2 7 2 2" xfId="35982" xr:uid="{D01783B8-0E92-4881-85FD-4C5F5ADB10EC}"/>
    <cellStyle name="Normal 3 2 2 2 7 3" xfId="28881" xr:uid="{B1EE10BC-6560-4E62-A144-B51B8D4847FA}"/>
    <cellStyle name="Normal 3 2 2 2 8" xfId="18556" xr:uid="{2D7657EB-B6E0-445C-94A9-0771B13E9743}"/>
    <cellStyle name="Normal 3 2 2 2 8 2" xfId="38896" xr:uid="{59D599FF-E8F3-4EC3-9F9E-47EFE0B6A5DF}"/>
    <cellStyle name="Normal 3 2 2 2 9" xfId="19144" xr:uid="{44F59F3D-628C-4F17-8BB6-169E393E26D9}"/>
    <cellStyle name="Normal 3 2 2 2 9 2" xfId="39483" xr:uid="{C976710C-96D7-44E6-A921-B328B5ABAC1D}"/>
    <cellStyle name="Normal 3 2 2 20" xfId="46831" xr:uid="{09200DB9-2E94-43C6-AC7B-6F75224A9AA5}"/>
    <cellStyle name="Normal 3 2 2 3" xfId="5045" xr:uid="{A1612037-3509-474E-9B70-A0DDE1FA8E81}"/>
    <cellStyle name="Normal 3 2 2 3 10" xfId="12212" xr:uid="{120559D4-97DD-4EFC-BAD2-892F41A283FB}"/>
    <cellStyle name="Normal 3 2 2 3 10 2" xfId="32553" xr:uid="{1720B696-C221-482D-B8D2-43A67C21E3A2}"/>
    <cellStyle name="Normal 3 2 2 3 11" xfId="8951" xr:uid="{C378CBF3-8DB2-47EF-A625-34843E7B94FB}"/>
    <cellStyle name="Normal 3 2 2 3 11 2" xfId="29294" xr:uid="{103F2430-1DC1-45A0-83E1-CED813F1511D}"/>
    <cellStyle name="Normal 3 2 2 3 12" xfId="25800" xr:uid="{B54A84F1-E6F0-48CA-89C2-D7B624DB2589}"/>
    <cellStyle name="Normal 3 2 2 3 13" xfId="45927" xr:uid="{14269E33-383D-4E66-9F1F-54C7FEC558AA}"/>
    <cellStyle name="Normal 3 2 2 3 14" xfId="46413" xr:uid="{F78B255E-5DB8-49FF-88E7-5C6716F1AA95}"/>
    <cellStyle name="Normal 3 2 2 3 15" xfId="46905" xr:uid="{91BE042B-8B0C-4141-BB1E-0B013F71DA0C}"/>
    <cellStyle name="Normal 3 2 2 3 2" xfId="6033" xr:uid="{C9DD8559-0502-4EFC-97F3-808FD091BD27}"/>
    <cellStyle name="Normal 3 2 2 3 2 10" xfId="46656" xr:uid="{BC114273-CE34-4644-99E2-0F6EFE785185}"/>
    <cellStyle name="Normal 3 2 2 3 2 11" xfId="47148" xr:uid="{0D64137A-61B1-47A2-B7AA-8EE98D13A6EE}"/>
    <cellStyle name="Normal 3 2 2 3 2 2" xfId="7191" xr:uid="{F22171E3-0ABD-4D40-AD07-287232A90E3B}"/>
    <cellStyle name="Normal 3 2 2 3 2 2 2" xfId="17477" xr:uid="{20267839-E6C7-40D6-897D-198344EAF902}"/>
    <cellStyle name="Normal 3 2 2 3 2 2 2 2" xfId="37817" xr:uid="{A0CD2155-1E51-499E-B6C8-19070CC0B963}"/>
    <cellStyle name="Normal 3 2 2 3 2 2 3" xfId="20979" xr:uid="{F117C86E-5ED3-4EC0-98B0-7F50C785759A}"/>
    <cellStyle name="Normal 3 2 2 3 2 2 3 2" xfId="41318" xr:uid="{EB7C2FF9-AB4F-4D95-A55E-5B302B981F29}"/>
    <cellStyle name="Normal 3 2 2 3 2 2 4" xfId="24234" xr:uid="{05241B44-6561-4BB0-8BE1-36B9B55B9AC8}"/>
    <cellStyle name="Normal 3 2 2 3 2 2 4 2" xfId="44569" xr:uid="{4219CDF2-7FFE-40A9-A8CF-AB7C359684B6}"/>
    <cellStyle name="Normal 3 2 2 3 2 2 5" xfId="14568" xr:uid="{8E1A9603-6F50-4509-9F85-B11BE1DA14F2}"/>
    <cellStyle name="Normal 3 2 2 3 2 2 5 2" xfId="34909" xr:uid="{697A5AC6-1FA1-4143-B0D6-5FF9DDEACD3F}"/>
    <cellStyle name="Normal 3 2 2 3 2 2 6" xfId="10690" xr:uid="{0CAC78E7-2048-4767-B52E-4A2C39BF7669}"/>
    <cellStyle name="Normal 3 2 2 3 2 2 6 2" xfId="31033" xr:uid="{FC87DC5A-8803-4A2A-A638-444712EB3A37}"/>
    <cellStyle name="Normal 3 2 2 3 2 2 7" xfId="27539" xr:uid="{E095374E-89A2-4A75-A63F-AABBEEC86F0D}"/>
    <cellStyle name="Normal 3 2 2 3 2 3" xfId="16319" xr:uid="{F6E9B945-7148-4BB7-8D7B-FB85D96D527D}"/>
    <cellStyle name="Normal 3 2 2 3 2 3 2" xfId="36659" xr:uid="{FA75E731-BE6E-4CF4-BD4C-57FD323784F8}"/>
    <cellStyle name="Normal 3 2 2 3 2 4" xfId="19821" xr:uid="{9AEDD58D-F907-46CD-8044-D71900D0C766}"/>
    <cellStyle name="Normal 3 2 2 3 2 4 2" xfId="40160" xr:uid="{8DF56A0D-9D90-449C-A449-88D1834140D1}"/>
    <cellStyle name="Normal 3 2 2 3 2 5" xfId="23076" xr:uid="{B6B77974-9F69-4EE8-87D5-68AB29A3643A}"/>
    <cellStyle name="Normal 3 2 2 3 2 5 2" xfId="43411" xr:uid="{668E235E-7B4A-46B1-8D09-30F4B2B454C4}"/>
    <cellStyle name="Normal 3 2 2 3 2 6" xfId="13410" xr:uid="{E5F38D17-0F2D-4119-9F32-60146D1318F5}"/>
    <cellStyle name="Normal 3 2 2 3 2 6 2" xfId="33751" xr:uid="{7C45A6A2-9D9C-4831-B061-C30BC8A405CC}"/>
    <cellStyle name="Normal 3 2 2 3 2 7" xfId="9532" xr:uid="{182CBA56-8F3E-410E-8891-2FEC25D7C6FE}"/>
    <cellStyle name="Normal 3 2 2 3 2 7 2" xfId="29875" xr:uid="{EBE4867D-11F3-420E-A4CA-AA31204A3814}"/>
    <cellStyle name="Normal 3 2 2 3 2 8" xfId="26381" xr:uid="{3E57F3CF-2AAD-4A10-9703-38E27588B24E}"/>
    <cellStyle name="Normal 3 2 2 3 2 9" xfId="46170" xr:uid="{ACDDEA7D-5AC1-4297-8D02-CE791D659DA6}"/>
    <cellStyle name="Normal 3 2 2 3 3" xfId="6610" xr:uid="{E1FE0DA9-63F6-425E-B657-71618938550B}"/>
    <cellStyle name="Normal 3 2 2 3 3 2" xfId="16896" xr:uid="{01145487-84AD-46C0-BE42-7AE886024311}"/>
    <cellStyle name="Normal 3 2 2 3 3 2 2" xfId="37236" xr:uid="{49047764-80E8-4380-87C5-BFC93D7D5AF2}"/>
    <cellStyle name="Normal 3 2 2 3 3 3" xfId="20398" xr:uid="{2AB91147-8323-4B07-ACC0-E1487EAAD9BF}"/>
    <cellStyle name="Normal 3 2 2 3 3 3 2" xfId="40737" xr:uid="{E4B01580-5911-4F66-B61B-E870B031B445}"/>
    <cellStyle name="Normal 3 2 2 3 3 4" xfId="23653" xr:uid="{1426A58B-4A44-4340-9B9E-8544D0D9BD06}"/>
    <cellStyle name="Normal 3 2 2 3 3 4 2" xfId="43988" xr:uid="{17E40A21-C86E-4C60-BAD8-46DA9CAB6309}"/>
    <cellStyle name="Normal 3 2 2 3 3 5" xfId="13987" xr:uid="{24F36739-41A8-492C-BA2C-EDF1182DDFB6}"/>
    <cellStyle name="Normal 3 2 2 3 3 5 2" xfId="34328" xr:uid="{E212FCD9-0960-42A2-AA32-8A35D365D937}"/>
    <cellStyle name="Normal 3 2 2 3 3 6" xfId="10109" xr:uid="{AB8CC0FE-3383-4B3F-8242-FBADE7606809}"/>
    <cellStyle name="Normal 3 2 2 3 3 6 2" xfId="30452" xr:uid="{D0CA57FA-94C8-4414-8A5D-E4DFDC2F40EA}"/>
    <cellStyle name="Normal 3 2 2 3 3 7" xfId="26958" xr:uid="{00BED704-C3C8-4988-971B-D7A0ACC88211}"/>
    <cellStyle name="Normal 3 2 2 3 4" xfId="7774" xr:uid="{ED7B4775-2F3E-4557-B6BF-AA8E0977F80E}"/>
    <cellStyle name="Normal 3 2 2 3 4 2" xfId="18059" xr:uid="{5379F809-1106-4636-8E1C-768FBF515EF3}"/>
    <cellStyle name="Normal 3 2 2 3 4 2 2" xfId="38399" xr:uid="{3A611C6E-9572-4395-93E8-5D9AF0969900}"/>
    <cellStyle name="Normal 3 2 2 3 4 3" xfId="21561" xr:uid="{091B7F71-A71F-41A0-A587-6706A44FA080}"/>
    <cellStyle name="Normal 3 2 2 3 4 3 2" xfId="41900" xr:uid="{3521A493-206F-4257-BDFF-B509AA2501A8}"/>
    <cellStyle name="Normal 3 2 2 3 4 4" xfId="24816" xr:uid="{5D6197F4-79F3-4805-A0A6-89C03A855F0A}"/>
    <cellStyle name="Normal 3 2 2 3 4 4 2" xfId="45151" xr:uid="{A6B75936-5B02-4A5C-8A87-6E0CF9655F37}"/>
    <cellStyle name="Normal 3 2 2 3 4 5" xfId="15151" xr:uid="{F3B7F374-5377-418F-AFFC-9B79C326D2C1}"/>
    <cellStyle name="Normal 3 2 2 3 4 5 2" xfId="35491" xr:uid="{C6079ED0-8E1B-4FDD-8050-33862AE1737C}"/>
    <cellStyle name="Normal 3 2 2 3 4 6" xfId="11272" xr:uid="{258591E8-E5F7-4031-8607-32AF6B281FAA}"/>
    <cellStyle name="Normal 3 2 2 3 4 6 2" xfId="31615" xr:uid="{58EE1776-1178-4371-9BA5-AA6718E41D5B}"/>
    <cellStyle name="Normal 3 2 2 3 4 7" xfId="28121" xr:uid="{D0C4554C-2DC4-4AB5-88FE-8D9B5650A100}"/>
    <cellStyle name="Normal 3 2 2 3 5" xfId="8095" xr:uid="{DC75B8B8-D109-42F0-931B-10CA5BEC6B0E}"/>
    <cellStyle name="Normal 3 2 2 3 5 2" xfId="21882" xr:uid="{C6D7BC98-15A1-4BC8-8089-DE5243E47FD2}"/>
    <cellStyle name="Normal 3 2 2 3 5 2 2" xfId="42218" xr:uid="{07F6AA8B-AF6D-4BBD-AB0A-FC11B3C66FA3}"/>
    <cellStyle name="Normal 3 2 2 3 5 3" xfId="25134" xr:uid="{DA640001-FEC4-4212-BF7B-2104B48018FC}"/>
    <cellStyle name="Normal 3 2 2 3 5 3 2" xfId="45469" xr:uid="{6AD6B9A3-A239-4B27-83A5-EB8C50CDD32C}"/>
    <cellStyle name="Normal 3 2 2 3 5 4" xfId="12841" xr:uid="{82E5595E-C3C5-4A6E-9440-E5A80A4B75FD}"/>
    <cellStyle name="Normal 3 2 2 3 5 4 2" xfId="33182" xr:uid="{6925E697-012E-44B9-8B73-F19DFCE21642}"/>
    <cellStyle name="Normal 3 2 2 3 5 5" xfId="11591" xr:uid="{A1859E7F-3339-4F2E-B2B5-EDCE4CDE7D14}"/>
    <cellStyle name="Normal 3 2 2 3 5 5 2" xfId="31933" xr:uid="{5D895485-6AD1-4855-B416-B10FC736A7B7}"/>
    <cellStyle name="Normal 3 2 2 3 5 6" xfId="28439" xr:uid="{F9E0FF8E-52C1-4E34-95D1-2FBA3317D85E}"/>
    <cellStyle name="Normal 3 2 2 3 6" xfId="8552" xr:uid="{BD76AA4E-BD44-4F1E-9B85-96DE103C5BB9}"/>
    <cellStyle name="Normal 3 2 2 3 6 2" xfId="15738" xr:uid="{6C3230DE-0328-41C5-A574-BFA422C0A975}"/>
    <cellStyle name="Normal 3 2 2 3 6 2 2" xfId="36078" xr:uid="{252198EB-44B2-4DC2-AE6A-BAD5ED9C8B51}"/>
    <cellStyle name="Normal 3 2 2 3 6 3" xfId="28895" xr:uid="{16FC545E-0857-47AB-B8CC-8699AFFE3B91}"/>
    <cellStyle name="Normal 3 2 2 3 7" xfId="18652" xr:uid="{F0EC0F10-F2C8-471A-AF6B-57AA0E709384}"/>
    <cellStyle name="Normal 3 2 2 3 7 2" xfId="38992" xr:uid="{711B65D6-99C2-496F-B4C7-5653641A23C1}"/>
    <cellStyle name="Normal 3 2 2 3 8" xfId="19240" xr:uid="{DCF9BB9F-84AD-4304-BEAC-1D711EC16228}"/>
    <cellStyle name="Normal 3 2 2 3 8 2" xfId="39579" xr:uid="{FAE8B8C7-0A40-46E7-9414-933B623DB11D}"/>
    <cellStyle name="Normal 3 2 2 3 9" xfId="22495" xr:uid="{C8EB5D28-41C2-4948-9F73-43FEFA28A157}"/>
    <cellStyle name="Normal 3 2 2 3 9 2" xfId="42830" xr:uid="{B64557BB-AE2C-4713-8106-05395A6A5F5A}"/>
    <cellStyle name="Normal 3 2 2 4" xfId="5519" xr:uid="{6556AFC3-E135-4B39-84A3-350370CB116B}"/>
    <cellStyle name="Normal 3 2 2 4 10" xfId="12270" xr:uid="{029C16B5-57DA-4278-841D-EF7A7D892A05}"/>
    <cellStyle name="Normal 3 2 2 4 10 2" xfId="32611" xr:uid="{CA9F0480-72E8-4FCE-BD16-B444B4051BDD}"/>
    <cellStyle name="Normal 3 2 2 4 11" xfId="9009" xr:uid="{F2EBAB20-016D-46E8-9CE8-EBA42CAA68C4}"/>
    <cellStyle name="Normal 3 2 2 4 11 2" xfId="29352" xr:uid="{495AF45B-3207-44BE-A882-ACC257651BFB}"/>
    <cellStyle name="Normal 3 2 2 4 12" xfId="25858" xr:uid="{0F178E58-367D-4562-9760-04DBF75464DB}"/>
    <cellStyle name="Normal 3 2 2 4 13" xfId="46096" xr:uid="{0ED9CC02-7478-48CA-9633-65055E291107}"/>
    <cellStyle name="Normal 3 2 2 4 14" xfId="46582" xr:uid="{A1E92A3B-4D97-4007-AA8D-0B74AE81FE26}"/>
    <cellStyle name="Normal 3 2 2 4 15" xfId="47074" xr:uid="{0CC3531B-DCA7-4B37-8BCC-F2166C97BD3E}"/>
    <cellStyle name="Normal 3 2 2 4 2" xfId="6091" xr:uid="{3AA2D59B-3BDE-471C-B154-FE77F0F7FFEB}"/>
    <cellStyle name="Normal 3 2 2 4 2 2" xfId="7249" xr:uid="{3FB0BEE4-BD55-4CD6-BF89-7CE322112FB4}"/>
    <cellStyle name="Normal 3 2 2 4 2 2 2" xfId="17535" xr:uid="{7A9D8F75-0DC1-4175-96A2-B7A5AD18F0E1}"/>
    <cellStyle name="Normal 3 2 2 4 2 2 2 2" xfId="37875" xr:uid="{B3B3D70E-DB34-4D81-A800-6CDDF03768EC}"/>
    <cellStyle name="Normal 3 2 2 4 2 2 3" xfId="21037" xr:uid="{4DBAEE12-4B81-44EA-9845-33F4786491E3}"/>
    <cellStyle name="Normal 3 2 2 4 2 2 3 2" xfId="41376" xr:uid="{E1207A5E-FF45-4678-963C-FC1D75ABD6A9}"/>
    <cellStyle name="Normal 3 2 2 4 2 2 4" xfId="24292" xr:uid="{D63A6355-9C82-4832-8EF1-892A6428455A}"/>
    <cellStyle name="Normal 3 2 2 4 2 2 4 2" xfId="44627" xr:uid="{7E316C5E-6294-4E58-AA51-10AA2FB60FF6}"/>
    <cellStyle name="Normal 3 2 2 4 2 2 5" xfId="14626" xr:uid="{A6CF571A-A4B3-452A-A4BB-DDE4E10FFC39}"/>
    <cellStyle name="Normal 3 2 2 4 2 2 5 2" xfId="34967" xr:uid="{7F607D50-1945-4923-BCCB-5D2FCD2D74F9}"/>
    <cellStyle name="Normal 3 2 2 4 2 2 6" xfId="10748" xr:uid="{91B65802-AF15-40B0-A1A7-AEB2595F685B}"/>
    <cellStyle name="Normal 3 2 2 4 2 2 6 2" xfId="31091" xr:uid="{4F88B144-1B98-4A2F-9588-268776BB8139}"/>
    <cellStyle name="Normal 3 2 2 4 2 2 7" xfId="27597" xr:uid="{1D2A791B-AC79-4C0C-9048-232BF5BA444E}"/>
    <cellStyle name="Normal 3 2 2 4 2 3" xfId="16377" xr:uid="{B8D46E6D-C6CD-4F18-B8F2-5F40F4BAAE1B}"/>
    <cellStyle name="Normal 3 2 2 4 2 3 2" xfId="36717" xr:uid="{47EF8333-EBA8-488D-9588-19E24E13D751}"/>
    <cellStyle name="Normal 3 2 2 4 2 4" xfId="19879" xr:uid="{61A005E8-8C3F-4394-8B99-CEF1061EEEB0}"/>
    <cellStyle name="Normal 3 2 2 4 2 4 2" xfId="40218" xr:uid="{F13B55E2-5FB7-4443-889D-F5A0CC2FA56F}"/>
    <cellStyle name="Normal 3 2 2 4 2 5" xfId="23134" xr:uid="{28A07140-454A-4049-99EB-C2449E932D60}"/>
    <cellStyle name="Normal 3 2 2 4 2 5 2" xfId="43469" xr:uid="{C07721E9-781D-4A8B-9288-26F0CC7CE004}"/>
    <cellStyle name="Normal 3 2 2 4 2 6" xfId="13468" xr:uid="{DEC7D321-AD3F-46D8-A586-BDE0B5C14AD0}"/>
    <cellStyle name="Normal 3 2 2 4 2 6 2" xfId="33809" xr:uid="{7CBB663A-1352-4436-9599-EA10CA007895}"/>
    <cellStyle name="Normal 3 2 2 4 2 7" xfId="9590" xr:uid="{2C11A867-6937-4B16-A6C6-A74CD7391059}"/>
    <cellStyle name="Normal 3 2 2 4 2 7 2" xfId="29933" xr:uid="{C21256A9-C9AB-4998-A2FC-745C38BDB362}"/>
    <cellStyle name="Normal 3 2 2 4 2 8" xfId="26439" xr:uid="{68A92BB3-E91A-4407-849C-E4D8078FFB8B}"/>
    <cellStyle name="Normal 3 2 2 4 3" xfId="6668" xr:uid="{5F2FBE05-1DD1-40EB-A7CF-0167EE3AF0E8}"/>
    <cellStyle name="Normal 3 2 2 4 3 2" xfId="16954" xr:uid="{B8EAEA73-1297-45F2-A2DF-3E2AACECFE31}"/>
    <cellStyle name="Normal 3 2 2 4 3 2 2" xfId="37294" xr:uid="{F649515C-DA3B-4331-8651-E1478770190F}"/>
    <cellStyle name="Normal 3 2 2 4 3 3" xfId="20456" xr:uid="{304820E8-D57F-4A06-8AC2-25D2A39D0A18}"/>
    <cellStyle name="Normal 3 2 2 4 3 3 2" xfId="40795" xr:uid="{2BDAAD56-A564-44C7-AE0E-01777FFF291D}"/>
    <cellStyle name="Normal 3 2 2 4 3 4" xfId="23711" xr:uid="{FB7FAB66-B304-4B15-8205-7E70039575A5}"/>
    <cellStyle name="Normal 3 2 2 4 3 4 2" xfId="44046" xr:uid="{A028EC5C-E63B-403B-88BE-47911E1715BA}"/>
    <cellStyle name="Normal 3 2 2 4 3 5" xfId="14045" xr:uid="{A61BC3C7-471F-4B1D-A9D1-DD847F1F6AA8}"/>
    <cellStyle name="Normal 3 2 2 4 3 5 2" xfId="34386" xr:uid="{00946EA8-27EC-42F9-BA7C-318AEA54D60F}"/>
    <cellStyle name="Normal 3 2 2 4 3 6" xfId="10167" xr:uid="{FC2415D2-2DBE-49A0-B3FA-B52C9B6FF6F4}"/>
    <cellStyle name="Normal 3 2 2 4 3 6 2" xfId="30510" xr:uid="{BFB58A2B-3311-4A3E-AB19-77247A9752B2}"/>
    <cellStyle name="Normal 3 2 2 4 3 7" xfId="27016" xr:uid="{C16B309C-B6DE-4494-B8C2-F0600FB6ADF0}"/>
    <cellStyle name="Normal 3 2 2 4 4" xfId="7832" xr:uid="{DC730959-11F5-4A97-B5D8-C8886B39B5CD}"/>
    <cellStyle name="Normal 3 2 2 4 4 2" xfId="18117" xr:uid="{B6E954BE-AAF8-4566-9CFF-236340E5394B}"/>
    <cellStyle name="Normal 3 2 2 4 4 2 2" xfId="38457" xr:uid="{F9C1092A-E9AD-4F9B-9345-A8DFD4E5FF94}"/>
    <cellStyle name="Normal 3 2 2 4 4 3" xfId="21619" xr:uid="{B62BD0C1-00DB-47CE-8278-A28D0A92118E}"/>
    <cellStyle name="Normal 3 2 2 4 4 3 2" xfId="41958" xr:uid="{963F3B3B-FFCB-499B-9861-C7A63BB00392}"/>
    <cellStyle name="Normal 3 2 2 4 4 4" xfId="24874" xr:uid="{5A688FF7-B254-4FA2-9CFC-48B3645A1EA1}"/>
    <cellStyle name="Normal 3 2 2 4 4 4 2" xfId="45209" xr:uid="{39071269-8519-45B6-B142-926E15170A41}"/>
    <cellStyle name="Normal 3 2 2 4 4 5" xfId="15209" xr:uid="{586D5305-30B9-44CD-90DE-070581467533}"/>
    <cellStyle name="Normal 3 2 2 4 4 5 2" xfId="35549" xr:uid="{5291B616-F91E-4053-BBBD-9F458967FF4F}"/>
    <cellStyle name="Normal 3 2 2 4 4 6" xfId="11330" xr:uid="{2452EF89-302E-488E-9BCA-311E11C7AB10}"/>
    <cellStyle name="Normal 3 2 2 4 4 6 2" xfId="31673" xr:uid="{F85F821B-72E2-409D-983E-6716D825414D}"/>
    <cellStyle name="Normal 3 2 2 4 4 7" xfId="28179" xr:uid="{308F535A-A13B-4B92-906F-54783C9077D6}"/>
    <cellStyle name="Normal 3 2 2 4 5" xfId="12899" xr:uid="{A05D837C-337E-4559-B61A-E2E8D193C0BF}"/>
    <cellStyle name="Normal 3 2 2 4 5 2" xfId="33240" xr:uid="{A4E2459D-95FE-4D4A-91F8-8F6B1FADC1CF}"/>
    <cellStyle name="Normal 3 2 2 4 6" xfId="15796" xr:uid="{12F3B93E-EEC5-4BF4-9B83-AF9B6E693071}"/>
    <cellStyle name="Normal 3 2 2 4 6 2" xfId="36136" xr:uid="{3EE4DE74-863D-4AA7-AB70-257B9CAF9E1F}"/>
    <cellStyle name="Normal 3 2 2 4 7" xfId="18710" xr:uid="{5B2E8193-84EF-4956-B616-2D27C804EDA8}"/>
    <cellStyle name="Normal 3 2 2 4 7 2" xfId="39050" xr:uid="{A09FE3CD-2F41-43C8-BC95-81F5757CA51D}"/>
    <cellStyle name="Normal 3 2 2 4 8" xfId="19298" xr:uid="{CE1A95C3-F293-4241-838C-AEACD34944F6}"/>
    <cellStyle name="Normal 3 2 2 4 8 2" xfId="39637" xr:uid="{DD84C08A-E04A-4181-A631-C4E18A1F9A04}"/>
    <cellStyle name="Normal 3 2 2 4 9" xfId="22553" xr:uid="{5B3A865F-F61A-4EF6-BA23-4E5A3A108506}"/>
    <cellStyle name="Normal 3 2 2 4 9 2" xfId="42888" xr:uid="{A734DEBE-557C-4847-A0B3-8D6EDCD92C01}"/>
    <cellStyle name="Normal 3 2 2 5" xfId="5594" xr:uid="{46996168-5729-47D0-9980-92AD2CD9428B}"/>
    <cellStyle name="Normal 3 2 2 5 10" xfId="12345" xr:uid="{B4FF43E9-ECA7-42DD-8562-82EE7C3958BC}"/>
    <cellStyle name="Normal 3 2 2 5 10 2" xfId="32686" xr:uid="{B87AFC67-1868-4A9F-9264-C1B494C0FA91}"/>
    <cellStyle name="Normal 3 2 2 5 11" xfId="9084" xr:uid="{1E388F0A-43DC-4ACD-9AC6-8E081E7BFB31}"/>
    <cellStyle name="Normal 3 2 2 5 11 2" xfId="29427" xr:uid="{CD59132B-6D1E-40FE-B168-8E7FCD66ACFD}"/>
    <cellStyle name="Normal 3 2 2 5 12" xfId="25933" xr:uid="{C35F87B8-A5F6-45AF-B44B-56DA0D33462A}"/>
    <cellStyle name="Normal 3 2 2 5 2" xfId="6166" xr:uid="{DD72B91C-D4D8-4E42-B037-98CE6F0CE5AA}"/>
    <cellStyle name="Normal 3 2 2 5 2 2" xfId="7324" xr:uid="{318DF970-C106-4A47-A053-B6AF32711AC4}"/>
    <cellStyle name="Normal 3 2 2 5 2 2 2" xfId="17610" xr:uid="{507D197E-2612-4AAA-B7EC-6FA593B9D9FB}"/>
    <cellStyle name="Normal 3 2 2 5 2 2 2 2" xfId="37950" xr:uid="{AFCFE24A-CC98-4A49-98CF-C51938C51396}"/>
    <cellStyle name="Normal 3 2 2 5 2 2 3" xfId="21112" xr:uid="{AA41DAAD-9C28-4FA9-8587-A8155633C76A}"/>
    <cellStyle name="Normal 3 2 2 5 2 2 3 2" xfId="41451" xr:uid="{B933CDD7-D142-4864-966D-3C258D0B312E}"/>
    <cellStyle name="Normal 3 2 2 5 2 2 4" xfId="24367" xr:uid="{536A90C9-B6C3-4697-A71B-72D4722612DA}"/>
    <cellStyle name="Normal 3 2 2 5 2 2 4 2" xfId="44702" xr:uid="{F99D43C0-9615-43DA-851C-BC50ED83658C}"/>
    <cellStyle name="Normal 3 2 2 5 2 2 5" xfId="14701" xr:uid="{9EE529E9-D29E-4B83-8461-074756E2BA34}"/>
    <cellStyle name="Normal 3 2 2 5 2 2 5 2" xfId="35042" xr:uid="{20BABE06-2776-468B-AE95-873317A98201}"/>
    <cellStyle name="Normal 3 2 2 5 2 2 6" xfId="10823" xr:uid="{6A81B580-0AD0-4279-8A9C-B8C897297059}"/>
    <cellStyle name="Normal 3 2 2 5 2 2 6 2" xfId="31166" xr:uid="{4E2983A4-3D5E-49A6-A448-FF53EC959618}"/>
    <cellStyle name="Normal 3 2 2 5 2 2 7" xfId="27672" xr:uid="{965D802D-FC89-41F7-A69A-1AD11A36280A}"/>
    <cellStyle name="Normal 3 2 2 5 2 3" xfId="16452" xr:uid="{B26551DE-10A0-44E5-A981-52BEADCFF8D8}"/>
    <cellStyle name="Normal 3 2 2 5 2 3 2" xfId="36792" xr:uid="{2FE99076-E245-4F5F-A809-ABFC10757703}"/>
    <cellStyle name="Normal 3 2 2 5 2 4" xfId="19954" xr:uid="{EDB6ADBF-F89F-47BC-A50B-86CA1C64810C}"/>
    <cellStyle name="Normal 3 2 2 5 2 4 2" xfId="40293" xr:uid="{AEB210C3-DF0B-44B6-BE4A-66FC26018266}"/>
    <cellStyle name="Normal 3 2 2 5 2 5" xfId="23209" xr:uid="{EDBB6974-26D5-4FE4-837A-4A022BA5AAC0}"/>
    <cellStyle name="Normal 3 2 2 5 2 5 2" xfId="43544" xr:uid="{6799096B-6C29-40B0-A4F6-52FB88E5C35C}"/>
    <cellStyle name="Normal 3 2 2 5 2 6" xfId="13543" xr:uid="{76C848C1-CE3B-45B6-98BD-2616721B7854}"/>
    <cellStyle name="Normal 3 2 2 5 2 6 2" xfId="33884" xr:uid="{DB1B24B9-BCF0-4DDA-B5CF-0F614FBD87CA}"/>
    <cellStyle name="Normal 3 2 2 5 2 7" xfId="9665" xr:uid="{A2AB40FE-7080-4D37-B4E4-752F114A7B2F}"/>
    <cellStyle name="Normal 3 2 2 5 2 7 2" xfId="30008" xr:uid="{49776A75-D8FE-47DF-8936-3A27B192CBAE}"/>
    <cellStyle name="Normal 3 2 2 5 2 8" xfId="26514" xr:uid="{35D32909-939A-4D70-A388-4D86A74C2706}"/>
    <cellStyle name="Normal 3 2 2 5 3" xfId="6743" xr:uid="{8DAB1880-5248-46E0-84FE-67E281C3DE8A}"/>
    <cellStyle name="Normal 3 2 2 5 3 2" xfId="17029" xr:uid="{59BA66EC-4B41-4EDB-82B5-C5D6C4651C44}"/>
    <cellStyle name="Normal 3 2 2 5 3 2 2" xfId="37369" xr:uid="{38D3308D-3CD5-4785-9458-D188B2F5D46D}"/>
    <cellStyle name="Normal 3 2 2 5 3 3" xfId="20531" xr:uid="{E0C28A80-4F19-4657-80DD-91605CEA1677}"/>
    <cellStyle name="Normal 3 2 2 5 3 3 2" xfId="40870" xr:uid="{B22C9011-823A-45A8-B4F5-65F41FBE025F}"/>
    <cellStyle name="Normal 3 2 2 5 3 4" xfId="23786" xr:uid="{DF4D8847-AF41-49E0-8DBA-AC5A0029CB76}"/>
    <cellStyle name="Normal 3 2 2 5 3 4 2" xfId="44121" xr:uid="{019E76D8-AAB5-40D6-9B7B-4A6B0338309C}"/>
    <cellStyle name="Normal 3 2 2 5 3 5" xfId="14120" xr:uid="{27E3FC90-B925-4115-8A65-7A9A40AB86C6}"/>
    <cellStyle name="Normal 3 2 2 5 3 5 2" xfId="34461" xr:uid="{27F1C4C9-3C77-4866-876D-B21FBA84E70C}"/>
    <cellStyle name="Normal 3 2 2 5 3 6" xfId="10242" xr:uid="{CD16A4FF-024B-428E-90FC-38325948F5E6}"/>
    <cellStyle name="Normal 3 2 2 5 3 6 2" xfId="30585" xr:uid="{53BFE2D8-03CA-4F43-8C91-5E35CC5B19C0}"/>
    <cellStyle name="Normal 3 2 2 5 3 7" xfId="27091" xr:uid="{E1257804-02BB-403C-88D6-B04F02651FCD}"/>
    <cellStyle name="Normal 3 2 2 5 4" xfId="7907" xr:uid="{873E2EBE-5A97-4E4F-B9B6-E317F9229B67}"/>
    <cellStyle name="Normal 3 2 2 5 4 2" xfId="18192" xr:uid="{D51C674F-ABDB-4511-A00E-80C1513C2394}"/>
    <cellStyle name="Normal 3 2 2 5 4 2 2" xfId="38532" xr:uid="{3D5EB352-99AC-4CBD-BDA8-92212B2A6CD4}"/>
    <cellStyle name="Normal 3 2 2 5 4 3" xfId="21694" xr:uid="{08A16D54-7845-4DB5-B1E4-D418E738D7B5}"/>
    <cellStyle name="Normal 3 2 2 5 4 3 2" xfId="42033" xr:uid="{B790DA9B-BD70-4B2F-BAB6-0B401D90F324}"/>
    <cellStyle name="Normal 3 2 2 5 4 4" xfId="24949" xr:uid="{E72447AF-07D7-4A61-A46A-1264D209B41A}"/>
    <cellStyle name="Normal 3 2 2 5 4 4 2" xfId="45284" xr:uid="{D9815D5B-915A-4BD0-B58B-B5644FD99428}"/>
    <cellStyle name="Normal 3 2 2 5 4 5" xfId="15284" xr:uid="{3FA592F5-DA7E-4F22-BC7C-5D2179EBD9EB}"/>
    <cellStyle name="Normal 3 2 2 5 4 5 2" xfId="35624" xr:uid="{11FB2AC7-7FD6-4708-99FF-3BB7C023679A}"/>
    <cellStyle name="Normal 3 2 2 5 4 6" xfId="11405" xr:uid="{BF3714B3-5E99-4F6D-B1BC-B5DBF2B71D36}"/>
    <cellStyle name="Normal 3 2 2 5 4 6 2" xfId="31748" xr:uid="{4CBA1EC3-2F8F-4B21-9F85-1FD7D99544BE}"/>
    <cellStyle name="Normal 3 2 2 5 4 7" xfId="28254" xr:uid="{C6AD54E5-46B4-418F-BF75-772FDFF8A2F2}"/>
    <cellStyle name="Normal 3 2 2 5 5" xfId="12974" xr:uid="{77DB08D1-0EFB-4C13-938B-B3661BE3953C}"/>
    <cellStyle name="Normal 3 2 2 5 5 2" xfId="33315" xr:uid="{8676C93A-CB54-488E-BCD6-14C77C88AEEE}"/>
    <cellStyle name="Normal 3 2 2 5 6" xfId="15871" xr:uid="{3DE0229F-0F63-44EB-B60F-D6C09C979F4C}"/>
    <cellStyle name="Normal 3 2 2 5 6 2" xfId="36211" xr:uid="{2BFFFC49-316E-421A-8479-6E05E3BB5500}"/>
    <cellStyle name="Normal 3 2 2 5 7" xfId="18785" xr:uid="{AA757DF9-22DA-4F58-A003-BF222570F0F2}"/>
    <cellStyle name="Normal 3 2 2 5 7 2" xfId="39125" xr:uid="{A1E57806-151D-4A97-9563-A0DBF3814460}"/>
    <cellStyle name="Normal 3 2 2 5 8" xfId="19373" xr:uid="{0E695756-89FA-4E60-8BB5-A8C73EF8B5B7}"/>
    <cellStyle name="Normal 3 2 2 5 8 2" xfId="39712" xr:uid="{BB18D6D7-969D-4D6C-9987-CAC64831E5D3}"/>
    <cellStyle name="Normal 3 2 2 5 9" xfId="22628" xr:uid="{A8246EC3-3E7B-4723-873D-6066B68FDF15}"/>
    <cellStyle name="Normal 3 2 2 5 9 2" xfId="42963" xr:uid="{472726BA-017C-41D6-BEC8-C49ADF0216E0}"/>
    <cellStyle name="Normal 3 2 2 6" xfId="5692" xr:uid="{C7222751-15E9-464C-A616-26E34B2F92DA}"/>
    <cellStyle name="Normal 3 2 2 6 10" xfId="12443" xr:uid="{898A0499-DC25-4492-B69B-9413984704F9}"/>
    <cellStyle name="Normal 3 2 2 6 10 2" xfId="32784" xr:uid="{1B3406B5-8A8B-4E78-BFF1-3D92718F6CAD}"/>
    <cellStyle name="Normal 3 2 2 6 11" xfId="9182" xr:uid="{5F847C64-CB2F-4DEF-B260-46257A6E1EF0}"/>
    <cellStyle name="Normal 3 2 2 6 11 2" xfId="29525" xr:uid="{58E1126E-13E0-4B09-81AC-28247A042984}"/>
    <cellStyle name="Normal 3 2 2 6 12" xfId="26031" xr:uid="{003CBE2A-37C0-491F-98F3-F62AF7DECBE7}"/>
    <cellStyle name="Normal 3 2 2 6 2" xfId="6264" xr:uid="{6A0B8BA4-6AE3-45C2-ACAA-2477599C9698}"/>
    <cellStyle name="Normal 3 2 2 6 2 2" xfId="7422" xr:uid="{4038E27E-A448-48B3-B044-D5C079C83D4C}"/>
    <cellStyle name="Normal 3 2 2 6 2 2 2" xfId="17708" xr:uid="{0781AFA4-1A10-467A-8E9C-3ED491DBB813}"/>
    <cellStyle name="Normal 3 2 2 6 2 2 2 2" xfId="38048" xr:uid="{C57E75D0-9644-4752-A36B-D00D864F77DD}"/>
    <cellStyle name="Normal 3 2 2 6 2 2 3" xfId="21210" xr:uid="{BD312228-28A5-4DEC-A816-ED8E20625959}"/>
    <cellStyle name="Normal 3 2 2 6 2 2 3 2" xfId="41549" xr:uid="{F05B6DB4-50F6-4791-B92F-EB185D15F70B}"/>
    <cellStyle name="Normal 3 2 2 6 2 2 4" xfId="24465" xr:uid="{B99DBB1F-B280-4541-B547-5FBE97F93075}"/>
    <cellStyle name="Normal 3 2 2 6 2 2 4 2" xfId="44800" xr:uid="{1A9B47A1-618A-4EAC-8756-8713B5126AB4}"/>
    <cellStyle name="Normal 3 2 2 6 2 2 5" xfId="14799" xr:uid="{0F610603-573B-4448-BE8C-6882119E8D98}"/>
    <cellStyle name="Normal 3 2 2 6 2 2 5 2" xfId="35140" xr:uid="{D692BCD7-1048-44EE-92F4-AE22CD030A74}"/>
    <cellStyle name="Normal 3 2 2 6 2 2 6" xfId="10921" xr:uid="{D7EF9A02-4739-481B-9BC0-5FE05CFDDE5E}"/>
    <cellStyle name="Normal 3 2 2 6 2 2 6 2" xfId="31264" xr:uid="{E9C4F774-4E6D-4F8E-A5B8-E81859CB4C6A}"/>
    <cellStyle name="Normal 3 2 2 6 2 2 7" xfId="27770" xr:uid="{63D02AAD-3F80-4DEB-B93B-E349C77F283C}"/>
    <cellStyle name="Normal 3 2 2 6 2 3" xfId="16550" xr:uid="{76E50CDD-2742-4FA4-8411-7F70F7AC1BD6}"/>
    <cellStyle name="Normal 3 2 2 6 2 3 2" xfId="36890" xr:uid="{B7ECC90C-BC6F-483E-B543-2255550EF366}"/>
    <cellStyle name="Normal 3 2 2 6 2 4" xfId="20052" xr:uid="{C11283A4-7857-4C78-897F-EA3EAE2205DD}"/>
    <cellStyle name="Normal 3 2 2 6 2 4 2" xfId="40391" xr:uid="{77919A44-6B12-452B-AB42-F09E36FED9F7}"/>
    <cellStyle name="Normal 3 2 2 6 2 5" xfId="23307" xr:uid="{38509EAC-1979-4460-ACC3-263957E3CB93}"/>
    <cellStyle name="Normal 3 2 2 6 2 5 2" xfId="43642" xr:uid="{9B6552BA-3263-4571-811E-F0125E5EA785}"/>
    <cellStyle name="Normal 3 2 2 6 2 6" xfId="13641" xr:uid="{A52A1B76-F5BF-48EC-B5BE-D3B03C0D2781}"/>
    <cellStyle name="Normal 3 2 2 6 2 6 2" xfId="33982" xr:uid="{A895D7F2-A192-494E-9841-2081B1C2136A}"/>
    <cellStyle name="Normal 3 2 2 6 2 7" xfId="9763" xr:uid="{BF2378B0-C9DF-4ABD-8515-22177DCDC7C4}"/>
    <cellStyle name="Normal 3 2 2 6 2 7 2" xfId="30106" xr:uid="{AE6370D2-ECE0-4248-8ACE-FB9A02DA14A9}"/>
    <cellStyle name="Normal 3 2 2 6 2 8" xfId="26612" xr:uid="{F3EA3E79-9F99-41ED-A9AC-32358FB9205C}"/>
    <cellStyle name="Normal 3 2 2 6 3" xfId="6841" xr:uid="{C55B98DA-DBC9-4AA8-B128-2BB41065E785}"/>
    <cellStyle name="Normal 3 2 2 6 3 2" xfId="17127" xr:uid="{BC9B5521-6FB2-49B9-B74B-5C70CB2E476D}"/>
    <cellStyle name="Normal 3 2 2 6 3 2 2" xfId="37467" xr:uid="{DDBF9DF1-F670-4BC8-9BFC-87EDC576BE14}"/>
    <cellStyle name="Normal 3 2 2 6 3 3" xfId="20629" xr:uid="{C79D349D-6211-4CDF-880A-281B1447B99D}"/>
    <cellStyle name="Normal 3 2 2 6 3 3 2" xfId="40968" xr:uid="{C9F7B226-59E1-4847-B3B1-C395988FB171}"/>
    <cellStyle name="Normal 3 2 2 6 3 4" xfId="23884" xr:uid="{DD2FAB73-773E-4477-A287-8AB709ACF5C9}"/>
    <cellStyle name="Normal 3 2 2 6 3 4 2" xfId="44219" xr:uid="{DC56B00B-A386-4DDD-9F73-B8CAA5A331C7}"/>
    <cellStyle name="Normal 3 2 2 6 3 5" xfId="14218" xr:uid="{4E1EB034-604D-41B6-A2B4-4287D02B335C}"/>
    <cellStyle name="Normal 3 2 2 6 3 5 2" xfId="34559" xr:uid="{CEE4E1AB-681C-4D23-9B94-23DD47164AE7}"/>
    <cellStyle name="Normal 3 2 2 6 3 6" xfId="10340" xr:uid="{5C9B75AB-4FB2-42A9-8EE2-46BFF8C147AB}"/>
    <cellStyle name="Normal 3 2 2 6 3 6 2" xfId="30683" xr:uid="{FEBC4FD8-4711-489B-B826-DC874F6A1558}"/>
    <cellStyle name="Normal 3 2 2 6 3 7" xfId="27189" xr:uid="{81D72EB1-BF85-4DCF-8B57-FF6F3534FCB6}"/>
    <cellStyle name="Normal 3 2 2 6 4" xfId="8005" xr:uid="{3881975E-FCDB-4723-ADD2-71F8E57789F5}"/>
    <cellStyle name="Normal 3 2 2 6 4 2" xfId="18290" xr:uid="{A1FD84F0-A29C-437E-9A73-5BBB9B951418}"/>
    <cellStyle name="Normal 3 2 2 6 4 2 2" xfId="38630" xr:uid="{D373C9AB-0FA3-4348-8B9C-DE3301F8DD46}"/>
    <cellStyle name="Normal 3 2 2 6 4 3" xfId="21792" xr:uid="{CF6392B2-5C29-4E78-9D05-EB45147FC37A}"/>
    <cellStyle name="Normal 3 2 2 6 4 3 2" xfId="42131" xr:uid="{D9431B9B-B63E-4B5B-94A5-A9B2721A4C5F}"/>
    <cellStyle name="Normal 3 2 2 6 4 4" xfId="25047" xr:uid="{9EE31B22-280E-4F71-A74B-0883163BC833}"/>
    <cellStyle name="Normal 3 2 2 6 4 4 2" xfId="45382" xr:uid="{0D3B0E9B-DF00-4045-8D4D-F22F86FFCC60}"/>
    <cellStyle name="Normal 3 2 2 6 4 5" xfId="15382" xr:uid="{FEF138C7-6878-4041-8FB0-F3AE854C0080}"/>
    <cellStyle name="Normal 3 2 2 6 4 5 2" xfId="35722" xr:uid="{165C1BB3-7D3C-4969-9401-F3721F161FC6}"/>
    <cellStyle name="Normal 3 2 2 6 4 6" xfId="11503" xr:uid="{904CAC0C-8562-42AF-8C23-9C7CB1FA83E6}"/>
    <cellStyle name="Normal 3 2 2 6 4 6 2" xfId="31846" xr:uid="{B75FEF1B-F615-42A3-8232-09E27F92521F}"/>
    <cellStyle name="Normal 3 2 2 6 4 7" xfId="28352" xr:uid="{B33DE566-AD48-4F48-AA84-AA3D7AA92966}"/>
    <cellStyle name="Normal 3 2 2 6 5" xfId="13072" xr:uid="{997B6D2C-7DD9-411C-B011-959F8AEA45E2}"/>
    <cellStyle name="Normal 3 2 2 6 5 2" xfId="33413" xr:uid="{0C2BB654-77D2-4C96-B7AB-81CA0F7F2D96}"/>
    <cellStyle name="Normal 3 2 2 6 6" xfId="15969" xr:uid="{486D5C41-454D-4989-A6BD-427B78C2B185}"/>
    <cellStyle name="Normal 3 2 2 6 6 2" xfId="36309" xr:uid="{ED1F0BC9-FBB5-4B3F-BA0B-0AC64E85BEA5}"/>
    <cellStyle name="Normal 3 2 2 6 7" xfId="18883" xr:uid="{BD1D028B-FC4C-4142-8C49-26164C1140FE}"/>
    <cellStyle name="Normal 3 2 2 6 7 2" xfId="39223" xr:uid="{056989C9-E927-4645-AF2B-21B40FB2EBD2}"/>
    <cellStyle name="Normal 3 2 2 6 8" xfId="19471" xr:uid="{F96FDB80-ADD7-49CB-BE78-C925111C6A04}"/>
    <cellStyle name="Normal 3 2 2 6 8 2" xfId="39810" xr:uid="{29D7136B-8AB6-4E55-B42E-2B68EAF1836D}"/>
    <cellStyle name="Normal 3 2 2 6 9" xfId="22726" xr:uid="{35009D04-6F05-419F-A08A-145337A1E6A4}"/>
    <cellStyle name="Normal 3 2 2 6 9 2" xfId="43061" xr:uid="{7EFF195C-67D8-4235-90EB-8CF28A1A9010}"/>
    <cellStyle name="Normal 3 2 2 7" xfId="5822" xr:uid="{BBB289CA-52C2-436D-94EE-00008D95246A}"/>
    <cellStyle name="Normal 3 2 2 7 2" xfId="6980" xr:uid="{7F014814-C725-4A8C-A678-14AED6599E2F}"/>
    <cellStyle name="Normal 3 2 2 7 2 2" xfId="17266" xr:uid="{5BBDBBA6-12DD-434B-967F-B16528C4530C}"/>
    <cellStyle name="Normal 3 2 2 7 2 2 2" xfId="37606" xr:uid="{123BBBF6-3E1F-4FFE-A5E1-CCDBFAE7A674}"/>
    <cellStyle name="Normal 3 2 2 7 2 3" xfId="20768" xr:uid="{C67807DE-5837-449E-BF11-1EE22DDFDE06}"/>
    <cellStyle name="Normal 3 2 2 7 2 3 2" xfId="41107" xr:uid="{D495D34B-BEEB-4C89-B7A1-2D970FFE5120}"/>
    <cellStyle name="Normal 3 2 2 7 2 4" xfId="24023" xr:uid="{78533FFC-DCB9-4D4B-A68B-24587FA04940}"/>
    <cellStyle name="Normal 3 2 2 7 2 4 2" xfId="44358" xr:uid="{CDC01C4D-E269-4AA8-A8B3-154D70C7640E}"/>
    <cellStyle name="Normal 3 2 2 7 2 5" xfId="14357" xr:uid="{2B786DD0-7617-48C0-BAE0-2EC74B46FD4B}"/>
    <cellStyle name="Normal 3 2 2 7 2 5 2" xfId="34698" xr:uid="{53F0B190-1A21-43F5-A831-579A734E6929}"/>
    <cellStyle name="Normal 3 2 2 7 2 6" xfId="10479" xr:uid="{BAF9593C-4044-4C7E-82DB-0A080B04D177}"/>
    <cellStyle name="Normal 3 2 2 7 2 6 2" xfId="30822" xr:uid="{CE182300-E5F1-46F2-9055-B9B311D768FE}"/>
    <cellStyle name="Normal 3 2 2 7 2 7" xfId="27328" xr:uid="{6F14FEB6-A3A2-4989-A571-8E0E8E1B0AA8}"/>
    <cellStyle name="Normal 3 2 2 7 3" xfId="16108" xr:uid="{42DD42E5-EE34-44B6-B0F8-17ED4F8E052C}"/>
    <cellStyle name="Normal 3 2 2 7 3 2" xfId="36448" xr:uid="{9F82864D-3269-46A3-8F8E-9076E3674838}"/>
    <cellStyle name="Normal 3 2 2 7 4" xfId="19610" xr:uid="{C661B3CC-8F7B-4D8F-8FC8-8F0F847D9764}"/>
    <cellStyle name="Normal 3 2 2 7 4 2" xfId="39949" xr:uid="{5764D8D0-08B6-4C1D-9F7F-551BF23D289F}"/>
    <cellStyle name="Normal 3 2 2 7 5" xfId="22865" xr:uid="{A64A6007-BAE6-4B3F-B133-C97F7C81B33E}"/>
    <cellStyle name="Normal 3 2 2 7 5 2" xfId="43200" xr:uid="{6A447838-189E-4FF7-92A7-B6E97F846E26}"/>
    <cellStyle name="Normal 3 2 2 7 6" xfId="13203" xr:uid="{547C26EC-743D-4660-8AE3-5B4B445BAFA3}"/>
    <cellStyle name="Normal 3 2 2 7 6 2" xfId="33544" xr:uid="{DC515FC0-CD36-4200-9F17-AABA144177F6}"/>
    <cellStyle name="Normal 3 2 2 7 7" xfId="9321" xr:uid="{B9D8A2F3-ADD8-4D04-B7D5-EDE9A44F562B}"/>
    <cellStyle name="Normal 3 2 2 7 7 2" xfId="29664" xr:uid="{12B8CF27-C4E3-489A-8973-CAE3106ECAE8}"/>
    <cellStyle name="Normal 3 2 2 7 8" xfId="26170" xr:uid="{653FD99A-2E2E-44DA-A680-E15DEFA10E13}"/>
    <cellStyle name="Normal 3 2 2 8" xfId="6399" xr:uid="{D9E5A230-A074-41AE-902A-3A849B1BDCBC}"/>
    <cellStyle name="Normal 3 2 2 8 2" xfId="16685" xr:uid="{6DBA8872-3B96-49FC-838B-0B926565C6AB}"/>
    <cellStyle name="Normal 3 2 2 8 2 2" xfId="37025" xr:uid="{0A5A2D91-1ADB-4918-8618-16234A28C402}"/>
    <cellStyle name="Normal 3 2 2 8 3" xfId="20187" xr:uid="{48681DCC-0C7E-4DC5-B30A-D728A3AD1F78}"/>
    <cellStyle name="Normal 3 2 2 8 3 2" xfId="40526" xr:uid="{2091CC2C-D6F1-410E-B711-AD47B3960DD8}"/>
    <cellStyle name="Normal 3 2 2 8 4" xfId="23442" xr:uid="{CFE6A50B-5D4F-4B4E-92A4-90060732FF2E}"/>
    <cellStyle name="Normal 3 2 2 8 4 2" xfId="43777" xr:uid="{D86619F8-3B8B-4750-8965-AA1C0479ECE0}"/>
    <cellStyle name="Normal 3 2 2 8 5" xfId="13776" xr:uid="{A9F52A53-6BA0-43DC-9E3E-B3E0A53DEF9D}"/>
    <cellStyle name="Normal 3 2 2 8 5 2" xfId="34117" xr:uid="{06CA3724-EC75-4C87-89D3-01E1C3321F56}"/>
    <cellStyle name="Normal 3 2 2 8 6" xfId="9898" xr:uid="{07BE20C6-E0C9-4791-AC47-4C55DADAA264}"/>
    <cellStyle name="Normal 3 2 2 8 6 2" xfId="30241" xr:uid="{77D9CFF1-E320-4B5F-8E16-E7A7EEF65C2D}"/>
    <cellStyle name="Normal 3 2 2 8 7" xfId="26747" xr:uid="{5811EBF3-5162-420A-BDB7-393701D23450}"/>
    <cellStyle name="Normal 3 2 2 9" xfId="7563" xr:uid="{AF97CDBD-5126-4D07-B602-C86A8193128D}"/>
    <cellStyle name="Normal 3 2 2 9 2" xfId="17848" xr:uid="{7111F982-A329-42A6-8F42-5FE9247F3C77}"/>
    <cellStyle name="Normal 3 2 2 9 2 2" xfId="38188" xr:uid="{E0A53878-3A52-412C-B390-8735741F2536}"/>
    <cellStyle name="Normal 3 2 2 9 3" xfId="21350" xr:uid="{60D2328B-80A4-4820-AB7E-1334AE446AE0}"/>
    <cellStyle name="Normal 3 2 2 9 3 2" xfId="41689" xr:uid="{91324D9C-BF13-4400-9112-74727CF9BF9E}"/>
    <cellStyle name="Normal 3 2 2 9 4" xfId="24605" xr:uid="{60A02B14-394C-41F8-8FC4-8644DD468AE5}"/>
    <cellStyle name="Normal 3 2 2 9 4 2" xfId="44940" xr:uid="{1AEBDC99-6AFA-457E-A6FB-F461367090DC}"/>
    <cellStyle name="Normal 3 2 2 9 5" xfId="14940" xr:uid="{A77C2B8C-27EF-4E09-BC0F-8CB0186F75EA}"/>
    <cellStyle name="Normal 3 2 2 9 5 2" xfId="35280" xr:uid="{79AE8492-B9E2-4C4A-B623-3A4C453BD00F}"/>
    <cellStyle name="Normal 3 2 2 9 6" xfId="11061" xr:uid="{ED12B6EA-41ED-4DBA-8366-E256025DE471}"/>
    <cellStyle name="Normal 3 2 2 9 6 2" xfId="31404" xr:uid="{E020887D-D8C4-4B66-890B-FCE9CEB600E0}"/>
    <cellStyle name="Normal 3 2 2 9 7" xfId="27910" xr:uid="{438516B9-63AA-478F-871E-C4ACE5F58AEF}"/>
    <cellStyle name="Normal 3 2 20" xfId="45825" xr:uid="{E76687BD-69D1-4E9F-B91A-A85F2986B960}"/>
    <cellStyle name="Normal 3 2 21" xfId="46311" xr:uid="{5136DBAB-9A79-4417-A630-C3BED9B8CC0B}"/>
    <cellStyle name="Normal 3 2 22" xfId="46803" xr:uid="{61822A17-A6CE-40EC-8439-BD2CA1D93BCE}"/>
    <cellStyle name="Normal 3 2 23" xfId="48289" xr:uid="{DADCCB58-F32C-4AB3-92C3-1934CEDF1F19}"/>
    <cellStyle name="Normal 3 2 24" xfId="49958" xr:uid="{5587EDD6-3CE4-4B85-9202-65D7A4937333}"/>
    <cellStyle name="Normal 3 2 25" xfId="53254" xr:uid="{B66EF79A-FC3E-4449-9F97-251922D49DC0}"/>
    <cellStyle name="Normal 3 2 3" xfId="4839" xr:uid="{A42C30E7-0C29-4998-9470-6328FA0361B2}"/>
    <cellStyle name="Normal 3 2 3 2" xfId="5047" xr:uid="{CE0E213B-C145-4A55-A459-1F39FDA7850B}"/>
    <cellStyle name="Normal 3 2 3 2 10" xfId="12475" xr:uid="{91DCB984-E5C8-4E26-B4CC-5D8EEE37A849}"/>
    <cellStyle name="Normal 3 2 3 2 10 2" xfId="32816" xr:uid="{F4CD3681-21BD-4992-9E14-4F9A33F0563D}"/>
    <cellStyle name="Normal 3 2 3 2 11" xfId="9214" xr:uid="{C2A2E46E-A872-4BDA-9BCF-725F42086486}"/>
    <cellStyle name="Normal 3 2 3 2 11 2" xfId="29557" xr:uid="{4C77E5AE-60E3-4DC8-AA8C-77A0E2953441}"/>
    <cellStyle name="Normal 3 2 3 2 12" xfId="26063" xr:uid="{FFF03AAC-5F92-4D98-81BB-01E4DE4FBFB2}"/>
    <cellStyle name="Normal 3 2 3 2 13" xfId="45929" xr:uid="{00814215-E38E-4962-82E1-6C7F5FD66724}"/>
    <cellStyle name="Normal 3 2 3 2 14" xfId="46415" xr:uid="{FDB2FD62-5F83-49D5-B1A1-4191B8DFECA6}"/>
    <cellStyle name="Normal 3 2 3 2 15" xfId="46907" xr:uid="{EFE41A36-8478-4854-97C8-5FB99E1537F8}"/>
    <cellStyle name="Normal 3 2 3 2 2" xfId="6296" xr:uid="{76A2CB3A-9519-487B-B05B-3EC5EEC62C89}"/>
    <cellStyle name="Normal 3 2 3 2 2 10" xfId="46658" xr:uid="{462823B1-C27E-4953-86CF-862C7560C323}"/>
    <cellStyle name="Normal 3 2 3 2 2 11" xfId="47150" xr:uid="{AB6D4695-1B7C-47EE-991E-27417F72109B}"/>
    <cellStyle name="Normal 3 2 3 2 2 2" xfId="7454" xr:uid="{CE10C6CC-5E39-4C3A-8AAE-E6EF5D3F0AF4}"/>
    <cellStyle name="Normal 3 2 3 2 2 2 2" xfId="17740" xr:uid="{C26D877F-B043-4347-AEBE-CC91F1319B23}"/>
    <cellStyle name="Normal 3 2 3 2 2 2 2 2" xfId="38080" xr:uid="{9DB5C8C1-30BB-4253-A0B5-7996A2EFE65C}"/>
    <cellStyle name="Normal 3 2 3 2 2 2 3" xfId="21242" xr:uid="{902699D8-F079-4572-91F5-B01B3F11A113}"/>
    <cellStyle name="Normal 3 2 3 2 2 2 3 2" xfId="41581" xr:uid="{55A1FE04-74E3-4D7C-B35B-BE690237F3BD}"/>
    <cellStyle name="Normal 3 2 3 2 2 2 4" xfId="24497" xr:uid="{0542FAD9-5ADE-468B-BCF1-770EAAB281B5}"/>
    <cellStyle name="Normal 3 2 3 2 2 2 4 2" xfId="44832" xr:uid="{793C4970-5005-46A9-961C-26FA5EADA412}"/>
    <cellStyle name="Normal 3 2 3 2 2 2 5" xfId="14831" xr:uid="{6F4B9DC0-76C4-4D99-BCEF-517AB815187C}"/>
    <cellStyle name="Normal 3 2 3 2 2 2 5 2" xfId="35172" xr:uid="{6A937392-C4FF-4D78-9E74-8523CCFFE1BB}"/>
    <cellStyle name="Normal 3 2 3 2 2 2 6" xfId="10953" xr:uid="{E47143F2-E18F-4202-88AB-6C5A6EF6EAA8}"/>
    <cellStyle name="Normal 3 2 3 2 2 2 6 2" xfId="31296" xr:uid="{B28F4DD1-C004-4F8B-B855-7FE86AC834C8}"/>
    <cellStyle name="Normal 3 2 3 2 2 2 7" xfId="27802" xr:uid="{F0443B06-7813-4758-AB60-56969FAF4AA2}"/>
    <cellStyle name="Normal 3 2 3 2 2 3" xfId="16582" xr:uid="{5746982E-344A-4D99-BB0A-A0A07FAE6798}"/>
    <cellStyle name="Normal 3 2 3 2 2 3 2" xfId="36922" xr:uid="{200A9E6D-F364-4D59-B6F4-780F5F231EE6}"/>
    <cellStyle name="Normal 3 2 3 2 2 4" xfId="20084" xr:uid="{ED3B9377-914F-456C-A61B-4CC950CB23DF}"/>
    <cellStyle name="Normal 3 2 3 2 2 4 2" xfId="40423" xr:uid="{56E54B11-9FAE-467D-8711-1F6750F4A7E9}"/>
    <cellStyle name="Normal 3 2 3 2 2 5" xfId="23339" xr:uid="{DE4B4D24-64C5-4696-9BFC-E820E89F72AB}"/>
    <cellStyle name="Normal 3 2 3 2 2 5 2" xfId="43674" xr:uid="{B4E4999D-2305-4F5B-8F0C-5D1A5A289CF2}"/>
    <cellStyle name="Normal 3 2 3 2 2 6" xfId="13673" xr:uid="{6AA29A68-8AC8-445F-A635-80CFBD359389}"/>
    <cellStyle name="Normal 3 2 3 2 2 6 2" xfId="34014" xr:uid="{9A4D0F78-B11A-45CC-89C8-31082A6E7CD4}"/>
    <cellStyle name="Normal 3 2 3 2 2 7" xfId="9795" xr:uid="{5403A497-AB5E-41A4-B941-FB2E4DA84421}"/>
    <cellStyle name="Normal 3 2 3 2 2 7 2" xfId="30138" xr:uid="{41C17585-9975-4FA7-B80A-91AA4C09B663}"/>
    <cellStyle name="Normal 3 2 3 2 2 8" xfId="26644" xr:uid="{400B003A-67B0-4F08-935C-AAC646711F40}"/>
    <cellStyle name="Normal 3 2 3 2 2 9" xfId="46172" xr:uid="{7C1AFA11-886D-4299-81B4-101C966AB796}"/>
    <cellStyle name="Normal 3 2 3 2 3" xfId="6873" xr:uid="{A8A4DCE3-64EB-4C49-9BA7-36ACE5E58507}"/>
    <cellStyle name="Normal 3 2 3 2 3 2" xfId="17159" xr:uid="{62D690AF-6B02-470C-9379-B7177BA5DB90}"/>
    <cellStyle name="Normal 3 2 3 2 3 2 2" xfId="37499" xr:uid="{DAB44998-0416-4969-B436-8932BDE521A4}"/>
    <cellStyle name="Normal 3 2 3 2 3 3" xfId="20661" xr:uid="{37CE9D65-465B-4DBB-BD51-0A95975E8FB4}"/>
    <cellStyle name="Normal 3 2 3 2 3 3 2" xfId="41000" xr:uid="{5B4B25FD-7F73-4312-8626-1C96BF22C163}"/>
    <cellStyle name="Normal 3 2 3 2 3 4" xfId="23916" xr:uid="{DE23922D-B02B-4185-AD82-AD05553743C8}"/>
    <cellStyle name="Normal 3 2 3 2 3 4 2" xfId="44251" xr:uid="{5B203E42-DF09-4B45-9EEA-D5FE76CA9576}"/>
    <cellStyle name="Normal 3 2 3 2 3 5" xfId="14250" xr:uid="{1E084BE2-EA8C-4D1C-A972-11A0ED723346}"/>
    <cellStyle name="Normal 3 2 3 2 3 5 2" xfId="34591" xr:uid="{E920B9C2-26D2-4F26-8EC0-294689EA43AC}"/>
    <cellStyle name="Normal 3 2 3 2 3 6" xfId="10372" xr:uid="{939F2932-50AB-4129-BED4-AFA08D1DD565}"/>
    <cellStyle name="Normal 3 2 3 2 3 6 2" xfId="30715" xr:uid="{8F28A922-8463-4020-9FF7-77245E40CB44}"/>
    <cellStyle name="Normal 3 2 3 2 3 7" xfId="27221" xr:uid="{DEEEB7C6-3895-448E-8F90-173B0BB77565}"/>
    <cellStyle name="Normal 3 2 3 2 4" xfId="8037" xr:uid="{C7BEB430-BB62-4B50-ADD1-47E99DBDC67D}"/>
    <cellStyle name="Normal 3 2 3 2 4 2" xfId="18322" xr:uid="{D13EC0B2-8CC5-4317-8861-595C7DB2DA6F}"/>
    <cellStyle name="Normal 3 2 3 2 4 2 2" xfId="38662" xr:uid="{D29FAE14-E246-4EA9-8DC7-3BE2782CE3E1}"/>
    <cellStyle name="Normal 3 2 3 2 4 3" xfId="21824" xr:uid="{097810DF-D912-4D51-B448-F688A290CC0E}"/>
    <cellStyle name="Normal 3 2 3 2 4 3 2" xfId="42163" xr:uid="{5802149D-150C-470B-9B00-151A7A44DE46}"/>
    <cellStyle name="Normal 3 2 3 2 4 4" xfId="25079" xr:uid="{5D57D756-369A-43A6-9380-ED3EFE608B40}"/>
    <cellStyle name="Normal 3 2 3 2 4 4 2" xfId="45414" xr:uid="{2FEB65C3-7BCA-47A7-B7AD-B6034F2E5F7F}"/>
    <cellStyle name="Normal 3 2 3 2 4 5" xfId="15414" xr:uid="{E217C3EF-2431-46D1-B5FD-15DE0BEE464B}"/>
    <cellStyle name="Normal 3 2 3 2 4 5 2" xfId="35754" xr:uid="{D05EA994-10EF-408B-839D-E368E220D183}"/>
    <cellStyle name="Normal 3 2 3 2 4 6" xfId="11535" xr:uid="{A1BB36D6-9B8D-40FD-AC15-8472865070AC}"/>
    <cellStyle name="Normal 3 2 3 2 4 6 2" xfId="31878" xr:uid="{D5B5ADB8-21E1-44C2-9505-60458FC0A435}"/>
    <cellStyle name="Normal 3 2 3 2 4 7" xfId="28384" xr:uid="{94052937-3471-46DB-8F99-709F92566E2C}"/>
    <cellStyle name="Normal 3 2 3 2 5" xfId="8097" xr:uid="{2A68A63E-21CF-4BD3-811B-8ABF59241FC9}"/>
    <cellStyle name="Normal 3 2 3 2 5 2" xfId="21884" xr:uid="{3DC37CC0-0CDC-4689-9347-D16649D148DD}"/>
    <cellStyle name="Normal 3 2 3 2 5 2 2" xfId="42220" xr:uid="{B4C6AA80-581F-4F52-A929-EAFE1AAAB3C0}"/>
    <cellStyle name="Normal 3 2 3 2 5 3" xfId="25136" xr:uid="{1BF7ABAF-B084-4617-93F6-A8AC15FD6612}"/>
    <cellStyle name="Normal 3 2 3 2 5 3 2" xfId="45471" xr:uid="{8B851BB4-FBD2-42A1-B2B0-03D33E36A90A}"/>
    <cellStyle name="Normal 3 2 3 2 5 4" xfId="13104" xr:uid="{BAE3E963-7A74-466B-8B56-18B9577C8656}"/>
    <cellStyle name="Normal 3 2 3 2 5 4 2" xfId="33445" xr:uid="{02C84116-D6F8-45E9-AA2D-586190691FEC}"/>
    <cellStyle name="Normal 3 2 3 2 5 5" xfId="11593" xr:uid="{A5316469-9EFE-4DF1-A915-9E67412281FB}"/>
    <cellStyle name="Normal 3 2 3 2 5 5 2" xfId="31935" xr:uid="{10FE6AA2-510D-4295-8363-BCED5EBB85E7}"/>
    <cellStyle name="Normal 3 2 3 2 5 6" xfId="28441" xr:uid="{FF36CABB-5E62-4466-B6D5-213AA522CFAE}"/>
    <cellStyle name="Normal 3 2 3 2 6" xfId="8554" xr:uid="{49AC3F9E-F452-4833-815C-481C08911F76}"/>
    <cellStyle name="Normal 3 2 3 2 6 2" xfId="16001" xr:uid="{E3B80098-068A-4D3D-8972-11ED5D136774}"/>
    <cellStyle name="Normal 3 2 3 2 6 2 2" xfId="36341" xr:uid="{CE53BA90-F3F2-45B8-A9DC-ADA1D91A38EB}"/>
    <cellStyle name="Normal 3 2 3 2 6 3" xfId="28897" xr:uid="{C689DD63-39DD-4C99-8B59-865696356856}"/>
    <cellStyle name="Normal 3 2 3 2 7" xfId="18915" xr:uid="{27C3EF7E-60DD-4905-9A8F-8040232DD679}"/>
    <cellStyle name="Normal 3 2 3 2 7 2" xfId="39255" xr:uid="{995A4AAE-6C42-4C5B-8E7D-76D2171CF622}"/>
    <cellStyle name="Normal 3 2 3 2 8" xfId="19503" xr:uid="{0A67E4A1-9FBD-4D53-9E27-20C8D0AD841E}"/>
    <cellStyle name="Normal 3 2 3 2 8 2" xfId="39842" xr:uid="{DD855D23-C412-4795-AA72-FA123839C591}"/>
    <cellStyle name="Normal 3 2 3 2 9" xfId="22758" xr:uid="{C8148BA2-83B2-4045-A19E-65833455A1A2}"/>
    <cellStyle name="Normal 3 2 3 2 9 2" xfId="43093" xr:uid="{7C6110A4-8093-4868-8259-AC52B47A35C9}"/>
    <cellStyle name="Normal 3 2 3 3" xfId="8096" xr:uid="{6EE164D7-526B-418A-B1BD-B5643846DF40}"/>
    <cellStyle name="Normal 3 2 3 3 2" xfId="25135" xr:uid="{8F0D8C6E-544C-4341-8112-B24A3BAA6048}"/>
    <cellStyle name="Normal 3 2 3 3 2 2" xfId="45470" xr:uid="{C3552544-8014-49E2-8635-D29C85A3ABCB}"/>
    <cellStyle name="Normal 3 2 3 3 3" xfId="21883" xr:uid="{4743B356-04EE-4B2D-B975-F5B4A866EDBF}"/>
    <cellStyle name="Normal 3 2 3 3 3 2" xfId="42219" xr:uid="{C58B0FFC-740A-452A-BFFD-9EAE967D11BF}"/>
    <cellStyle name="Normal 3 2 3 3 4" xfId="11592" xr:uid="{DD7D99A1-7A3D-42EF-8697-7452A38639D2}"/>
    <cellStyle name="Normal 3 2 3 3 4 2" xfId="31934" xr:uid="{56B54AEB-A963-4F53-B20F-C4B74C079B48}"/>
    <cellStyle name="Normal 3 2 3 3 5" xfId="28440" xr:uid="{B6EF183B-436B-47E2-BBE8-E343FF662DCF}"/>
    <cellStyle name="Normal 3 2 3 3 6" xfId="46128" xr:uid="{76B996DD-9516-45F7-AA5C-4856AA9B54D2}"/>
    <cellStyle name="Normal 3 2 3 3 7" xfId="46614" xr:uid="{20C402F4-3C27-4A9B-BF9C-BBE74F5C70C1}"/>
    <cellStyle name="Normal 3 2 3 3 8" xfId="47106" xr:uid="{2F8A8CBB-77DC-49EC-8B40-BC4E9CF0D3CA}"/>
    <cellStyle name="Normal 3 2 3 4" xfId="8510" xr:uid="{AC015DDB-F41E-45DB-BD54-D8B209784750}"/>
    <cellStyle name="Normal 3 2 3 4 2" xfId="28853" xr:uid="{5315BBD2-941F-4D35-985A-E2058FFE6975}"/>
    <cellStyle name="Normal 3 2 3 5" xfId="45885" xr:uid="{C2631F2D-E80D-454E-BB70-2F70BB0002E9}"/>
    <cellStyle name="Normal 3 2 3 6" xfId="46371" xr:uid="{04515AB6-D0C8-424E-B0EA-27066E8C6626}"/>
    <cellStyle name="Normal 3 2 3 7" xfId="46863" xr:uid="{9586AA8E-B019-4FCE-86F4-9238EB6AC83B}"/>
    <cellStyle name="Normal 3 2 3 8" xfId="5267" xr:uid="{455EE991-ABD0-43AC-AD5C-9757359F927B}"/>
    <cellStyle name="Normal 3 2 4" xfId="5044" xr:uid="{DD250127-517F-463C-8F27-269899454CE2}"/>
    <cellStyle name="Normal 3 2 4 10" xfId="12088" xr:uid="{15179E7D-A6D6-4068-B557-849CC4AB1EB9}"/>
    <cellStyle name="Normal 3 2 4 10 2" xfId="32429" xr:uid="{0C792E6C-636D-433F-901B-F3B7AD6D5C4E}"/>
    <cellStyle name="Normal 3 2 4 11" xfId="8827" xr:uid="{22470D04-E7D2-4B1B-879F-98E2A93C9F11}"/>
    <cellStyle name="Normal 3 2 4 11 2" xfId="29170" xr:uid="{98C6F3D6-0CC7-4752-85C9-0C534E4373F4}"/>
    <cellStyle name="Normal 3 2 4 12" xfId="25676" xr:uid="{66A4B9E0-5961-403E-A4CB-C3AC046DE28C}"/>
    <cellStyle name="Normal 3 2 4 13" xfId="45926" xr:uid="{78ED4BEB-D2DF-4886-984F-C7355A12A160}"/>
    <cellStyle name="Normal 3 2 4 14" xfId="46412" xr:uid="{74293A44-EA49-47F1-818A-BA90DF9E5AF3}"/>
    <cellStyle name="Normal 3 2 4 15" xfId="46904" xr:uid="{2113931F-ADA8-4BE1-AAD1-8D138F50695C}"/>
    <cellStyle name="Normal 3 2 4 2" xfId="5909" xr:uid="{28ED5CC0-A91B-4827-8C5B-C43F4F0328C3}"/>
    <cellStyle name="Normal 3 2 4 2 10" xfId="46655" xr:uid="{F119E0B1-1033-49FA-B580-5FD0A565A286}"/>
    <cellStyle name="Normal 3 2 4 2 11" xfId="47147" xr:uid="{EC513BBE-1EDC-435A-B3A7-C46A9FC6EA68}"/>
    <cellStyle name="Normal 3 2 4 2 2" xfId="7067" xr:uid="{652D6533-8162-4A0A-B9F4-52F7D345DE99}"/>
    <cellStyle name="Normal 3 2 4 2 2 2" xfId="17353" xr:uid="{B2985DFC-BF12-4901-8333-6942F8624C6E}"/>
    <cellStyle name="Normal 3 2 4 2 2 2 2" xfId="37693" xr:uid="{ED5371EF-8841-4D22-B4BB-6D2839B4E388}"/>
    <cellStyle name="Normal 3 2 4 2 2 3" xfId="20855" xr:uid="{9B2580DC-1336-4365-A29A-47A7DAD95063}"/>
    <cellStyle name="Normal 3 2 4 2 2 3 2" xfId="41194" xr:uid="{E6527D1D-416D-4C47-99D7-5772BECDD920}"/>
    <cellStyle name="Normal 3 2 4 2 2 4" xfId="24110" xr:uid="{7B39A6AC-BAE0-462C-B589-B0A9A42F7455}"/>
    <cellStyle name="Normal 3 2 4 2 2 4 2" xfId="44445" xr:uid="{E8D1D6CE-8307-4F00-9F6D-B784416F3DA1}"/>
    <cellStyle name="Normal 3 2 4 2 2 5" xfId="14444" xr:uid="{ED6120ED-CF94-4E0B-BCF4-97235F16BE3B}"/>
    <cellStyle name="Normal 3 2 4 2 2 5 2" xfId="34785" xr:uid="{8ABBC0DE-EA7E-4A9D-9E20-562B8C6AF4E8}"/>
    <cellStyle name="Normal 3 2 4 2 2 6" xfId="10566" xr:uid="{60006442-DD4A-4FA3-A41C-2C032DBC5CA2}"/>
    <cellStyle name="Normal 3 2 4 2 2 6 2" xfId="30909" xr:uid="{985A96C4-95BD-460A-9C99-AE13FCE42960}"/>
    <cellStyle name="Normal 3 2 4 2 2 7" xfId="27415" xr:uid="{22349B65-E09C-4481-B560-36C6553484E7}"/>
    <cellStyle name="Normal 3 2 4 2 3" xfId="16195" xr:uid="{B4C7F8A8-7CBF-4C5B-A80B-3BAE779CA8FB}"/>
    <cellStyle name="Normal 3 2 4 2 3 2" xfId="36535" xr:uid="{E81E4431-BB57-4EFF-968B-706CE9519DCC}"/>
    <cellStyle name="Normal 3 2 4 2 4" xfId="19697" xr:uid="{BF566815-5EE6-4838-8B8E-925CF5DA785B}"/>
    <cellStyle name="Normal 3 2 4 2 4 2" xfId="40036" xr:uid="{513AFAAE-B426-4829-BFFD-06AE30CDE38B}"/>
    <cellStyle name="Normal 3 2 4 2 5" xfId="22952" xr:uid="{953ACED0-5DBA-4D68-A39C-8F2F9F0D3F0E}"/>
    <cellStyle name="Normal 3 2 4 2 5 2" xfId="43287" xr:uid="{CE7F5A7C-445A-4229-A1D0-92E0D05CE3E3}"/>
    <cellStyle name="Normal 3 2 4 2 6" xfId="13288" xr:uid="{080AD3CE-3B4E-48AE-B488-8E4203FCD187}"/>
    <cellStyle name="Normal 3 2 4 2 6 2" xfId="33629" xr:uid="{3C433AA5-C403-48F9-A04C-348B99E31EC2}"/>
    <cellStyle name="Normal 3 2 4 2 7" xfId="9408" xr:uid="{3F21ABDB-3025-45CA-8545-952F30D4FF48}"/>
    <cellStyle name="Normal 3 2 4 2 7 2" xfId="29751" xr:uid="{5D508D84-0328-4298-95E4-DC392698CBDA}"/>
    <cellStyle name="Normal 3 2 4 2 8" xfId="26257" xr:uid="{5709B314-865B-4FE4-AB0E-72EBC80F6558}"/>
    <cellStyle name="Normal 3 2 4 2 9" xfId="46169" xr:uid="{A8A79E91-748A-419E-8C6A-AADE54033522}"/>
    <cellStyle name="Normal 3 2 4 3" xfId="6486" xr:uid="{195F7B3D-1C67-4F0A-9A2D-EA0C343FAE98}"/>
    <cellStyle name="Normal 3 2 4 3 2" xfId="16772" xr:uid="{AB73FEFF-C5F6-4217-895D-06D14098A09F}"/>
    <cellStyle name="Normal 3 2 4 3 2 2" xfId="37112" xr:uid="{F5DFF4AE-74FF-49AC-A09D-0CB8A65966FD}"/>
    <cellStyle name="Normal 3 2 4 3 3" xfId="20274" xr:uid="{E8002593-1D72-4101-9C38-4A6B665B7925}"/>
    <cellStyle name="Normal 3 2 4 3 3 2" xfId="40613" xr:uid="{CDD76B94-8FE4-4483-9BDF-0C2CC3203505}"/>
    <cellStyle name="Normal 3 2 4 3 4" xfId="23529" xr:uid="{79F3586E-FBD1-4D48-80BB-8A6CF4D97C0C}"/>
    <cellStyle name="Normal 3 2 4 3 4 2" xfId="43864" xr:uid="{74A30F81-8D83-4A6D-9CBD-F823176BFBA3}"/>
    <cellStyle name="Normal 3 2 4 3 5" xfId="13863" xr:uid="{CF9651D8-FC54-4192-920E-C122E660A1A1}"/>
    <cellStyle name="Normal 3 2 4 3 5 2" xfId="34204" xr:uid="{D63441A1-06F4-478A-A008-C507AB5E27B4}"/>
    <cellStyle name="Normal 3 2 4 3 6" xfId="9985" xr:uid="{191FC110-243E-4EF4-A1AE-A74BD1CE6209}"/>
    <cellStyle name="Normal 3 2 4 3 6 2" xfId="30328" xr:uid="{2F170F86-4C7C-4E09-AC0C-22F4D7B86DB4}"/>
    <cellStyle name="Normal 3 2 4 3 7" xfId="26834" xr:uid="{F693906E-5D56-4CB9-9C16-B6014EE9FE6D}"/>
    <cellStyle name="Normal 3 2 4 4" xfId="7650" xr:uid="{0CD37D2A-9F89-4735-BF05-6EF13E802608}"/>
    <cellStyle name="Normal 3 2 4 4 2" xfId="17935" xr:uid="{27211749-B516-4A0B-AB4A-23AFE0A77914}"/>
    <cellStyle name="Normal 3 2 4 4 2 2" xfId="38275" xr:uid="{18D3A3C4-8D20-40F7-8B0C-20DD5B4A8F4B}"/>
    <cellStyle name="Normal 3 2 4 4 3" xfId="21437" xr:uid="{47E8EFB9-0719-4AC2-9A01-DE01BC829A8A}"/>
    <cellStyle name="Normal 3 2 4 4 3 2" xfId="41776" xr:uid="{65174DB5-EA24-41C5-9A14-2F2D47F803C7}"/>
    <cellStyle name="Normal 3 2 4 4 4" xfId="24692" xr:uid="{988E7360-D225-4F27-8D33-D9E32E7DC288}"/>
    <cellStyle name="Normal 3 2 4 4 4 2" xfId="45027" xr:uid="{91A9C67A-41E4-45A8-B84A-76322D832307}"/>
    <cellStyle name="Normal 3 2 4 4 5" xfId="15027" xr:uid="{21618CE3-C7BF-4EB6-AC76-D987138D45FE}"/>
    <cellStyle name="Normal 3 2 4 4 5 2" xfId="35367" xr:uid="{70A57206-6874-49FC-AE7A-FE73CAA24A80}"/>
    <cellStyle name="Normal 3 2 4 4 6" xfId="11148" xr:uid="{F6288AF7-5E3E-41B9-877C-44CB4BEA4350}"/>
    <cellStyle name="Normal 3 2 4 4 6 2" xfId="31491" xr:uid="{164E816B-61DB-4E1E-B682-4CCC759918F9}"/>
    <cellStyle name="Normal 3 2 4 4 7" xfId="27997" xr:uid="{57137181-B08B-4BFE-A741-A51FF021039B}"/>
    <cellStyle name="Normal 3 2 4 5" xfId="8098" xr:uid="{85DDA53C-07D0-476F-8F35-E8548C867595}"/>
    <cellStyle name="Normal 3 2 4 5 2" xfId="21885" xr:uid="{75371234-E6FF-4A02-A708-5DF7D441D8B0}"/>
    <cellStyle name="Normal 3 2 4 5 2 2" xfId="42221" xr:uid="{D6F64245-DD7E-491A-B966-4AB8A943B3B6}"/>
    <cellStyle name="Normal 3 2 4 5 3" xfId="25137" xr:uid="{0BBB7367-DC8D-4E32-A8FF-788F66711613}"/>
    <cellStyle name="Normal 3 2 4 5 3 2" xfId="45472" xr:uid="{E736D800-8EE9-4BD7-B91F-7D3D02EE9775}"/>
    <cellStyle name="Normal 3 2 4 5 4" xfId="12719" xr:uid="{FCB0A430-98B8-495F-885A-947D86E04072}"/>
    <cellStyle name="Normal 3 2 4 5 4 2" xfId="33060" xr:uid="{4F97F99E-B422-494E-90E4-78623869120C}"/>
    <cellStyle name="Normal 3 2 4 5 5" xfId="11594" xr:uid="{62033303-F977-461A-A9DD-F5A2B1227A4A}"/>
    <cellStyle name="Normal 3 2 4 5 5 2" xfId="31936" xr:uid="{DF734FCF-709A-47DD-8F60-554623A44B26}"/>
    <cellStyle name="Normal 3 2 4 5 6" xfId="28442" xr:uid="{1113896D-CE0A-4B20-A952-7240335A11E0}"/>
    <cellStyle name="Normal 3 2 4 6" xfId="8551" xr:uid="{CD110F63-3257-4105-8E9C-A2DEA561E4EA}"/>
    <cellStyle name="Normal 3 2 4 6 2" xfId="15614" xr:uid="{6B755C67-C154-49D9-B916-274CAEEB2DFC}"/>
    <cellStyle name="Normal 3 2 4 6 2 2" xfId="35954" xr:uid="{48054B4F-0007-4057-861B-EA9A60054881}"/>
    <cellStyle name="Normal 3 2 4 6 3" xfId="28894" xr:uid="{86884DB8-05A1-4145-A03B-9EF03A33892C}"/>
    <cellStyle name="Normal 3 2 4 7" xfId="18528" xr:uid="{F3361BFB-7CEE-4B57-9298-C0C0531D9317}"/>
    <cellStyle name="Normal 3 2 4 7 2" xfId="38868" xr:uid="{5E3F4D58-9959-4903-87E3-1AC579E23FF5}"/>
    <cellStyle name="Normal 3 2 4 8" xfId="19116" xr:uid="{813E202F-BD30-4581-9ABE-2197478B1FFF}"/>
    <cellStyle name="Normal 3 2 4 8 2" xfId="39455" xr:uid="{3FEB111C-ADBC-4E89-BFDB-9BB323404AE8}"/>
    <cellStyle name="Normal 3 2 4 9" xfId="22371" xr:uid="{8F4EA603-C0E0-4BBE-BDF2-1D426C377F21}"/>
    <cellStyle name="Normal 3 2 4 9 2" xfId="42706" xr:uid="{A4669D77-CEC9-4F14-BA55-8A7312480D7D}"/>
    <cellStyle name="Normal 3 2 5" xfId="5440" xr:uid="{A6415C59-6E7C-4F94-BDB2-9F38F11F261E}"/>
    <cellStyle name="Normal 3 2 5 10" xfId="12184" xr:uid="{1E0F0815-49CA-4C36-BA23-82D8C01711C8}"/>
    <cellStyle name="Normal 3 2 5 10 2" xfId="32525" xr:uid="{20961D09-21EC-4A17-B299-DB0178B21214}"/>
    <cellStyle name="Normal 3 2 5 11" xfId="8923" xr:uid="{E781F9DB-5A57-48B4-96AA-34055A7000F9}"/>
    <cellStyle name="Normal 3 2 5 11 2" xfId="29266" xr:uid="{F0ACCA0E-28C0-4D97-B733-4D7D0ACB84BA}"/>
    <cellStyle name="Normal 3 2 5 12" xfId="25772" xr:uid="{34136017-7EF4-416E-8C16-2F61032E794C}"/>
    <cellStyle name="Normal 3 2 5 13" xfId="46068" xr:uid="{F3BD9419-783C-4E20-B85D-487CFB02DFE9}"/>
    <cellStyle name="Normal 3 2 5 14" xfId="46554" xr:uid="{60960CC0-861F-48AE-977A-36C46D89E397}"/>
    <cellStyle name="Normal 3 2 5 15" xfId="47046" xr:uid="{B8D4A764-13D2-4E27-951E-323C5625C7AF}"/>
    <cellStyle name="Normal 3 2 5 2" xfId="6005" xr:uid="{736D2F63-7383-448B-B3D2-513BAFB00B49}"/>
    <cellStyle name="Normal 3 2 5 2 2" xfId="7163" xr:uid="{A7C9AA95-58C9-4775-8B09-22A0BB8A3528}"/>
    <cellStyle name="Normal 3 2 5 2 2 2" xfId="17449" xr:uid="{16412313-ABDE-41D4-AC57-7B6D310691D0}"/>
    <cellStyle name="Normal 3 2 5 2 2 2 2" xfId="37789" xr:uid="{4BB72DD2-2A97-4CD0-801C-13E99ABD7021}"/>
    <cellStyle name="Normal 3 2 5 2 2 3" xfId="20951" xr:uid="{EF8387CC-212D-4BF3-8677-C0D96DFFCE7B}"/>
    <cellStyle name="Normal 3 2 5 2 2 3 2" xfId="41290" xr:uid="{49CD42DA-95D6-4150-B8AB-9B984AD610F2}"/>
    <cellStyle name="Normal 3 2 5 2 2 4" xfId="24206" xr:uid="{363C8683-4393-4500-8E98-01E6C93904B6}"/>
    <cellStyle name="Normal 3 2 5 2 2 4 2" xfId="44541" xr:uid="{5F69BFB6-6B63-4E5D-B0CF-F39362886279}"/>
    <cellStyle name="Normal 3 2 5 2 2 5" xfId="14540" xr:uid="{8C78ADD5-1F7A-4FFD-9640-3637E70ACB74}"/>
    <cellStyle name="Normal 3 2 5 2 2 5 2" xfId="34881" xr:uid="{985057F5-C4A1-4AFA-AA85-15037A1EA44B}"/>
    <cellStyle name="Normal 3 2 5 2 2 6" xfId="10662" xr:uid="{6929279C-47E5-4B72-872E-2EE1E9934002}"/>
    <cellStyle name="Normal 3 2 5 2 2 6 2" xfId="31005" xr:uid="{E9B9410B-E46F-4F57-ABB5-1A650315D573}"/>
    <cellStyle name="Normal 3 2 5 2 2 7" xfId="27511" xr:uid="{11B15991-F15C-4D8A-ACF9-A10EEB516420}"/>
    <cellStyle name="Normal 3 2 5 2 3" xfId="16291" xr:uid="{B29DEDF0-4096-4C22-9ADC-80F3F82A7665}"/>
    <cellStyle name="Normal 3 2 5 2 3 2" xfId="36631" xr:uid="{57D47E56-2AF7-428D-B040-5C665E896AB6}"/>
    <cellStyle name="Normal 3 2 5 2 4" xfId="19793" xr:uid="{4FC3B949-04C1-4899-B9F9-909A2DE9549A}"/>
    <cellStyle name="Normal 3 2 5 2 4 2" xfId="40132" xr:uid="{CC3D3526-B11A-4BFA-A3AA-F3DBDD62715A}"/>
    <cellStyle name="Normal 3 2 5 2 5" xfId="23048" xr:uid="{81F10916-7612-47BF-8400-6617065862C1}"/>
    <cellStyle name="Normal 3 2 5 2 5 2" xfId="43383" xr:uid="{69C3BE82-8F13-4DBA-9D32-04045BE1A65B}"/>
    <cellStyle name="Normal 3 2 5 2 6" xfId="13382" xr:uid="{01AE235D-C849-4064-9992-BA82FFBCB575}"/>
    <cellStyle name="Normal 3 2 5 2 6 2" xfId="33723" xr:uid="{871455E9-4EF5-4009-86E7-AE780A25A584}"/>
    <cellStyle name="Normal 3 2 5 2 7" xfId="9504" xr:uid="{92639BEC-28F2-4A60-938B-7163BED2EF56}"/>
    <cellStyle name="Normal 3 2 5 2 7 2" xfId="29847" xr:uid="{1F365188-C661-4DED-8553-96653F26736A}"/>
    <cellStyle name="Normal 3 2 5 2 8" xfId="26353" xr:uid="{2EF1F1DE-C9DE-4846-A84F-D78B279CBEF8}"/>
    <cellStyle name="Normal 3 2 5 3" xfId="6582" xr:uid="{4F097728-E415-480D-A023-BB55C3BCE432}"/>
    <cellStyle name="Normal 3 2 5 3 2" xfId="16868" xr:uid="{0F678BEC-792E-49C7-8956-408568320EF3}"/>
    <cellStyle name="Normal 3 2 5 3 2 2" xfId="37208" xr:uid="{0BFFA1A5-63DB-42A8-8714-6453F0E738BC}"/>
    <cellStyle name="Normal 3 2 5 3 3" xfId="20370" xr:uid="{8F557693-E074-4E95-967A-099E14070B36}"/>
    <cellStyle name="Normal 3 2 5 3 3 2" xfId="40709" xr:uid="{A6B48E6A-7FC1-4765-A1BD-A968F7C5CABF}"/>
    <cellStyle name="Normal 3 2 5 3 4" xfId="23625" xr:uid="{63E81767-8B0B-43E5-AC1C-3260473A2E37}"/>
    <cellStyle name="Normal 3 2 5 3 4 2" xfId="43960" xr:uid="{B81F0170-C53E-4053-9613-3DAF755A55D5}"/>
    <cellStyle name="Normal 3 2 5 3 5" xfId="13959" xr:uid="{89A1B4EE-7ABD-4A9F-AF6D-AA6262C769E1}"/>
    <cellStyle name="Normal 3 2 5 3 5 2" xfId="34300" xr:uid="{02091418-BE94-466A-8DEB-EB0AFC110620}"/>
    <cellStyle name="Normal 3 2 5 3 6" xfId="10081" xr:uid="{92D1E0BC-9BA0-4D05-9F8F-575876E32B09}"/>
    <cellStyle name="Normal 3 2 5 3 6 2" xfId="30424" xr:uid="{7E7C9D0E-0914-4EEA-8510-D009DB5F87C2}"/>
    <cellStyle name="Normal 3 2 5 3 7" xfId="26930" xr:uid="{D3924513-BD85-4857-8DC2-E1DAD68F8473}"/>
    <cellStyle name="Normal 3 2 5 4" xfId="7746" xr:uid="{0D2C41FA-9E16-417E-AC9C-33F9724B3705}"/>
    <cellStyle name="Normal 3 2 5 4 2" xfId="18031" xr:uid="{C1BC2798-4429-44D0-8BB1-72ECBED240B4}"/>
    <cellStyle name="Normal 3 2 5 4 2 2" xfId="38371" xr:uid="{D6B2F033-E868-4134-9720-550A3BFDE224}"/>
    <cellStyle name="Normal 3 2 5 4 3" xfId="21533" xr:uid="{1F9BC8BB-9F17-464E-99C0-909599CEE89F}"/>
    <cellStyle name="Normal 3 2 5 4 3 2" xfId="41872" xr:uid="{FFD0FDBC-29B2-4B9A-A49F-93737C72EF6C}"/>
    <cellStyle name="Normal 3 2 5 4 4" xfId="24788" xr:uid="{2B56357F-C241-4A24-B760-82643B92F09C}"/>
    <cellStyle name="Normal 3 2 5 4 4 2" xfId="45123" xr:uid="{4C095D28-336C-4534-9482-CED131C462C2}"/>
    <cellStyle name="Normal 3 2 5 4 5" xfId="15123" xr:uid="{98CE63BF-9715-499B-88EC-538C0A291911}"/>
    <cellStyle name="Normal 3 2 5 4 5 2" xfId="35463" xr:uid="{46D1E60C-D780-49B6-A3CC-5D96B486B7E7}"/>
    <cellStyle name="Normal 3 2 5 4 6" xfId="11244" xr:uid="{590031F9-F533-4CDF-828A-C31D2972E44E}"/>
    <cellStyle name="Normal 3 2 5 4 6 2" xfId="31587" xr:uid="{DB924635-FFF2-4DA8-9316-6DB0EBF2BA92}"/>
    <cellStyle name="Normal 3 2 5 4 7" xfId="28093" xr:uid="{31B19B7E-AD59-40AE-9D7A-1B96A4DB3996}"/>
    <cellStyle name="Normal 3 2 5 5" xfId="12813" xr:uid="{326761E3-E3F9-4CC4-8D34-4C15EAD54D86}"/>
    <cellStyle name="Normal 3 2 5 5 2" xfId="33154" xr:uid="{062817B1-2109-472F-A4DB-7974C2873CDE}"/>
    <cellStyle name="Normal 3 2 5 6" xfId="15710" xr:uid="{199DC39D-FE57-48CA-AC6A-944FC0EF7048}"/>
    <cellStyle name="Normal 3 2 5 6 2" xfId="36050" xr:uid="{869635CD-B4E4-4170-964D-6751952E7AB8}"/>
    <cellStyle name="Normal 3 2 5 7" xfId="18624" xr:uid="{58AC9464-9EF1-45B2-A52C-1C99DA052FF5}"/>
    <cellStyle name="Normal 3 2 5 7 2" xfId="38964" xr:uid="{DB307AF9-F571-4E8D-BBCC-153D4D5146BA}"/>
    <cellStyle name="Normal 3 2 5 8" xfId="19212" xr:uid="{760D586A-9B87-48E3-AE26-199C506CD2CF}"/>
    <cellStyle name="Normal 3 2 5 8 2" xfId="39551" xr:uid="{CE73A449-A7C6-41AB-B490-7FAFC808D788}"/>
    <cellStyle name="Normal 3 2 5 9" xfId="22467" xr:uid="{DC17EF92-15BF-4D02-98A0-71CEF8EC9B47}"/>
    <cellStyle name="Normal 3 2 5 9 2" xfId="42802" xr:uid="{F7665194-3251-4EC2-BFFD-8E6441EC59E4}"/>
    <cellStyle name="Normal 3 2 6" xfId="5491" xr:uid="{BAB8AAF7-7773-4D86-8868-ADDAE5AF7239}"/>
    <cellStyle name="Normal 3 2 6 10" xfId="12242" xr:uid="{79CB6DCC-0D10-4005-A29B-C67E78CF9AA5}"/>
    <cellStyle name="Normal 3 2 6 10 2" xfId="32583" xr:uid="{64DEA06D-D8E7-449E-8AD7-E59DB2CCE9E5}"/>
    <cellStyle name="Normal 3 2 6 11" xfId="8981" xr:uid="{65FD6B53-97AA-484F-AD8D-20A7D0AC99CE}"/>
    <cellStyle name="Normal 3 2 6 11 2" xfId="29324" xr:uid="{4B9B1C5D-08CD-46C7-802D-AFBD17D278C5}"/>
    <cellStyle name="Normal 3 2 6 12" xfId="25830" xr:uid="{2B960D8B-F020-41A6-88C9-59245BB5DB9E}"/>
    <cellStyle name="Normal 3 2 6 2" xfId="6063" xr:uid="{69EC9E33-F4FA-481F-91D7-CEB1399F2278}"/>
    <cellStyle name="Normal 3 2 6 2 2" xfId="7221" xr:uid="{C3D6C1C4-379C-4624-9997-A7F6228FA54E}"/>
    <cellStyle name="Normal 3 2 6 2 2 2" xfId="17507" xr:uid="{CF39C25C-2A95-437B-ACBB-1931F688B6C2}"/>
    <cellStyle name="Normal 3 2 6 2 2 2 2" xfId="37847" xr:uid="{AF6D2BAE-55DD-4018-8253-59AE4D09BF7B}"/>
    <cellStyle name="Normal 3 2 6 2 2 3" xfId="21009" xr:uid="{FA2613C0-D4CE-419E-901F-64E1637F5112}"/>
    <cellStyle name="Normal 3 2 6 2 2 3 2" xfId="41348" xr:uid="{D71310A9-9FB3-4E81-84A8-56A3B30BA598}"/>
    <cellStyle name="Normal 3 2 6 2 2 4" xfId="24264" xr:uid="{FDA291AD-E72D-4352-890E-4E113C66DFAF}"/>
    <cellStyle name="Normal 3 2 6 2 2 4 2" xfId="44599" xr:uid="{14BF3320-BEB8-454C-A794-EA4463D5AD73}"/>
    <cellStyle name="Normal 3 2 6 2 2 5" xfId="14598" xr:uid="{C906157B-1549-44BD-810D-3C347D51A9D1}"/>
    <cellStyle name="Normal 3 2 6 2 2 5 2" xfId="34939" xr:uid="{4FF06913-1B4F-40CC-B416-6607554A6F91}"/>
    <cellStyle name="Normal 3 2 6 2 2 6" xfId="10720" xr:uid="{A8DFA2DB-93AE-4BE9-8661-F5442A25065C}"/>
    <cellStyle name="Normal 3 2 6 2 2 6 2" xfId="31063" xr:uid="{17AC5AF5-75B6-489A-AEC1-02060C665784}"/>
    <cellStyle name="Normal 3 2 6 2 2 7" xfId="27569" xr:uid="{3DE7A261-00DC-48F5-8096-09BBCDFAC1B8}"/>
    <cellStyle name="Normal 3 2 6 2 3" xfId="16349" xr:uid="{7B73CA1F-F973-4C24-B3BA-2235FB37EF21}"/>
    <cellStyle name="Normal 3 2 6 2 3 2" xfId="36689" xr:uid="{67A5875E-DE6A-4748-BBF6-D2665E4E00E6}"/>
    <cellStyle name="Normal 3 2 6 2 4" xfId="19851" xr:uid="{1393E276-86E0-4C43-BA25-CDA6321E5514}"/>
    <cellStyle name="Normal 3 2 6 2 4 2" xfId="40190" xr:uid="{25E77835-F146-4B4C-82ED-165CB554213A}"/>
    <cellStyle name="Normal 3 2 6 2 5" xfId="23106" xr:uid="{AE71E76F-518F-4226-B737-0D9230F0439A}"/>
    <cellStyle name="Normal 3 2 6 2 5 2" xfId="43441" xr:uid="{8E07ED4D-FF8B-4896-92A6-C33ACB89CA0A}"/>
    <cellStyle name="Normal 3 2 6 2 6" xfId="13440" xr:uid="{21F2847E-46F1-4F95-A566-CE1376366309}"/>
    <cellStyle name="Normal 3 2 6 2 6 2" xfId="33781" xr:uid="{30436318-AB54-4D72-84FE-3F06A620E2EC}"/>
    <cellStyle name="Normal 3 2 6 2 7" xfId="9562" xr:uid="{2B26BE26-A8CE-43DE-A9F5-CFD735B5715A}"/>
    <cellStyle name="Normal 3 2 6 2 7 2" xfId="29905" xr:uid="{3BA136FE-F71F-4427-88D6-05E233C4C8FE}"/>
    <cellStyle name="Normal 3 2 6 2 8" xfId="26411" xr:uid="{0EC48B3E-D3D2-4FBF-825C-F5E3C495E7E3}"/>
    <cellStyle name="Normal 3 2 6 3" xfId="6640" xr:uid="{6160F75F-086A-422A-A100-3355AE06771B}"/>
    <cellStyle name="Normal 3 2 6 3 2" xfId="16926" xr:uid="{5748118D-74B3-4686-8275-22CDB19543F6}"/>
    <cellStyle name="Normal 3 2 6 3 2 2" xfId="37266" xr:uid="{5381C2AB-FDED-439A-98FB-B241BBC47867}"/>
    <cellStyle name="Normal 3 2 6 3 3" xfId="20428" xr:uid="{1A8894C6-39D8-4CB2-8F30-01C933E036E3}"/>
    <cellStyle name="Normal 3 2 6 3 3 2" xfId="40767" xr:uid="{8309648F-C30A-4A1E-9753-01D660A3F162}"/>
    <cellStyle name="Normal 3 2 6 3 4" xfId="23683" xr:uid="{BFA0D1D6-44D1-44AF-BAB1-F000FEEEBEF9}"/>
    <cellStyle name="Normal 3 2 6 3 4 2" xfId="44018" xr:uid="{4580C810-162C-4D0C-84DB-D5362BAE809A}"/>
    <cellStyle name="Normal 3 2 6 3 5" xfId="14017" xr:uid="{B4A73487-3302-4DE6-A383-DAA96EBF2CA2}"/>
    <cellStyle name="Normal 3 2 6 3 5 2" xfId="34358" xr:uid="{FA7717D6-452C-4E8D-ADD1-7AC8E507BB85}"/>
    <cellStyle name="Normal 3 2 6 3 6" xfId="10139" xr:uid="{4DE7856D-E25C-47B2-B491-A1920774FEDE}"/>
    <cellStyle name="Normal 3 2 6 3 6 2" xfId="30482" xr:uid="{28E93E4C-516D-44F7-95B5-1B45654953BB}"/>
    <cellStyle name="Normal 3 2 6 3 7" xfId="26988" xr:uid="{204AAB63-4777-4B1E-A6E9-4B3FEF2E3A09}"/>
    <cellStyle name="Normal 3 2 6 4" xfId="7804" xr:uid="{4C23AD97-9FEC-4AEB-9E01-B3CD25C5EB2C}"/>
    <cellStyle name="Normal 3 2 6 4 2" xfId="18089" xr:uid="{7DC33703-1D1A-4D78-8AD0-48A9D59987EE}"/>
    <cellStyle name="Normal 3 2 6 4 2 2" xfId="38429" xr:uid="{904FBD29-FAE3-41F2-A340-A4C301F9DBFB}"/>
    <cellStyle name="Normal 3 2 6 4 3" xfId="21591" xr:uid="{56B69F21-5407-48DB-99A7-6D451804B13A}"/>
    <cellStyle name="Normal 3 2 6 4 3 2" xfId="41930" xr:uid="{78FA7544-80D5-40C6-A2BD-B19244F80BC9}"/>
    <cellStyle name="Normal 3 2 6 4 4" xfId="24846" xr:uid="{3E53F772-64C6-4367-B9E8-2482D89D6CB0}"/>
    <cellStyle name="Normal 3 2 6 4 4 2" xfId="45181" xr:uid="{C441E206-9E20-4432-AFF5-8BC2EE71BDE2}"/>
    <cellStyle name="Normal 3 2 6 4 5" xfId="15181" xr:uid="{A423B44E-80E5-435A-B3DD-FE14D91FB8F6}"/>
    <cellStyle name="Normal 3 2 6 4 5 2" xfId="35521" xr:uid="{0CF8DA22-32CA-43C1-B012-E18D1938021D}"/>
    <cellStyle name="Normal 3 2 6 4 6" xfId="11302" xr:uid="{6A228562-58BA-4A3F-9990-26B9C6E7E275}"/>
    <cellStyle name="Normal 3 2 6 4 6 2" xfId="31645" xr:uid="{7A6E16CC-8563-4387-9162-51AAD607281B}"/>
    <cellStyle name="Normal 3 2 6 4 7" xfId="28151" xr:uid="{8C797BEC-5005-4F99-9733-AD5A693EEEB3}"/>
    <cellStyle name="Normal 3 2 6 5" xfId="12871" xr:uid="{A704A121-3C48-4532-8083-B2FC679D713E}"/>
    <cellStyle name="Normal 3 2 6 5 2" xfId="33212" xr:uid="{4FC43848-422B-44A4-A641-CF61744F30DB}"/>
    <cellStyle name="Normal 3 2 6 6" xfId="15768" xr:uid="{3A017D51-5C78-49FC-B972-179EBBB11937}"/>
    <cellStyle name="Normal 3 2 6 6 2" xfId="36108" xr:uid="{5228953F-2C95-4078-B575-1B65DF1BFBAA}"/>
    <cellStyle name="Normal 3 2 6 7" xfId="18682" xr:uid="{5853E7B1-F61C-4776-9FFB-9467D579639A}"/>
    <cellStyle name="Normal 3 2 6 7 2" xfId="39022" xr:uid="{DE47379C-6A29-47F3-9183-0F883BB4D737}"/>
    <cellStyle name="Normal 3 2 6 8" xfId="19270" xr:uid="{84B40EE0-30B5-4558-9DCE-D6D6E07E453C}"/>
    <cellStyle name="Normal 3 2 6 8 2" xfId="39609" xr:uid="{4D74AE7C-CA78-4D04-BDA2-D9FB7B792CFD}"/>
    <cellStyle name="Normal 3 2 6 9" xfId="22525" xr:uid="{27B37F01-EB7E-4073-8641-24893D2F46A5}"/>
    <cellStyle name="Normal 3 2 6 9 2" xfId="42860" xr:uid="{536A2352-377E-45F9-B487-9B045D15C80D}"/>
    <cellStyle name="Normal 3 2 7" xfId="5566" xr:uid="{E3CB0B4A-98DE-4706-8A50-8AB88DD3399C}"/>
    <cellStyle name="Normal 3 2 7 10" xfId="12317" xr:uid="{BAA43431-A15E-4E71-86B5-125FE661661E}"/>
    <cellStyle name="Normal 3 2 7 10 2" xfId="32658" xr:uid="{7CDA12D8-AFD9-478C-92BF-C6ACCD1E613F}"/>
    <cellStyle name="Normal 3 2 7 11" xfId="9056" xr:uid="{C4EF28A8-85B2-4DE2-B00E-67894E7988A4}"/>
    <cellStyle name="Normal 3 2 7 11 2" xfId="29399" xr:uid="{7A42A595-8AD0-411D-80C2-CD21E254FADE}"/>
    <cellStyle name="Normal 3 2 7 12" xfId="25905" xr:uid="{8535A02D-B561-4EFD-8207-B1E1E15B255D}"/>
    <cellStyle name="Normal 3 2 7 2" xfId="6138" xr:uid="{3C58E3F0-5D54-44AC-8698-59BA0DD23AEB}"/>
    <cellStyle name="Normal 3 2 7 2 2" xfId="7296" xr:uid="{40020B9B-5710-479D-ACD4-243EA6FCA102}"/>
    <cellStyle name="Normal 3 2 7 2 2 2" xfId="17582" xr:uid="{747A51D1-D702-473C-A5A6-197BC557C2B9}"/>
    <cellStyle name="Normal 3 2 7 2 2 2 2" xfId="37922" xr:uid="{E8F0D375-F721-4C5A-ADEE-2E13C4B5FD83}"/>
    <cellStyle name="Normal 3 2 7 2 2 3" xfId="21084" xr:uid="{80031E80-17CC-408E-9B39-8BA511FEE1B9}"/>
    <cellStyle name="Normal 3 2 7 2 2 3 2" xfId="41423" xr:uid="{908FA534-FB3A-4ED3-ACF2-56962C1DF4B6}"/>
    <cellStyle name="Normal 3 2 7 2 2 4" xfId="24339" xr:uid="{779EDBBC-26CF-413E-9D7F-1C857E1B8B80}"/>
    <cellStyle name="Normal 3 2 7 2 2 4 2" xfId="44674" xr:uid="{5584B8A7-63C9-4BE6-869D-B4E7F47EE02F}"/>
    <cellStyle name="Normal 3 2 7 2 2 5" xfId="14673" xr:uid="{5633514E-1D08-40D9-AF97-5076709CDFE5}"/>
    <cellStyle name="Normal 3 2 7 2 2 5 2" xfId="35014" xr:uid="{C52B7184-0391-4BD4-86D0-A92E38F14A55}"/>
    <cellStyle name="Normal 3 2 7 2 2 6" xfId="10795" xr:uid="{AAECED0A-C60D-46BC-BABE-92E6D16A02B6}"/>
    <cellStyle name="Normal 3 2 7 2 2 6 2" xfId="31138" xr:uid="{17EF326F-0F46-4A66-BFE6-7845EAE00659}"/>
    <cellStyle name="Normal 3 2 7 2 2 7" xfId="27644" xr:uid="{F23B55AC-5AC0-4189-AE00-601C4763905F}"/>
    <cellStyle name="Normal 3 2 7 2 3" xfId="16424" xr:uid="{5F860585-28B2-4886-AC2B-D165C6B590D5}"/>
    <cellStyle name="Normal 3 2 7 2 3 2" xfId="36764" xr:uid="{926C6C5D-441E-49B7-98CD-F4F1FB53CB87}"/>
    <cellStyle name="Normal 3 2 7 2 4" xfId="19926" xr:uid="{6B0589CD-81D2-47E4-AD7C-F5EE7A043E6D}"/>
    <cellStyle name="Normal 3 2 7 2 4 2" xfId="40265" xr:uid="{579019F5-B304-4FF0-9F35-6FB786D5D741}"/>
    <cellStyle name="Normal 3 2 7 2 5" xfId="23181" xr:uid="{51811F3C-68D7-4ACE-B34A-9E2769596370}"/>
    <cellStyle name="Normal 3 2 7 2 5 2" xfId="43516" xr:uid="{72AAEBE8-5554-4651-AF3D-91C038BA6F4C}"/>
    <cellStyle name="Normal 3 2 7 2 6" xfId="13515" xr:uid="{05FBC300-500A-4715-9638-A16C2FFA4AFF}"/>
    <cellStyle name="Normal 3 2 7 2 6 2" xfId="33856" xr:uid="{180E5F3C-F902-4A64-8FE7-0DFAAEA06E9F}"/>
    <cellStyle name="Normal 3 2 7 2 7" xfId="9637" xr:uid="{38EE2741-6E94-4FFF-8087-4E8883D9C981}"/>
    <cellStyle name="Normal 3 2 7 2 7 2" xfId="29980" xr:uid="{F252B04C-7E73-464D-A17D-F4A5AB158DD4}"/>
    <cellStyle name="Normal 3 2 7 2 8" xfId="26486" xr:uid="{66ACB7C2-BD34-4C05-B96E-B8264FCE9424}"/>
    <cellStyle name="Normal 3 2 7 3" xfId="6715" xr:uid="{84EE6223-07FF-435C-92C7-3542DB020292}"/>
    <cellStyle name="Normal 3 2 7 3 2" xfId="17001" xr:uid="{A11C8DD1-4EC4-4E30-91CE-E95905CA39BE}"/>
    <cellStyle name="Normal 3 2 7 3 2 2" xfId="37341" xr:uid="{A1B4B12D-2853-4A2E-9C9E-67CC42C65314}"/>
    <cellStyle name="Normal 3 2 7 3 3" xfId="20503" xr:uid="{707A1CDF-A76D-498A-9726-CE5C6059FEBD}"/>
    <cellStyle name="Normal 3 2 7 3 3 2" xfId="40842" xr:uid="{24636FC3-3A74-4473-8A1F-0219F59C000B}"/>
    <cellStyle name="Normal 3 2 7 3 4" xfId="23758" xr:uid="{AB6B69B0-0C98-4320-9C9D-47AB1CB595D2}"/>
    <cellStyle name="Normal 3 2 7 3 4 2" xfId="44093" xr:uid="{DF01882D-8A62-4E4F-B542-AACD6E92441C}"/>
    <cellStyle name="Normal 3 2 7 3 5" xfId="14092" xr:uid="{FA08E0DA-D16E-4BD0-962F-1F87A8A957A3}"/>
    <cellStyle name="Normal 3 2 7 3 5 2" xfId="34433" xr:uid="{681B9120-2A2C-4DB7-9D7D-88944B151FC0}"/>
    <cellStyle name="Normal 3 2 7 3 6" xfId="10214" xr:uid="{1942D609-1EF1-4DB3-9889-5859695D5621}"/>
    <cellStyle name="Normal 3 2 7 3 6 2" xfId="30557" xr:uid="{04E4F0F7-80CF-4B5E-AE69-04E27AB4D4CF}"/>
    <cellStyle name="Normal 3 2 7 3 7" xfId="27063" xr:uid="{B739D6F1-24EF-4E58-8C9B-8E015B49151F}"/>
    <cellStyle name="Normal 3 2 7 4" xfId="7879" xr:uid="{CA31D36F-4CC2-4095-807E-CB67C36DEF82}"/>
    <cellStyle name="Normal 3 2 7 4 2" xfId="18164" xr:uid="{2B215BC4-447F-4715-AB84-EA3625CC6BF6}"/>
    <cellStyle name="Normal 3 2 7 4 2 2" xfId="38504" xr:uid="{D18E9EAE-6A82-45F0-A7D3-23942D8AE2DA}"/>
    <cellStyle name="Normal 3 2 7 4 3" xfId="21666" xr:uid="{AAA1318D-319E-4F1F-B486-98B0F07B8BD9}"/>
    <cellStyle name="Normal 3 2 7 4 3 2" xfId="42005" xr:uid="{A83ADA74-FA21-4874-BC58-592D0B9D97B3}"/>
    <cellStyle name="Normal 3 2 7 4 4" xfId="24921" xr:uid="{A7DA0878-BC98-40EE-8241-553B579E1173}"/>
    <cellStyle name="Normal 3 2 7 4 4 2" xfId="45256" xr:uid="{5E0832E8-7F79-4F6C-9641-1AE23777EFA9}"/>
    <cellStyle name="Normal 3 2 7 4 5" xfId="15256" xr:uid="{AC9D0364-BDC9-4962-9524-5DEEAEB6AFBC}"/>
    <cellStyle name="Normal 3 2 7 4 5 2" xfId="35596" xr:uid="{48F4DD55-1EE8-43A1-8BB8-A1126066AD50}"/>
    <cellStyle name="Normal 3 2 7 4 6" xfId="11377" xr:uid="{57BBADD1-9B35-42D5-88EC-44534FD8721C}"/>
    <cellStyle name="Normal 3 2 7 4 6 2" xfId="31720" xr:uid="{11DBFB2B-9FE5-46C8-A5D3-D43283A22A60}"/>
    <cellStyle name="Normal 3 2 7 4 7" xfId="28226" xr:uid="{5317A680-0170-4BD7-8B64-E8DE4D5B8758}"/>
    <cellStyle name="Normal 3 2 7 5" xfId="12946" xr:uid="{2A4F7028-494A-4564-ABFB-E45AD6BAAF0B}"/>
    <cellStyle name="Normal 3 2 7 5 2" xfId="33287" xr:uid="{309EF990-4399-4EBB-93A1-6EC7407DD1CC}"/>
    <cellStyle name="Normal 3 2 7 6" xfId="15843" xr:uid="{FADC6D15-49AB-4565-8FD6-1B7E48650278}"/>
    <cellStyle name="Normal 3 2 7 6 2" xfId="36183" xr:uid="{DCAA0500-E5C2-48BB-BCAD-2880EF8B9227}"/>
    <cellStyle name="Normal 3 2 7 7" xfId="18757" xr:uid="{98CDB28D-EA18-4113-A34E-FBD90927E91C}"/>
    <cellStyle name="Normal 3 2 7 7 2" xfId="39097" xr:uid="{B73E91A8-8EC2-4FA0-8469-55E1E2019CE4}"/>
    <cellStyle name="Normal 3 2 7 8" xfId="19345" xr:uid="{B421165D-ED39-4E4C-AE9A-C7BF6579AD3D}"/>
    <cellStyle name="Normal 3 2 7 8 2" xfId="39684" xr:uid="{B152C4D1-19A4-499F-AD8F-3D17BCE771F6}"/>
    <cellStyle name="Normal 3 2 7 9" xfId="22600" xr:uid="{B2274F84-D072-4C25-8CBF-FD857825F55F}"/>
    <cellStyle name="Normal 3 2 7 9 2" xfId="42935" xr:uid="{A8FD428B-C69A-49E1-A851-7E670469896D}"/>
    <cellStyle name="Normal 3 2 8" xfId="5664" xr:uid="{CF1F4236-C316-455A-AEEC-6FAC2D842FC7}"/>
    <cellStyle name="Normal 3 2 8 10" xfId="12415" xr:uid="{7FE43C44-6346-454A-8780-208D1459B7D2}"/>
    <cellStyle name="Normal 3 2 8 10 2" xfId="32756" xr:uid="{55358AE3-1BBF-4D15-9C38-F5352E1E47A1}"/>
    <cellStyle name="Normal 3 2 8 11" xfId="9154" xr:uid="{61A1F9F7-6A66-407D-9FF4-643DE7B6F02B}"/>
    <cellStyle name="Normal 3 2 8 11 2" xfId="29497" xr:uid="{740A12A6-59C0-493B-A80F-B339B1E351F3}"/>
    <cellStyle name="Normal 3 2 8 12" xfId="26003" xr:uid="{75A2B21A-C488-4794-B91E-F227F39EF681}"/>
    <cellStyle name="Normal 3 2 8 2" xfId="6236" xr:uid="{B2219922-EE76-42ED-B089-7D5886DEB7F6}"/>
    <cellStyle name="Normal 3 2 8 2 2" xfId="7394" xr:uid="{AB50A30E-43CB-4687-9C58-191F4624F5FF}"/>
    <cellStyle name="Normal 3 2 8 2 2 2" xfId="17680" xr:uid="{6760DBA2-C5C6-478B-BD45-336BAEB5FF02}"/>
    <cellStyle name="Normal 3 2 8 2 2 2 2" xfId="38020" xr:uid="{B7D98F7E-35D7-47AA-802D-E40AF3DAF0C8}"/>
    <cellStyle name="Normal 3 2 8 2 2 3" xfId="21182" xr:uid="{11E03237-683F-4DAE-A5B7-07EA9711F0E1}"/>
    <cellStyle name="Normal 3 2 8 2 2 3 2" xfId="41521" xr:uid="{8D63F5FD-0DCF-4756-8022-BACB9E8FE70F}"/>
    <cellStyle name="Normal 3 2 8 2 2 4" xfId="24437" xr:uid="{10ADA010-D2A2-47BB-B0B6-F492DBE75395}"/>
    <cellStyle name="Normal 3 2 8 2 2 4 2" xfId="44772" xr:uid="{B2AE254D-F2CB-48EB-B5A5-A2CF4418B47D}"/>
    <cellStyle name="Normal 3 2 8 2 2 5" xfId="14771" xr:uid="{90045599-F2FB-4963-82F1-695412B98AE7}"/>
    <cellStyle name="Normal 3 2 8 2 2 5 2" xfId="35112" xr:uid="{50CF0F71-09A2-4080-8953-C73CF493C9F9}"/>
    <cellStyle name="Normal 3 2 8 2 2 6" xfId="10893" xr:uid="{74AB1B48-C432-4304-8C57-02D6B5854608}"/>
    <cellStyle name="Normal 3 2 8 2 2 6 2" xfId="31236" xr:uid="{42B46D48-B25F-4553-8302-76FAD2CF3D8E}"/>
    <cellStyle name="Normal 3 2 8 2 2 7" xfId="27742" xr:uid="{DAF09DF6-3893-478B-80B9-9ED19BDC0E33}"/>
    <cellStyle name="Normal 3 2 8 2 3" xfId="16522" xr:uid="{D277C23F-38BA-4DC9-A987-7FD545534BAC}"/>
    <cellStyle name="Normal 3 2 8 2 3 2" xfId="36862" xr:uid="{240BA1FA-29DC-47D8-A52A-D83A18075AA0}"/>
    <cellStyle name="Normal 3 2 8 2 4" xfId="20024" xr:uid="{D809DC77-B0CB-42B6-83D6-602B1F8996B2}"/>
    <cellStyle name="Normal 3 2 8 2 4 2" xfId="40363" xr:uid="{078D5335-7159-498E-83DC-10222F514FBB}"/>
    <cellStyle name="Normal 3 2 8 2 5" xfId="23279" xr:uid="{E4B3834D-92E6-49B9-95FE-482C1F96DE85}"/>
    <cellStyle name="Normal 3 2 8 2 5 2" xfId="43614" xr:uid="{6DC6B773-B437-4F4A-B5AB-F2011915FC64}"/>
    <cellStyle name="Normal 3 2 8 2 6" xfId="13613" xr:uid="{C57F5B1B-73FB-456A-81A4-812156F76D9D}"/>
    <cellStyle name="Normal 3 2 8 2 6 2" xfId="33954" xr:uid="{0B8BC7E2-16FD-4400-B82C-862D92F220F8}"/>
    <cellStyle name="Normal 3 2 8 2 7" xfId="9735" xr:uid="{BD66293D-3CF1-45EB-B0D7-3605FF67F748}"/>
    <cellStyle name="Normal 3 2 8 2 7 2" xfId="30078" xr:uid="{49BBE13E-3353-4398-9C2D-F2CE06E74431}"/>
    <cellStyle name="Normal 3 2 8 2 8" xfId="26584" xr:uid="{3A53D64E-7F42-476C-B9A3-0A18408F8479}"/>
    <cellStyle name="Normal 3 2 8 3" xfId="6813" xr:uid="{DEA9B08A-9B49-45B7-94EC-AE641BB54523}"/>
    <cellStyle name="Normal 3 2 8 3 2" xfId="17099" xr:uid="{B23CB9F5-F8E2-4455-8C3D-BFDEB656D171}"/>
    <cellStyle name="Normal 3 2 8 3 2 2" xfId="37439" xr:uid="{1A7189DD-ED46-44D7-B131-AAC22258F019}"/>
    <cellStyle name="Normal 3 2 8 3 3" xfId="20601" xr:uid="{2825A207-AE74-4A82-8EF3-33AA2970A81A}"/>
    <cellStyle name="Normal 3 2 8 3 3 2" xfId="40940" xr:uid="{EA84A151-5DD1-4C82-957B-CF4C818ADDB0}"/>
    <cellStyle name="Normal 3 2 8 3 4" xfId="23856" xr:uid="{5C8EB210-EEB8-40D8-8CC3-A4B8990FD79B}"/>
    <cellStyle name="Normal 3 2 8 3 4 2" xfId="44191" xr:uid="{C2560BA8-B9EA-4AC2-ADE2-A8D8C7B24424}"/>
    <cellStyle name="Normal 3 2 8 3 5" xfId="14190" xr:uid="{3BBD4F8C-614A-4B60-98EF-E56DD7F11429}"/>
    <cellStyle name="Normal 3 2 8 3 5 2" xfId="34531" xr:uid="{45AFD708-4D33-4CED-92A6-1A70BCB3421C}"/>
    <cellStyle name="Normal 3 2 8 3 6" xfId="10312" xr:uid="{911E0B60-4554-4186-B040-93D4FE8EDDC7}"/>
    <cellStyle name="Normal 3 2 8 3 6 2" xfId="30655" xr:uid="{5E72D6F0-44E2-4D15-975C-5D6F8DBF483B}"/>
    <cellStyle name="Normal 3 2 8 3 7" xfId="27161" xr:uid="{31AFDE1D-1B27-4CFB-B9D5-254F724F03DE}"/>
    <cellStyle name="Normal 3 2 8 4" xfId="7977" xr:uid="{83A73B6F-7DC0-4373-9A2E-50C60B9041D4}"/>
    <cellStyle name="Normal 3 2 8 4 2" xfId="18262" xr:uid="{5E1AC1CF-6971-471D-8C5A-E8B69A3AFAB2}"/>
    <cellStyle name="Normal 3 2 8 4 2 2" xfId="38602" xr:uid="{C29CCB44-5424-41A9-9F63-100A1CE061DD}"/>
    <cellStyle name="Normal 3 2 8 4 3" xfId="21764" xr:uid="{A39B32EF-6B24-4CC8-AA8E-051A910AEA62}"/>
    <cellStyle name="Normal 3 2 8 4 3 2" xfId="42103" xr:uid="{8F505C31-8E30-4C90-9850-B0269943EEA5}"/>
    <cellStyle name="Normal 3 2 8 4 4" xfId="25019" xr:uid="{CC8976BC-0E5C-423F-9F8D-89D32220C0F7}"/>
    <cellStyle name="Normal 3 2 8 4 4 2" xfId="45354" xr:uid="{0526BBC5-2DF2-4071-846B-9BF4515377A9}"/>
    <cellStyle name="Normal 3 2 8 4 5" xfId="15354" xr:uid="{3C1BC91E-4BF0-429B-9DAB-D7496589140E}"/>
    <cellStyle name="Normal 3 2 8 4 5 2" xfId="35694" xr:uid="{4B32523C-4EF7-4A17-83DF-575F87B0860C}"/>
    <cellStyle name="Normal 3 2 8 4 6" xfId="11475" xr:uid="{5826F9B4-6956-4EB7-A193-A61F8D8798BA}"/>
    <cellStyle name="Normal 3 2 8 4 6 2" xfId="31818" xr:uid="{96D069ED-9BAF-438B-8A09-6F24757844E9}"/>
    <cellStyle name="Normal 3 2 8 4 7" xfId="28324" xr:uid="{50B70931-85D8-4E2A-B26F-4C8E811FF939}"/>
    <cellStyle name="Normal 3 2 8 5" xfId="13044" xr:uid="{82C94BBF-63BC-429B-BC00-D64207C5F1DA}"/>
    <cellStyle name="Normal 3 2 8 5 2" xfId="33385" xr:uid="{018BB78D-6BEE-48A2-B3B0-FAD83D72DBD1}"/>
    <cellStyle name="Normal 3 2 8 6" xfId="15941" xr:uid="{CFD73517-2AC5-4667-ADA8-B8098C893C78}"/>
    <cellStyle name="Normal 3 2 8 6 2" xfId="36281" xr:uid="{21781CCC-A6D1-4141-BFFD-E76E2BDBF14F}"/>
    <cellStyle name="Normal 3 2 8 7" xfId="18855" xr:uid="{E920C6F3-0BA9-4DFE-9CDC-3AD0F25E1FAB}"/>
    <cellStyle name="Normal 3 2 8 7 2" xfId="39195" xr:uid="{7763D516-2DD9-457A-9F78-A5297928F670}"/>
    <cellStyle name="Normal 3 2 8 8" xfId="19443" xr:uid="{5798345D-6EEA-438C-8649-2A4871FF67BE}"/>
    <cellStyle name="Normal 3 2 8 8 2" xfId="39782" xr:uid="{681804BB-6643-4D9F-A322-B1847398960B}"/>
    <cellStyle name="Normal 3 2 8 9" xfId="22698" xr:uid="{6FF0FFB7-68D4-4161-B9CE-F58FBCDAB838}"/>
    <cellStyle name="Normal 3 2 8 9 2" xfId="43033" xr:uid="{E055FDD2-BF38-44AA-BF23-D6365B0C6322}"/>
    <cellStyle name="Normal 3 2 9" xfId="5794" xr:uid="{24F86043-2A25-43F8-9A8B-7418FA34DF22}"/>
    <cellStyle name="Normal 3 2 9 2" xfId="6952" xr:uid="{8A90D376-E185-4B3B-AAB8-F72413108C4F}"/>
    <cellStyle name="Normal 3 2 9 2 2" xfId="17238" xr:uid="{8310AF16-FA15-4E1E-BEED-60B18AC4AE94}"/>
    <cellStyle name="Normal 3 2 9 2 2 2" xfId="37578" xr:uid="{E57B9F0E-C137-4423-A2E1-C22D210C50C3}"/>
    <cellStyle name="Normal 3 2 9 2 3" xfId="20740" xr:uid="{1C8B1A85-1A71-40DC-863B-67B091436654}"/>
    <cellStyle name="Normal 3 2 9 2 3 2" xfId="41079" xr:uid="{52CAF863-0F71-4945-8C42-1E66F24EE7D6}"/>
    <cellStyle name="Normal 3 2 9 2 4" xfId="23995" xr:uid="{D5122C50-2A5F-4AE9-8A9A-5D231238EE69}"/>
    <cellStyle name="Normal 3 2 9 2 4 2" xfId="44330" xr:uid="{8C41522C-985A-4E05-8203-6544E320F5B4}"/>
    <cellStyle name="Normal 3 2 9 2 5" xfId="14329" xr:uid="{383273A8-6601-406E-8F1C-C89D0E47F87E}"/>
    <cellStyle name="Normal 3 2 9 2 5 2" xfId="34670" xr:uid="{92BB670E-664A-41AC-8DF7-FBF430972F1A}"/>
    <cellStyle name="Normal 3 2 9 2 6" xfId="10451" xr:uid="{C780D186-E9FB-44AF-9960-7CF89DD76F43}"/>
    <cellStyle name="Normal 3 2 9 2 6 2" xfId="30794" xr:uid="{ED925D8E-4CE5-4D0B-8C2D-3E54054B6E71}"/>
    <cellStyle name="Normal 3 2 9 2 7" xfId="27300" xr:uid="{293BBF89-BDCF-4195-B637-34184DF73F28}"/>
    <cellStyle name="Normal 3 2 9 3" xfId="16080" xr:uid="{69E4490C-4943-49FB-ABFA-F243538F90B2}"/>
    <cellStyle name="Normal 3 2 9 3 2" xfId="36420" xr:uid="{E43FE6A5-9213-4C08-9443-7D05324246C4}"/>
    <cellStyle name="Normal 3 2 9 4" xfId="19582" xr:uid="{81349012-689D-4C34-8E30-5C4CB41DDD3E}"/>
    <cellStyle name="Normal 3 2 9 4 2" xfId="39921" xr:uid="{E9B2A11F-8A30-49AD-8A9A-F9BC713A6DD7}"/>
    <cellStyle name="Normal 3 2 9 5" xfId="22837" xr:uid="{186566D6-69C8-4A44-93A1-5660A4728C9F}"/>
    <cellStyle name="Normal 3 2 9 5 2" xfId="43172" xr:uid="{45CE1814-087E-4EEB-91ED-8F71BAC4285D}"/>
    <cellStyle name="Normal 3 2 9 6" xfId="13180" xr:uid="{D42C56E2-A834-4097-83D3-6E04CC42F539}"/>
    <cellStyle name="Normal 3 2 9 6 2" xfId="33521" xr:uid="{E9D100A0-4325-413F-A13C-55CC37EBE760}"/>
    <cellStyle name="Normal 3 2 9 7" xfId="9293" xr:uid="{3E086846-C577-400C-8159-DC8A68C660B2}"/>
    <cellStyle name="Normal 3 2 9 7 2" xfId="29636" xr:uid="{221AA974-5FE1-42BB-9749-A70EF3B061FD}"/>
    <cellStyle name="Normal 3 2 9 8" xfId="26142" xr:uid="{5A7E64DA-4366-4114-91E0-173104F902E1}"/>
    <cellStyle name="Normal 3 20" xfId="8687" xr:uid="{35686C40-80C6-44B4-BD40-5DF5A16E9D9B}"/>
    <cellStyle name="Normal 3 20 2" xfId="29030" xr:uid="{B08CF5F3-5B1C-43B7-A302-C030174AD779}"/>
    <cellStyle name="Normal 3 21" xfId="25532" xr:uid="{3AE42780-7806-41C8-8C06-A8F8F6D16728}"/>
    <cellStyle name="Normal 3 22" xfId="25518" xr:uid="{81D2B813-374F-4E74-AF72-99671603DAD3}"/>
    <cellStyle name="Normal 3 23" xfId="45812" xr:uid="{4D59DF2A-E94A-41DD-BECF-E7023B7F28F5}"/>
    <cellStyle name="Normal 3 24" xfId="46298" xr:uid="{2FB97EF2-FBC3-4AD1-8FF4-B141BD993416}"/>
    <cellStyle name="Normal 3 25" xfId="46790" xr:uid="{72BF2DA1-2BD8-492B-BBB0-9A0DAD9F9483}"/>
    <cellStyle name="Normal 3 3" xfId="115" xr:uid="{09424079-FB13-49A7-99C1-C5F93C306D4C}"/>
    <cellStyle name="Normal 3 3 10" xfId="5760" xr:uid="{7BE3915C-FCD8-4325-8FC1-5E67C549FBFD}"/>
    <cellStyle name="Normal 3 3 10 2" xfId="6917" xr:uid="{1185A305-3C5A-43C7-B60A-C091D7677C4D}"/>
    <cellStyle name="Normal 3 3 10 2 2" xfId="17203" xr:uid="{3CB88953-6CE1-43A1-AC80-AE0BB8F8345D}"/>
    <cellStyle name="Normal 3 3 10 2 2 2" xfId="37543" xr:uid="{317FAB05-EE20-4216-807C-ACAF55A027B0}"/>
    <cellStyle name="Normal 3 3 10 2 3" xfId="20705" xr:uid="{0C9353A9-DCB8-4794-8459-55FCB53F127A}"/>
    <cellStyle name="Normal 3 3 10 2 3 2" xfId="41044" xr:uid="{B1AA3092-AB5E-4FA5-BA1F-4F4242C20E75}"/>
    <cellStyle name="Normal 3 3 10 2 4" xfId="23960" xr:uid="{A6AD0C54-0D30-49E2-837B-0499A26C6936}"/>
    <cellStyle name="Normal 3 3 10 2 4 2" xfId="44295" xr:uid="{E36A880A-70C7-44F0-805D-8E8D859522DE}"/>
    <cellStyle name="Normal 3 3 10 2 5" xfId="14294" xr:uid="{86BB47E5-8FBC-44EC-832F-808DF746CA8B}"/>
    <cellStyle name="Normal 3 3 10 2 5 2" xfId="34635" xr:uid="{5B281E6B-6867-45B3-BC18-02E79FDA8781}"/>
    <cellStyle name="Normal 3 3 10 2 6" xfId="10416" xr:uid="{D7B1D211-1266-4311-B3CA-648282B61B4E}"/>
    <cellStyle name="Normal 3 3 10 2 6 2" xfId="30759" xr:uid="{A1C80D85-DC04-4FBA-9A17-930F3E986BF4}"/>
    <cellStyle name="Normal 3 3 10 2 7" xfId="27265" xr:uid="{222FA5AF-2A5C-4792-9105-F9C2219440AF}"/>
    <cellStyle name="Normal 3 3 10 3" xfId="16045" xr:uid="{397D02D0-AB89-4C46-A589-D0E02793460B}"/>
    <cellStyle name="Normal 3 3 10 3 2" xfId="36385" xr:uid="{C5850FA2-FFD8-4F92-A601-0395C74AEC19}"/>
    <cellStyle name="Normal 3 3 10 4" xfId="19547" xr:uid="{B580B5F4-97AF-44DA-ACC9-EE398A261FD9}"/>
    <cellStyle name="Normal 3 3 10 4 2" xfId="39886" xr:uid="{ED3C8B6D-9B5B-4175-912E-3D3A76A955B4}"/>
    <cellStyle name="Normal 3 3 10 5" xfId="22802" xr:uid="{F30B4304-2296-4565-961B-9D9CFFD875C1}"/>
    <cellStyle name="Normal 3 3 10 5 2" xfId="43137" xr:uid="{86C3B081-5AE2-4DF4-9C2A-FAF87AFBEFEB}"/>
    <cellStyle name="Normal 3 3 10 6" xfId="13148" xr:uid="{2FB697E7-110A-4554-A7CF-8AEC92F6AA53}"/>
    <cellStyle name="Normal 3 3 10 6 2" xfId="33489" xr:uid="{4C39D7E7-456D-47CD-87F8-362D232BE8E9}"/>
    <cellStyle name="Normal 3 3 10 7" xfId="9258" xr:uid="{5E6E0E09-6D34-45A3-9B58-871D7A95F9C5}"/>
    <cellStyle name="Normal 3 3 10 7 2" xfId="29601" xr:uid="{7198120F-2005-4FF8-90BB-64A7ED984E98}"/>
    <cellStyle name="Normal 3 3 10 8" xfId="26107" xr:uid="{B65DC2CC-218B-4797-B48D-8BC05EFF7C90}"/>
    <cellStyle name="Normal 3 3 11" xfId="6336" xr:uid="{F63930F2-A0ED-4B97-A80E-D96B6046BDE1}"/>
    <cellStyle name="Normal 3 3 11 2" xfId="16622" xr:uid="{76951802-1AC0-442E-97E5-F70B50E98451}"/>
    <cellStyle name="Normal 3 3 11 2 2" xfId="36962" xr:uid="{AAFD55FF-88A0-45DE-8222-2B72A862CC38}"/>
    <cellStyle name="Normal 3 3 11 3" xfId="20124" xr:uid="{2D4595CD-D0A1-494F-9191-8B41CC7B6995}"/>
    <cellStyle name="Normal 3 3 11 3 2" xfId="40463" xr:uid="{F09642FD-CE53-49C3-9473-D93FB99EE1FB}"/>
    <cellStyle name="Normal 3 3 11 4" xfId="23379" xr:uid="{3D4D9328-FBCE-4474-9A0D-7B5B26BAD27C}"/>
    <cellStyle name="Normal 3 3 11 4 2" xfId="43714" xr:uid="{09BE6680-1435-47ED-A6E9-81F7A7DBBB68}"/>
    <cellStyle name="Normal 3 3 11 5" xfId="13713" xr:uid="{D3CFB6C8-D50B-4EBB-BC71-F73A08FD7395}"/>
    <cellStyle name="Normal 3 3 11 5 2" xfId="34054" xr:uid="{D119474D-B0DF-414A-A037-343AAF491B1C}"/>
    <cellStyle name="Normal 3 3 11 6" xfId="9835" xr:uid="{CEBA21BC-E5D4-4A3A-A7A7-B5CF96813510}"/>
    <cellStyle name="Normal 3 3 11 6 2" xfId="30178" xr:uid="{312ECC7A-9E65-43E3-81E3-E96F01B4CA37}"/>
    <cellStyle name="Normal 3 3 11 7" xfId="26684" xr:uid="{48C80B50-F416-4D2E-8688-C2CC38927E79}"/>
    <cellStyle name="Normal 3 3 12" xfId="7500" xr:uid="{A3503B28-7A31-4A53-9A1F-0AF5B86E0A6F}"/>
    <cellStyle name="Normal 3 3 12 2" xfId="17785" xr:uid="{411E430B-8255-4B36-B568-A35A874D8F28}"/>
    <cellStyle name="Normal 3 3 12 2 2" xfId="38125" xr:uid="{E345DF5B-40CD-489E-AF8F-2131E22AD3BB}"/>
    <cellStyle name="Normal 3 3 12 3" xfId="21287" xr:uid="{0243796F-A465-4719-A5EB-8E59C63DB0E0}"/>
    <cellStyle name="Normal 3 3 12 3 2" xfId="41626" xr:uid="{BFC726DD-1C26-4961-ABEA-CD1E148CE7EA}"/>
    <cellStyle name="Normal 3 3 12 4" xfId="24542" xr:uid="{6899B6FC-A97A-464E-995E-7082F973DFB0}"/>
    <cellStyle name="Normal 3 3 12 4 2" xfId="44877" xr:uid="{60F83FC3-59CA-48FE-99E1-6F5E48B2CA3A}"/>
    <cellStyle name="Normal 3 3 12 5" xfId="14877" xr:uid="{FC2A1E7D-6C6B-4717-A25A-D23F753FA50C}"/>
    <cellStyle name="Normal 3 3 12 5 2" xfId="35217" xr:uid="{871E02AF-587E-40DC-97E4-88D4606D508B}"/>
    <cellStyle name="Normal 3 3 12 6" xfId="10998" xr:uid="{4F522BE3-1E0A-46A0-B584-CAADADD1693E}"/>
    <cellStyle name="Normal 3 3 12 6 2" xfId="31341" xr:uid="{8DECAB9B-0282-49A2-B363-4711EC6DD48D}"/>
    <cellStyle name="Normal 3 3 12 7" xfId="27847" xr:uid="{243A588A-D601-40E3-B3C8-491AA90FCFC5}"/>
    <cellStyle name="Normal 3 3 13" xfId="8099" xr:uid="{370D336B-52BD-4376-98F5-010C9AA4C498}"/>
    <cellStyle name="Normal 3 3 13 2" xfId="21886" xr:uid="{DBAA2FE6-5EC7-4DE9-8A43-411AFFD3E97C}"/>
    <cellStyle name="Normal 3 3 13 2 2" xfId="42222" xr:uid="{1E15E6BC-A39D-463A-A596-D120D15AF8F3}"/>
    <cellStyle name="Normal 3 3 13 3" xfId="25138" xr:uid="{F3FDFC55-949C-4D48-9CD8-F412F775C63A}"/>
    <cellStyle name="Normal 3 3 13 3 2" xfId="45473" xr:uid="{D9BF13F1-14B5-4769-870A-AE8DFF4B3660}"/>
    <cellStyle name="Normal 3 3 13 4" xfId="12580" xr:uid="{FFA00B60-A72B-4B92-8DC9-2A6B9595FADA}"/>
    <cellStyle name="Normal 3 3 13 4 2" xfId="32921" xr:uid="{5D0DCD7D-6533-41B8-B975-9E554BE216BE}"/>
    <cellStyle name="Normal 3 3 13 5" xfId="11595" xr:uid="{AE4EFADC-C821-49C5-B19D-D7AC92F08E46}"/>
    <cellStyle name="Normal 3 3 13 5 2" xfId="31937" xr:uid="{24C9A679-F7DA-4885-A3CE-47B5FF7CC5B7}"/>
    <cellStyle name="Normal 3 3 13 6" xfId="28443" xr:uid="{6CC36994-45FA-4AC7-8D4F-2B2F667315B5}"/>
    <cellStyle name="Normal 3 3 14" xfId="8465" xr:uid="{77557614-B9EB-4059-9B7E-D6200F7D4186}"/>
    <cellStyle name="Normal 3 3 14 2" xfId="15464" xr:uid="{3C494B63-F822-4A86-A88F-D009F85C4427}"/>
    <cellStyle name="Normal 3 3 14 2 2" xfId="35804" xr:uid="{29A6E36A-28F0-427C-A087-CD41AE7407EB}"/>
    <cellStyle name="Normal 3 3 14 3" xfId="28808" xr:uid="{57754EC0-AB57-4DD3-B127-1B1FBFC5384F}"/>
    <cellStyle name="Normal 3 3 15" xfId="18378" xr:uid="{BC16BA3A-C2EA-484B-B039-60C44C332DAA}"/>
    <cellStyle name="Normal 3 3 15 2" xfId="38718" xr:uid="{8B88EA69-8040-435F-8CDB-F8A0487A797C}"/>
    <cellStyle name="Normal 3 3 16" xfId="18966" xr:uid="{51077997-DEB9-4A75-AE72-C531DD23D2E4}"/>
    <cellStyle name="Normal 3 3 16 2" xfId="39305" xr:uid="{DC02EE10-FF18-4687-AB4E-BB313DF634FD}"/>
    <cellStyle name="Normal 3 3 17" xfId="22221" xr:uid="{ACDC81ED-A7A6-45A9-BBC4-37EAAF420E07}"/>
    <cellStyle name="Normal 3 3 17 2" xfId="42556" xr:uid="{79A60EB4-B16A-4B89-8CE9-A0CF2E766374}"/>
    <cellStyle name="Normal 3 3 18" xfId="11938" xr:uid="{2E0C6C0D-DCC7-445A-A3CB-C7B6BADB0385}"/>
    <cellStyle name="Normal 3 3 18 2" xfId="32279" xr:uid="{129B3B5C-4213-4F92-8EFE-614B03608855}"/>
    <cellStyle name="Normal 3 3 19" xfId="8677" xr:uid="{AFC5200A-6C28-4624-BA9A-71A2D28F88D4}"/>
    <cellStyle name="Normal 3 3 19 2" xfId="29020" xr:uid="{61ABFCE3-90CD-4E8C-8767-26BA96746CDC}"/>
    <cellStyle name="Normal 3 3 2" xfId="4840" xr:uid="{88C2CC1E-A406-46A4-8918-FAE32D2DDD66}"/>
    <cellStyle name="Normal 3 3 2 10" xfId="8525" xr:uid="{7AF891EB-64D2-4C29-808F-467D4A115DFC}"/>
    <cellStyle name="Normal 3 3 2 10 2" xfId="15471" xr:uid="{D285339D-CDFE-4A53-903B-E2DEF7D1755D}"/>
    <cellStyle name="Normal 3 3 2 10 2 2" xfId="35811" xr:uid="{23CB27C7-53B6-412C-B2D3-BC399EA0166C}"/>
    <cellStyle name="Normal 3 3 2 10 3" xfId="28868" xr:uid="{9F615ED8-29FE-460F-90BA-E3BF1BAC25A3}"/>
    <cellStyle name="Normal 3 3 2 11" xfId="18385" xr:uid="{09509400-A1B9-412A-BC85-11DDBF89D813}"/>
    <cellStyle name="Normal 3 3 2 11 2" xfId="38725" xr:uid="{CA8FF9A5-441F-4741-AD86-8FE475AE7E4B}"/>
    <cellStyle name="Normal 3 3 2 12" xfId="18973" xr:uid="{780AD3C7-872A-41A3-BBA2-B89542840DD9}"/>
    <cellStyle name="Normal 3 3 2 12 2" xfId="39312" xr:uid="{AFBE0DEA-74B9-4F45-B423-7EC4E8653BDD}"/>
    <cellStyle name="Normal 3 3 2 13" xfId="22228" xr:uid="{2BC5E4F2-5E79-426F-812C-BAB9A173D317}"/>
    <cellStyle name="Normal 3 3 2 13 2" xfId="42563" xr:uid="{2A9CA172-4EC9-44A0-8CD0-FA507C4675F2}"/>
    <cellStyle name="Normal 3 3 2 14" xfId="11945" xr:uid="{7776E4F4-1C98-406A-90BD-8277C246742B}"/>
    <cellStyle name="Normal 3 3 2 14 2" xfId="32286" xr:uid="{983974F2-0D1B-431C-97E0-28EEA39EA6A0}"/>
    <cellStyle name="Normal 3 3 2 15" xfId="8684" xr:uid="{43C43F20-A57B-4A95-9F4E-FC089540E1CC}"/>
    <cellStyle name="Normal 3 3 2 15 2" xfId="29027" xr:uid="{29EA936A-DE78-4E34-A840-F6EE5A42CE83}"/>
    <cellStyle name="Normal 3 3 2 16" xfId="25529" xr:uid="{B7B743A8-D030-4B2A-B3FC-C6B7A507ACDF}"/>
    <cellStyle name="Normal 3 3 2 17" xfId="45900" xr:uid="{F124662A-8C28-429C-985C-6CCE764E32A8}"/>
    <cellStyle name="Normal 3 3 2 18" xfId="46386" xr:uid="{C31A47ED-9562-4F74-B5D5-AACC0B5EBBFB}"/>
    <cellStyle name="Normal 3 3 2 19" xfId="46878" xr:uid="{D6A33C79-45AF-4042-B540-8FEFF1E859AB}"/>
    <cellStyle name="Normal 3 3 2 2" xfId="5049" xr:uid="{434338B9-64AD-4849-84B2-5D5A8CBF1BE8}"/>
    <cellStyle name="Normal 3 3 2 2 10" xfId="19046" xr:uid="{95D00A68-A174-4ABB-9DC4-0F0FE126D758}"/>
    <cellStyle name="Normal 3 3 2 2 10 2" xfId="39385" xr:uid="{310761B7-19DA-4BF3-86E2-E826903B5B78}"/>
    <cellStyle name="Normal 3 3 2 2 11" xfId="22301" xr:uid="{44C8AAC4-B976-42DE-B1F7-A99DD360AD52}"/>
    <cellStyle name="Normal 3 3 2 2 11 2" xfId="42636" xr:uid="{6DA8B38B-71C1-4D2B-9646-965883EBB2BB}"/>
    <cellStyle name="Normal 3 3 2 2 12" xfId="12018" xr:uid="{5AEDEE82-3EB1-4B42-9916-CAC2AEDFE42B}"/>
    <cellStyle name="Normal 3 3 2 2 12 2" xfId="32359" xr:uid="{CC62CFCA-B9A8-4036-B083-675DDC7F59EA}"/>
    <cellStyle name="Normal 3 3 2 2 13" xfId="8757" xr:uid="{B226CC1A-776E-437F-A146-B1A22ACA1580}"/>
    <cellStyle name="Normal 3 3 2 2 13 2" xfId="29100" xr:uid="{9DF66658-B6C6-425B-A0A4-796FAF90B709}"/>
    <cellStyle name="Normal 3 3 2 2 14" xfId="25602" xr:uid="{32BEF968-0D0F-4DED-95B7-38F3E76964C0}"/>
    <cellStyle name="Normal 3 3 2 2 15" xfId="45931" xr:uid="{8AB0CBBC-E55A-46E2-92FC-9FF93087382E}"/>
    <cellStyle name="Normal 3 3 2 2 16" xfId="46417" xr:uid="{8363DBA9-6B74-4824-9FCD-848BC0EA18FC}"/>
    <cellStyle name="Normal 3 3 2 2 17" xfId="46909" xr:uid="{FED27586-0AA8-45EC-A5F1-561713F6B5BB}"/>
    <cellStyle name="Normal 3 3 2 2 2" xfId="5390" xr:uid="{5845446A-F70F-46CA-B640-81DAD9D4D94F}"/>
    <cellStyle name="Normal 3 3 2 2 2 10" xfId="12133" xr:uid="{8FDA6106-E9A0-444C-89B9-2C4938A9D2B7}"/>
    <cellStyle name="Normal 3 3 2 2 2 10 2" xfId="32474" xr:uid="{E3CAEF89-5DFA-48F4-BF27-B6BEE0D60D48}"/>
    <cellStyle name="Normal 3 3 2 2 2 11" xfId="8872" xr:uid="{519A134F-28DE-4562-9AA4-222E02AE1DEE}"/>
    <cellStyle name="Normal 3 3 2 2 2 11 2" xfId="29215" xr:uid="{7734B91C-558F-4E5C-95DC-F947703625B6}"/>
    <cellStyle name="Normal 3 3 2 2 2 12" xfId="25721" xr:uid="{14C06638-D9F7-4290-A67A-E34077C5EC93}"/>
    <cellStyle name="Normal 3 3 2 2 2 13" xfId="46174" xr:uid="{A80AA1CF-A814-4824-973F-595FDD23B198}"/>
    <cellStyle name="Normal 3 3 2 2 2 14" xfId="46660" xr:uid="{FF67D8D6-B2B0-4C1F-B234-18EA04EAFD11}"/>
    <cellStyle name="Normal 3 3 2 2 2 15" xfId="47152" xr:uid="{59F5899B-597C-4131-A75C-F61E903A158D}"/>
    <cellStyle name="Normal 3 3 2 2 2 2" xfId="5954" xr:uid="{39C82F80-C02D-4470-A44A-42B00DE5717B}"/>
    <cellStyle name="Normal 3 3 2 2 2 2 2" xfId="7112" xr:uid="{6E18E1B6-6DA8-46E2-8D6A-6F271F0F143F}"/>
    <cellStyle name="Normal 3 3 2 2 2 2 2 2" xfId="17398" xr:uid="{48881B52-63FF-4587-B0A4-B4874751238E}"/>
    <cellStyle name="Normal 3 3 2 2 2 2 2 2 2" xfId="37738" xr:uid="{C4080BEE-2399-4008-B3A3-2CD7D9FACEA6}"/>
    <cellStyle name="Normal 3 3 2 2 2 2 2 3" xfId="20900" xr:uid="{A47E905A-D6BA-4A5C-815A-0415AD3D323B}"/>
    <cellStyle name="Normal 3 3 2 2 2 2 2 3 2" xfId="41239" xr:uid="{1F26C2DD-626E-46E6-8B75-E4CE2AA78AC6}"/>
    <cellStyle name="Normal 3 3 2 2 2 2 2 4" xfId="24155" xr:uid="{1C3D9331-2EDF-451D-AA66-9F0E528E977A}"/>
    <cellStyle name="Normal 3 3 2 2 2 2 2 4 2" xfId="44490" xr:uid="{7CA2F32B-E3EA-41D0-9324-1979C9ACC078}"/>
    <cellStyle name="Normal 3 3 2 2 2 2 2 5" xfId="14489" xr:uid="{D2B5C19D-ED1A-4EBC-8B69-8BB0D7D2431D}"/>
    <cellStyle name="Normal 3 3 2 2 2 2 2 5 2" xfId="34830" xr:uid="{4A1388B9-2803-42B4-8A48-0E81294B05F8}"/>
    <cellStyle name="Normal 3 3 2 2 2 2 2 6" xfId="10611" xr:uid="{622439B9-AD11-4CAF-BD85-5DCC5BB9F67D}"/>
    <cellStyle name="Normal 3 3 2 2 2 2 2 6 2" xfId="30954" xr:uid="{A91291F2-ACDF-4DD7-87B6-5E87CB803391}"/>
    <cellStyle name="Normal 3 3 2 2 2 2 2 7" xfId="27460" xr:uid="{6904D3DC-B469-4DE5-A362-CCDDBCAFF3C0}"/>
    <cellStyle name="Normal 3 3 2 2 2 2 3" xfId="16240" xr:uid="{9888070E-C151-4A99-8CB7-CF38E406CE4A}"/>
    <cellStyle name="Normal 3 3 2 2 2 2 3 2" xfId="36580" xr:uid="{D30206FC-6E0E-4620-B76E-F2745EFD7032}"/>
    <cellStyle name="Normal 3 3 2 2 2 2 4" xfId="19742" xr:uid="{4A6F3D89-5D17-4319-AC0D-C86CD0DBE59B}"/>
    <cellStyle name="Normal 3 3 2 2 2 2 4 2" xfId="40081" xr:uid="{B88E2A0E-9C9D-4D5F-AD42-3B3F9ECCF40F}"/>
    <cellStyle name="Normal 3 3 2 2 2 2 5" xfId="22997" xr:uid="{181285B8-FA3C-45E8-B428-37CCA1E61132}"/>
    <cellStyle name="Normal 3 3 2 2 2 2 5 2" xfId="43332" xr:uid="{031B1BFC-B152-429B-BC82-91AA4BE445A9}"/>
    <cellStyle name="Normal 3 3 2 2 2 2 6" xfId="13331" xr:uid="{52E0A116-D473-4F60-ACF2-81591F93CC90}"/>
    <cellStyle name="Normal 3 3 2 2 2 2 6 2" xfId="33672" xr:uid="{34F67094-8EB2-46F6-A2C8-8B0C46D152B1}"/>
    <cellStyle name="Normal 3 3 2 2 2 2 7" xfId="9453" xr:uid="{8047F569-AF73-467A-AEF6-A1C09C20590A}"/>
    <cellStyle name="Normal 3 3 2 2 2 2 7 2" xfId="29796" xr:uid="{F55D887C-6B75-4E34-A7B6-57FC7F1B4891}"/>
    <cellStyle name="Normal 3 3 2 2 2 2 8" xfId="26302" xr:uid="{87B8E932-206E-441F-8A70-DEC060DBBA42}"/>
    <cellStyle name="Normal 3 3 2 2 2 3" xfId="6531" xr:uid="{B922B024-E4E6-4C78-829D-401D66C009E9}"/>
    <cellStyle name="Normal 3 3 2 2 2 3 2" xfId="16817" xr:uid="{9972C6CF-07ED-4C12-873D-53D1C5236B18}"/>
    <cellStyle name="Normal 3 3 2 2 2 3 2 2" xfId="37157" xr:uid="{A1EF556A-3D07-4D7E-85C8-9F8232CF7C57}"/>
    <cellStyle name="Normal 3 3 2 2 2 3 3" xfId="20319" xr:uid="{5F312609-4EED-4343-9B71-95FC321D1EC1}"/>
    <cellStyle name="Normal 3 3 2 2 2 3 3 2" xfId="40658" xr:uid="{65468D43-0255-4FDE-84EB-E191EE4251CC}"/>
    <cellStyle name="Normal 3 3 2 2 2 3 4" xfId="23574" xr:uid="{D0253283-7E82-44E3-B451-28570F1DCF36}"/>
    <cellStyle name="Normal 3 3 2 2 2 3 4 2" xfId="43909" xr:uid="{0B9A71CE-01D8-4267-A9A1-00C93869801D}"/>
    <cellStyle name="Normal 3 3 2 2 2 3 5" xfId="13908" xr:uid="{FAF445C1-DC9C-48F4-8EC6-369AC518E452}"/>
    <cellStyle name="Normal 3 3 2 2 2 3 5 2" xfId="34249" xr:uid="{B909A2B5-22D0-4B86-ADBF-D57BE7BA3555}"/>
    <cellStyle name="Normal 3 3 2 2 2 3 6" xfId="10030" xr:uid="{267C96EA-F0A0-4F33-B7CE-445F0464A23C}"/>
    <cellStyle name="Normal 3 3 2 2 2 3 6 2" xfId="30373" xr:uid="{34AEA065-E5E8-4AE1-BD82-B0CD5C24F57F}"/>
    <cellStyle name="Normal 3 3 2 2 2 3 7" xfId="26879" xr:uid="{2234EF8F-6579-4E2A-BFF4-F0BFAFE67A8C}"/>
    <cellStyle name="Normal 3 3 2 2 2 4" xfId="7695" xr:uid="{A0CF4F81-D551-4929-BC99-5578942E5080}"/>
    <cellStyle name="Normal 3 3 2 2 2 4 2" xfId="17980" xr:uid="{CE80847E-034F-490D-B3DE-C50B31517685}"/>
    <cellStyle name="Normal 3 3 2 2 2 4 2 2" xfId="38320" xr:uid="{50067823-FC22-4040-858C-62BA4FAEC73C}"/>
    <cellStyle name="Normal 3 3 2 2 2 4 3" xfId="21482" xr:uid="{13ABAF52-DEAD-4BC5-893D-A4CA4930F03C}"/>
    <cellStyle name="Normal 3 3 2 2 2 4 3 2" xfId="41821" xr:uid="{FF063BE8-032A-45B5-9357-F9E38B7262B2}"/>
    <cellStyle name="Normal 3 3 2 2 2 4 4" xfId="24737" xr:uid="{2816740D-1265-416D-9843-6DD6B349638E}"/>
    <cellStyle name="Normal 3 3 2 2 2 4 4 2" xfId="45072" xr:uid="{D44F0128-1C93-4322-BA9B-C7AEC33AAABB}"/>
    <cellStyle name="Normal 3 3 2 2 2 4 5" xfId="15072" xr:uid="{11FF73EA-DC47-4034-A6DD-2A4F0CEE02C9}"/>
    <cellStyle name="Normal 3 3 2 2 2 4 5 2" xfId="35412" xr:uid="{10B12A87-7015-4241-9431-3C90A038C29D}"/>
    <cellStyle name="Normal 3 3 2 2 2 4 6" xfId="11193" xr:uid="{47C65358-AE9B-4C39-88D8-E98569210953}"/>
    <cellStyle name="Normal 3 3 2 2 2 4 6 2" xfId="31536" xr:uid="{FFF033F9-A14F-456B-9281-01127C559A72}"/>
    <cellStyle name="Normal 3 3 2 2 2 4 7" xfId="28042" xr:uid="{84A88E86-3A3D-4C37-AB16-13B150C5A579}"/>
    <cellStyle name="Normal 3 3 2 2 2 5" xfId="12762" xr:uid="{A409B09E-43C8-40A5-9898-6EA29007A933}"/>
    <cellStyle name="Normal 3 3 2 2 2 5 2" xfId="33103" xr:uid="{8528ED45-61AD-4D72-BFB7-1FAC1FCF7B97}"/>
    <cellStyle name="Normal 3 3 2 2 2 6" xfId="15659" xr:uid="{121300A9-CB21-466F-8ED4-9A62E6B1E40C}"/>
    <cellStyle name="Normal 3 3 2 2 2 6 2" xfId="35999" xr:uid="{0AD48EE1-96C7-4DEE-B902-B3D8C850FDFF}"/>
    <cellStyle name="Normal 3 3 2 2 2 7" xfId="18573" xr:uid="{52F5FA27-FBD3-4A41-BB75-89503D6D8A72}"/>
    <cellStyle name="Normal 3 3 2 2 2 7 2" xfId="38913" xr:uid="{95574DAD-7D34-420C-BDEF-13188CC621C8}"/>
    <cellStyle name="Normal 3 3 2 2 2 8" xfId="19161" xr:uid="{4D839369-3365-427A-B6BA-5057179535C2}"/>
    <cellStyle name="Normal 3 3 2 2 2 8 2" xfId="39500" xr:uid="{70CD9F78-A788-4DDB-B17D-1F6FFAD6675C}"/>
    <cellStyle name="Normal 3 3 2 2 2 9" xfId="22416" xr:uid="{8F7F5F4F-A4FD-49E0-B1E6-D3046A92F3FC}"/>
    <cellStyle name="Normal 3 3 2 2 2 9 2" xfId="42751" xr:uid="{D8359BB1-7A0C-42F9-88BA-9352ADEC2365}"/>
    <cellStyle name="Normal 3 3 2 2 3" xfId="5611" xr:uid="{D9D43CE1-81AB-487A-9B45-B205BFFD0CAE}"/>
    <cellStyle name="Normal 3 3 2 2 3 10" xfId="12362" xr:uid="{8FC8E8AC-93FF-4DFB-8C32-77C8AEC5B290}"/>
    <cellStyle name="Normal 3 3 2 2 3 10 2" xfId="32703" xr:uid="{6DAAE495-9FEE-4573-9951-E8331ABB9FA6}"/>
    <cellStyle name="Normal 3 3 2 2 3 11" xfId="9101" xr:uid="{8B186127-9CA8-4253-A22C-E47B687AEB3C}"/>
    <cellStyle name="Normal 3 3 2 2 3 11 2" xfId="29444" xr:uid="{4A9E932A-0D83-45E5-9964-7E5CBFB89302}"/>
    <cellStyle name="Normal 3 3 2 2 3 12" xfId="25950" xr:uid="{E4072337-162F-4729-8D9B-1E85B1267719}"/>
    <cellStyle name="Normal 3 3 2 2 3 2" xfId="6183" xr:uid="{56653467-D73E-4D36-9BB8-3280FF98147E}"/>
    <cellStyle name="Normal 3 3 2 2 3 2 2" xfId="7341" xr:uid="{424C303C-2BBE-4FC9-91EA-C3059680EAFF}"/>
    <cellStyle name="Normal 3 3 2 2 3 2 2 2" xfId="17627" xr:uid="{615BC296-4F09-47E3-84C9-75A3364D7434}"/>
    <cellStyle name="Normal 3 3 2 2 3 2 2 2 2" xfId="37967" xr:uid="{B8D3DAF1-1A8A-43DB-ABBD-8D8AFD511CEF}"/>
    <cellStyle name="Normal 3 3 2 2 3 2 2 3" xfId="21129" xr:uid="{6FF11DB5-33DC-412B-8C3A-EEFA29B59761}"/>
    <cellStyle name="Normal 3 3 2 2 3 2 2 3 2" xfId="41468" xr:uid="{1DF42F1F-DD37-468E-9638-CDB58BF35A9F}"/>
    <cellStyle name="Normal 3 3 2 2 3 2 2 4" xfId="24384" xr:uid="{40825C7B-48C1-4308-9F8A-FDBCBEF27323}"/>
    <cellStyle name="Normal 3 3 2 2 3 2 2 4 2" xfId="44719" xr:uid="{AE35EA8A-5B2E-4981-A146-C88E3B9B2606}"/>
    <cellStyle name="Normal 3 3 2 2 3 2 2 5" xfId="14718" xr:uid="{CAF7CB02-F3A2-4727-B37E-D57A7198A3E2}"/>
    <cellStyle name="Normal 3 3 2 2 3 2 2 5 2" xfId="35059" xr:uid="{6139F457-9FBF-4A30-8570-A575E4342703}"/>
    <cellStyle name="Normal 3 3 2 2 3 2 2 6" xfId="10840" xr:uid="{EAC4849C-CF9A-4800-86D6-ACC7EBBF9CE9}"/>
    <cellStyle name="Normal 3 3 2 2 3 2 2 6 2" xfId="31183" xr:uid="{305F6CB1-417F-40A9-938D-93E71EFFCD5C}"/>
    <cellStyle name="Normal 3 3 2 2 3 2 2 7" xfId="27689" xr:uid="{C2555161-D9F7-4C2F-B4BA-46217E765B4E}"/>
    <cellStyle name="Normal 3 3 2 2 3 2 3" xfId="16469" xr:uid="{6B0E73D4-10CA-4558-8228-99EF9DD951BA}"/>
    <cellStyle name="Normal 3 3 2 2 3 2 3 2" xfId="36809" xr:uid="{FC57B308-FD82-4C50-9B4C-8EAA09117FF0}"/>
    <cellStyle name="Normal 3 3 2 2 3 2 4" xfId="19971" xr:uid="{B4882459-14D4-4DA1-890A-88714B428EA5}"/>
    <cellStyle name="Normal 3 3 2 2 3 2 4 2" xfId="40310" xr:uid="{FA75FB6D-17F4-4182-9518-6C8996708CD3}"/>
    <cellStyle name="Normal 3 3 2 2 3 2 5" xfId="23226" xr:uid="{C9D315CA-C233-4BF7-8E3E-68B601B62F00}"/>
    <cellStyle name="Normal 3 3 2 2 3 2 5 2" xfId="43561" xr:uid="{681B105D-6844-4F8E-AC89-1D595B48EC51}"/>
    <cellStyle name="Normal 3 3 2 2 3 2 6" xfId="13560" xr:uid="{C9C8C292-24CE-4D2D-804E-933C026BACAB}"/>
    <cellStyle name="Normal 3 3 2 2 3 2 6 2" xfId="33901" xr:uid="{6C951648-7742-482C-93C7-CD175930A503}"/>
    <cellStyle name="Normal 3 3 2 2 3 2 7" xfId="9682" xr:uid="{83D86C93-6D95-4CED-B781-F713D9464B9C}"/>
    <cellStyle name="Normal 3 3 2 2 3 2 7 2" xfId="30025" xr:uid="{36AF9366-CDA0-450F-97ED-6AFF930AB277}"/>
    <cellStyle name="Normal 3 3 2 2 3 2 8" xfId="26531" xr:uid="{7EB6314A-29EB-41B0-9F2E-8A85BAC0C337}"/>
    <cellStyle name="Normal 3 3 2 2 3 3" xfId="6760" xr:uid="{5E18233E-1AE3-4B39-9B88-1EB1F7BC4610}"/>
    <cellStyle name="Normal 3 3 2 2 3 3 2" xfId="17046" xr:uid="{7AD3C0C2-191C-40D9-87E3-99DA2FB914F8}"/>
    <cellStyle name="Normal 3 3 2 2 3 3 2 2" xfId="37386" xr:uid="{9CEBCF55-C759-4EC6-9F54-D7DE41F1E3C8}"/>
    <cellStyle name="Normal 3 3 2 2 3 3 3" xfId="20548" xr:uid="{93A585E0-5E95-4D62-9717-403A81AB3AAF}"/>
    <cellStyle name="Normal 3 3 2 2 3 3 3 2" xfId="40887" xr:uid="{9FCBF03E-0C16-4FE6-B9ED-D49BEFE60F5E}"/>
    <cellStyle name="Normal 3 3 2 2 3 3 4" xfId="23803" xr:uid="{12E885FE-D79B-4450-A7B4-FCF2C4E7429B}"/>
    <cellStyle name="Normal 3 3 2 2 3 3 4 2" xfId="44138" xr:uid="{FEF5D00A-53C9-4603-9ECC-429E2FD9A560}"/>
    <cellStyle name="Normal 3 3 2 2 3 3 5" xfId="14137" xr:uid="{9566DE8C-2A85-4FA4-B104-EA7D2A45D81C}"/>
    <cellStyle name="Normal 3 3 2 2 3 3 5 2" xfId="34478" xr:uid="{3939F63C-085E-42C0-8D5C-760E5CB85D12}"/>
    <cellStyle name="Normal 3 3 2 2 3 3 6" xfId="10259" xr:uid="{44EE653D-50C1-4F06-805C-8341A19A4FE9}"/>
    <cellStyle name="Normal 3 3 2 2 3 3 6 2" xfId="30602" xr:uid="{533A0FA4-6E47-4DE8-865C-F523C7907E37}"/>
    <cellStyle name="Normal 3 3 2 2 3 3 7" xfId="27108" xr:uid="{69B13328-FEFD-4CCE-94A2-5B2B21D34EA0}"/>
    <cellStyle name="Normal 3 3 2 2 3 4" xfId="7924" xr:uid="{CA8F1D32-3F7F-4849-B8AE-CF003E3233EC}"/>
    <cellStyle name="Normal 3 3 2 2 3 4 2" xfId="18209" xr:uid="{6DC3B173-2809-49B0-81CF-FB4751ACC960}"/>
    <cellStyle name="Normal 3 3 2 2 3 4 2 2" xfId="38549" xr:uid="{983C1207-0784-42D5-99C7-004E66759A12}"/>
    <cellStyle name="Normal 3 3 2 2 3 4 3" xfId="21711" xr:uid="{2CE060A9-9BD3-44D2-9359-7B12FF9C5F39}"/>
    <cellStyle name="Normal 3 3 2 2 3 4 3 2" xfId="42050" xr:uid="{55F38B73-54C6-4D41-A5FE-87B7A5F13639}"/>
    <cellStyle name="Normal 3 3 2 2 3 4 4" xfId="24966" xr:uid="{389CF3AE-6E90-4374-9F84-8716344C7964}"/>
    <cellStyle name="Normal 3 3 2 2 3 4 4 2" xfId="45301" xr:uid="{38CD2E1C-586F-4D0B-9D3C-04595ED7D86B}"/>
    <cellStyle name="Normal 3 3 2 2 3 4 5" xfId="15301" xr:uid="{5F5FEA2D-272F-4AA2-95C9-DE07BB553506}"/>
    <cellStyle name="Normal 3 3 2 2 3 4 5 2" xfId="35641" xr:uid="{89C4CF6A-6F86-4BAB-A501-400085B68002}"/>
    <cellStyle name="Normal 3 3 2 2 3 4 6" xfId="11422" xr:uid="{A1F8C5B3-DBA1-4496-B17F-B0FDF3A23761}"/>
    <cellStyle name="Normal 3 3 2 2 3 4 6 2" xfId="31765" xr:uid="{1C1383C2-0F3E-4E31-9A2C-679D294481E6}"/>
    <cellStyle name="Normal 3 3 2 2 3 4 7" xfId="28271" xr:uid="{2093BEEA-C39B-40EB-85D7-4987B3D8CDC5}"/>
    <cellStyle name="Normal 3 3 2 2 3 5" xfId="12991" xr:uid="{49455580-B929-405B-A49F-B3B4BF07A84B}"/>
    <cellStyle name="Normal 3 3 2 2 3 5 2" xfId="33332" xr:uid="{B1977E1D-4C80-40A7-A8BB-9881AD0DD4C0}"/>
    <cellStyle name="Normal 3 3 2 2 3 6" xfId="15888" xr:uid="{1E517157-72CB-475C-9645-7D6A59E0E87B}"/>
    <cellStyle name="Normal 3 3 2 2 3 6 2" xfId="36228" xr:uid="{C9AF678F-A51E-4581-80A2-B8A8FE1D1812}"/>
    <cellStyle name="Normal 3 3 2 2 3 7" xfId="18802" xr:uid="{FADC6549-D8FE-4D71-B7E0-7180F09582E3}"/>
    <cellStyle name="Normal 3 3 2 2 3 7 2" xfId="39142" xr:uid="{DC6D044A-29AF-4A20-AC2E-ABE54ED686E0}"/>
    <cellStyle name="Normal 3 3 2 2 3 8" xfId="19390" xr:uid="{CB5390ED-6C77-4E45-BFA8-5A56A0E19F87}"/>
    <cellStyle name="Normal 3 3 2 2 3 8 2" xfId="39729" xr:uid="{9BE0D43B-3651-4477-8811-65FCFC75D6E2}"/>
    <cellStyle name="Normal 3 3 2 2 3 9" xfId="22645" xr:uid="{FEB6BC3C-6C3A-498E-95D3-EE9099012BF1}"/>
    <cellStyle name="Normal 3 3 2 2 3 9 2" xfId="42980" xr:uid="{BD38FD78-0694-4D20-BFD2-FBA5F38EAB51}"/>
    <cellStyle name="Normal 3 3 2 2 4" xfId="5839" xr:uid="{8B060208-DC6E-49C7-A46E-2FE28E00A1CB}"/>
    <cellStyle name="Normal 3 3 2 2 4 2" xfId="6997" xr:uid="{F5BCD741-1BAF-4452-9828-342325C557C5}"/>
    <cellStyle name="Normal 3 3 2 2 4 2 2" xfId="17283" xr:uid="{2F7A9D94-C785-45F7-BF76-4B59F70DAF30}"/>
    <cellStyle name="Normal 3 3 2 2 4 2 2 2" xfId="37623" xr:uid="{E284516F-C3F7-4310-A2D7-871AE6B66CC5}"/>
    <cellStyle name="Normal 3 3 2 2 4 2 3" xfId="20785" xr:uid="{2B0BB28F-8CAB-496B-9CBD-F0FAA73A2628}"/>
    <cellStyle name="Normal 3 3 2 2 4 2 3 2" xfId="41124" xr:uid="{FCF9F334-75B5-4A83-A08B-13756128F5AF}"/>
    <cellStyle name="Normal 3 3 2 2 4 2 4" xfId="24040" xr:uid="{9FB5D90E-497A-40BE-A7DD-CBE0CC8A40E8}"/>
    <cellStyle name="Normal 3 3 2 2 4 2 4 2" xfId="44375" xr:uid="{120E90EB-0D31-4DC0-9268-1F7DF29347A6}"/>
    <cellStyle name="Normal 3 3 2 2 4 2 5" xfId="14374" xr:uid="{194B2C4B-BD4D-4A58-BA8A-902488BBFCCB}"/>
    <cellStyle name="Normal 3 3 2 2 4 2 5 2" xfId="34715" xr:uid="{3925BEE2-D4CD-472A-9D47-174215220D95}"/>
    <cellStyle name="Normal 3 3 2 2 4 2 6" xfId="10496" xr:uid="{458A5684-A358-40C4-92BE-3F264783C347}"/>
    <cellStyle name="Normal 3 3 2 2 4 2 6 2" xfId="30839" xr:uid="{053A4219-5110-40C4-86A2-00C79EBFA7F0}"/>
    <cellStyle name="Normal 3 3 2 2 4 2 7" xfId="27345" xr:uid="{0F509277-457F-4084-B00F-9074009AFF0C}"/>
    <cellStyle name="Normal 3 3 2 2 4 3" xfId="16125" xr:uid="{9F37D8F8-449F-45D6-A3D5-F433228963A3}"/>
    <cellStyle name="Normal 3 3 2 2 4 3 2" xfId="36465" xr:uid="{DC1BEFA8-222B-4CB8-9A9A-E9C3316BEA54}"/>
    <cellStyle name="Normal 3 3 2 2 4 4" xfId="19627" xr:uid="{41145073-E743-4701-A78D-273CF18F6B97}"/>
    <cellStyle name="Normal 3 3 2 2 4 4 2" xfId="39966" xr:uid="{18690432-F8B0-4D4D-89EC-5C606C8B8CE4}"/>
    <cellStyle name="Normal 3 3 2 2 4 5" xfId="22882" xr:uid="{B230D274-463D-4C15-854D-434D80E68B79}"/>
    <cellStyle name="Normal 3 3 2 2 4 5 2" xfId="43217" xr:uid="{627BA756-16D4-4B67-9E46-2C1345A9A2BC}"/>
    <cellStyle name="Normal 3 3 2 2 4 6" xfId="13218" xr:uid="{EE655472-E015-433C-A82F-5939EF7E3135}"/>
    <cellStyle name="Normal 3 3 2 2 4 6 2" xfId="33559" xr:uid="{483FFB1A-00E7-4B48-89E2-10C91A5C6354}"/>
    <cellStyle name="Normal 3 3 2 2 4 7" xfId="9338" xr:uid="{3DE05D97-BD71-4BCC-8777-7E27C0CA281C}"/>
    <cellStyle name="Normal 3 3 2 2 4 7 2" xfId="29681" xr:uid="{7C1C2D72-6982-4F7E-99CD-D707B5EFAECE}"/>
    <cellStyle name="Normal 3 3 2 2 4 8" xfId="26187" xr:uid="{9A7C197F-D740-4747-AD4A-42BC4F5837B9}"/>
    <cellStyle name="Normal 3 3 2 2 5" xfId="6416" xr:uid="{919251B1-3EB6-421B-8936-057BD1223AAD}"/>
    <cellStyle name="Normal 3 3 2 2 5 2" xfId="16702" xr:uid="{21408E68-78B7-44F6-BE20-3153663CB2C2}"/>
    <cellStyle name="Normal 3 3 2 2 5 2 2" xfId="37042" xr:uid="{2B6FC925-ACD4-4868-AD05-09FAD6505C88}"/>
    <cellStyle name="Normal 3 3 2 2 5 3" xfId="20204" xr:uid="{649CF9AA-D845-4B5D-B889-B39F916AB232}"/>
    <cellStyle name="Normal 3 3 2 2 5 3 2" xfId="40543" xr:uid="{413C64E8-8E16-425E-A1C3-D5BCD40099BA}"/>
    <cellStyle name="Normal 3 3 2 2 5 4" xfId="23459" xr:uid="{2E3BA7E4-9521-42F7-AA79-93C8B8A0468C}"/>
    <cellStyle name="Normal 3 3 2 2 5 4 2" xfId="43794" xr:uid="{F704AB9C-12D0-43B8-BC84-E003121C7623}"/>
    <cellStyle name="Normal 3 3 2 2 5 5" xfId="13793" xr:uid="{1AB8EE39-00BA-426E-9BE7-E6275501DC97}"/>
    <cellStyle name="Normal 3 3 2 2 5 5 2" xfId="34134" xr:uid="{3E5DCD45-9B37-4676-98E6-27936CE41039}"/>
    <cellStyle name="Normal 3 3 2 2 5 6" xfId="9915" xr:uid="{16188215-21FD-4CAC-BFEE-062974B476B1}"/>
    <cellStyle name="Normal 3 3 2 2 5 6 2" xfId="30258" xr:uid="{06C3E79B-6192-4BCF-AFF7-B8CCEA7B86F1}"/>
    <cellStyle name="Normal 3 3 2 2 5 7" xfId="26764" xr:uid="{7BFA3C76-8AD2-40E9-A7F0-5D67B533017D}"/>
    <cellStyle name="Normal 3 3 2 2 6" xfId="7580" xr:uid="{C2CB5A32-0BAA-4E6A-97CB-112D9CD8AF81}"/>
    <cellStyle name="Normal 3 3 2 2 6 2" xfId="17865" xr:uid="{53374A57-124C-421F-B7CD-C85B2B986896}"/>
    <cellStyle name="Normal 3 3 2 2 6 2 2" xfId="38205" xr:uid="{FDA2184D-1DF1-4973-BC95-1CF7E6B35389}"/>
    <cellStyle name="Normal 3 3 2 2 6 3" xfId="21367" xr:uid="{43AE3AE3-D737-4E1C-9DE9-EC312D69F331}"/>
    <cellStyle name="Normal 3 3 2 2 6 3 2" xfId="41706" xr:uid="{B522D460-306D-499C-9B0F-4FAECAB6157A}"/>
    <cellStyle name="Normal 3 3 2 2 6 4" xfId="24622" xr:uid="{B0A54081-30A6-4A68-8289-3F8058A9412C}"/>
    <cellStyle name="Normal 3 3 2 2 6 4 2" xfId="44957" xr:uid="{617D6203-8E9B-4EE5-98C9-30B7244FF4D7}"/>
    <cellStyle name="Normal 3 3 2 2 6 5" xfId="14957" xr:uid="{340CE452-439B-4AC1-82C7-BA2B230F9F55}"/>
    <cellStyle name="Normal 3 3 2 2 6 5 2" xfId="35297" xr:uid="{A6840860-54A3-49B7-89D5-33CF14B810E9}"/>
    <cellStyle name="Normal 3 3 2 2 6 6" xfId="11078" xr:uid="{89AD7029-4B74-49C2-B698-8C0126F7AA35}"/>
    <cellStyle name="Normal 3 3 2 2 6 6 2" xfId="31421" xr:uid="{BC8DF281-5F21-4134-98B5-216151EDD3E2}"/>
    <cellStyle name="Normal 3 3 2 2 6 7" xfId="27927" xr:uid="{3482E04D-9D12-4CA7-82AD-34B74178D032}"/>
    <cellStyle name="Normal 3 3 2 2 7" xfId="8101" xr:uid="{57F27B8E-6E15-435A-B4B1-35BD098BCADB}"/>
    <cellStyle name="Normal 3 3 2 2 7 2" xfId="21888" xr:uid="{21993CB6-AB0E-416A-808A-E3111F6080C3}"/>
    <cellStyle name="Normal 3 3 2 2 7 2 2" xfId="42224" xr:uid="{388664A5-7846-45D0-80E0-EA0413463C62}"/>
    <cellStyle name="Normal 3 3 2 2 7 3" xfId="25140" xr:uid="{DFD99A27-A39B-47B4-B441-5E951DEA5FBA}"/>
    <cellStyle name="Normal 3 3 2 2 7 3 2" xfId="45475" xr:uid="{5D86FB56-2C5D-45FC-9890-7237EB914687}"/>
    <cellStyle name="Normal 3 3 2 2 7 4" xfId="12649" xr:uid="{0C16380D-5A42-4C38-9ADC-BBBF538CF601}"/>
    <cellStyle name="Normal 3 3 2 2 7 4 2" xfId="32990" xr:uid="{A20E8532-7EDA-4C95-9137-104A50BF2D19}"/>
    <cellStyle name="Normal 3 3 2 2 7 5" xfId="11597" xr:uid="{026448EA-097B-487D-AA88-4420DC06F09E}"/>
    <cellStyle name="Normal 3 3 2 2 7 5 2" xfId="31939" xr:uid="{AE5D81B1-5C9E-4895-B395-6D7537B51D56}"/>
    <cellStyle name="Normal 3 3 2 2 7 6" xfId="28445" xr:uid="{506AFB21-DDBC-4E41-B499-65A5E0CFD0D2}"/>
    <cellStyle name="Normal 3 3 2 2 8" xfId="8556" xr:uid="{9DB8E240-7A0F-489A-9B2F-80773CD1B13B}"/>
    <cellStyle name="Normal 3 3 2 2 8 2" xfId="15544" xr:uid="{99A1F325-9E62-4F45-B104-1CF091975828}"/>
    <cellStyle name="Normal 3 3 2 2 8 2 2" xfId="35884" xr:uid="{E8C84697-36E1-4E73-9B36-3B250F921FFC}"/>
    <cellStyle name="Normal 3 3 2 2 8 3" xfId="28899" xr:uid="{971A744E-603D-4BB8-96D7-976963DF2210}"/>
    <cellStyle name="Normal 3 3 2 2 9" xfId="18458" xr:uid="{22FECD88-C083-4EC2-88FE-96D07F4D1C50}"/>
    <cellStyle name="Normal 3 3 2 2 9 2" xfId="38798" xr:uid="{163A9915-209E-46B8-A28E-2D74A8E27C42}"/>
    <cellStyle name="Normal 3 3 2 3" xfId="5330" xr:uid="{A5C0D1BA-32C1-41C2-B15B-E931847438F2}"/>
    <cellStyle name="Normal 3 3 2 3 10" xfId="12060" xr:uid="{B034753B-267A-4C46-8562-F1386FF72180}"/>
    <cellStyle name="Normal 3 3 2 3 10 2" xfId="32401" xr:uid="{FD7717D1-AC11-4CF0-9FA2-8F9BA2A8B53A}"/>
    <cellStyle name="Normal 3 3 2 3 11" xfId="8799" xr:uid="{82F94007-5E24-4ECD-8F91-D36BD22F32AF}"/>
    <cellStyle name="Normal 3 3 2 3 11 2" xfId="29142" xr:uid="{D3308356-5762-4F36-B039-1ECEB631BED0}"/>
    <cellStyle name="Normal 3 3 2 3 12" xfId="25648" xr:uid="{3DBFCF39-D7B5-43D7-8C9F-217751027D03}"/>
    <cellStyle name="Normal 3 3 2 3 13" xfId="46143" xr:uid="{81D090F0-2B1E-4A3F-B359-7B54892A7E49}"/>
    <cellStyle name="Normal 3 3 2 3 14" xfId="46629" xr:uid="{3A66757B-BFB6-4B8B-84D1-382BD902F4A5}"/>
    <cellStyle name="Normal 3 3 2 3 15" xfId="47121" xr:uid="{C94944F1-F73D-4F12-A6BC-00CE4C572537}"/>
    <cellStyle name="Normal 3 3 2 3 2" xfId="5881" xr:uid="{AF47DB92-83C2-480E-8BFF-B1AEF175BA81}"/>
    <cellStyle name="Normal 3 3 2 3 2 2" xfId="7039" xr:uid="{C55D6CCE-03F9-40AE-8F69-27435F074D3F}"/>
    <cellStyle name="Normal 3 3 2 3 2 2 2" xfId="17325" xr:uid="{0CCF207F-ED94-4031-B223-F124B7D5C38B}"/>
    <cellStyle name="Normal 3 3 2 3 2 2 2 2" xfId="37665" xr:uid="{1CA8A2D0-E838-4872-BE3C-7DFA19C99B57}"/>
    <cellStyle name="Normal 3 3 2 3 2 2 3" xfId="20827" xr:uid="{B7E9C2BC-8946-4F9C-8C56-1865C4E68775}"/>
    <cellStyle name="Normal 3 3 2 3 2 2 3 2" xfId="41166" xr:uid="{2B41D7D9-1AEB-4707-A3B4-97E0D1F781D7}"/>
    <cellStyle name="Normal 3 3 2 3 2 2 4" xfId="24082" xr:uid="{EE79899D-0D8D-4308-AACD-FD762463421F}"/>
    <cellStyle name="Normal 3 3 2 3 2 2 4 2" xfId="44417" xr:uid="{E2D65769-33DC-4EF7-B312-8D9089D3F556}"/>
    <cellStyle name="Normal 3 3 2 3 2 2 5" xfId="14416" xr:uid="{B146FAB6-0AEA-4F57-B6DA-F2F71AFC6E0B}"/>
    <cellStyle name="Normal 3 3 2 3 2 2 5 2" xfId="34757" xr:uid="{299A5441-C458-4105-8AA2-24109FEA2F05}"/>
    <cellStyle name="Normal 3 3 2 3 2 2 6" xfId="10538" xr:uid="{5F51A30D-B694-4A43-97BD-D14EA0D768DD}"/>
    <cellStyle name="Normal 3 3 2 3 2 2 6 2" xfId="30881" xr:uid="{00673979-4DD8-4007-9E53-9F165BDA5EEA}"/>
    <cellStyle name="Normal 3 3 2 3 2 2 7" xfId="27387" xr:uid="{51904EFF-8773-4609-BF42-7ABB53E32754}"/>
    <cellStyle name="Normal 3 3 2 3 2 3" xfId="16167" xr:uid="{430670B4-F1B6-4942-8934-921B9CAA7225}"/>
    <cellStyle name="Normal 3 3 2 3 2 3 2" xfId="36507" xr:uid="{6C83DF06-CD94-4A77-AA8E-3D4EAE9A1124}"/>
    <cellStyle name="Normal 3 3 2 3 2 4" xfId="19669" xr:uid="{7596D8A1-99EB-48AC-8316-2CD7780C4F20}"/>
    <cellStyle name="Normal 3 3 2 3 2 4 2" xfId="40008" xr:uid="{50005244-794B-40BA-A096-5D5051B90229}"/>
    <cellStyle name="Normal 3 3 2 3 2 5" xfId="22924" xr:uid="{F2732A2E-EEBE-453C-BAA6-F84E9A418CD3}"/>
    <cellStyle name="Normal 3 3 2 3 2 5 2" xfId="43259" xr:uid="{F95D233F-BE76-47EB-A82D-F9E888DD66D1}"/>
    <cellStyle name="Normal 3 3 2 3 2 6" xfId="13260" xr:uid="{6B535D36-AE0B-43F9-9ACE-B2D953761628}"/>
    <cellStyle name="Normal 3 3 2 3 2 6 2" xfId="33601" xr:uid="{6BBBA792-9B8F-476A-BADC-1B61D38A33F6}"/>
    <cellStyle name="Normal 3 3 2 3 2 7" xfId="9380" xr:uid="{4D64792A-6EB3-4FE0-A76C-5A5872C39217}"/>
    <cellStyle name="Normal 3 3 2 3 2 7 2" xfId="29723" xr:uid="{E2ECA29B-0D5D-4D8C-A179-AE8298F1B558}"/>
    <cellStyle name="Normal 3 3 2 3 2 8" xfId="26229" xr:uid="{A38147DC-4F5A-4473-8D45-50253AE48585}"/>
    <cellStyle name="Normal 3 3 2 3 3" xfId="6458" xr:uid="{DF79C018-7332-434F-8FBB-C89057240A32}"/>
    <cellStyle name="Normal 3 3 2 3 3 2" xfId="16744" xr:uid="{92CBA4D3-6047-4D1B-B150-690A44337A09}"/>
    <cellStyle name="Normal 3 3 2 3 3 2 2" xfId="37084" xr:uid="{D05FA757-4BFA-4FD9-92A6-DB7F502A63C7}"/>
    <cellStyle name="Normal 3 3 2 3 3 3" xfId="20246" xr:uid="{39E4E1AE-CCE2-4C29-ABFF-1852EE9872EF}"/>
    <cellStyle name="Normal 3 3 2 3 3 3 2" xfId="40585" xr:uid="{1D2D941B-7E0C-40F4-BEB6-38BF27FD93A2}"/>
    <cellStyle name="Normal 3 3 2 3 3 4" xfId="23501" xr:uid="{91E2423C-4C37-4561-8133-9A74C1728C9B}"/>
    <cellStyle name="Normal 3 3 2 3 3 4 2" xfId="43836" xr:uid="{63E3DA26-FF7A-4E3D-919F-0688BFA95072}"/>
    <cellStyle name="Normal 3 3 2 3 3 5" xfId="13835" xr:uid="{37BE4ECB-AC0B-4328-ABEA-3B9BA7572FDB}"/>
    <cellStyle name="Normal 3 3 2 3 3 5 2" xfId="34176" xr:uid="{AB78171E-5D94-44D7-9C66-9A130CB5B1D9}"/>
    <cellStyle name="Normal 3 3 2 3 3 6" xfId="9957" xr:uid="{2BC895BF-3A44-4418-BF7D-8E1AD44E37E0}"/>
    <cellStyle name="Normal 3 3 2 3 3 6 2" xfId="30300" xr:uid="{87E9BB3D-2A52-4EA4-A386-49362DC6563C}"/>
    <cellStyle name="Normal 3 3 2 3 3 7" xfId="26806" xr:uid="{2361EE43-89DA-440D-AF85-0D18DAA26698}"/>
    <cellStyle name="Normal 3 3 2 3 4" xfId="7622" xr:uid="{BA67B376-07A1-4E37-8FDA-65920E1D97AB}"/>
    <cellStyle name="Normal 3 3 2 3 4 2" xfId="17907" xr:uid="{8C56C1FB-A669-41A7-B9E9-152BC3E43A0E}"/>
    <cellStyle name="Normal 3 3 2 3 4 2 2" xfId="38247" xr:uid="{A296B4E3-A0B6-43E8-9686-0ADD2F005079}"/>
    <cellStyle name="Normal 3 3 2 3 4 3" xfId="21409" xr:uid="{9B9947EA-5BA2-4535-B91C-09846AF6ACD6}"/>
    <cellStyle name="Normal 3 3 2 3 4 3 2" xfId="41748" xr:uid="{8AE4852D-043E-42DA-84EC-8A591682C37F}"/>
    <cellStyle name="Normal 3 3 2 3 4 4" xfId="24664" xr:uid="{4164EE19-DF06-4794-83E3-208D7BEEB11E}"/>
    <cellStyle name="Normal 3 3 2 3 4 4 2" xfId="44999" xr:uid="{BAE7505E-C4DC-4DF9-9A0C-34A9F7426E2E}"/>
    <cellStyle name="Normal 3 3 2 3 4 5" xfId="14999" xr:uid="{1AA66144-D455-4696-A943-0DD7BDE8080C}"/>
    <cellStyle name="Normal 3 3 2 3 4 5 2" xfId="35339" xr:uid="{7BE65132-630C-408F-AD48-294C4C3DC90C}"/>
    <cellStyle name="Normal 3 3 2 3 4 6" xfId="11120" xr:uid="{353F9727-3025-4CDD-89D4-5E0503DCDCAA}"/>
    <cellStyle name="Normal 3 3 2 3 4 6 2" xfId="31463" xr:uid="{F3D71001-CC1E-45CE-AB66-DCA6D03466AE}"/>
    <cellStyle name="Normal 3 3 2 3 4 7" xfId="27969" xr:uid="{FC22C97A-F7C3-4B0D-AC8A-C25AEF5FA194}"/>
    <cellStyle name="Normal 3 3 2 3 5" xfId="12691" xr:uid="{39A8FFAB-F826-4B10-B819-866650627B6F}"/>
    <cellStyle name="Normal 3 3 2 3 5 2" xfId="33032" xr:uid="{1EFFD1B2-AE9D-4DD9-9B65-0A72E9F7E7B4}"/>
    <cellStyle name="Normal 3 3 2 3 6" xfId="15586" xr:uid="{FAFCFB92-DDCE-4A2D-95D6-4AD0B2B19F60}"/>
    <cellStyle name="Normal 3 3 2 3 6 2" xfId="35926" xr:uid="{2BDFFF61-2ECA-4C2F-AA17-E36D40C2222C}"/>
    <cellStyle name="Normal 3 3 2 3 7" xfId="18500" xr:uid="{3C99D36D-5E3F-4C37-AD9D-484F3FC98AE2}"/>
    <cellStyle name="Normal 3 3 2 3 7 2" xfId="38840" xr:uid="{CCC039EC-F226-4EBE-8D1C-9E2CA829BE5A}"/>
    <cellStyle name="Normal 3 3 2 3 8" xfId="19088" xr:uid="{D20102D9-62E7-4F3F-B113-8D76CD15863A}"/>
    <cellStyle name="Normal 3 3 2 3 8 2" xfId="39427" xr:uid="{3AC45D36-5EE3-4566-AD47-8154B06BB381}"/>
    <cellStyle name="Normal 3 3 2 3 9" xfId="22343" xr:uid="{E5E70507-1A1C-4C13-ACA1-FF061FDF6BB2}"/>
    <cellStyle name="Normal 3 3 2 3 9 2" xfId="42678" xr:uid="{38BC9DFE-3E34-4D2D-8344-EC7801EC69A6}"/>
    <cellStyle name="Normal 3 3 2 4" xfId="5538" xr:uid="{33E88732-50BC-473C-9D70-001CD44EB781}"/>
    <cellStyle name="Normal 3 3 2 4 10" xfId="12289" xr:uid="{51746F24-940B-4899-8A21-76E3FA3058B9}"/>
    <cellStyle name="Normal 3 3 2 4 10 2" xfId="32630" xr:uid="{E36B1B3D-8230-4F58-847A-5DCE6FB7B582}"/>
    <cellStyle name="Normal 3 3 2 4 11" xfId="9028" xr:uid="{2821CF4C-30FE-4064-9462-9260CA62D7C5}"/>
    <cellStyle name="Normal 3 3 2 4 11 2" xfId="29371" xr:uid="{07520DC9-3DB0-45D9-B986-6B75FD5E4963}"/>
    <cellStyle name="Normal 3 3 2 4 12" xfId="25877" xr:uid="{1C114D79-BCFF-495E-813A-7100A4579B6C}"/>
    <cellStyle name="Normal 3 3 2 4 2" xfId="6110" xr:uid="{69752459-6415-4475-A5C5-A09C7B55004F}"/>
    <cellStyle name="Normal 3 3 2 4 2 2" xfId="7268" xr:uid="{CBAE29A6-ADB7-47FB-AFC2-876F1A7FA358}"/>
    <cellStyle name="Normal 3 3 2 4 2 2 2" xfId="17554" xr:uid="{CF8B9280-E96D-4CD6-8C59-94C260D20D78}"/>
    <cellStyle name="Normal 3 3 2 4 2 2 2 2" xfId="37894" xr:uid="{28C85CAD-D7A1-4344-9FC8-1E817444ACC1}"/>
    <cellStyle name="Normal 3 3 2 4 2 2 3" xfId="21056" xr:uid="{287ADF52-0420-410A-B0C7-A8E91F56C7A7}"/>
    <cellStyle name="Normal 3 3 2 4 2 2 3 2" xfId="41395" xr:uid="{D140A7CE-0E6D-4177-A09D-337CC6C84E99}"/>
    <cellStyle name="Normal 3 3 2 4 2 2 4" xfId="24311" xr:uid="{926A8E2E-CC11-4540-8B47-EF4EB59C5708}"/>
    <cellStyle name="Normal 3 3 2 4 2 2 4 2" xfId="44646" xr:uid="{46037211-5EF4-46F4-90C0-20FBBD34641E}"/>
    <cellStyle name="Normal 3 3 2 4 2 2 5" xfId="14645" xr:uid="{33321E95-363D-403E-AE22-0211A87977C2}"/>
    <cellStyle name="Normal 3 3 2 4 2 2 5 2" xfId="34986" xr:uid="{51401AFB-641F-4910-B917-07B656F39A7E}"/>
    <cellStyle name="Normal 3 3 2 4 2 2 6" xfId="10767" xr:uid="{02BCA015-115A-4A52-9F79-6D32B2138515}"/>
    <cellStyle name="Normal 3 3 2 4 2 2 6 2" xfId="31110" xr:uid="{B8F2A1F0-66EA-421E-A96B-0480AEC524A4}"/>
    <cellStyle name="Normal 3 3 2 4 2 2 7" xfId="27616" xr:uid="{46B810D9-C4F6-4442-A74B-97D13519E6E6}"/>
    <cellStyle name="Normal 3 3 2 4 2 3" xfId="16396" xr:uid="{4D75A868-BAFA-4EB7-8686-18241A31E87B}"/>
    <cellStyle name="Normal 3 3 2 4 2 3 2" xfId="36736" xr:uid="{1A6DBFD6-79B0-473F-97A5-AE295EDCFB6E}"/>
    <cellStyle name="Normal 3 3 2 4 2 4" xfId="19898" xr:uid="{BA254AAE-A2F8-4E43-BC0D-81A9712CBC50}"/>
    <cellStyle name="Normal 3 3 2 4 2 4 2" xfId="40237" xr:uid="{4B4D2C35-3F40-4A18-9739-98A20816C13A}"/>
    <cellStyle name="Normal 3 3 2 4 2 5" xfId="23153" xr:uid="{C677583B-8329-4486-954F-E1AC229B64DF}"/>
    <cellStyle name="Normal 3 3 2 4 2 5 2" xfId="43488" xr:uid="{A193C425-4162-44EE-AEB6-9F5A82C697C3}"/>
    <cellStyle name="Normal 3 3 2 4 2 6" xfId="13487" xr:uid="{AF5EE224-08E8-4856-9968-7DE4381558C4}"/>
    <cellStyle name="Normal 3 3 2 4 2 6 2" xfId="33828" xr:uid="{D853D94E-B46A-44DD-AB37-8E1B847FB8E0}"/>
    <cellStyle name="Normal 3 3 2 4 2 7" xfId="9609" xr:uid="{E9CCAAD0-A54F-4DDB-9E33-0B35B8011912}"/>
    <cellStyle name="Normal 3 3 2 4 2 7 2" xfId="29952" xr:uid="{0941B84C-01A1-4048-B1AA-1CC17F49D32C}"/>
    <cellStyle name="Normal 3 3 2 4 2 8" xfId="26458" xr:uid="{196AE9F0-CCB2-40BB-92BA-E473B4FA4AA1}"/>
    <cellStyle name="Normal 3 3 2 4 3" xfId="6687" xr:uid="{196D7931-C42C-4028-B5D0-9B0F5C86FA9D}"/>
    <cellStyle name="Normal 3 3 2 4 3 2" xfId="16973" xr:uid="{A9EFCA94-C014-4412-A2EC-0E44EDEDF508}"/>
    <cellStyle name="Normal 3 3 2 4 3 2 2" xfId="37313" xr:uid="{6CAFB310-1E34-4D20-AECE-ECAE280E9A8B}"/>
    <cellStyle name="Normal 3 3 2 4 3 3" xfId="20475" xr:uid="{8CC56B1C-D55C-4293-A5FA-A3C0BB7CE3CB}"/>
    <cellStyle name="Normal 3 3 2 4 3 3 2" xfId="40814" xr:uid="{68D3FFAF-4824-4092-B65A-2AC1697C7316}"/>
    <cellStyle name="Normal 3 3 2 4 3 4" xfId="23730" xr:uid="{4687C6B0-0344-425F-9070-A58A5BEBD58A}"/>
    <cellStyle name="Normal 3 3 2 4 3 4 2" xfId="44065" xr:uid="{64194099-7980-403B-8565-06EB8743A65D}"/>
    <cellStyle name="Normal 3 3 2 4 3 5" xfId="14064" xr:uid="{7C6D771F-C8ED-4D3B-B719-5299986A7BC5}"/>
    <cellStyle name="Normal 3 3 2 4 3 5 2" xfId="34405" xr:uid="{DD64CC6D-9F3B-4D14-B500-28755E473F74}"/>
    <cellStyle name="Normal 3 3 2 4 3 6" xfId="10186" xr:uid="{51CF4A17-7F42-4274-B30F-C7143DF30EB2}"/>
    <cellStyle name="Normal 3 3 2 4 3 6 2" xfId="30529" xr:uid="{79B5AE4D-BCCF-42CD-AE26-71CF0D1818C1}"/>
    <cellStyle name="Normal 3 3 2 4 3 7" xfId="27035" xr:uid="{E5182D49-3D8F-4262-A45B-C99F8EF29F76}"/>
    <cellStyle name="Normal 3 3 2 4 4" xfId="7851" xr:uid="{ED2F9923-A926-439E-9B79-A78B83E58441}"/>
    <cellStyle name="Normal 3 3 2 4 4 2" xfId="18136" xr:uid="{BCB9199F-DDD2-4B75-9BBA-A3C14AD6A2CE}"/>
    <cellStyle name="Normal 3 3 2 4 4 2 2" xfId="38476" xr:uid="{E27DBEBD-4408-4E94-A127-C27A9DA7C110}"/>
    <cellStyle name="Normal 3 3 2 4 4 3" xfId="21638" xr:uid="{EA224719-5732-4314-99E7-723C4AD944A0}"/>
    <cellStyle name="Normal 3 3 2 4 4 3 2" xfId="41977" xr:uid="{3AD94501-8406-4B21-A3B9-89D8A71DA408}"/>
    <cellStyle name="Normal 3 3 2 4 4 4" xfId="24893" xr:uid="{79F06D61-0644-40A3-BE32-04DFDE903AE4}"/>
    <cellStyle name="Normal 3 3 2 4 4 4 2" xfId="45228" xr:uid="{346654D8-4700-43A3-818A-83467E371C8A}"/>
    <cellStyle name="Normal 3 3 2 4 4 5" xfId="15228" xr:uid="{49EAD247-B970-4169-B819-D8B8B97D8BD5}"/>
    <cellStyle name="Normal 3 3 2 4 4 5 2" xfId="35568" xr:uid="{624AEE45-D83E-4C5B-95EE-43D7DB87AC92}"/>
    <cellStyle name="Normal 3 3 2 4 4 6" xfId="11349" xr:uid="{0E6A1CD4-3E76-4261-81D3-D2B90ACA7B73}"/>
    <cellStyle name="Normal 3 3 2 4 4 6 2" xfId="31692" xr:uid="{3E18A80F-34B3-4A69-9ACA-CCD2C91AF954}"/>
    <cellStyle name="Normal 3 3 2 4 4 7" xfId="28198" xr:uid="{7FFE2D25-52D0-46B9-93F0-DF75F6414A11}"/>
    <cellStyle name="Normal 3 3 2 4 5" xfId="12918" xr:uid="{DE067DBC-6918-49C6-9B87-A5EBD183A61B}"/>
    <cellStyle name="Normal 3 3 2 4 5 2" xfId="33259" xr:uid="{37E2FE57-3083-4858-90B3-CBB3FFE097E9}"/>
    <cellStyle name="Normal 3 3 2 4 6" xfId="15815" xr:uid="{CAE1458C-4EEA-4098-9590-AA65700BBE0D}"/>
    <cellStyle name="Normal 3 3 2 4 6 2" xfId="36155" xr:uid="{9E579544-D9D7-4C41-826D-1484B04CB476}"/>
    <cellStyle name="Normal 3 3 2 4 7" xfId="18729" xr:uid="{F8A53319-8DBD-4649-81B5-1113246D87BC}"/>
    <cellStyle name="Normal 3 3 2 4 7 2" xfId="39069" xr:uid="{C3BF286D-9447-47BE-B444-3E404D3C0E9B}"/>
    <cellStyle name="Normal 3 3 2 4 8" xfId="19317" xr:uid="{29339359-7ACA-4683-9027-74E45C15A193}"/>
    <cellStyle name="Normal 3 3 2 4 8 2" xfId="39656" xr:uid="{C9CCE0D7-03A4-4502-8F79-86EAF2CC0795}"/>
    <cellStyle name="Normal 3 3 2 4 9" xfId="22572" xr:uid="{51DB5401-ABFF-4B30-92FC-9A16221711E1}"/>
    <cellStyle name="Normal 3 3 2 4 9 2" xfId="42907" xr:uid="{574417C8-5F91-4642-B9DF-D203C751445F}"/>
    <cellStyle name="Normal 3 3 2 5" xfId="5737" xr:uid="{D5CB1EF1-CD40-445D-9512-970AAE726B89}"/>
    <cellStyle name="Normal 3 3 2 5 10" xfId="12490" xr:uid="{9E4FF3A3-E5C9-468D-B797-3FC7694D4DA1}"/>
    <cellStyle name="Normal 3 3 2 5 10 2" xfId="32831" xr:uid="{E2F655F0-F3F6-4BA2-8018-ECE653C4DDEF}"/>
    <cellStyle name="Normal 3 3 2 5 11" xfId="9229" xr:uid="{C704CE6F-B3DE-465F-9654-F1ACD83806CB}"/>
    <cellStyle name="Normal 3 3 2 5 11 2" xfId="29572" xr:uid="{44FA9ADB-8800-47B9-B52E-FBD3D11891C2}"/>
    <cellStyle name="Normal 3 3 2 5 12" xfId="26078" xr:uid="{527F8979-E17A-4A7E-AEF9-C2D657E40383}"/>
    <cellStyle name="Normal 3 3 2 5 2" xfId="6311" xr:uid="{D3EF0DF0-DF70-4850-987C-9DED68919D39}"/>
    <cellStyle name="Normal 3 3 2 5 2 2" xfId="7469" xr:uid="{E74B7D62-EF8A-47A8-B165-D1BFD734A63C}"/>
    <cellStyle name="Normal 3 3 2 5 2 2 2" xfId="17755" xr:uid="{E4D9CA06-7108-4004-9CF2-3BB88823074B}"/>
    <cellStyle name="Normal 3 3 2 5 2 2 2 2" xfId="38095" xr:uid="{E0984D4E-BF11-4110-B431-DBE90993A879}"/>
    <cellStyle name="Normal 3 3 2 5 2 2 3" xfId="21257" xr:uid="{E46A9A86-5BBB-44FA-81CF-BE83C45B77BF}"/>
    <cellStyle name="Normal 3 3 2 5 2 2 3 2" xfId="41596" xr:uid="{71F0A764-33BE-4270-A588-F3214AF35F02}"/>
    <cellStyle name="Normal 3 3 2 5 2 2 4" xfId="24512" xr:uid="{4257885C-E793-4EB5-8A0D-CD1BC865BF93}"/>
    <cellStyle name="Normal 3 3 2 5 2 2 4 2" xfId="44847" xr:uid="{2A864730-DBB0-4093-91B5-125D27A3C5CD}"/>
    <cellStyle name="Normal 3 3 2 5 2 2 5" xfId="14846" xr:uid="{32A7040D-9F89-440F-A0D6-3A69E7A631A1}"/>
    <cellStyle name="Normal 3 3 2 5 2 2 5 2" xfId="35187" xr:uid="{955353AC-8890-40F7-AF7C-F865FD61D510}"/>
    <cellStyle name="Normal 3 3 2 5 2 2 6" xfId="10968" xr:uid="{50A435C1-531E-48B4-8286-B6DE9C8184AB}"/>
    <cellStyle name="Normal 3 3 2 5 2 2 6 2" xfId="31311" xr:uid="{AFB95D2B-2024-40BA-83ED-BA75CB2DDBD8}"/>
    <cellStyle name="Normal 3 3 2 5 2 2 7" xfId="27817" xr:uid="{C90C5E20-D8AE-421E-A6CA-F5B4CA0F017B}"/>
    <cellStyle name="Normal 3 3 2 5 2 3" xfId="16597" xr:uid="{ECB091D3-E573-41E0-8774-176ADC2A15DE}"/>
    <cellStyle name="Normal 3 3 2 5 2 3 2" xfId="36937" xr:uid="{C572DF2D-12F9-4475-9B36-C9D5C1E720D9}"/>
    <cellStyle name="Normal 3 3 2 5 2 4" xfId="20099" xr:uid="{A02D3A5F-EFCD-43A6-AC44-BF135E13E208}"/>
    <cellStyle name="Normal 3 3 2 5 2 4 2" xfId="40438" xr:uid="{BF937182-34EB-4199-9BD8-617D93BC6136}"/>
    <cellStyle name="Normal 3 3 2 5 2 5" xfId="23354" xr:uid="{DC5E3E5C-B1B4-46E9-A6FE-3F1AB68C6B06}"/>
    <cellStyle name="Normal 3 3 2 5 2 5 2" xfId="43689" xr:uid="{7E4555BF-B2F7-4499-A339-D2A05575129B}"/>
    <cellStyle name="Normal 3 3 2 5 2 6" xfId="13688" xr:uid="{3ED7A040-2773-4637-8CF6-A2097E4C55C5}"/>
    <cellStyle name="Normal 3 3 2 5 2 6 2" xfId="34029" xr:uid="{FFF7756F-C6CD-4230-AE41-81DAB5BCED65}"/>
    <cellStyle name="Normal 3 3 2 5 2 7" xfId="9810" xr:uid="{0A3E3706-7FAF-4793-9884-B6D2CE2AE4C1}"/>
    <cellStyle name="Normal 3 3 2 5 2 7 2" xfId="30153" xr:uid="{0D6EDC1A-B131-4EDE-B03B-1118E8CE3B10}"/>
    <cellStyle name="Normal 3 3 2 5 2 8" xfId="26659" xr:uid="{5172C01F-7FB0-4EE2-B0A8-1A4DFD9AE6A0}"/>
    <cellStyle name="Normal 3 3 2 5 3" xfId="6888" xr:uid="{7851A65C-F3A0-4DA9-9F4D-86D3EC7A8280}"/>
    <cellStyle name="Normal 3 3 2 5 3 2" xfId="17174" xr:uid="{CA80A5F7-1570-4B26-8001-362E4F49820D}"/>
    <cellStyle name="Normal 3 3 2 5 3 2 2" xfId="37514" xr:uid="{A024165F-F291-418A-9A99-6F4F8312C323}"/>
    <cellStyle name="Normal 3 3 2 5 3 3" xfId="20676" xr:uid="{C7C0862D-96AC-456F-A4E4-DA4C88076E00}"/>
    <cellStyle name="Normal 3 3 2 5 3 3 2" xfId="41015" xr:uid="{FE6B9C13-CFB3-4384-993F-34C407710238}"/>
    <cellStyle name="Normal 3 3 2 5 3 4" xfId="23931" xr:uid="{87C7B899-DCD0-4C82-9232-29C3F4E7119A}"/>
    <cellStyle name="Normal 3 3 2 5 3 4 2" xfId="44266" xr:uid="{86865A79-2AD1-4AAC-827A-948BDEC29646}"/>
    <cellStyle name="Normal 3 3 2 5 3 5" xfId="14265" xr:uid="{FB274B3E-5103-42CA-9625-17684EA7CCBE}"/>
    <cellStyle name="Normal 3 3 2 5 3 5 2" xfId="34606" xr:uid="{AC8A5678-C5EC-4CD4-BB3D-B152BD4EFCF5}"/>
    <cellStyle name="Normal 3 3 2 5 3 6" xfId="10387" xr:uid="{0AF91687-B723-41E5-A36A-E7C6C30D2DA5}"/>
    <cellStyle name="Normal 3 3 2 5 3 6 2" xfId="30730" xr:uid="{1C34823A-1567-4651-B497-776972236E4E}"/>
    <cellStyle name="Normal 3 3 2 5 3 7" xfId="27236" xr:uid="{C9E58119-F29C-46F6-B13B-57E2B8AC0497}"/>
    <cellStyle name="Normal 3 3 2 5 4" xfId="8052" xr:uid="{12A0A4CD-6830-4A46-A24A-03BAE9C00F02}"/>
    <cellStyle name="Normal 3 3 2 5 4 2" xfId="18337" xr:uid="{EA915F51-07C5-4CCE-BB2D-1B2EF90ADE1A}"/>
    <cellStyle name="Normal 3 3 2 5 4 2 2" xfId="38677" xr:uid="{0A56BBE4-BC6A-400F-84AD-A3349118D4FC}"/>
    <cellStyle name="Normal 3 3 2 5 4 3" xfId="21839" xr:uid="{09956598-0466-41EA-B546-54284BC39612}"/>
    <cellStyle name="Normal 3 3 2 5 4 3 2" xfId="42178" xr:uid="{AC159C21-77DA-4432-A193-91914BD34521}"/>
    <cellStyle name="Normal 3 3 2 5 4 4" xfId="25094" xr:uid="{EEE1C07D-6379-4673-826F-8381CD6B144C}"/>
    <cellStyle name="Normal 3 3 2 5 4 4 2" xfId="45429" xr:uid="{DD16BCF3-AEB6-4059-8F81-CE1EAB57563F}"/>
    <cellStyle name="Normal 3 3 2 5 4 5" xfId="15429" xr:uid="{F6926FC3-909C-4AE7-8D9F-BACC291D3B09}"/>
    <cellStyle name="Normal 3 3 2 5 4 5 2" xfId="35769" xr:uid="{6E7F358E-D9AF-45B1-81DD-C97FAC8E32EF}"/>
    <cellStyle name="Normal 3 3 2 5 4 6" xfId="11550" xr:uid="{5CDA1B39-8B94-4661-85A4-23901636F2BA}"/>
    <cellStyle name="Normal 3 3 2 5 4 6 2" xfId="31893" xr:uid="{B0C400CB-3285-4485-AF9E-2B41A9331F03}"/>
    <cellStyle name="Normal 3 3 2 5 4 7" xfId="28399" xr:uid="{64230C5C-AA47-41FF-8FEB-C85EBAA5693D}"/>
    <cellStyle name="Normal 3 3 2 5 5" xfId="13119" xr:uid="{1917B7CC-8AE6-4B68-8A7F-54154CA54070}"/>
    <cellStyle name="Normal 3 3 2 5 5 2" xfId="33460" xr:uid="{736773FB-8539-45A4-BD0F-7C4A07147D7A}"/>
    <cellStyle name="Normal 3 3 2 5 6" xfId="16016" xr:uid="{648C0BE2-9F5E-4C66-BBE7-B9175FD64E64}"/>
    <cellStyle name="Normal 3 3 2 5 6 2" xfId="36356" xr:uid="{795E8276-676E-4B53-A5AF-D1DE2E81DCB1}"/>
    <cellStyle name="Normal 3 3 2 5 7" xfId="18930" xr:uid="{A4312B8D-5FD3-4282-8CD8-47F5BABC9FA7}"/>
    <cellStyle name="Normal 3 3 2 5 7 2" xfId="39270" xr:uid="{6E058852-D725-4843-ABC3-75BB2581FC12}"/>
    <cellStyle name="Normal 3 3 2 5 8" xfId="19518" xr:uid="{F676A5B5-28A0-41DC-AFF5-D507B3DC00C2}"/>
    <cellStyle name="Normal 3 3 2 5 8 2" xfId="39857" xr:uid="{378FE786-7748-437C-9B21-CA1BB89D570F}"/>
    <cellStyle name="Normal 3 3 2 5 9" xfId="22773" xr:uid="{830A5CFD-B4CB-47D9-80C1-A8894F386DA5}"/>
    <cellStyle name="Normal 3 3 2 5 9 2" xfId="43108" xr:uid="{B05EFB5A-BB27-420E-919F-8258AD2E562B}"/>
    <cellStyle name="Normal 3 3 2 6" xfId="5766" xr:uid="{F2A3EC49-5035-4D25-A48A-E9254082FDE4}"/>
    <cellStyle name="Normal 3 3 2 6 2" xfId="6924" xr:uid="{0DBC7379-B45C-424F-8C05-21AA7F1A1511}"/>
    <cellStyle name="Normal 3 3 2 6 2 2" xfId="17210" xr:uid="{8CC12F9B-5709-4EF4-B622-0DCA7C60BF19}"/>
    <cellStyle name="Normal 3 3 2 6 2 2 2" xfId="37550" xr:uid="{B81C22F7-A7C3-4DF7-8C32-11B3F2C370E4}"/>
    <cellStyle name="Normal 3 3 2 6 2 3" xfId="20712" xr:uid="{56663AC8-9F03-42FD-9A32-E96221E940E0}"/>
    <cellStyle name="Normal 3 3 2 6 2 3 2" xfId="41051" xr:uid="{29416DDC-A13C-4363-9A74-13E86CAAA502}"/>
    <cellStyle name="Normal 3 3 2 6 2 4" xfId="23967" xr:uid="{2DB78977-E4DB-4723-B560-1277D0616C55}"/>
    <cellStyle name="Normal 3 3 2 6 2 4 2" xfId="44302" xr:uid="{A5DC038F-3A06-4EEF-8B9E-9C74E602F1F1}"/>
    <cellStyle name="Normal 3 3 2 6 2 5" xfId="14301" xr:uid="{73C2893B-2416-44C6-957F-617CC6EEFBF8}"/>
    <cellStyle name="Normal 3 3 2 6 2 5 2" xfId="34642" xr:uid="{573DB9AE-3537-430A-B2E8-3F29F2CE32F5}"/>
    <cellStyle name="Normal 3 3 2 6 2 6" xfId="10423" xr:uid="{7434ED8B-7372-4653-857F-50CC18A76AA7}"/>
    <cellStyle name="Normal 3 3 2 6 2 6 2" xfId="30766" xr:uid="{1AA34EC9-0796-4B62-9FF1-C004CADB1E51}"/>
    <cellStyle name="Normal 3 3 2 6 2 7" xfId="27272" xr:uid="{F201D29E-3F94-4982-87AD-7560B6C8D87C}"/>
    <cellStyle name="Normal 3 3 2 6 3" xfId="16052" xr:uid="{F714557C-678B-4872-B09F-893661CB63F0}"/>
    <cellStyle name="Normal 3 3 2 6 3 2" xfId="36392" xr:uid="{BD5582C2-A60E-4F71-977F-279BFF0A4D96}"/>
    <cellStyle name="Normal 3 3 2 6 4" xfId="19554" xr:uid="{4E080BE2-D4AF-492C-8864-3AD169EAA740}"/>
    <cellStyle name="Normal 3 3 2 6 4 2" xfId="39893" xr:uid="{6AB7E0E8-ACD4-43D9-95F0-C4F66DD4D4DC}"/>
    <cellStyle name="Normal 3 3 2 6 5" xfId="22809" xr:uid="{D5504789-9C3F-4F4D-9D44-BD6BA8CC5D65}"/>
    <cellStyle name="Normal 3 3 2 6 5 2" xfId="43144" xr:uid="{1686A5A5-B966-4FD4-B8E5-ABCFEAD5A858}"/>
    <cellStyle name="Normal 3 3 2 6 6" xfId="13155" xr:uid="{B1BD2F17-A275-4E1B-A7A7-CA335A291BA5}"/>
    <cellStyle name="Normal 3 3 2 6 6 2" xfId="33496" xr:uid="{1EF798DB-0533-437E-BE2A-43907AD2BF58}"/>
    <cellStyle name="Normal 3 3 2 6 7" xfId="9265" xr:uid="{EFF7613E-AC27-4494-A989-DA0684ECFC8A}"/>
    <cellStyle name="Normal 3 3 2 6 7 2" xfId="29608" xr:uid="{6B565E33-B1FF-40A5-BA0F-1C8A33C38FB3}"/>
    <cellStyle name="Normal 3 3 2 6 8" xfId="26114" xr:uid="{B678340B-09FB-473D-A607-580759115A1E}"/>
    <cellStyle name="Normal 3 3 2 7" xfId="6343" xr:uid="{27B63D1E-4F44-4185-9545-82E4EE318096}"/>
    <cellStyle name="Normal 3 3 2 7 2" xfId="16629" xr:uid="{6450C3EA-CC4D-4AC0-AE6A-A374ED3B0DF2}"/>
    <cellStyle name="Normal 3 3 2 7 2 2" xfId="36969" xr:uid="{84FC06A6-138D-4C9C-A4FE-A62F99EEE3BE}"/>
    <cellStyle name="Normal 3 3 2 7 3" xfId="20131" xr:uid="{5B502CBD-10C8-43DA-AB4F-B14B7332D5FD}"/>
    <cellStyle name="Normal 3 3 2 7 3 2" xfId="40470" xr:uid="{FE47E8F5-BAA7-4878-BED6-438E680B3E20}"/>
    <cellStyle name="Normal 3 3 2 7 4" xfId="23386" xr:uid="{A0E20E9A-B53E-4683-AFAD-6E1D1E2B243A}"/>
    <cellStyle name="Normal 3 3 2 7 4 2" xfId="43721" xr:uid="{1275DAB4-7657-4DE3-A0D0-001CAE2C0CD1}"/>
    <cellStyle name="Normal 3 3 2 7 5" xfId="13720" xr:uid="{2F092484-9077-4B84-A5F2-41D295F8C52F}"/>
    <cellStyle name="Normal 3 3 2 7 5 2" xfId="34061" xr:uid="{AC61430F-7B22-437A-81A1-DB8073CB7190}"/>
    <cellStyle name="Normal 3 3 2 7 6" xfId="9842" xr:uid="{44DE5550-CC67-4DAA-A05A-8C6057A49DC7}"/>
    <cellStyle name="Normal 3 3 2 7 6 2" xfId="30185" xr:uid="{C904E90A-3B4A-41B2-B5FD-BCE0D3CC32AF}"/>
    <cellStyle name="Normal 3 3 2 7 7" xfId="26691" xr:uid="{D1C253B8-2A77-4B7E-ADDB-1DD396A71A6B}"/>
    <cellStyle name="Normal 3 3 2 8" xfId="7507" xr:uid="{494166CA-E802-49B5-9D2F-166C4ED43779}"/>
    <cellStyle name="Normal 3 3 2 8 2" xfId="17792" xr:uid="{86AB1E43-7583-454E-9D2D-12D8FF234D37}"/>
    <cellStyle name="Normal 3 3 2 8 2 2" xfId="38132" xr:uid="{781C4C0F-0962-4394-9429-BE6F1FD5E248}"/>
    <cellStyle name="Normal 3 3 2 8 3" xfId="21294" xr:uid="{77D07689-B538-4F6B-8F2A-71E9CECB37E6}"/>
    <cellStyle name="Normal 3 3 2 8 3 2" xfId="41633" xr:uid="{78EB1CDA-04F0-4863-B447-F7263FAA978D}"/>
    <cellStyle name="Normal 3 3 2 8 4" xfId="24549" xr:uid="{86738654-EA98-4FA6-BCBA-808AC640D995}"/>
    <cellStyle name="Normal 3 3 2 8 4 2" xfId="44884" xr:uid="{97E7E317-4C0E-4CDE-85D7-F693B32ECCDB}"/>
    <cellStyle name="Normal 3 3 2 8 5" xfId="14884" xr:uid="{CD140A2D-0FC6-4761-94F8-9CDE1A9EF7C1}"/>
    <cellStyle name="Normal 3 3 2 8 5 2" xfId="35224" xr:uid="{49BF2AF3-8BC5-4AD2-8C31-CFC6CFC22D96}"/>
    <cellStyle name="Normal 3 3 2 8 6" xfId="11005" xr:uid="{221B50E3-5558-417C-B0F0-212C9F61EE32}"/>
    <cellStyle name="Normal 3 3 2 8 6 2" xfId="31348" xr:uid="{705A07CC-88B9-4D84-84F9-E14F7484B15B}"/>
    <cellStyle name="Normal 3 3 2 8 7" xfId="27854" xr:uid="{F936FF6E-C22F-441A-BC34-CA45B6AC3FCF}"/>
    <cellStyle name="Normal 3 3 2 9" xfId="8100" xr:uid="{AA20EA6A-609C-48C7-85AF-B064E1C4B54B}"/>
    <cellStyle name="Normal 3 3 2 9 2" xfId="21887" xr:uid="{F2D7AFEF-249D-4EDD-B723-E608B26AAF80}"/>
    <cellStyle name="Normal 3 3 2 9 2 2" xfId="42223" xr:uid="{35D5A7A6-3838-43CF-85B8-2D4DCB3A8AA4}"/>
    <cellStyle name="Normal 3 3 2 9 3" xfId="25139" xr:uid="{C274F582-CA5E-478D-99E5-64EA9ACEE416}"/>
    <cellStyle name="Normal 3 3 2 9 3 2" xfId="45474" xr:uid="{3E77A7EB-2310-493F-B5CB-C418D9EBB939}"/>
    <cellStyle name="Normal 3 3 2 9 4" xfId="12586" xr:uid="{2835D244-3B80-4D49-8063-8D18A82D19CA}"/>
    <cellStyle name="Normal 3 3 2 9 4 2" xfId="32927" xr:uid="{0A916C71-3DA8-4023-8362-EDCB31D15A38}"/>
    <cellStyle name="Normal 3 3 2 9 5" xfId="11596" xr:uid="{18FFE8FA-7568-4916-B24C-B536FF4490BD}"/>
    <cellStyle name="Normal 3 3 2 9 5 2" xfId="31938" xr:uid="{210314C6-72F5-409E-8227-A92171AD3096}"/>
    <cellStyle name="Normal 3 3 2 9 6" xfId="28444" xr:uid="{3AB93834-2554-4C13-BED2-1F6905AAE456}"/>
    <cellStyle name="Normal 3 3 20" xfId="25522" xr:uid="{909F0B41-2F48-4682-AFA7-53D2F64F2353}"/>
    <cellStyle name="Normal 3 3 21" xfId="45840" xr:uid="{0FE78AF8-9024-4149-BF54-19DDAC1ADB27}"/>
    <cellStyle name="Normal 3 3 22" xfId="46326" xr:uid="{BCD71BAA-CF3D-4D80-8227-7C3F45741DD5}"/>
    <cellStyle name="Normal 3 3 23" xfId="46818" xr:uid="{B5CDEE5A-4CCA-4B4F-A04C-8D9AB5B71FDE}"/>
    <cellStyle name="Normal 3 3 24" xfId="48290" xr:uid="{8C96B5CE-458A-4540-8A22-D2E92A06FA6B}"/>
    <cellStyle name="Normal 3 3 3" xfId="5048" xr:uid="{85D2BBE6-7C5E-4E57-AD3A-6692E8D9FCF8}"/>
    <cellStyle name="Normal 3 3 3 10" xfId="19016" xr:uid="{6B53805F-F68D-48A2-A518-DE2408DA27B7}"/>
    <cellStyle name="Normal 3 3 3 10 2" xfId="39355" xr:uid="{09974836-CCA2-44FF-A2F3-FD8CD74778D0}"/>
    <cellStyle name="Normal 3 3 3 11" xfId="22271" xr:uid="{55736CEB-EE8F-4E9D-B7D0-071FEB562C1F}"/>
    <cellStyle name="Normal 3 3 3 11 2" xfId="42606" xr:uid="{F7B851EB-2922-41E4-9B2C-FB92FF45948A}"/>
    <cellStyle name="Normal 3 3 3 12" xfId="11988" xr:uid="{E6F38B40-50AD-4F9C-A8DB-D3BD7EE6F0E4}"/>
    <cellStyle name="Normal 3 3 3 12 2" xfId="32329" xr:uid="{1308941C-7589-440A-BCB7-E799039D0990}"/>
    <cellStyle name="Normal 3 3 3 13" xfId="8727" xr:uid="{5D30FB8F-11DF-42DA-91FC-5D0BF4BD9776}"/>
    <cellStyle name="Normal 3 3 3 13 2" xfId="29070" xr:uid="{60553CA7-10D5-4F18-A7CF-F724E0F84585}"/>
    <cellStyle name="Normal 3 3 3 14" xfId="25572" xr:uid="{6D5713D8-B651-4F3C-AAFD-5E727D6B0208}"/>
    <cellStyle name="Normal 3 3 3 15" xfId="45930" xr:uid="{5BE4C68C-3DCF-4F9E-BE2B-D39C667321C3}"/>
    <cellStyle name="Normal 3 3 3 16" xfId="46416" xr:uid="{6E85AC1D-F0C0-41FD-A4C1-CDA29D6FF9A2}"/>
    <cellStyle name="Normal 3 3 3 17" xfId="46908" xr:uid="{6B3FD7EF-0D77-41C2-BB0A-FD109FF07300}"/>
    <cellStyle name="Normal 3 3 3 2" xfId="5366" xr:uid="{1FF4710B-6CAC-469A-B178-970B9F920FD0}"/>
    <cellStyle name="Normal 3 3 3 2 10" xfId="12103" xr:uid="{D291AA78-08F9-4BE8-8487-9942AA151166}"/>
    <cellStyle name="Normal 3 3 3 2 10 2" xfId="32444" xr:uid="{FA73F839-19C7-4122-848E-B413868802D5}"/>
    <cellStyle name="Normal 3 3 3 2 11" xfId="8842" xr:uid="{663136A7-18B2-43A0-8F80-499F0987614E}"/>
    <cellStyle name="Normal 3 3 3 2 11 2" xfId="29185" xr:uid="{3D14BF54-E125-4153-BBAD-FCD319AF43AC}"/>
    <cellStyle name="Normal 3 3 3 2 12" xfId="25691" xr:uid="{79818A0D-60E3-4824-8D1C-6FD481D085D8}"/>
    <cellStyle name="Normal 3 3 3 2 13" xfId="46173" xr:uid="{FF00D53F-FF49-47CD-8FF3-CBF8E2EDB1E3}"/>
    <cellStyle name="Normal 3 3 3 2 14" xfId="46659" xr:uid="{895300CF-63DE-41FA-A109-35D022658CD9}"/>
    <cellStyle name="Normal 3 3 3 2 15" xfId="47151" xr:uid="{187FFD52-4029-48CD-A969-966DBC2BFCAC}"/>
    <cellStyle name="Normal 3 3 3 2 2" xfId="5924" xr:uid="{1F72EDB0-3D43-4B37-B355-2CBBF350E9FE}"/>
    <cellStyle name="Normal 3 3 3 2 2 2" xfId="7082" xr:uid="{A2489897-CE15-40FA-A01F-6D6309749CF7}"/>
    <cellStyle name="Normal 3 3 3 2 2 2 2" xfId="17368" xr:uid="{984813B2-1171-46C0-9269-E1DDF5075B6D}"/>
    <cellStyle name="Normal 3 3 3 2 2 2 2 2" xfId="37708" xr:uid="{A9FCC383-BF1C-4277-B4DA-3A86570B265A}"/>
    <cellStyle name="Normal 3 3 3 2 2 2 3" xfId="20870" xr:uid="{E9BE34B9-6597-470B-A78E-FF05BB62B72D}"/>
    <cellStyle name="Normal 3 3 3 2 2 2 3 2" xfId="41209" xr:uid="{0D0B3FEB-A3B0-406A-8FBA-E0377EFAB806}"/>
    <cellStyle name="Normal 3 3 3 2 2 2 4" xfId="24125" xr:uid="{7C11B700-7C54-45BA-AE52-5EABC5CAB98F}"/>
    <cellStyle name="Normal 3 3 3 2 2 2 4 2" xfId="44460" xr:uid="{C425517A-750F-413C-BF3E-16DC60F5C841}"/>
    <cellStyle name="Normal 3 3 3 2 2 2 5" xfId="14459" xr:uid="{6BB8C514-FC00-444E-ADDF-96271093EB0A}"/>
    <cellStyle name="Normal 3 3 3 2 2 2 5 2" xfId="34800" xr:uid="{F43EB154-9CD5-4549-BA67-F9EB09D54594}"/>
    <cellStyle name="Normal 3 3 3 2 2 2 6" xfId="10581" xr:uid="{224BE535-1B26-4D87-BE77-4C7EFDC61987}"/>
    <cellStyle name="Normal 3 3 3 2 2 2 6 2" xfId="30924" xr:uid="{07436FCF-9264-42FD-AEEC-8697F2CB2688}"/>
    <cellStyle name="Normal 3 3 3 2 2 2 7" xfId="27430" xr:uid="{F1AFEF6F-CCDF-4ECA-954B-79D9CDD87888}"/>
    <cellStyle name="Normal 3 3 3 2 2 3" xfId="16210" xr:uid="{B1BFF285-1653-4A3D-BEC0-CA4FDE4B8809}"/>
    <cellStyle name="Normal 3 3 3 2 2 3 2" xfId="36550" xr:uid="{322DE104-0038-442A-A291-14A1686DC8FB}"/>
    <cellStyle name="Normal 3 3 3 2 2 4" xfId="19712" xr:uid="{E8FE43DB-9474-44A0-820F-D70199521AE5}"/>
    <cellStyle name="Normal 3 3 3 2 2 4 2" xfId="40051" xr:uid="{361112C8-3CAD-45CF-A3A7-0FE6A25C27B9}"/>
    <cellStyle name="Normal 3 3 3 2 2 5" xfId="22967" xr:uid="{F308C7B1-82BA-4988-BAC7-D06678CAE688}"/>
    <cellStyle name="Normal 3 3 3 2 2 5 2" xfId="43302" xr:uid="{B058B999-CEE4-4FAB-884E-113D21062657}"/>
    <cellStyle name="Normal 3 3 3 2 2 6" xfId="13303" xr:uid="{C353EB1A-3DD8-4967-A3B0-FBA3C488F38A}"/>
    <cellStyle name="Normal 3 3 3 2 2 6 2" xfId="33644" xr:uid="{6D2394FE-2B82-4A91-9D76-51A6B9720804}"/>
    <cellStyle name="Normal 3 3 3 2 2 7" xfId="9423" xr:uid="{CD04A1DF-6A62-4D73-847E-607E844158DF}"/>
    <cellStyle name="Normal 3 3 3 2 2 7 2" xfId="29766" xr:uid="{407948F5-A5E9-48DD-B84E-45480A76329E}"/>
    <cellStyle name="Normal 3 3 3 2 2 8" xfId="26272" xr:uid="{0A38EE29-AFCD-443F-B38D-A79AE5D9529C}"/>
    <cellStyle name="Normal 3 3 3 2 3" xfId="6501" xr:uid="{DC43CFA9-9D28-456C-BCE9-7141AED1B932}"/>
    <cellStyle name="Normal 3 3 3 2 3 2" xfId="16787" xr:uid="{9C3388BB-967D-4C9D-BFD1-93EAD48814ED}"/>
    <cellStyle name="Normal 3 3 3 2 3 2 2" xfId="37127" xr:uid="{4F023B09-B44D-40FA-8BB6-C064E599CEEF}"/>
    <cellStyle name="Normal 3 3 3 2 3 3" xfId="20289" xr:uid="{47A3EC04-9021-4E47-8575-844976E5C661}"/>
    <cellStyle name="Normal 3 3 3 2 3 3 2" xfId="40628" xr:uid="{E9F01300-02DD-4862-A7CB-FF334B2224BD}"/>
    <cellStyle name="Normal 3 3 3 2 3 4" xfId="23544" xr:uid="{FF7F1DFF-8989-4DA9-9BA0-DA9E38B49118}"/>
    <cellStyle name="Normal 3 3 3 2 3 4 2" xfId="43879" xr:uid="{51FE6C1B-9931-484B-A707-4B2F7C58E33F}"/>
    <cellStyle name="Normal 3 3 3 2 3 5" xfId="13878" xr:uid="{1A6B1B1A-B343-43F8-A7AA-41C7CDDD4275}"/>
    <cellStyle name="Normal 3 3 3 2 3 5 2" xfId="34219" xr:uid="{612DB889-93C5-47E1-8270-AC35D9A6F97E}"/>
    <cellStyle name="Normal 3 3 3 2 3 6" xfId="10000" xr:uid="{3140B4F0-3602-4C03-BA7F-0CC3501CB155}"/>
    <cellStyle name="Normal 3 3 3 2 3 6 2" xfId="30343" xr:uid="{2422C078-3550-4889-8644-60F3B62EB44A}"/>
    <cellStyle name="Normal 3 3 3 2 3 7" xfId="26849" xr:uid="{553D9917-B858-44F4-84B9-EE38661C6763}"/>
    <cellStyle name="Normal 3 3 3 2 4" xfId="7665" xr:uid="{6977D3F3-64A6-4742-8E63-C7E895129678}"/>
    <cellStyle name="Normal 3 3 3 2 4 2" xfId="17950" xr:uid="{1888BE1B-4A3C-40A8-8CF9-C8ACFD7E8153}"/>
    <cellStyle name="Normal 3 3 3 2 4 2 2" xfId="38290" xr:uid="{127B8351-15FA-4B4A-A453-9FC7440A00CC}"/>
    <cellStyle name="Normal 3 3 3 2 4 3" xfId="21452" xr:uid="{50C52D5D-D34B-4689-AE34-7EB223767EF3}"/>
    <cellStyle name="Normal 3 3 3 2 4 3 2" xfId="41791" xr:uid="{A4017E3D-5092-4754-83AF-4954C9672E75}"/>
    <cellStyle name="Normal 3 3 3 2 4 4" xfId="24707" xr:uid="{B96065DE-9772-4A62-8A1C-0A559BAFB1A6}"/>
    <cellStyle name="Normal 3 3 3 2 4 4 2" xfId="45042" xr:uid="{3BBC00BC-30F8-409C-84C2-879783EF7C15}"/>
    <cellStyle name="Normal 3 3 3 2 4 5" xfId="15042" xr:uid="{1838455C-5D66-4228-98B3-2C20367A0124}"/>
    <cellStyle name="Normal 3 3 3 2 4 5 2" xfId="35382" xr:uid="{BBD69E59-E594-4AA9-BE1E-251F11AAE7DD}"/>
    <cellStyle name="Normal 3 3 3 2 4 6" xfId="11163" xr:uid="{7C930F45-351E-4D4B-B0D9-68F52BFB532F}"/>
    <cellStyle name="Normal 3 3 3 2 4 6 2" xfId="31506" xr:uid="{0429DED5-6987-4932-A056-5EDDF4966485}"/>
    <cellStyle name="Normal 3 3 3 2 4 7" xfId="28012" xr:uid="{FBF2C53C-2366-4FA9-B828-15AAEAA28CD1}"/>
    <cellStyle name="Normal 3 3 3 2 5" xfId="12734" xr:uid="{59CF6EFC-A83E-4E9E-BABF-1DAC94234369}"/>
    <cellStyle name="Normal 3 3 3 2 5 2" xfId="33075" xr:uid="{0A15E547-A947-4B33-8BC4-5E4C7280B163}"/>
    <cellStyle name="Normal 3 3 3 2 6" xfId="15629" xr:uid="{BD932D79-5747-4591-A3BB-A6157BC828CF}"/>
    <cellStyle name="Normal 3 3 3 2 6 2" xfId="35969" xr:uid="{5E1E8993-B7EF-4674-98E8-84D97DF976FA}"/>
    <cellStyle name="Normal 3 3 3 2 7" xfId="18543" xr:uid="{1E29665D-29D9-45F4-ACCB-4C1E2F18D3EA}"/>
    <cellStyle name="Normal 3 3 3 2 7 2" xfId="38883" xr:uid="{B445AD25-7B81-46BC-BB47-C9C2F86E3F1F}"/>
    <cellStyle name="Normal 3 3 3 2 8" xfId="19131" xr:uid="{E06A6ADF-2540-408D-97E9-1E4FDA113214}"/>
    <cellStyle name="Normal 3 3 3 2 8 2" xfId="39470" xr:uid="{164E5ECE-3694-44BE-AB1F-C873C77004A1}"/>
    <cellStyle name="Normal 3 3 3 2 9" xfId="22386" xr:uid="{ED1FAB6D-4A04-46AF-A330-EC536984C8FB}"/>
    <cellStyle name="Normal 3 3 3 2 9 2" xfId="42721" xr:uid="{6064E717-77C2-414A-A615-125A80F173BE}"/>
    <cellStyle name="Normal 3 3 3 3" xfId="5581" xr:uid="{CB168835-21BC-4A41-9F10-A400A1920293}"/>
    <cellStyle name="Normal 3 3 3 3 10" xfId="12332" xr:uid="{78AA86FA-38F4-42D7-A768-E2CDBABB29E4}"/>
    <cellStyle name="Normal 3 3 3 3 10 2" xfId="32673" xr:uid="{116862C9-EB47-4D6C-A351-1EEE974A42EE}"/>
    <cellStyle name="Normal 3 3 3 3 11" xfId="9071" xr:uid="{D18A13A0-3C58-43B7-B9D0-D45D9F6D48E3}"/>
    <cellStyle name="Normal 3 3 3 3 11 2" xfId="29414" xr:uid="{5FEF130B-AB83-4CFF-9DAD-83A8AA0031EA}"/>
    <cellStyle name="Normal 3 3 3 3 12" xfId="25920" xr:uid="{C2A3F42B-EBFB-407E-8A67-7C1FA6E84D95}"/>
    <cellStyle name="Normal 3 3 3 3 2" xfId="6153" xr:uid="{4540DDE2-2E14-4514-B10A-5FBAB099B0F5}"/>
    <cellStyle name="Normal 3 3 3 3 2 2" xfId="7311" xr:uid="{FF681541-1082-4177-ACA8-3D4F041AE58C}"/>
    <cellStyle name="Normal 3 3 3 3 2 2 2" xfId="17597" xr:uid="{5287F516-B34A-4BE1-B15B-2D458931C0DE}"/>
    <cellStyle name="Normal 3 3 3 3 2 2 2 2" xfId="37937" xr:uid="{080C34FB-E1E9-4551-8053-E91336AF5E92}"/>
    <cellStyle name="Normal 3 3 3 3 2 2 3" xfId="21099" xr:uid="{E74D275B-677B-4F92-AC26-606ADA171129}"/>
    <cellStyle name="Normal 3 3 3 3 2 2 3 2" xfId="41438" xr:uid="{EBB9DBB0-4ABA-4B12-AD6B-DD2B0095E8F3}"/>
    <cellStyle name="Normal 3 3 3 3 2 2 4" xfId="24354" xr:uid="{41263A41-F4A2-4F5B-A7A4-9292C341DFD2}"/>
    <cellStyle name="Normal 3 3 3 3 2 2 4 2" xfId="44689" xr:uid="{AED34B88-38F5-4ACE-8CB3-3FA50C970AC0}"/>
    <cellStyle name="Normal 3 3 3 3 2 2 5" xfId="14688" xr:uid="{F2D27906-BF64-43DD-8791-0CD75737164F}"/>
    <cellStyle name="Normal 3 3 3 3 2 2 5 2" xfId="35029" xr:uid="{949AF874-C1F7-49F2-9CD0-9B1A5145FA38}"/>
    <cellStyle name="Normal 3 3 3 3 2 2 6" xfId="10810" xr:uid="{0CB7F2B2-6E77-4596-AAD2-9F78AF94F344}"/>
    <cellStyle name="Normal 3 3 3 3 2 2 6 2" xfId="31153" xr:uid="{66939B17-819F-4779-B45B-9F550C467EED}"/>
    <cellStyle name="Normal 3 3 3 3 2 2 7" xfId="27659" xr:uid="{1BC233C5-9929-4B03-B0EF-59793FAB73D1}"/>
    <cellStyle name="Normal 3 3 3 3 2 3" xfId="16439" xr:uid="{E5FE4620-F3E1-4134-810F-3B4192A3F2AE}"/>
    <cellStyle name="Normal 3 3 3 3 2 3 2" xfId="36779" xr:uid="{6E181BEC-F4A4-4E85-B3DB-94C9A70035FE}"/>
    <cellStyle name="Normal 3 3 3 3 2 4" xfId="19941" xr:uid="{A48E1FD1-A2D0-4249-BD39-218DD5B44926}"/>
    <cellStyle name="Normal 3 3 3 3 2 4 2" xfId="40280" xr:uid="{695B8C53-8A1F-445A-B1B0-2625E26336B4}"/>
    <cellStyle name="Normal 3 3 3 3 2 5" xfId="23196" xr:uid="{7D59A9B9-B0A9-4788-A0CF-72A0595BE55F}"/>
    <cellStyle name="Normal 3 3 3 3 2 5 2" xfId="43531" xr:uid="{897CE338-CA8D-4270-8964-BBBE0FDD8C84}"/>
    <cellStyle name="Normal 3 3 3 3 2 6" xfId="13530" xr:uid="{077EB1C2-3AF3-4F6A-9064-221FEDA4406D}"/>
    <cellStyle name="Normal 3 3 3 3 2 6 2" xfId="33871" xr:uid="{46E4B068-5152-4FFD-ABE6-227B53B30B71}"/>
    <cellStyle name="Normal 3 3 3 3 2 7" xfId="9652" xr:uid="{AF8F5467-DB48-4E05-87E3-996169B72D3A}"/>
    <cellStyle name="Normal 3 3 3 3 2 7 2" xfId="29995" xr:uid="{9A177DF2-969E-4FD0-8E1D-F876851FC3A3}"/>
    <cellStyle name="Normal 3 3 3 3 2 8" xfId="26501" xr:uid="{427F0261-DA08-4FFE-8AD3-BEFF8B1246BA}"/>
    <cellStyle name="Normal 3 3 3 3 3" xfId="6730" xr:uid="{15D78C28-7B26-4B74-B08E-FD2A9575A5CF}"/>
    <cellStyle name="Normal 3 3 3 3 3 2" xfId="17016" xr:uid="{2E41D760-B401-4A20-9D1A-9CC4E931D82C}"/>
    <cellStyle name="Normal 3 3 3 3 3 2 2" xfId="37356" xr:uid="{41647CA3-E8C9-4697-839B-8ABC5683C950}"/>
    <cellStyle name="Normal 3 3 3 3 3 3" xfId="20518" xr:uid="{5BB52C1C-BCF1-40AF-9EBB-CB1DE23FFB4F}"/>
    <cellStyle name="Normal 3 3 3 3 3 3 2" xfId="40857" xr:uid="{F5E98658-1CB7-4FAC-A383-E92D4EB7D4FB}"/>
    <cellStyle name="Normal 3 3 3 3 3 4" xfId="23773" xr:uid="{DC80FEFD-4B94-4EE8-A210-A0C289091077}"/>
    <cellStyle name="Normal 3 3 3 3 3 4 2" xfId="44108" xr:uid="{8EA74920-851D-47CA-BBE4-F237A00784F9}"/>
    <cellStyle name="Normal 3 3 3 3 3 5" xfId="14107" xr:uid="{FCB8B56C-F44F-4471-97D6-FC95402F9C27}"/>
    <cellStyle name="Normal 3 3 3 3 3 5 2" xfId="34448" xr:uid="{77679B52-7832-4562-A8BA-365F38F75317}"/>
    <cellStyle name="Normal 3 3 3 3 3 6" xfId="10229" xr:uid="{79E459BD-10AD-4C54-B34C-36591F449F6F}"/>
    <cellStyle name="Normal 3 3 3 3 3 6 2" xfId="30572" xr:uid="{2A4A510E-9EC2-4C5B-831C-8C14DAFB34E5}"/>
    <cellStyle name="Normal 3 3 3 3 3 7" xfId="27078" xr:uid="{E2D6F440-B10F-44CD-A6C1-C2C554C31E23}"/>
    <cellStyle name="Normal 3 3 3 3 4" xfId="7894" xr:uid="{9B258F0F-5EE6-4E5F-9FF1-A30BD9FFC49B}"/>
    <cellStyle name="Normal 3 3 3 3 4 2" xfId="18179" xr:uid="{99B2C148-9544-4A6F-BA31-942C97560446}"/>
    <cellStyle name="Normal 3 3 3 3 4 2 2" xfId="38519" xr:uid="{42458141-28CD-4967-BCD2-2FFDC251B734}"/>
    <cellStyle name="Normal 3 3 3 3 4 3" xfId="21681" xr:uid="{1586E0FA-42F6-4D7F-A1BE-4CA848A1B149}"/>
    <cellStyle name="Normal 3 3 3 3 4 3 2" xfId="42020" xr:uid="{EAEFADD9-FC1E-49A9-8A24-577336D71AC8}"/>
    <cellStyle name="Normal 3 3 3 3 4 4" xfId="24936" xr:uid="{8A010DEE-A3D4-4BAA-9368-E42B713AC802}"/>
    <cellStyle name="Normal 3 3 3 3 4 4 2" xfId="45271" xr:uid="{5542C153-F2F6-445D-BF5F-FB7711EA89CA}"/>
    <cellStyle name="Normal 3 3 3 3 4 5" xfId="15271" xr:uid="{DCB5223F-6EF5-4B5B-81F5-0F534004F9A4}"/>
    <cellStyle name="Normal 3 3 3 3 4 5 2" xfId="35611" xr:uid="{C0C54F2F-A811-4A4F-8F35-D9F3EB2F97C1}"/>
    <cellStyle name="Normal 3 3 3 3 4 6" xfId="11392" xr:uid="{88900F0C-42B2-4626-A6CC-8CF4AE66830F}"/>
    <cellStyle name="Normal 3 3 3 3 4 6 2" xfId="31735" xr:uid="{A1ED78D6-ABCE-48CA-AD8A-4047A52D9D34}"/>
    <cellStyle name="Normal 3 3 3 3 4 7" xfId="28241" xr:uid="{12646ED3-21A4-44E7-BF21-60AEF7A04BA0}"/>
    <cellStyle name="Normal 3 3 3 3 5" xfId="12961" xr:uid="{72F9D10E-BB94-4C47-8A62-1C1D5FB8B183}"/>
    <cellStyle name="Normal 3 3 3 3 5 2" xfId="33302" xr:uid="{ACFA9B0A-C9EA-4D25-ADFD-173AA72AD1BA}"/>
    <cellStyle name="Normal 3 3 3 3 6" xfId="15858" xr:uid="{665A76CC-7A20-4AFF-9D19-5953F5A6F675}"/>
    <cellStyle name="Normal 3 3 3 3 6 2" xfId="36198" xr:uid="{D830A506-57A6-42F6-91C8-C5F147518589}"/>
    <cellStyle name="Normal 3 3 3 3 7" xfId="18772" xr:uid="{1C79A4A6-BD20-45A9-B38B-247DA2767AE2}"/>
    <cellStyle name="Normal 3 3 3 3 7 2" xfId="39112" xr:uid="{D906F8C9-5A84-49F6-86FC-5DFE6AD33FA1}"/>
    <cellStyle name="Normal 3 3 3 3 8" xfId="19360" xr:uid="{ADA7A326-4771-4097-9926-EFC834032961}"/>
    <cellStyle name="Normal 3 3 3 3 8 2" xfId="39699" xr:uid="{8AD44F13-D201-49CB-92F1-9C5E2FE69D98}"/>
    <cellStyle name="Normal 3 3 3 3 9" xfId="22615" xr:uid="{0A4AB973-C8FC-405E-9F94-A2470DD81461}"/>
    <cellStyle name="Normal 3 3 3 3 9 2" xfId="42950" xr:uid="{4A44B2F8-F216-4EE3-A80F-0E271747B965}"/>
    <cellStyle name="Normal 3 3 3 4" xfId="5809" xr:uid="{0B7D5213-C05B-48EC-8250-4220D40751D4}"/>
    <cellStyle name="Normal 3 3 3 4 2" xfId="6967" xr:uid="{455113B9-5604-4B98-A2A1-8159DA505A9D}"/>
    <cellStyle name="Normal 3 3 3 4 2 2" xfId="17253" xr:uid="{39773BF7-4B6E-45C2-86E9-C90B3A73E7FD}"/>
    <cellStyle name="Normal 3 3 3 4 2 2 2" xfId="37593" xr:uid="{85B5EEB5-FBF9-4861-91B2-4DCBC5F6B17D}"/>
    <cellStyle name="Normal 3 3 3 4 2 3" xfId="20755" xr:uid="{88F30FC9-6912-42AB-B800-CC26EF7D76C0}"/>
    <cellStyle name="Normal 3 3 3 4 2 3 2" xfId="41094" xr:uid="{F52F1C13-7231-4B71-AD0D-9DE00E78641F}"/>
    <cellStyle name="Normal 3 3 3 4 2 4" xfId="24010" xr:uid="{4EFD5A8F-9025-46CE-9304-E033CC8BF931}"/>
    <cellStyle name="Normal 3 3 3 4 2 4 2" xfId="44345" xr:uid="{628F15B1-6BA5-4270-97F0-B4624BFE030B}"/>
    <cellStyle name="Normal 3 3 3 4 2 5" xfId="14344" xr:uid="{A40B9A7E-470F-40B7-A0CE-DFB3CC4E3DFF}"/>
    <cellStyle name="Normal 3 3 3 4 2 5 2" xfId="34685" xr:uid="{1BB8667F-DC5F-40C5-8ACE-69D190E59EFD}"/>
    <cellStyle name="Normal 3 3 3 4 2 6" xfId="10466" xr:uid="{20636CE6-5CAD-4F76-A3DF-0378645E2A69}"/>
    <cellStyle name="Normal 3 3 3 4 2 6 2" xfId="30809" xr:uid="{FFD093AD-BF30-4294-8119-39FF547CA944}"/>
    <cellStyle name="Normal 3 3 3 4 2 7" xfId="27315" xr:uid="{44720156-65CA-4357-920E-02B8269EF7FB}"/>
    <cellStyle name="Normal 3 3 3 4 3" xfId="16095" xr:uid="{B240065A-2DFD-46E3-BEF6-B857EE6861CA}"/>
    <cellStyle name="Normal 3 3 3 4 3 2" xfId="36435" xr:uid="{CC91D994-3D5B-42D2-B40A-E841678FDE63}"/>
    <cellStyle name="Normal 3 3 3 4 4" xfId="19597" xr:uid="{601A3FF6-7DF8-4D7F-BE33-7D5532FD89C6}"/>
    <cellStyle name="Normal 3 3 3 4 4 2" xfId="39936" xr:uid="{4FF93FF2-C513-4B8E-86BE-59A94A705FD8}"/>
    <cellStyle name="Normal 3 3 3 4 5" xfId="22852" xr:uid="{C301C194-2FE3-40CF-B58D-AFAC15C7A994}"/>
    <cellStyle name="Normal 3 3 3 4 5 2" xfId="43187" xr:uid="{8FE024A7-29A7-47A7-81D0-8CB1E5E7E955}"/>
    <cellStyle name="Normal 3 3 3 4 6" xfId="13192" xr:uid="{707BF7E3-F40E-4D47-8514-FED95B202B7B}"/>
    <cellStyle name="Normal 3 3 3 4 6 2" xfId="33533" xr:uid="{9DECC36B-0F18-4712-8DD3-A5FD1BFCEECF}"/>
    <cellStyle name="Normal 3 3 3 4 7" xfId="9308" xr:uid="{94BE9AA4-8256-4EEF-A14F-A7842241F3B5}"/>
    <cellStyle name="Normal 3 3 3 4 7 2" xfId="29651" xr:uid="{4C7121AE-D47F-43A9-AA51-A2179D9CFFD6}"/>
    <cellStyle name="Normal 3 3 3 4 8" xfId="26157" xr:uid="{108050E0-97C3-4F19-8850-14E83F181B99}"/>
    <cellStyle name="Normal 3 3 3 5" xfId="6386" xr:uid="{C5ECECDD-20D5-4AFA-BD7B-0EBDFAC49D0C}"/>
    <cellStyle name="Normal 3 3 3 5 2" xfId="16672" xr:uid="{1589D36B-B6B0-4A91-A898-EC72D919ADA3}"/>
    <cellStyle name="Normal 3 3 3 5 2 2" xfId="37012" xr:uid="{BA167A9C-BE2D-4F99-98AA-CCE8F866406C}"/>
    <cellStyle name="Normal 3 3 3 5 3" xfId="20174" xr:uid="{5FBFC3AF-F1B2-4458-B1E2-11A6A7B814DB}"/>
    <cellStyle name="Normal 3 3 3 5 3 2" xfId="40513" xr:uid="{98B80C2C-FDDF-4741-953B-DFBBCCE1FBD5}"/>
    <cellStyle name="Normal 3 3 3 5 4" xfId="23429" xr:uid="{FCC525A8-4333-4631-AFA6-BAB9FA2F8226}"/>
    <cellStyle name="Normal 3 3 3 5 4 2" xfId="43764" xr:uid="{10FD5940-BA83-4EAB-95C6-363FE3281360}"/>
    <cellStyle name="Normal 3 3 3 5 5" xfId="13763" xr:uid="{53801A78-64D9-4EC6-8BB5-1A56B16AA120}"/>
    <cellStyle name="Normal 3 3 3 5 5 2" xfId="34104" xr:uid="{1324C00E-FC5E-4D8E-8489-5E7C3E1B209F}"/>
    <cellStyle name="Normal 3 3 3 5 6" xfId="9885" xr:uid="{CD1E003F-930C-4F02-89E9-59D2DAABDE64}"/>
    <cellStyle name="Normal 3 3 3 5 6 2" xfId="30228" xr:uid="{BE47AEE5-1F86-4402-96E5-9B343301549F}"/>
    <cellStyle name="Normal 3 3 3 5 7" xfId="26734" xr:uid="{95D653B2-5CC2-481A-9D01-2E499AEA02F0}"/>
    <cellStyle name="Normal 3 3 3 6" xfId="7550" xr:uid="{FC6F80D4-3EA5-485B-8F9B-48A87D1AE72F}"/>
    <cellStyle name="Normal 3 3 3 6 2" xfId="17835" xr:uid="{9C457A74-3FC7-4F23-AFBC-059F817B790C}"/>
    <cellStyle name="Normal 3 3 3 6 2 2" xfId="38175" xr:uid="{B01D443E-835D-40A0-B62A-D3072765A60E}"/>
    <cellStyle name="Normal 3 3 3 6 3" xfId="21337" xr:uid="{31176D30-B050-44D6-8D7E-1458150C35BD}"/>
    <cellStyle name="Normal 3 3 3 6 3 2" xfId="41676" xr:uid="{B4C5F57E-FFBE-4D6F-9AD9-2EBA03CE1D27}"/>
    <cellStyle name="Normal 3 3 3 6 4" xfId="24592" xr:uid="{BE415F58-B3AB-4E93-9E93-7FA9F28CF29B}"/>
    <cellStyle name="Normal 3 3 3 6 4 2" xfId="44927" xr:uid="{52237A7D-8427-471D-BFE0-C060D0A3F39C}"/>
    <cellStyle name="Normal 3 3 3 6 5" xfId="14927" xr:uid="{DF36B656-0D13-4B16-83E3-2ECEBF4B04D2}"/>
    <cellStyle name="Normal 3 3 3 6 5 2" xfId="35267" xr:uid="{8B6168C8-696C-4AC2-8A3A-6DD686D9D453}"/>
    <cellStyle name="Normal 3 3 3 6 6" xfId="11048" xr:uid="{994D749E-1B72-4AAF-BC05-B1462D619D88}"/>
    <cellStyle name="Normal 3 3 3 6 6 2" xfId="31391" xr:uid="{8E7C701B-753F-4F78-A475-81B40AA7F2F5}"/>
    <cellStyle name="Normal 3 3 3 6 7" xfId="27897" xr:uid="{CDD63E00-EF5C-4AF5-AE60-C7C54006AFDA}"/>
    <cellStyle name="Normal 3 3 3 7" xfId="8102" xr:uid="{E95C4191-9E52-44CE-8943-692F868710B4}"/>
    <cellStyle name="Normal 3 3 3 7 2" xfId="21889" xr:uid="{188C248E-0E32-41C6-AEC1-6A7C67C5870B}"/>
    <cellStyle name="Normal 3 3 3 7 2 2" xfId="42225" xr:uid="{59882281-D875-4989-95A0-54E81F4AB985}"/>
    <cellStyle name="Normal 3 3 3 7 3" xfId="25141" xr:uid="{EEE0E29B-5095-4280-9309-62CD4751EC62}"/>
    <cellStyle name="Normal 3 3 3 7 3 2" xfId="45476" xr:uid="{0B4B87C8-0F84-46C3-8EB2-CD3D553CC2EB}"/>
    <cellStyle name="Normal 3 3 3 7 4" xfId="12623" xr:uid="{19F14772-6B0C-4096-86EB-BE1BB3B7490C}"/>
    <cellStyle name="Normal 3 3 3 7 4 2" xfId="32964" xr:uid="{65A6DFE5-9080-4872-B053-45D6EE53C375}"/>
    <cellStyle name="Normal 3 3 3 7 5" xfId="11598" xr:uid="{D0989701-09C4-463A-A04C-606564959B95}"/>
    <cellStyle name="Normal 3 3 3 7 5 2" xfId="31940" xr:uid="{51E68ABE-3F64-408C-B984-B7EB13432800}"/>
    <cellStyle name="Normal 3 3 3 7 6" xfId="28446" xr:uid="{71835070-35B5-4114-A645-709E968A5C42}"/>
    <cellStyle name="Normal 3 3 3 8" xfId="8555" xr:uid="{1D9675F5-ABB4-472A-8204-564C7F828EF3}"/>
    <cellStyle name="Normal 3 3 3 8 2" xfId="15514" xr:uid="{4DF0BA2B-27F0-4852-988B-D5A0FFCF37BA}"/>
    <cellStyle name="Normal 3 3 3 8 2 2" xfId="35854" xr:uid="{FAC5F2B4-C297-4A5C-939A-550F8330BDF5}"/>
    <cellStyle name="Normal 3 3 3 8 3" xfId="28898" xr:uid="{C7554EF0-B264-4674-88B9-0A7F3F08B26D}"/>
    <cellStyle name="Normal 3 3 3 9" xfId="18428" xr:uid="{FF31D9A8-93DE-4B1A-85FF-CEA22FA728B3}"/>
    <cellStyle name="Normal 3 3 3 9 2" xfId="38768" xr:uid="{B89EAD21-0960-4729-A569-95AF5A43E07F}"/>
    <cellStyle name="Normal 3 3 4" xfId="4812" xr:uid="{D3461774-1919-4ACC-A4D3-0707A843F4A4}"/>
    <cellStyle name="Normal 3 3 4 10" xfId="19041" xr:uid="{20958E7D-A5C8-4EAC-AD95-F8F4E0BA7F04}"/>
    <cellStyle name="Normal 3 3 4 10 2" xfId="39380" xr:uid="{789B484F-CF59-4BAA-8A06-0F3F53A4743A}"/>
    <cellStyle name="Normal 3 3 4 11" xfId="22296" xr:uid="{CCC0873B-CC99-41BC-A873-ED58A1FF9896}"/>
    <cellStyle name="Normal 3 3 4 11 2" xfId="42631" xr:uid="{4A5647AF-811F-4622-821E-1E1BBF4FF0A4}"/>
    <cellStyle name="Normal 3 3 4 12" xfId="12013" xr:uid="{5B4A1654-9E11-44FB-869A-53D2C4AD270B}"/>
    <cellStyle name="Normal 3 3 4 12 2" xfId="32354" xr:uid="{E75A8A27-3914-4476-A99B-2421317A0CB1}"/>
    <cellStyle name="Normal 3 3 4 13" xfId="8752" xr:uid="{92CF811F-CB89-458D-923F-2E8908EBB10D}"/>
    <cellStyle name="Normal 3 3 4 13 2" xfId="29095" xr:uid="{D1EEDADB-BD64-44B0-968A-912074BD7FC9}"/>
    <cellStyle name="Normal 3 3 4 14" xfId="25597" xr:uid="{41BF9C3D-2A8E-4DD6-BB31-CA3573E8D3E5}"/>
    <cellStyle name="Normal 3 3 4 15" xfId="46083" xr:uid="{0FC945C7-E00D-47D5-B475-18B4D10048DF}"/>
    <cellStyle name="Normal 3 3 4 16" xfId="46569" xr:uid="{BD06D8B4-9165-4A50-ADEF-CAD2BD6DB551}"/>
    <cellStyle name="Normal 3 3 4 17" xfId="47061" xr:uid="{F4D71AFD-BE5B-498A-93C0-35AF92FA117E}"/>
    <cellStyle name="Normal 3 3 4 2" xfId="5385" xr:uid="{D9E519AB-E3BF-4587-A760-885AAE2ABFDE}"/>
    <cellStyle name="Normal 3 3 4 2 10" xfId="12128" xr:uid="{C616E241-28E7-45EE-BFA9-CB7E0140B530}"/>
    <cellStyle name="Normal 3 3 4 2 10 2" xfId="32469" xr:uid="{AC1F8F23-45F5-418E-AC0A-FC227144AECA}"/>
    <cellStyle name="Normal 3 3 4 2 11" xfId="8867" xr:uid="{84A5D10D-670E-4A2C-930D-66E69B10B3E7}"/>
    <cellStyle name="Normal 3 3 4 2 11 2" xfId="29210" xr:uid="{9EC2FC91-6CA7-426F-AB10-E3F770FD942F}"/>
    <cellStyle name="Normal 3 3 4 2 12" xfId="25716" xr:uid="{68FED604-D743-41FF-A050-63DEB0C70793}"/>
    <cellStyle name="Normal 3 3 4 2 2" xfId="5949" xr:uid="{05D85700-3FE7-4682-9CC7-36D5795B69C4}"/>
    <cellStyle name="Normal 3 3 4 2 2 2" xfId="7107" xr:uid="{6DE3D91B-52D7-4D64-B870-B9DFA41F3143}"/>
    <cellStyle name="Normal 3 3 4 2 2 2 2" xfId="17393" xr:uid="{6CA5705D-BB92-4CC7-8641-18D6AEE479E4}"/>
    <cellStyle name="Normal 3 3 4 2 2 2 2 2" xfId="37733" xr:uid="{EAA0C090-54E9-441F-B89A-063A6C2FB59B}"/>
    <cellStyle name="Normal 3 3 4 2 2 2 3" xfId="20895" xr:uid="{E2E8493E-BEC9-4C1F-BC92-75205BFEF6A4}"/>
    <cellStyle name="Normal 3 3 4 2 2 2 3 2" xfId="41234" xr:uid="{51529BA6-6027-4B8A-9893-2D2DD049B441}"/>
    <cellStyle name="Normal 3 3 4 2 2 2 4" xfId="24150" xr:uid="{6BF1BC44-766D-45FD-8989-489702303695}"/>
    <cellStyle name="Normal 3 3 4 2 2 2 4 2" xfId="44485" xr:uid="{E82EE1EF-504B-40BF-BC10-EEA06D641436}"/>
    <cellStyle name="Normal 3 3 4 2 2 2 5" xfId="14484" xr:uid="{719174F1-1DD4-4668-BC1F-885A41C8986E}"/>
    <cellStyle name="Normal 3 3 4 2 2 2 5 2" xfId="34825" xr:uid="{D962B496-E851-4A81-ACCC-3A17DBB87A29}"/>
    <cellStyle name="Normal 3 3 4 2 2 2 6" xfId="10606" xr:uid="{2AF97584-D0A6-4735-94F1-89B551ABFFFB}"/>
    <cellStyle name="Normal 3 3 4 2 2 2 6 2" xfId="30949" xr:uid="{DBE19AE9-24A0-4806-A0C1-C65160B78348}"/>
    <cellStyle name="Normal 3 3 4 2 2 2 7" xfId="27455" xr:uid="{38FB6690-990B-4EA6-A068-17EC0AB48E0E}"/>
    <cellStyle name="Normal 3 3 4 2 2 3" xfId="16235" xr:uid="{A1B7120F-A1A1-4D25-9CD9-896851C21A70}"/>
    <cellStyle name="Normal 3 3 4 2 2 3 2" xfId="36575" xr:uid="{2D39F9D8-C5D7-43B5-ACE0-5104C0D1FE16}"/>
    <cellStyle name="Normal 3 3 4 2 2 4" xfId="19737" xr:uid="{26C13D05-3559-40D5-A2F4-A8876BDF520C}"/>
    <cellStyle name="Normal 3 3 4 2 2 4 2" xfId="40076" xr:uid="{3897C714-B5FE-4670-814D-0753BEFB6304}"/>
    <cellStyle name="Normal 3 3 4 2 2 5" xfId="22992" xr:uid="{A1D915CF-95B1-47E5-80B6-78E31AF6155D}"/>
    <cellStyle name="Normal 3 3 4 2 2 5 2" xfId="43327" xr:uid="{390A00BC-7E05-4646-8AA4-EC47380D5D89}"/>
    <cellStyle name="Normal 3 3 4 2 2 6" xfId="13326" xr:uid="{CCFA016C-3ABC-437E-B399-03CC7F4222E3}"/>
    <cellStyle name="Normal 3 3 4 2 2 6 2" xfId="33667" xr:uid="{6ED0F065-97F6-482C-90D4-EB68276827B9}"/>
    <cellStyle name="Normal 3 3 4 2 2 7" xfId="9448" xr:uid="{1E3055D1-61B8-484E-AD80-BE6DDFFC0FC1}"/>
    <cellStyle name="Normal 3 3 4 2 2 7 2" xfId="29791" xr:uid="{99A3F3A7-F52D-4C22-B21E-4B0B7B21F59F}"/>
    <cellStyle name="Normal 3 3 4 2 2 8" xfId="26297" xr:uid="{033C9F25-3880-4208-AD3D-9418FAB2DC48}"/>
    <cellStyle name="Normal 3 3 4 2 3" xfId="6526" xr:uid="{CECED5E0-55D9-4EEC-B44B-45B8DFCFCAB8}"/>
    <cellStyle name="Normal 3 3 4 2 3 2" xfId="16812" xr:uid="{8BF35410-25CF-4D8E-B158-EC6ED2AC4819}"/>
    <cellStyle name="Normal 3 3 4 2 3 2 2" xfId="37152" xr:uid="{92B09F12-892E-415B-918E-D9A5579C89CA}"/>
    <cellStyle name="Normal 3 3 4 2 3 3" xfId="20314" xr:uid="{5D784C45-5677-436D-B48C-D6673EF62211}"/>
    <cellStyle name="Normal 3 3 4 2 3 3 2" xfId="40653" xr:uid="{B85D1D37-8A91-4D6E-A032-7E545E4CD57A}"/>
    <cellStyle name="Normal 3 3 4 2 3 4" xfId="23569" xr:uid="{19EF9563-A97A-44D2-AAFB-20AEA2A05AC1}"/>
    <cellStyle name="Normal 3 3 4 2 3 4 2" xfId="43904" xr:uid="{1BC99FE4-A67E-4E4D-A670-728AF9E5684B}"/>
    <cellStyle name="Normal 3 3 4 2 3 5" xfId="13903" xr:uid="{9D8D96DD-23F6-4DAA-9FEA-2B1862DEA5FC}"/>
    <cellStyle name="Normal 3 3 4 2 3 5 2" xfId="34244" xr:uid="{75FF8C18-0F8D-4AE7-B95D-967543561393}"/>
    <cellStyle name="Normal 3 3 4 2 3 6" xfId="10025" xr:uid="{9E42E152-96B0-4FF0-AEBC-F7DAE97377C0}"/>
    <cellStyle name="Normal 3 3 4 2 3 6 2" xfId="30368" xr:uid="{3B631F29-24B8-49EB-BCAC-D940842CF03C}"/>
    <cellStyle name="Normal 3 3 4 2 3 7" xfId="26874" xr:uid="{5A70F695-2D8A-4AC4-8A81-CDA8199BC87B}"/>
    <cellStyle name="Normal 3 3 4 2 4" xfId="7690" xr:uid="{20F8757A-7588-4F04-969B-4BAD93A704F3}"/>
    <cellStyle name="Normal 3 3 4 2 4 2" xfId="17975" xr:uid="{A90CC14A-7C91-4906-9A32-860540CD0610}"/>
    <cellStyle name="Normal 3 3 4 2 4 2 2" xfId="38315" xr:uid="{CC487837-4368-41E6-8AD2-82AB4201EA17}"/>
    <cellStyle name="Normal 3 3 4 2 4 3" xfId="21477" xr:uid="{51C55D4D-1DF2-4030-8BDE-DFCEECD2E885}"/>
    <cellStyle name="Normal 3 3 4 2 4 3 2" xfId="41816" xr:uid="{F28C016F-2E61-49AE-B302-BB01E3B24A55}"/>
    <cellStyle name="Normal 3 3 4 2 4 4" xfId="24732" xr:uid="{50393E8A-F29F-4B19-83AC-C27071D794B9}"/>
    <cellStyle name="Normal 3 3 4 2 4 4 2" xfId="45067" xr:uid="{8B1CE2C9-4507-4F5A-AAE6-110CD86BB4DD}"/>
    <cellStyle name="Normal 3 3 4 2 4 5" xfId="15067" xr:uid="{9CEC78E8-2AEE-4065-BF09-ED714E5E3568}"/>
    <cellStyle name="Normal 3 3 4 2 4 5 2" xfId="35407" xr:uid="{3F9C0D8A-B250-4A65-836B-D4A401F875B7}"/>
    <cellStyle name="Normal 3 3 4 2 4 6" xfId="11188" xr:uid="{9D5334CD-77A1-430F-95B4-0384AE5892B4}"/>
    <cellStyle name="Normal 3 3 4 2 4 6 2" xfId="31531" xr:uid="{5128D77D-B3E0-4B17-B7A3-F7D146007F5E}"/>
    <cellStyle name="Normal 3 3 4 2 4 7" xfId="28037" xr:uid="{0FB86F68-5D09-4B0A-B439-4E029F27CD76}"/>
    <cellStyle name="Normal 3 3 4 2 5" xfId="12757" xr:uid="{9AFEEF14-AE47-4E9B-882C-7D44745217E8}"/>
    <cellStyle name="Normal 3 3 4 2 5 2" xfId="33098" xr:uid="{8587A802-BD05-4756-B8E1-B434EFB3A645}"/>
    <cellStyle name="Normal 3 3 4 2 6" xfId="15654" xr:uid="{517AA320-A50E-432A-A1C7-7F6E3CF6698D}"/>
    <cellStyle name="Normal 3 3 4 2 6 2" xfId="35994" xr:uid="{A27B385F-A2C7-40C4-B340-2268BF89C199}"/>
    <cellStyle name="Normal 3 3 4 2 7" xfId="18568" xr:uid="{BDBF1C80-328F-4AA5-9725-9470205C6715}"/>
    <cellStyle name="Normal 3 3 4 2 7 2" xfId="38908" xr:uid="{50E947A1-4964-4E66-911B-4F2F28CF8B3E}"/>
    <cellStyle name="Normal 3 3 4 2 8" xfId="19156" xr:uid="{6DEB1F34-5548-4767-A8A9-76EA715633DF}"/>
    <cellStyle name="Normal 3 3 4 2 8 2" xfId="39495" xr:uid="{7FA87698-3448-46AE-B792-125C678579C7}"/>
    <cellStyle name="Normal 3 3 4 2 9" xfId="22411" xr:uid="{B346F538-D89C-4DF4-9F4F-8F69829638DB}"/>
    <cellStyle name="Normal 3 3 4 2 9 2" xfId="42746" xr:uid="{EDC312C5-02FA-4F28-A56E-D9DBED857CF4}"/>
    <cellStyle name="Normal 3 3 4 3" xfId="5606" xr:uid="{12AC982D-8BF4-4B9F-ACA3-0EA6BC17A7E5}"/>
    <cellStyle name="Normal 3 3 4 3 10" xfId="12357" xr:uid="{8C1C224E-9E7D-44BF-B76B-CB524ADF2C37}"/>
    <cellStyle name="Normal 3 3 4 3 10 2" xfId="32698" xr:uid="{569B75A3-A8C1-483F-A3C7-19CF60B8A8E9}"/>
    <cellStyle name="Normal 3 3 4 3 11" xfId="9096" xr:uid="{009B1A05-960F-407C-A415-879488F1C7B7}"/>
    <cellStyle name="Normal 3 3 4 3 11 2" xfId="29439" xr:uid="{75C53943-C13A-46D7-82C8-B7C773F932B3}"/>
    <cellStyle name="Normal 3 3 4 3 12" xfId="25945" xr:uid="{42BB6C6A-025E-4778-A66E-B72DEA169DB6}"/>
    <cellStyle name="Normal 3 3 4 3 2" xfId="6178" xr:uid="{8CF1D766-EEEC-44E4-9869-E7EA435AA011}"/>
    <cellStyle name="Normal 3 3 4 3 2 2" xfId="7336" xr:uid="{47B08625-4F86-446A-A0B6-07A42EF626A9}"/>
    <cellStyle name="Normal 3 3 4 3 2 2 2" xfId="17622" xr:uid="{7BB49654-7DDE-4C1A-951C-0BBCBCCE6502}"/>
    <cellStyle name="Normal 3 3 4 3 2 2 2 2" xfId="37962" xr:uid="{0B5EAFDE-B517-4BB4-8ED0-F8A39F7F6D96}"/>
    <cellStyle name="Normal 3 3 4 3 2 2 3" xfId="21124" xr:uid="{89756746-F905-4D61-8B62-55D5DD53BF88}"/>
    <cellStyle name="Normal 3 3 4 3 2 2 3 2" xfId="41463" xr:uid="{FD4E8596-C00C-4CBE-8F2A-820A877371E6}"/>
    <cellStyle name="Normal 3 3 4 3 2 2 4" xfId="24379" xr:uid="{9BE7D239-2067-4967-80C5-9F777CBC7248}"/>
    <cellStyle name="Normal 3 3 4 3 2 2 4 2" xfId="44714" xr:uid="{76686FC1-A43F-4080-B0B5-CF8ECFA143F1}"/>
    <cellStyle name="Normal 3 3 4 3 2 2 5" xfId="14713" xr:uid="{66413569-9E43-4881-817F-4FC05A683402}"/>
    <cellStyle name="Normal 3 3 4 3 2 2 5 2" xfId="35054" xr:uid="{645FE84C-EF74-4652-96D7-C425DDFA7D80}"/>
    <cellStyle name="Normal 3 3 4 3 2 2 6" xfId="10835" xr:uid="{FEC8770A-EDA2-4B02-9E04-EB099E6FF61C}"/>
    <cellStyle name="Normal 3 3 4 3 2 2 6 2" xfId="31178" xr:uid="{FE916F0F-87AA-4BC1-A7D6-DD62DD401C5D}"/>
    <cellStyle name="Normal 3 3 4 3 2 2 7" xfId="27684" xr:uid="{83E3328E-5CC5-4404-84A8-8B8CA320DF8A}"/>
    <cellStyle name="Normal 3 3 4 3 2 3" xfId="16464" xr:uid="{7D4063B0-0D4F-417A-9C17-29A07DBF7245}"/>
    <cellStyle name="Normal 3 3 4 3 2 3 2" xfId="36804" xr:uid="{85CDFA85-64A7-490E-A52E-51C4716053D9}"/>
    <cellStyle name="Normal 3 3 4 3 2 4" xfId="19966" xr:uid="{A075975C-498E-45F3-A78F-B4775938DB29}"/>
    <cellStyle name="Normal 3 3 4 3 2 4 2" xfId="40305" xr:uid="{136FBF90-52C0-4422-9A28-1E90F2CAE7EA}"/>
    <cellStyle name="Normal 3 3 4 3 2 5" xfId="23221" xr:uid="{F8A26CFA-2367-4FFB-9358-DEB01DC9834C}"/>
    <cellStyle name="Normal 3 3 4 3 2 5 2" xfId="43556" xr:uid="{F9C9FF5A-886C-4525-A30C-F33D8A81B8A0}"/>
    <cellStyle name="Normal 3 3 4 3 2 6" xfId="13555" xr:uid="{E30C53C8-BA21-4947-89A4-6C6BA50CBE33}"/>
    <cellStyle name="Normal 3 3 4 3 2 6 2" xfId="33896" xr:uid="{CD63F005-D3E4-4DC2-8F76-C18EDA0829C7}"/>
    <cellStyle name="Normal 3 3 4 3 2 7" xfId="9677" xr:uid="{F4C8A184-43DB-497F-AB88-3C022EE7DA14}"/>
    <cellStyle name="Normal 3 3 4 3 2 7 2" xfId="30020" xr:uid="{B25A1337-965D-428E-B350-551E5256EE92}"/>
    <cellStyle name="Normal 3 3 4 3 2 8" xfId="26526" xr:uid="{3B7F98DD-42EF-4B8E-A9E6-E50D9ABFAD13}"/>
    <cellStyle name="Normal 3 3 4 3 3" xfId="6755" xr:uid="{9932C7D2-D5B3-4EE8-BB3C-92C8BE0A8794}"/>
    <cellStyle name="Normal 3 3 4 3 3 2" xfId="17041" xr:uid="{E2814442-AD54-445A-A939-889135E06B30}"/>
    <cellStyle name="Normal 3 3 4 3 3 2 2" xfId="37381" xr:uid="{6EAF671C-DE69-4CCF-81FA-A1484BB7CEE8}"/>
    <cellStyle name="Normal 3 3 4 3 3 3" xfId="20543" xr:uid="{4C87B121-CBAD-4478-ACE7-82B5C2ADFA8D}"/>
    <cellStyle name="Normal 3 3 4 3 3 3 2" xfId="40882" xr:uid="{675082CD-C88D-470A-8499-2A72B336A1CA}"/>
    <cellStyle name="Normal 3 3 4 3 3 4" xfId="23798" xr:uid="{4CAD7387-8224-4573-BE97-35D04B3DF17C}"/>
    <cellStyle name="Normal 3 3 4 3 3 4 2" xfId="44133" xr:uid="{71EEB6AA-DCF4-45BF-B9B4-13881FD36605}"/>
    <cellStyle name="Normal 3 3 4 3 3 5" xfId="14132" xr:uid="{4C52083F-854C-436B-BAE5-8EB12B27EBDD}"/>
    <cellStyle name="Normal 3 3 4 3 3 5 2" xfId="34473" xr:uid="{813E0EA2-6CE6-4B68-8335-E08EA214BE77}"/>
    <cellStyle name="Normal 3 3 4 3 3 6" xfId="10254" xr:uid="{69B7DFEA-79FF-42D5-B35D-F9C00C93FADE}"/>
    <cellStyle name="Normal 3 3 4 3 3 6 2" xfId="30597" xr:uid="{ECF8A59C-5564-4408-8C53-3BA5C171F545}"/>
    <cellStyle name="Normal 3 3 4 3 3 7" xfId="27103" xr:uid="{100299F8-03BD-4AD5-9CE3-AA3B0D605798}"/>
    <cellStyle name="Normal 3 3 4 3 4" xfId="7919" xr:uid="{3E4F2D30-8D78-4986-BE50-96A45D7BD4E5}"/>
    <cellStyle name="Normal 3 3 4 3 4 2" xfId="18204" xr:uid="{A43887B6-6876-4CE6-9618-11D26F1E63E1}"/>
    <cellStyle name="Normal 3 3 4 3 4 2 2" xfId="38544" xr:uid="{2CB9EC57-6A9E-46AD-8C4E-94695CF593C5}"/>
    <cellStyle name="Normal 3 3 4 3 4 3" xfId="21706" xr:uid="{ACCD71F2-83BA-4DC4-B9BF-3940C341D432}"/>
    <cellStyle name="Normal 3 3 4 3 4 3 2" xfId="42045" xr:uid="{F07BA5CE-A470-4A79-BCA5-EBA7792CCB2A}"/>
    <cellStyle name="Normal 3 3 4 3 4 4" xfId="24961" xr:uid="{0B4384CD-3DF7-450B-9E58-2E71D73B2F1C}"/>
    <cellStyle name="Normal 3 3 4 3 4 4 2" xfId="45296" xr:uid="{DA059AFE-905B-4D75-87FB-65CA8E07ABB0}"/>
    <cellStyle name="Normal 3 3 4 3 4 5" xfId="15296" xr:uid="{48819B39-CDA5-4894-B403-A03FB5BF034E}"/>
    <cellStyle name="Normal 3 3 4 3 4 5 2" xfId="35636" xr:uid="{5FB2C010-11D5-4F66-8DAF-9D7C5E35646C}"/>
    <cellStyle name="Normal 3 3 4 3 4 6" xfId="11417" xr:uid="{6F794376-C4AC-4594-B5F8-B1F6EA831BBA}"/>
    <cellStyle name="Normal 3 3 4 3 4 6 2" xfId="31760" xr:uid="{56ACCF8B-2B92-45BB-A502-D20147726E4F}"/>
    <cellStyle name="Normal 3 3 4 3 4 7" xfId="28266" xr:uid="{02E20B2A-66B1-4F2F-BE4B-E91CB3363138}"/>
    <cellStyle name="Normal 3 3 4 3 5" xfId="12986" xr:uid="{10AD132E-2E5D-4A49-9DA7-54A33645BECB}"/>
    <cellStyle name="Normal 3 3 4 3 5 2" xfId="33327" xr:uid="{EE1FFA5C-D842-4E2C-A1A0-07FD63DBC3ED}"/>
    <cellStyle name="Normal 3 3 4 3 6" xfId="15883" xr:uid="{511EE10F-B9B7-488A-AD28-386B4ECE5B83}"/>
    <cellStyle name="Normal 3 3 4 3 6 2" xfId="36223" xr:uid="{D6308CE2-2903-439B-90B9-8F78A8045A75}"/>
    <cellStyle name="Normal 3 3 4 3 7" xfId="18797" xr:uid="{0DD602A8-274E-4241-A33F-79732FA4B6DB}"/>
    <cellStyle name="Normal 3 3 4 3 7 2" xfId="39137" xr:uid="{279DE313-0616-48A6-AD94-EEC86AC9679E}"/>
    <cellStyle name="Normal 3 3 4 3 8" xfId="19385" xr:uid="{6D6D3181-752C-474F-8658-AA171EE377F0}"/>
    <cellStyle name="Normal 3 3 4 3 8 2" xfId="39724" xr:uid="{45D90678-4DA4-467D-9161-66A4875A4BE1}"/>
    <cellStyle name="Normal 3 3 4 3 9" xfId="22640" xr:uid="{0FC297EF-A116-4A8A-AC47-63D4F5CF47E1}"/>
    <cellStyle name="Normal 3 3 4 3 9 2" xfId="42975" xr:uid="{C891BAC0-EBEB-490B-995A-474C1E3F6532}"/>
    <cellStyle name="Normal 3 3 4 4" xfId="5834" xr:uid="{C713F961-0115-47AF-9AF4-9EDFB533301A}"/>
    <cellStyle name="Normal 3 3 4 4 2" xfId="6992" xr:uid="{247AD578-57AC-4674-B67E-628FB3C0851D}"/>
    <cellStyle name="Normal 3 3 4 4 2 2" xfId="17278" xr:uid="{2B93F587-7FF1-4544-BA65-DBDB5D92BF5C}"/>
    <cellStyle name="Normal 3 3 4 4 2 2 2" xfId="37618" xr:uid="{D85B93F9-39B1-4D91-ABED-23EAA90A300D}"/>
    <cellStyle name="Normal 3 3 4 4 2 3" xfId="20780" xr:uid="{B5F5F87D-1824-497D-954B-29BADCF0C3EC}"/>
    <cellStyle name="Normal 3 3 4 4 2 3 2" xfId="41119" xr:uid="{54FB0E30-D635-4AB0-9C9C-00DAE0FA0A0E}"/>
    <cellStyle name="Normal 3 3 4 4 2 4" xfId="24035" xr:uid="{32AF4A37-CCBB-4150-A1B6-BF93B3956D6C}"/>
    <cellStyle name="Normal 3 3 4 4 2 4 2" xfId="44370" xr:uid="{1509EC2F-52AF-4068-8972-FC38A0725B4C}"/>
    <cellStyle name="Normal 3 3 4 4 2 5" xfId="14369" xr:uid="{2342C32A-007B-492E-BC0B-1570798BC0B9}"/>
    <cellStyle name="Normal 3 3 4 4 2 5 2" xfId="34710" xr:uid="{B140CB76-33A5-4236-884B-1118B3008355}"/>
    <cellStyle name="Normal 3 3 4 4 2 6" xfId="10491" xr:uid="{17E50D74-0A7F-4B4E-9A66-B8BD607A6AC7}"/>
    <cellStyle name="Normal 3 3 4 4 2 6 2" xfId="30834" xr:uid="{A65FE0C9-B6EF-42C1-9546-E4A0CF1EE44C}"/>
    <cellStyle name="Normal 3 3 4 4 2 7" xfId="27340" xr:uid="{92E439E4-6533-42ED-A122-F7DE924345C1}"/>
    <cellStyle name="Normal 3 3 4 4 3" xfId="16120" xr:uid="{4BC52063-9561-40BB-AE05-644B728BCE46}"/>
    <cellStyle name="Normal 3 3 4 4 3 2" xfId="36460" xr:uid="{1A6F2304-D93F-4C55-8319-CDDB0CDD3D59}"/>
    <cellStyle name="Normal 3 3 4 4 4" xfId="19622" xr:uid="{B189190F-87B2-4A6D-8668-D644DB75A44B}"/>
    <cellStyle name="Normal 3 3 4 4 4 2" xfId="39961" xr:uid="{A9FA1811-6AF7-4421-BCEF-A93B8E4E0061}"/>
    <cellStyle name="Normal 3 3 4 4 5" xfId="22877" xr:uid="{422222E1-2256-4DA7-9616-9792459369D8}"/>
    <cellStyle name="Normal 3 3 4 4 5 2" xfId="43212" xr:uid="{7ABCF288-8AA8-40AF-962B-200842F38039}"/>
    <cellStyle name="Normal 3 3 4 4 6" xfId="13213" xr:uid="{35B7640A-B54E-4D97-9270-7AF0290A5C62}"/>
    <cellStyle name="Normal 3 3 4 4 6 2" xfId="33554" xr:uid="{3D4F486D-57F4-4B0C-ADE7-F439715FE1B9}"/>
    <cellStyle name="Normal 3 3 4 4 7" xfId="9333" xr:uid="{7EB359A4-2388-452F-896E-7B4F8B8CF143}"/>
    <cellStyle name="Normal 3 3 4 4 7 2" xfId="29676" xr:uid="{75FC9D20-8957-44BE-B9CB-644FF161DC32}"/>
    <cellStyle name="Normal 3 3 4 4 8" xfId="26182" xr:uid="{2E71F2A3-CAA1-4821-BFF2-4A75F32B3F51}"/>
    <cellStyle name="Normal 3 3 4 5" xfId="6411" xr:uid="{70414B25-FEBD-4920-9DCF-0410A5686C75}"/>
    <cellStyle name="Normal 3 3 4 5 2" xfId="16697" xr:uid="{6BB45020-3C4E-4D30-AC60-8396266F88C7}"/>
    <cellStyle name="Normal 3 3 4 5 2 2" xfId="37037" xr:uid="{0A75BB0E-8721-4293-8FB3-5394A55264E3}"/>
    <cellStyle name="Normal 3 3 4 5 3" xfId="20199" xr:uid="{3754390C-3025-41C3-89FC-36C7D372D254}"/>
    <cellStyle name="Normal 3 3 4 5 3 2" xfId="40538" xr:uid="{226909B5-7681-463F-B26F-263F850BC8F3}"/>
    <cellStyle name="Normal 3 3 4 5 4" xfId="23454" xr:uid="{DD214C28-E755-45BE-8D91-C24870E8971F}"/>
    <cellStyle name="Normal 3 3 4 5 4 2" xfId="43789" xr:uid="{71FC25E1-F721-400E-A533-87D98E1FF420}"/>
    <cellStyle name="Normal 3 3 4 5 5" xfId="13788" xr:uid="{97067BD3-2731-4836-8A5F-5E7180DDCC29}"/>
    <cellStyle name="Normal 3 3 4 5 5 2" xfId="34129" xr:uid="{F9F5BBEF-8EE6-4A67-8273-C4BD8D796D83}"/>
    <cellStyle name="Normal 3 3 4 5 6" xfId="9910" xr:uid="{D1ED5BB2-2635-49D5-831B-8292F39787BB}"/>
    <cellStyle name="Normal 3 3 4 5 6 2" xfId="30253" xr:uid="{84ECBE58-030B-4942-9BCC-A7249AF1D73C}"/>
    <cellStyle name="Normal 3 3 4 5 7" xfId="26759" xr:uid="{077E1F2D-3744-4629-B099-F66863586056}"/>
    <cellStyle name="Normal 3 3 4 6" xfId="7575" xr:uid="{5EE52F8F-1CE1-4BE8-BDC4-5F79E008002A}"/>
    <cellStyle name="Normal 3 3 4 6 2" xfId="17860" xr:uid="{2E6C74FB-CF55-456E-83C3-67310C61D361}"/>
    <cellStyle name="Normal 3 3 4 6 2 2" xfId="38200" xr:uid="{27B9B86D-3D7B-44F7-A248-FD5C3298D29B}"/>
    <cellStyle name="Normal 3 3 4 6 3" xfId="21362" xr:uid="{A257CEE5-C3D0-498D-8521-4003779CEDBC}"/>
    <cellStyle name="Normal 3 3 4 6 3 2" xfId="41701" xr:uid="{FB9AE58E-678B-401B-BB85-5D98CC315D68}"/>
    <cellStyle name="Normal 3 3 4 6 4" xfId="24617" xr:uid="{632C1B57-EEC2-46B6-88AB-FF19452B02AC}"/>
    <cellStyle name="Normal 3 3 4 6 4 2" xfId="44952" xr:uid="{7F136C62-5464-433C-9B50-C834B891E385}"/>
    <cellStyle name="Normal 3 3 4 6 5" xfId="14952" xr:uid="{68CF5A95-54DB-435A-BB39-EAECCFE917DC}"/>
    <cellStyle name="Normal 3 3 4 6 5 2" xfId="35292" xr:uid="{175859D4-8519-4F06-B180-68C65D0D2417}"/>
    <cellStyle name="Normal 3 3 4 6 6" xfId="11073" xr:uid="{48D3DFAB-8786-413E-A02A-88ADD1C851DB}"/>
    <cellStyle name="Normal 3 3 4 6 6 2" xfId="31416" xr:uid="{577739F4-F7E9-4014-A713-E9911C9C5D33}"/>
    <cellStyle name="Normal 3 3 4 6 7" xfId="27922" xr:uid="{FA84E266-1832-4A0F-BC82-FB1EDE59EAC8}"/>
    <cellStyle name="Normal 3 3 4 7" xfId="12644" xr:uid="{2D0B4332-F37A-431C-B308-D95559622CAC}"/>
    <cellStyle name="Normal 3 3 4 7 2" xfId="32985" xr:uid="{4A325A33-F50E-49C0-90AF-4633ECF4D625}"/>
    <cellStyle name="Normal 3 3 4 8" xfId="15539" xr:uid="{8083D851-E35B-4E74-9876-8DB74CFE7117}"/>
    <cellStyle name="Normal 3 3 4 8 2" xfId="35879" xr:uid="{9592A6FE-4F18-4947-8DF7-3BAB915CFEE3}"/>
    <cellStyle name="Normal 3 3 4 9" xfId="18453" xr:uid="{1151D6BF-661C-40EF-A6B9-F4A0AD759D63}"/>
    <cellStyle name="Normal 3 3 4 9 2" xfId="38793" xr:uid="{9F5656AF-043B-4C21-B082-161CE9829817}"/>
    <cellStyle name="Normal 3 3 5" xfId="5323" xr:uid="{B775B02A-A82A-4386-BDA6-6741D0837F42}"/>
    <cellStyle name="Normal 3 3 5 10" xfId="12053" xr:uid="{3CF13F01-A0F8-46DB-8947-809B18740269}"/>
    <cellStyle name="Normal 3 3 5 10 2" xfId="32394" xr:uid="{6BD9131D-C801-4E55-B289-234792F03DA4}"/>
    <cellStyle name="Normal 3 3 5 11" xfId="8792" xr:uid="{EC393A82-4365-4B6B-A69B-5F9368613DDA}"/>
    <cellStyle name="Normal 3 3 5 11 2" xfId="29135" xr:uid="{C202CD74-C70A-454D-9C2B-701D407FFDA7}"/>
    <cellStyle name="Normal 3 3 5 12" xfId="25641" xr:uid="{9DB304B9-D995-485B-9C6B-E56872EB2408}"/>
    <cellStyle name="Normal 3 3 5 2" xfId="5874" xr:uid="{9AE569EE-8F87-44E5-830C-F2245D1CF842}"/>
    <cellStyle name="Normal 3 3 5 2 2" xfId="7032" xr:uid="{95CDA189-B05D-4940-B131-4EE8090451B8}"/>
    <cellStyle name="Normal 3 3 5 2 2 2" xfId="17318" xr:uid="{7C3BBA23-E366-4136-8D21-7C4ACDDDDC42}"/>
    <cellStyle name="Normal 3 3 5 2 2 2 2" xfId="37658" xr:uid="{5ADE67DD-BFEE-445A-9FD3-AD1945799BAC}"/>
    <cellStyle name="Normal 3 3 5 2 2 3" xfId="20820" xr:uid="{F1BA551D-959E-4F49-BFA0-1581CCFAB0E5}"/>
    <cellStyle name="Normal 3 3 5 2 2 3 2" xfId="41159" xr:uid="{43CEDE26-7D32-4ADE-A9DA-EA5C344F41BB}"/>
    <cellStyle name="Normal 3 3 5 2 2 4" xfId="24075" xr:uid="{A35208FD-C051-4798-8016-6A93BC19E3F9}"/>
    <cellStyle name="Normal 3 3 5 2 2 4 2" xfId="44410" xr:uid="{AE4570F7-417A-4CF1-B3BB-D75FC7584324}"/>
    <cellStyle name="Normal 3 3 5 2 2 5" xfId="14409" xr:uid="{94A96ECA-4EAB-4A78-9445-3E3C7A5C6C3F}"/>
    <cellStyle name="Normal 3 3 5 2 2 5 2" xfId="34750" xr:uid="{576AE8F8-2926-429B-982A-4EEF6D1AE5F6}"/>
    <cellStyle name="Normal 3 3 5 2 2 6" xfId="10531" xr:uid="{EFCE53C2-3EA9-4B1C-BD7D-450F2FD5F8AF}"/>
    <cellStyle name="Normal 3 3 5 2 2 6 2" xfId="30874" xr:uid="{8BCE05E5-D550-46A8-B2F0-6ADC377996C6}"/>
    <cellStyle name="Normal 3 3 5 2 2 7" xfId="27380" xr:uid="{17634334-B679-4AA2-AEFC-CF74651159BD}"/>
    <cellStyle name="Normal 3 3 5 2 3" xfId="16160" xr:uid="{4E985C95-F85C-4AD2-9C0B-51B01D5EE6B7}"/>
    <cellStyle name="Normal 3 3 5 2 3 2" xfId="36500" xr:uid="{D30D191E-2FD5-4B9B-8A52-E03217C83714}"/>
    <cellStyle name="Normal 3 3 5 2 4" xfId="19662" xr:uid="{3DBB2F4D-0EEB-4152-84BF-71BC489F6A37}"/>
    <cellStyle name="Normal 3 3 5 2 4 2" xfId="40001" xr:uid="{2278B022-581B-46A6-A87B-680A64E87C4A}"/>
    <cellStyle name="Normal 3 3 5 2 5" xfId="22917" xr:uid="{D42F9B15-865A-4258-9130-CFDB8AA0E15A}"/>
    <cellStyle name="Normal 3 3 5 2 5 2" xfId="43252" xr:uid="{1CE6FEC4-B8CC-48E9-9D92-CCEB511EF232}"/>
    <cellStyle name="Normal 3 3 5 2 6" xfId="13253" xr:uid="{83E0FC62-30ED-470D-9427-41154B01531B}"/>
    <cellStyle name="Normal 3 3 5 2 6 2" xfId="33594" xr:uid="{275DDB88-EAE4-4381-899E-D9CD91EC4450}"/>
    <cellStyle name="Normal 3 3 5 2 7" xfId="9373" xr:uid="{455B903A-E07F-4013-B988-00699C41B4B0}"/>
    <cellStyle name="Normal 3 3 5 2 7 2" xfId="29716" xr:uid="{775A1545-FBEE-47A2-B966-0C7C12D8C276}"/>
    <cellStyle name="Normal 3 3 5 2 8" xfId="26222" xr:uid="{48EC5A1C-5496-4122-B95C-7428CB5DA04E}"/>
    <cellStyle name="Normal 3 3 5 3" xfId="6451" xr:uid="{DEAD1FDA-0EB0-49EB-B0E3-6A96EC4CD774}"/>
    <cellStyle name="Normal 3 3 5 3 2" xfId="16737" xr:uid="{E9D06B3A-9FF5-49F7-8CFF-408846481AF8}"/>
    <cellStyle name="Normal 3 3 5 3 2 2" xfId="37077" xr:uid="{04AEB6A9-92B0-4369-B696-085FA991100E}"/>
    <cellStyle name="Normal 3 3 5 3 3" xfId="20239" xr:uid="{5F614268-ABB2-4DEC-8DEC-F5AB95377C84}"/>
    <cellStyle name="Normal 3 3 5 3 3 2" xfId="40578" xr:uid="{E259743A-B408-4640-86D2-54035A72995D}"/>
    <cellStyle name="Normal 3 3 5 3 4" xfId="23494" xr:uid="{B9A79F27-5E5E-49DE-884C-CB70B6AC6469}"/>
    <cellStyle name="Normal 3 3 5 3 4 2" xfId="43829" xr:uid="{F2399A10-6A43-42C2-8E0C-24B7EA33A51B}"/>
    <cellStyle name="Normal 3 3 5 3 5" xfId="13828" xr:uid="{DEC273C1-BA3F-41AA-AD99-7DDB8B90E702}"/>
    <cellStyle name="Normal 3 3 5 3 5 2" xfId="34169" xr:uid="{5DEE31C7-F010-499C-99EE-1C6035B0A108}"/>
    <cellStyle name="Normal 3 3 5 3 6" xfId="9950" xr:uid="{4A4A2C7C-0452-48A3-9C89-B5F0F78BE8BA}"/>
    <cellStyle name="Normal 3 3 5 3 6 2" xfId="30293" xr:uid="{73B4F158-DA22-4F7F-97B1-375F0C1C02DE}"/>
    <cellStyle name="Normal 3 3 5 3 7" xfId="26799" xr:uid="{47E2AB64-95AA-4FE4-896F-88683A052A63}"/>
    <cellStyle name="Normal 3 3 5 4" xfId="7615" xr:uid="{67E7CF47-37BF-427F-A46B-D44F54F0EC86}"/>
    <cellStyle name="Normal 3 3 5 4 2" xfId="17900" xr:uid="{A5CA15DE-88FD-49C3-B209-8278F1EA3490}"/>
    <cellStyle name="Normal 3 3 5 4 2 2" xfId="38240" xr:uid="{9455A800-1211-4781-9561-040BAE90DC33}"/>
    <cellStyle name="Normal 3 3 5 4 3" xfId="21402" xr:uid="{9D63AC2B-1863-4CBE-9513-D3E8337AE745}"/>
    <cellStyle name="Normal 3 3 5 4 3 2" xfId="41741" xr:uid="{4B8342CC-1820-4BCB-8816-3C11ABCA6570}"/>
    <cellStyle name="Normal 3 3 5 4 4" xfId="24657" xr:uid="{E3B39F57-2E76-46BF-B8DA-A7FB51CB07C2}"/>
    <cellStyle name="Normal 3 3 5 4 4 2" xfId="44992" xr:uid="{0BCBF3C2-95DA-4F52-94D2-3A5EB3E13F5C}"/>
    <cellStyle name="Normal 3 3 5 4 5" xfId="14992" xr:uid="{6F44B4CF-3CEB-4493-83FC-AF4ED561ACC1}"/>
    <cellStyle name="Normal 3 3 5 4 5 2" xfId="35332" xr:uid="{EF393543-2E02-4AF5-B567-0CC6698638EA}"/>
    <cellStyle name="Normal 3 3 5 4 6" xfId="11113" xr:uid="{9C4C856C-21BD-42BE-8525-3EDE5312876E}"/>
    <cellStyle name="Normal 3 3 5 4 6 2" xfId="31456" xr:uid="{308616FE-F9AD-472E-B342-98D2B401B417}"/>
    <cellStyle name="Normal 3 3 5 4 7" xfId="27962" xr:uid="{3E33CF1F-1032-44DA-AA6D-AE1CAF7C4665}"/>
    <cellStyle name="Normal 3 3 5 5" xfId="12684" xr:uid="{1CDF0A9C-E15E-472F-A49D-6A27453A16D0}"/>
    <cellStyle name="Normal 3 3 5 5 2" xfId="33025" xr:uid="{0E87AB0C-E126-45DC-B77C-7D4BB56B63B1}"/>
    <cellStyle name="Normal 3 3 5 6" xfId="15579" xr:uid="{E9CA3452-AEB0-4B8F-86AB-29F76007699B}"/>
    <cellStyle name="Normal 3 3 5 6 2" xfId="35919" xr:uid="{40D1C78A-74C7-4404-952A-CB2CACC8ACEE}"/>
    <cellStyle name="Normal 3 3 5 7" xfId="18493" xr:uid="{422416A1-8DBF-4077-A920-442A280B7D09}"/>
    <cellStyle name="Normal 3 3 5 7 2" xfId="38833" xr:uid="{36AE7C95-FF60-41CF-83A4-13599477234A}"/>
    <cellStyle name="Normal 3 3 5 8" xfId="19081" xr:uid="{10171E1C-8A99-42AC-BF8D-D234DAEB0861}"/>
    <cellStyle name="Normal 3 3 5 8 2" xfId="39420" xr:uid="{51DB5574-28F0-424A-927A-95F133ACD43C}"/>
    <cellStyle name="Normal 3 3 5 9" xfId="22336" xr:uid="{367C9FF8-29A9-460C-90C9-59B16BCD2418}"/>
    <cellStyle name="Normal 3 3 5 9 2" xfId="42671" xr:uid="{1BB2A884-5863-42CF-9BBB-C4C0620B6588}"/>
    <cellStyle name="Normal 3 3 6" xfId="5454" xr:uid="{BCD224A1-EDC1-40CE-B807-4154313B20FE}"/>
    <cellStyle name="Normal 3 3 6 10" xfId="12199" xr:uid="{1B7A5E35-A687-4E56-A6EB-512C7FDB6CC2}"/>
    <cellStyle name="Normal 3 3 6 10 2" xfId="32540" xr:uid="{6AD3F0C3-571A-478B-9304-C1C603614654}"/>
    <cellStyle name="Normal 3 3 6 11" xfId="8938" xr:uid="{8BF4999A-2F14-4294-81D0-A8096919676D}"/>
    <cellStyle name="Normal 3 3 6 11 2" xfId="29281" xr:uid="{0090456E-F36C-47D0-9F7C-DD055AAF8053}"/>
    <cellStyle name="Normal 3 3 6 12" xfId="25787" xr:uid="{9D98DA23-10B7-47D8-951C-24A71C162E1A}"/>
    <cellStyle name="Normal 3 3 6 2" xfId="6020" xr:uid="{6D0770B7-17E3-491E-B4A1-06C960C6A501}"/>
    <cellStyle name="Normal 3 3 6 2 2" xfId="7178" xr:uid="{D66CA761-B16C-43C9-8F60-F4A361FD7A33}"/>
    <cellStyle name="Normal 3 3 6 2 2 2" xfId="17464" xr:uid="{6A279AA7-F5EB-4261-AFB5-8696CED029F3}"/>
    <cellStyle name="Normal 3 3 6 2 2 2 2" xfId="37804" xr:uid="{98239FCA-640F-4A09-B938-E829A79FCEAB}"/>
    <cellStyle name="Normal 3 3 6 2 2 3" xfId="20966" xr:uid="{1909F5A8-ABFB-4DF0-9A45-C4F00157FDB3}"/>
    <cellStyle name="Normal 3 3 6 2 2 3 2" xfId="41305" xr:uid="{A34526DD-EB3A-4DE1-BD58-7E15DDB0998C}"/>
    <cellStyle name="Normal 3 3 6 2 2 4" xfId="24221" xr:uid="{CA495500-2322-4062-843F-C126F78D4BD0}"/>
    <cellStyle name="Normal 3 3 6 2 2 4 2" xfId="44556" xr:uid="{48A8219B-DCDE-4FCE-936A-A8F5BF5D494E}"/>
    <cellStyle name="Normal 3 3 6 2 2 5" xfId="14555" xr:uid="{6EBC4945-B630-4EAE-A460-0511187B4B44}"/>
    <cellStyle name="Normal 3 3 6 2 2 5 2" xfId="34896" xr:uid="{9E57FBFC-BA91-4EA0-861E-6D1171AFDDC8}"/>
    <cellStyle name="Normal 3 3 6 2 2 6" xfId="10677" xr:uid="{9FD24774-77D0-435F-BF37-6DE242462492}"/>
    <cellStyle name="Normal 3 3 6 2 2 6 2" xfId="31020" xr:uid="{55EE6103-F6E5-47CD-8473-34C364B641F4}"/>
    <cellStyle name="Normal 3 3 6 2 2 7" xfId="27526" xr:uid="{D5E46401-6DC8-4D2E-8D63-AF0C59F4ECCF}"/>
    <cellStyle name="Normal 3 3 6 2 3" xfId="16306" xr:uid="{5C0FE8E5-2001-477B-AD17-7095A74D5261}"/>
    <cellStyle name="Normal 3 3 6 2 3 2" xfId="36646" xr:uid="{F178B326-E273-4D86-92DD-FE341AFC66E3}"/>
    <cellStyle name="Normal 3 3 6 2 4" xfId="19808" xr:uid="{43ACDA99-03AE-453C-B725-42CAD9DC817A}"/>
    <cellStyle name="Normal 3 3 6 2 4 2" xfId="40147" xr:uid="{6061107F-C256-4E59-9CA2-3E055675CD58}"/>
    <cellStyle name="Normal 3 3 6 2 5" xfId="23063" xr:uid="{73511FE6-A52E-4CF8-9B20-2116ACA9F4F4}"/>
    <cellStyle name="Normal 3 3 6 2 5 2" xfId="43398" xr:uid="{73702417-D754-4432-9BA3-89E1B428AB82}"/>
    <cellStyle name="Normal 3 3 6 2 6" xfId="13397" xr:uid="{0AA0FF98-E08E-4ADC-8853-F194B491A094}"/>
    <cellStyle name="Normal 3 3 6 2 6 2" xfId="33738" xr:uid="{7BEE83DD-FFB5-41B2-8264-1AD1F2CFEBA3}"/>
    <cellStyle name="Normal 3 3 6 2 7" xfId="9519" xr:uid="{07C63E43-EC95-407F-993C-B8F26B818E1A}"/>
    <cellStyle name="Normal 3 3 6 2 7 2" xfId="29862" xr:uid="{FFA6D422-9887-4093-AE69-23B118121081}"/>
    <cellStyle name="Normal 3 3 6 2 8" xfId="26368" xr:uid="{5F9DB2AB-8F44-4FDF-A104-D3A008B89ABD}"/>
    <cellStyle name="Normal 3 3 6 3" xfId="6597" xr:uid="{21B69065-0F77-442F-B808-F8ED4C963AF6}"/>
    <cellStyle name="Normal 3 3 6 3 2" xfId="16883" xr:uid="{62EF587A-213E-404D-921F-7D146682BB92}"/>
    <cellStyle name="Normal 3 3 6 3 2 2" xfId="37223" xr:uid="{EF30154A-687A-4713-AF31-FE060716D30F}"/>
    <cellStyle name="Normal 3 3 6 3 3" xfId="20385" xr:uid="{983C9A6C-D5C6-4905-8EAC-2A4D7D848B40}"/>
    <cellStyle name="Normal 3 3 6 3 3 2" xfId="40724" xr:uid="{19E58FB1-5C26-48D6-A360-4713445F6F1B}"/>
    <cellStyle name="Normal 3 3 6 3 4" xfId="23640" xr:uid="{73962CFC-759F-4017-94A2-812901E4F8E4}"/>
    <cellStyle name="Normal 3 3 6 3 4 2" xfId="43975" xr:uid="{5D7894A0-9052-47EC-BD1F-9D09D9B00899}"/>
    <cellStyle name="Normal 3 3 6 3 5" xfId="13974" xr:uid="{384AAC0D-E4FA-4C9D-9AEE-0A068CC4D1B2}"/>
    <cellStyle name="Normal 3 3 6 3 5 2" xfId="34315" xr:uid="{E2D3DDD5-D064-4894-B4F3-9434018188D8}"/>
    <cellStyle name="Normal 3 3 6 3 6" xfId="10096" xr:uid="{BBF5AE5F-934B-40EA-85AB-E7C5B89FC846}"/>
    <cellStyle name="Normal 3 3 6 3 6 2" xfId="30439" xr:uid="{B80B2597-A187-4E4E-A424-4B4EDD252A96}"/>
    <cellStyle name="Normal 3 3 6 3 7" xfId="26945" xr:uid="{3A46A5E2-499E-4765-A28D-9C78A5E3C8BB}"/>
    <cellStyle name="Normal 3 3 6 4" xfId="7761" xr:uid="{DE9062C9-152A-44F9-8B9C-31F970C4392B}"/>
    <cellStyle name="Normal 3 3 6 4 2" xfId="18046" xr:uid="{96F5094C-63C6-42B7-A92F-9B2E0B0AE400}"/>
    <cellStyle name="Normal 3 3 6 4 2 2" xfId="38386" xr:uid="{1A48FB62-C55A-4511-A690-D0C71D8A5780}"/>
    <cellStyle name="Normal 3 3 6 4 3" xfId="21548" xr:uid="{3CB1A316-5BF3-4B4F-A5F3-0247BBD7793F}"/>
    <cellStyle name="Normal 3 3 6 4 3 2" xfId="41887" xr:uid="{AE6D9AED-03F3-4C96-B89A-79B72AD264F6}"/>
    <cellStyle name="Normal 3 3 6 4 4" xfId="24803" xr:uid="{DDD66376-48DA-4BA3-95BB-5ECEFAA4B6E9}"/>
    <cellStyle name="Normal 3 3 6 4 4 2" xfId="45138" xr:uid="{2A2CB28D-C474-4F5C-BDDF-0D62614CC941}"/>
    <cellStyle name="Normal 3 3 6 4 5" xfId="15138" xr:uid="{BFA9954B-AA6E-4E5F-A77D-3BD5797DAAFB}"/>
    <cellStyle name="Normal 3 3 6 4 5 2" xfId="35478" xr:uid="{D2CBD875-3E64-4367-8C02-3786B6EF2A35}"/>
    <cellStyle name="Normal 3 3 6 4 6" xfId="11259" xr:uid="{81748CEC-8208-43BA-8FB9-1574512D065B}"/>
    <cellStyle name="Normal 3 3 6 4 6 2" xfId="31602" xr:uid="{536E61D9-FF15-41DF-93C5-C567B25C66B6}"/>
    <cellStyle name="Normal 3 3 6 4 7" xfId="28108" xr:uid="{4342B128-8566-4F06-84FF-D60C3E4F6876}"/>
    <cellStyle name="Normal 3 3 6 5" xfId="12828" xr:uid="{D2A924F0-8EDA-4FE6-9681-3A631D7DE6C5}"/>
    <cellStyle name="Normal 3 3 6 5 2" xfId="33169" xr:uid="{55DDC94A-AA6B-4893-8A06-B1BD962A65EE}"/>
    <cellStyle name="Normal 3 3 6 6" xfId="15725" xr:uid="{4538D263-C7B8-4E5C-BFD5-8B06B621B348}"/>
    <cellStyle name="Normal 3 3 6 6 2" xfId="36065" xr:uid="{65403A80-C60E-4BEC-9BCB-3449C2B33403}"/>
    <cellStyle name="Normal 3 3 6 7" xfId="18639" xr:uid="{747B2904-AFF0-4655-B964-49CA218F2642}"/>
    <cellStyle name="Normal 3 3 6 7 2" xfId="38979" xr:uid="{141F3BC8-9EAC-4C17-895B-550C62216B9D}"/>
    <cellStyle name="Normal 3 3 6 8" xfId="19227" xr:uid="{96729C2B-4CE2-49CA-9B06-DB51A3AA6AC7}"/>
    <cellStyle name="Normal 3 3 6 8 2" xfId="39566" xr:uid="{7D3B35D0-C97E-408E-87ED-24C30A52F685}"/>
    <cellStyle name="Normal 3 3 6 9" xfId="22482" xr:uid="{97F90C59-23D0-4D15-AB59-C59D030E57C5}"/>
    <cellStyle name="Normal 3 3 6 9 2" xfId="42817" xr:uid="{3BEB3B02-9E43-4A58-80AE-A0D37449375F}"/>
    <cellStyle name="Normal 3 3 7" xfId="5506" xr:uid="{B57777C3-D7C0-41C8-B3A0-F7308E50750F}"/>
    <cellStyle name="Normal 3 3 7 10" xfId="12257" xr:uid="{71C82F0F-5F7C-4A42-9F6B-B5C2EECD71AB}"/>
    <cellStyle name="Normal 3 3 7 10 2" xfId="32598" xr:uid="{0041FE7B-4EA7-4B73-B9E7-6C5C0455B8B0}"/>
    <cellStyle name="Normal 3 3 7 11" xfId="8996" xr:uid="{6320F043-55E8-48E8-9F31-D04285326AF4}"/>
    <cellStyle name="Normal 3 3 7 11 2" xfId="29339" xr:uid="{85BB5F60-A4F6-4BF3-8A19-30DCD1DB8DF3}"/>
    <cellStyle name="Normal 3 3 7 12" xfId="25845" xr:uid="{8C1E45FF-3F2A-401F-8005-52FCB1D63B88}"/>
    <cellStyle name="Normal 3 3 7 2" xfId="6078" xr:uid="{6B54C535-6A30-4958-84D7-0088EAB06928}"/>
    <cellStyle name="Normal 3 3 7 2 2" xfId="7236" xr:uid="{A66AFD8A-E2D7-4B39-B19B-85F24AE369C1}"/>
    <cellStyle name="Normal 3 3 7 2 2 2" xfId="17522" xr:uid="{ECF7A932-0496-404A-B72E-6592FC1ECC41}"/>
    <cellStyle name="Normal 3 3 7 2 2 2 2" xfId="37862" xr:uid="{295C764F-37A6-4ED9-BECB-A448CAA2BB55}"/>
    <cellStyle name="Normal 3 3 7 2 2 3" xfId="21024" xr:uid="{989FD878-B9B7-4F44-ABA7-08771F9A3FBD}"/>
    <cellStyle name="Normal 3 3 7 2 2 3 2" xfId="41363" xr:uid="{625A0FC3-6E0A-4CB5-9CDC-BE35A137D698}"/>
    <cellStyle name="Normal 3 3 7 2 2 4" xfId="24279" xr:uid="{CD8247FB-F599-4524-8C3E-C396F73F89A2}"/>
    <cellStyle name="Normal 3 3 7 2 2 4 2" xfId="44614" xr:uid="{AA534AE5-5C84-4CC8-9D66-17A88EDBBCAB}"/>
    <cellStyle name="Normal 3 3 7 2 2 5" xfId="14613" xr:uid="{4CECF2E0-167E-4127-BA16-1CAE1872DC2F}"/>
    <cellStyle name="Normal 3 3 7 2 2 5 2" xfId="34954" xr:uid="{5347902D-786F-47D9-9815-C9299EE4A8F1}"/>
    <cellStyle name="Normal 3 3 7 2 2 6" xfId="10735" xr:uid="{53BB1E92-8563-40AD-8771-6E5A56894E08}"/>
    <cellStyle name="Normal 3 3 7 2 2 6 2" xfId="31078" xr:uid="{35A9C099-D5E1-4926-9D01-962C406384D1}"/>
    <cellStyle name="Normal 3 3 7 2 2 7" xfId="27584" xr:uid="{431624EC-7F9F-41BA-AC10-C3781CFCDC60}"/>
    <cellStyle name="Normal 3 3 7 2 3" xfId="16364" xr:uid="{B31FB2D3-D0B7-438E-A00E-F6D01907D502}"/>
    <cellStyle name="Normal 3 3 7 2 3 2" xfId="36704" xr:uid="{8F5C616B-5804-4BE0-925F-3BCDF6EC7B55}"/>
    <cellStyle name="Normal 3 3 7 2 4" xfId="19866" xr:uid="{854465B3-856F-42EF-9D6F-AB43C08FF1E5}"/>
    <cellStyle name="Normal 3 3 7 2 4 2" xfId="40205" xr:uid="{1D03C689-04EA-4CC1-9E9A-22332F40B5EF}"/>
    <cellStyle name="Normal 3 3 7 2 5" xfId="23121" xr:uid="{FA52F7CB-6CE7-461F-B24D-8C1C5B2344DD}"/>
    <cellStyle name="Normal 3 3 7 2 5 2" xfId="43456" xr:uid="{4488359B-9D19-4985-925C-BD15D77F8752}"/>
    <cellStyle name="Normal 3 3 7 2 6" xfId="13455" xr:uid="{1347124D-74EC-47A4-98B2-046E3FC06DB8}"/>
    <cellStyle name="Normal 3 3 7 2 6 2" xfId="33796" xr:uid="{A29648B8-5D7E-4B19-B1DB-B4FE183E3311}"/>
    <cellStyle name="Normal 3 3 7 2 7" xfId="9577" xr:uid="{B7B5A503-5766-4AFF-B99D-C1009A0F1109}"/>
    <cellStyle name="Normal 3 3 7 2 7 2" xfId="29920" xr:uid="{77EF5913-E30D-4D6E-A10C-7DD3227B8C71}"/>
    <cellStyle name="Normal 3 3 7 2 8" xfId="26426" xr:uid="{FC8FC58B-D68E-41AC-9320-E9CE1184F5A5}"/>
    <cellStyle name="Normal 3 3 7 3" xfId="6655" xr:uid="{21D2998E-E48F-42E8-A450-AC55E90B2BEF}"/>
    <cellStyle name="Normal 3 3 7 3 2" xfId="16941" xr:uid="{8CCF2B1B-E4A6-4D35-AA8D-CA34C60AD9CC}"/>
    <cellStyle name="Normal 3 3 7 3 2 2" xfId="37281" xr:uid="{77DDBB1E-9834-4945-A240-DDDAFB3162A6}"/>
    <cellStyle name="Normal 3 3 7 3 3" xfId="20443" xr:uid="{D0D39117-53C4-4A97-81C4-FE17CF1C22BA}"/>
    <cellStyle name="Normal 3 3 7 3 3 2" xfId="40782" xr:uid="{96CEAFC1-5094-48BA-B8BD-031EF70B0859}"/>
    <cellStyle name="Normal 3 3 7 3 4" xfId="23698" xr:uid="{2E0B4808-EB94-417A-8BCC-FE6F13265BEE}"/>
    <cellStyle name="Normal 3 3 7 3 4 2" xfId="44033" xr:uid="{11037079-C105-4080-A839-6F383E571D10}"/>
    <cellStyle name="Normal 3 3 7 3 5" xfId="14032" xr:uid="{F13C003F-2071-405B-913B-F957ECA6E87F}"/>
    <cellStyle name="Normal 3 3 7 3 5 2" xfId="34373" xr:uid="{80C92CC6-7F1B-468D-8A3D-94277B1DF132}"/>
    <cellStyle name="Normal 3 3 7 3 6" xfId="10154" xr:uid="{3FF4219E-A3DB-4520-93E2-3DDF07C5162A}"/>
    <cellStyle name="Normal 3 3 7 3 6 2" xfId="30497" xr:uid="{F420E528-851B-4372-9925-BB64243783E3}"/>
    <cellStyle name="Normal 3 3 7 3 7" xfId="27003" xr:uid="{F7CB47F0-1182-465A-B907-99290DB9B461}"/>
    <cellStyle name="Normal 3 3 7 4" xfId="7819" xr:uid="{7F3FEDF7-E5C0-4205-9263-12F1D7908DE9}"/>
    <cellStyle name="Normal 3 3 7 4 2" xfId="18104" xr:uid="{F5AED158-36F5-4541-B692-BAC50E04BCD9}"/>
    <cellStyle name="Normal 3 3 7 4 2 2" xfId="38444" xr:uid="{237656D9-BF12-4BEB-9526-D9BCA63C3E16}"/>
    <cellStyle name="Normal 3 3 7 4 3" xfId="21606" xr:uid="{09E3519A-4634-406E-AE2C-FBB9EC534D10}"/>
    <cellStyle name="Normal 3 3 7 4 3 2" xfId="41945" xr:uid="{3D1CBD5D-C33B-4CE8-BE73-202183E25B70}"/>
    <cellStyle name="Normal 3 3 7 4 4" xfId="24861" xr:uid="{E63FFF4C-AB56-4A62-814E-7F89AB2CF48A}"/>
    <cellStyle name="Normal 3 3 7 4 4 2" xfId="45196" xr:uid="{A38C613A-14A8-403E-BCC3-8781EF647FB0}"/>
    <cellStyle name="Normal 3 3 7 4 5" xfId="15196" xr:uid="{4569E4EC-2807-4237-B215-E9AEA62502C0}"/>
    <cellStyle name="Normal 3 3 7 4 5 2" xfId="35536" xr:uid="{BB70FD24-A8AF-42D2-9047-86D35427589B}"/>
    <cellStyle name="Normal 3 3 7 4 6" xfId="11317" xr:uid="{43FC8A89-E2B3-4645-BB28-991192E98447}"/>
    <cellStyle name="Normal 3 3 7 4 6 2" xfId="31660" xr:uid="{1EEC870A-9665-465A-A448-5CF908DD248B}"/>
    <cellStyle name="Normal 3 3 7 4 7" xfId="28166" xr:uid="{9147D6FE-3E02-49CB-ADCE-384882794CE4}"/>
    <cellStyle name="Normal 3 3 7 5" xfId="12886" xr:uid="{C257FADB-050C-426C-8884-C72F80D9DBDD}"/>
    <cellStyle name="Normal 3 3 7 5 2" xfId="33227" xr:uid="{1702737A-E49E-406D-A641-0D74A8FA292B}"/>
    <cellStyle name="Normal 3 3 7 6" xfId="15783" xr:uid="{D676EE2B-4480-4045-BE09-A338D55BCD8B}"/>
    <cellStyle name="Normal 3 3 7 6 2" xfId="36123" xr:uid="{0C89A6A8-483E-448B-839A-A85027B5057E}"/>
    <cellStyle name="Normal 3 3 7 7" xfId="18697" xr:uid="{40C1D880-3382-4DF1-A25F-E2B2FECED9AA}"/>
    <cellStyle name="Normal 3 3 7 7 2" xfId="39037" xr:uid="{9C08E2F2-19AD-4F4A-91E9-52611F388F8B}"/>
    <cellStyle name="Normal 3 3 7 8" xfId="19285" xr:uid="{536E0D91-3287-4DD3-BBAC-1581F80B2CDB}"/>
    <cellStyle name="Normal 3 3 7 8 2" xfId="39624" xr:uid="{AD251609-F521-4DC3-9DE5-F3C95827C2A2}"/>
    <cellStyle name="Normal 3 3 7 9" xfId="22540" xr:uid="{A7E832BB-C30D-4FE7-87BF-FCCB2B724BA2}"/>
    <cellStyle name="Normal 3 3 7 9 2" xfId="42875" xr:uid="{9FA8F881-24A6-46E0-8D7E-364B3368B187}"/>
    <cellStyle name="Normal 3 3 8" xfId="5531" xr:uid="{E5567E17-0061-4A93-9E76-E00B1CE4755E}"/>
    <cellStyle name="Normal 3 3 8 10" xfId="12282" xr:uid="{9FFA4515-7B9E-4C23-BAF8-3B056B532E4E}"/>
    <cellStyle name="Normal 3 3 8 10 2" xfId="32623" xr:uid="{6D3BE205-3F42-491C-973D-672AD6E8392E}"/>
    <cellStyle name="Normal 3 3 8 11" xfId="9021" xr:uid="{FD111D3A-7871-498F-BD0E-A6C516CA447E}"/>
    <cellStyle name="Normal 3 3 8 11 2" xfId="29364" xr:uid="{E3E10911-3B4A-47B8-AB2D-B6735282939B}"/>
    <cellStyle name="Normal 3 3 8 12" xfId="25870" xr:uid="{0567CD2A-6F5D-496B-83B8-A2315E9DF4D6}"/>
    <cellStyle name="Normal 3 3 8 2" xfId="6103" xr:uid="{0052A1FC-B53A-40BF-9491-E062FF4C8493}"/>
    <cellStyle name="Normal 3 3 8 2 2" xfId="7261" xr:uid="{B1A025FB-2027-4E5D-8435-DD48A92C92F4}"/>
    <cellStyle name="Normal 3 3 8 2 2 2" xfId="17547" xr:uid="{FB36C997-D250-4566-B823-9DB73B462FE5}"/>
    <cellStyle name="Normal 3 3 8 2 2 2 2" xfId="37887" xr:uid="{3885EBB8-1C46-4A5F-8A2A-385F4AA317A3}"/>
    <cellStyle name="Normal 3 3 8 2 2 3" xfId="21049" xr:uid="{06EAF4E2-D213-42AB-948C-4D2898D1102F}"/>
    <cellStyle name="Normal 3 3 8 2 2 3 2" xfId="41388" xr:uid="{7B4538BB-3600-4E5E-91FA-23B971E62A59}"/>
    <cellStyle name="Normal 3 3 8 2 2 4" xfId="24304" xr:uid="{B5FA5240-8A74-4A85-9FCD-50E553EC1ED0}"/>
    <cellStyle name="Normal 3 3 8 2 2 4 2" xfId="44639" xr:uid="{A81D69DB-E46C-49A3-9B7F-423C728C0798}"/>
    <cellStyle name="Normal 3 3 8 2 2 5" xfId="14638" xr:uid="{BE0C83EC-E91D-4ED0-BC63-40B071A7B377}"/>
    <cellStyle name="Normal 3 3 8 2 2 5 2" xfId="34979" xr:uid="{C97B1412-00C6-4FB9-A7C9-7488C3D94B0D}"/>
    <cellStyle name="Normal 3 3 8 2 2 6" xfId="10760" xr:uid="{F1D476AB-5F21-468D-B0CF-1080BD37B7D3}"/>
    <cellStyle name="Normal 3 3 8 2 2 6 2" xfId="31103" xr:uid="{49AB46D1-455A-45E9-8F9B-99D5BBD31AC2}"/>
    <cellStyle name="Normal 3 3 8 2 2 7" xfId="27609" xr:uid="{49DC9200-9350-4F7D-980A-228444C56CE2}"/>
    <cellStyle name="Normal 3 3 8 2 3" xfId="16389" xr:uid="{7BC5AD87-5427-41D0-A372-9A148570A7AC}"/>
    <cellStyle name="Normal 3 3 8 2 3 2" xfId="36729" xr:uid="{5F7D4665-2968-47FC-B625-FD070C211BBA}"/>
    <cellStyle name="Normal 3 3 8 2 4" xfId="19891" xr:uid="{3A3BE71B-63AF-450E-9A65-6AA676BF4026}"/>
    <cellStyle name="Normal 3 3 8 2 4 2" xfId="40230" xr:uid="{F9605E86-BE69-44E6-857E-0FAF40DEAEE5}"/>
    <cellStyle name="Normal 3 3 8 2 5" xfId="23146" xr:uid="{D3CD357B-9225-4A28-B9C0-CE3326312490}"/>
    <cellStyle name="Normal 3 3 8 2 5 2" xfId="43481" xr:uid="{7D60A8D7-B469-43C4-A62C-FEEBFD75740E}"/>
    <cellStyle name="Normal 3 3 8 2 6" xfId="13480" xr:uid="{237BFB9B-C8D5-405F-A3E0-0D59F886EDE3}"/>
    <cellStyle name="Normal 3 3 8 2 6 2" xfId="33821" xr:uid="{1D4C8F47-3F33-4E16-98B3-F5F717103D4D}"/>
    <cellStyle name="Normal 3 3 8 2 7" xfId="9602" xr:uid="{876B416C-B518-43DB-A2E4-EE5BC79865FD}"/>
    <cellStyle name="Normal 3 3 8 2 7 2" xfId="29945" xr:uid="{6EB6C7D2-0251-4B14-AC5D-8D1A3331A2BF}"/>
    <cellStyle name="Normal 3 3 8 2 8" xfId="26451" xr:uid="{0B75E06B-49D9-4728-9DB9-A55081CDC813}"/>
    <cellStyle name="Normal 3 3 8 3" xfId="6680" xr:uid="{FBD7E3DF-85FD-4FBF-9C6B-9CDDD518780E}"/>
    <cellStyle name="Normal 3 3 8 3 2" xfId="16966" xr:uid="{D8620E8E-E176-4B29-877A-087D27EE0862}"/>
    <cellStyle name="Normal 3 3 8 3 2 2" xfId="37306" xr:uid="{03980FEB-9D8E-4D5C-A0DC-4A688A592B30}"/>
    <cellStyle name="Normal 3 3 8 3 3" xfId="20468" xr:uid="{042B6AB3-6482-4EF6-A136-AD1F947D804A}"/>
    <cellStyle name="Normal 3 3 8 3 3 2" xfId="40807" xr:uid="{7A166562-6376-4EC8-BC39-7EC65B9859A4}"/>
    <cellStyle name="Normal 3 3 8 3 4" xfId="23723" xr:uid="{99E9492C-434B-4399-8D96-CA0A950AAD4D}"/>
    <cellStyle name="Normal 3 3 8 3 4 2" xfId="44058" xr:uid="{0AA6EE6A-8962-4B80-B6CD-F09BD7EF198D}"/>
    <cellStyle name="Normal 3 3 8 3 5" xfId="14057" xr:uid="{CC45ABC9-32AC-4D6C-8FBA-256E8350D778}"/>
    <cellStyle name="Normal 3 3 8 3 5 2" xfId="34398" xr:uid="{CF7F9744-782A-4F74-88F7-FF1B626B756E}"/>
    <cellStyle name="Normal 3 3 8 3 6" xfId="10179" xr:uid="{383E97F3-727C-404C-84B8-4B13F5186D51}"/>
    <cellStyle name="Normal 3 3 8 3 6 2" xfId="30522" xr:uid="{F1D23FFB-FB65-4F55-9653-6DBEECEE2C07}"/>
    <cellStyle name="Normal 3 3 8 3 7" xfId="27028" xr:uid="{0891E944-1A16-4367-AFA8-82D8B0AC671C}"/>
    <cellStyle name="Normal 3 3 8 4" xfId="7844" xr:uid="{F189C264-F7FC-4903-ABDF-9ADE54962849}"/>
    <cellStyle name="Normal 3 3 8 4 2" xfId="18129" xr:uid="{061595F0-E6B9-48C2-854A-EAA415DD7E66}"/>
    <cellStyle name="Normal 3 3 8 4 2 2" xfId="38469" xr:uid="{DFAA1BC6-F296-4EE3-A052-F4933EDFB9AF}"/>
    <cellStyle name="Normal 3 3 8 4 3" xfId="21631" xr:uid="{AADA3A47-51DF-473E-BBC3-99095A41F9F8}"/>
    <cellStyle name="Normal 3 3 8 4 3 2" xfId="41970" xr:uid="{CF17E739-9BBC-4F0E-84A0-9C6BCC11D4F2}"/>
    <cellStyle name="Normal 3 3 8 4 4" xfId="24886" xr:uid="{A0B27647-01C2-4B89-BC78-DF2C868C8C64}"/>
    <cellStyle name="Normal 3 3 8 4 4 2" xfId="45221" xr:uid="{0B78186A-DA2A-4C07-A6A1-F5A20883147C}"/>
    <cellStyle name="Normal 3 3 8 4 5" xfId="15221" xr:uid="{6543002A-2EB1-4569-9646-21C8515D592D}"/>
    <cellStyle name="Normal 3 3 8 4 5 2" xfId="35561" xr:uid="{558ABB0C-AC8D-40FF-A48F-F7B766A4FB88}"/>
    <cellStyle name="Normal 3 3 8 4 6" xfId="11342" xr:uid="{1151D43E-A794-45DD-A8D0-2DF9B07D22C4}"/>
    <cellStyle name="Normal 3 3 8 4 6 2" xfId="31685" xr:uid="{6C55068D-14B2-4095-B49B-38501A0C3636}"/>
    <cellStyle name="Normal 3 3 8 4 7" xfId="28191" xr:uid="{632CAB7E-669E-4735-923B-2D3B707F3F78}"/>
    <cellStyle name="Normal 3 3 8 5" xfId="12911" xr:uid="{717E17F9-A72D-4BDE-8F61-A538793AB013}"/>
    <cellStyle name="Normal 3 3 8 5 2" xfId="33252" xr:uid="{07705AEA-0DC1-4171-A631-F61BDD396FE8}"/>
    <cellStyle name="Normal 3 3 8 6" xfId="15808" xr:uid="{58AAF469-CD28-4370-AD4E-5A8C55399A66}"/>
    <cellStyle name="Normal 3 3 8 6 2" xfId="36148" xr:uid="{D6472326-2817-463E-AE28-0FFC9F59E978}"/>
    <cellStyle name="Normal 3 3 8 7" xfId="18722" xr:uid="{F327ACAF-A819-4274-8BE1-C499DF0EDB27}"/>
    <cellStyle name="Normal 3 3 8 7 2" xfId="39062" xr:uid="{DC7D2A11-7CE6-43D0-9196-0DAEEDD6B989}"/>
    <cellStyle name="Normal 3 3 8 8" xfId="19310" xr:uid="{9432C92D-36F6-43F6-B612-F4AC8D91DAF5}"/>
    <cellStyle name="Normal 3 3 8 8 2" xfId="39649" xr:uid="{DB860556-7D28-4F4F-8D66-688973BAB1AD}"/>
    <cellStyle name="Normal 3 3 8 9" xfId="22565" xr:uid="{DE40B758-1641-468E-AF32-05E06F9508CD}"/>
    <cellStyle name="Normal 3 3 8 9 2" xfId="42900" xr:uid="{8525F614-A4EF-4304-8223-A7462C53E7AB}"/>
    <cellStyle name="Normal 3 3 9" xfId="5679" xr:uid="{62F79E2D-C0DB-468E-B316-8BB3E5F7C406}"/>
    <cellStyle name="Normal 3 3 9 10" xfId="12430" xr:uid="{1C42EC22-7AC0-428D-8D3D-B5D68DA0B1E3}"/>
    <cellStyle name="Normal 3 3 9 10 2" xfId="32771" xr:uid="{AC83BB54-C34E-404A-B385-B492B8EE278C}"/>
    <cellStyle name="Normal 3 3 9 11" xfId="9169" xr:uid="{502DB665-5ABF-4FB8-BE8F-31F18AA4F1F3}"/>
    <cellStyle name="Normal 3 3 9 11 2" xfId="29512" xr:uid="{2DED88B6-68B6-4D78-B9DA-E0C061A1B468}"/>
    <cellStyle name="Normal 3 3 9 12" xfId="26018" xr:uid="{2037573C-AB69-48D4-B4B3-A6B1A4A9F6E0}"/>
    <cellStyle name="Normal 3 3 9 2" xfId="6251" xr:uid="{800830B8-5695-4AB7-A771-836389D5CB85}"/>
    <cellStyle name="Normal 3 3 9 2 2" xfId="7409" xr:uid="{09E67BED-72DD-4577-9280-939ED1ADF672}"/>
    <cellStyle name="Normal 3 3 9 2 2 2" xfId="17695" xr:uid="{590D3E0C-0310-4B85-9A79-5859AB3EA506}"/>
    <cellStyle name="Normal 3 3 9 2 2 2 2" xfId="38035" xr:uid="{13247D37-E653-4E52-A7ED-73A7EEC225A7}"/>
    <cellStyle name="Normal 3 3 9 2 2 3" xfId="21197" xr:uid="{50B47D24-6F5F-4BF0-9CCE-956FEE5C6264}"/>
    <cellStyle name="Normal 3 3 9 2 2 3 2" xfId="41536" xr:uid="{57B90079-1B56-418A-9884-B15242459AB8}"/>
    <cellStyle name="Normal 3 3 9 2 2 4" xfId="24452" xr:uid="{97549F57-8201-4E02-85A9-FB15AD60B66A}"/>
    <cellStyle name="Normal 3 3 9 2 2 4 2" xfId="44787" xr:uid="{09699170-E7C2-463C-BE2D-B4C10B261183}"/>
    <cellStyle name="Normal 3 3 9 2 2 5" xfId="14786" xr:uid="{D0C6466E-D43B-4A4C-A1A6-814F63C7017B}"/>
    <cellStyle name="Normal 3 3 9 2 2 5 2" xfId="35127" xr:uid="{ABA31274-6157-4BE6-A7F1-631901C94C32}"/>
    <cellStyle name="Normal 3 3 9 2 2 6" xfId="10908" xr:uid="{8B5FB731-962D-406A-9918-7290D99375B1}"/>
    <cellStyle name="Normal 3 3 9 2 2 6 2" xfId="31251" xr:uid="{D3A322DD-D137-4FE9-AAC7-BEAC2D87E479}"/>
    <cellStyle name="Normal 3 3 9 2 2 7" xfId="27757" xr:uid="{AE892091-AB8E-4B93-B51B-1954C6D84430}"/>
    <cellStyle name="Normal 3 3 9 2 3" xfId="16537" xr:uid="{0B922645-FA37-4827-8068-07951BFC558F}"/>
    <cellStyle name="Normal 3 3 9 2 3 2" xfId="36877" xr:uid="{C3800752-4EA1-4666-9045-CC2AB1C89470}"/>
    <cellStyle name="Normal 3 3 9 2 4" xfId="20039" xr:uid="{D1F3C09F-DA4F-4F3C-B0FE-FE3AA00D6C05}"/>
    <cellStyle name="Normal 3 3 9 2 4 2" xfId="40378" xr:uid="{A388C2E8-BFA5-4826-82C6-13FFF4D3FF44}"/>
    <cellStyle name="Normal 3 3 9 2 5" xfId="23294" xr:uid="{4B0CFE5B-09CF-4024-BE16-E1BC1F49054C}"/>
    <cellStyle name="Normal 3 3 9 2 5 2" xfId="43629" xr:uid="{48AA2629-B09D-456E-BFA6-9D782C56FEB4}"/>
    <cellStyle name="Normal 3 3 9 2 6" xfId="13628" xr:uid="{6E5B8D9F-B252-469E-B515-A89A381560E4}"/>
    <cellStyle name="Normal 3 3 9 2 6 2" xfId="33969" xr:uid="{11F63FC5-7099-4227-86E0-017729C9CE76}"/>
    <cellStyle name="Normal 3 3 9 2 7" xfId="9750" xr:uid="{620CAAD8-2E19-44DA-8B21-39CFA091F377}"/>
    <cellStyle name="Normal 3 3 9 2 7 2" xfId="30093" xr:uid="{9B859A60-02E5-49A6-8683-44BB1814A5B8}"/>
    <cellStyle name="Normal 3 3 9 2 8" xfId="26599" xr:uid="{ABA28B3D-E8E2-478F-8DEC-D39E2CE7A3CE}"/>
    <cellStyle name="Normal 3 3 9 3" xfId="6828" xr:uid="{9CFF6850-9BD3-438D-8DB9-6E811AE8EC8B}"/>
    <cellStyle name="Normal 3 3 9 3 2" xfId="17114" xr:uid="{512CE02B-BEEC-44BF-8259-DF15E207979F}"/>
    <cellStyle name="Normal 3 3 9 3 2 2" xfId="37454" xr:uid="{0DAA8744-805A-4220-8E9E-3F11BE9A5F42}"/>
    <cellStyle name="Normal 3 3 9 3 3" xfId="20616" xr:uid="{4C430112-904C-4E80-8546-B51BE358AADB}"/>
    <cellStyle name="Normal 3 3 9 3 3 2" xfId="40955" xr:uid="{477EB8D0-5F22-4BFA-A364-3AE8A870BF6C}"/>
    <cellStyle name="Normal 3 3 9 3 4" xfId="23871" xr:uid="{4D1D2E09-2C44-48B5-9DE1-B0F06077E5EB}"/>
    <cellStyle name="Normal 3 3 9 3 4 2" xfId="44206" xr:uid="{B5FD3976-4C43-44CE-84CF-81FF75C87366}"/>
    <cellStyle name="Normal 3 3 9 3 5" xfId="14205" xr:uid="{7855E988-C364-4DDF-9801-8A68AE78773C}"/>
    <cellStyle name="Normal 3 3 9 3 5 2" xfId="34546" xr:uid="{6DF8D77C-AF58-451C-8BFA-23E8356D3957}"/>
    <cellStyle name="Normal 3 3 9 3 6" xfId="10327" xr:uid="{6737E59D-9311-457D-BB68-7944E7ED3E58}"/>
    <cellStyle name="Normal 3 3 9 3 6 2" xfId="30670" xr:uid="{572FCA29-8FA8-4C08-82C4-E0C1184F689C}"/>
    <cellStyle name="Normal 3 3 9 3 7" xfId="27176" xr:uid="{410A558C-C635-4024-B8DF-1AAD494AF708}"/>
    <cellStyle name="Normal 3 3 9 4" xfId="7992" xr:uid="{844FD774-5705-4521-A511-C4EE3D1F497C}"/>
    <cellStyle name="Normal 3 3 9 4 2" xfId="18277" xr:uid="{1DF740B9-A15F-49F0-B08B-E9250987E67F}"/>
    <cellStyle name="Normal 3 3 9 4 2 2" xfId="38617" xr:uid="{AD7F8904-E9E6-4614-9798-6A095048BBB3}"/>
    <cellStyle name="Normal 3 3 9 4 3" xfId="21779" xr:uid="{ACAD3137-06CE-42B9-9E57-9008B90A771D}"/>
    <cellStyle name="Normal 3 3 9 4 3 2" xfId="42118" xr:uid="{DAFB40B2-D9D5-454F-AB05-4C6E1CA70776}"/>
    <cellStyle name="Normal 3 3 9 4 4" xfId="25034" xr:uid="{BA512EF6-56E8-47D0-BEFC-E084374FC00A}"/>
    <cellStyle name="Normal 3 3 9 4 4 2" xfId="45369" xr:uid="{866C459F-50FE-400F-9105-D99CE9B9E705}"/>
    <cellStyle name="Normal 3 3 9 4 5" xfId="15369" xr:uid="{5C39FD0F-5984-41C1-9F11-7773984E5244}"/>
    <cellStyle name="Normal 3 3 9 4 5 2" xfId="35709" xr:uid="{12B49EDF-363D-4995-ADF6-CA5E882EF6A1}"/>
    <cellStyle name="Normal 3 3 9 4 6" xfId="11490" xr:uid="{4150B211-5BD7-4D1A-A068-26F18FE046D2}"/>
    <cellStyle name="Normal 3 3 9 4 6 2" xfId="31833" xr:uid="{146D8FB0-D0D9-447A-A2BA-76A742F6B7E1}"/>
    <cellStyle name="Normal 3 3 9 4 7" xfId="28339" xr:uid="{0E046F53-3FF9-414B-9D96-5A2D327CEEC0}"/>
    <cellStyle name="Normal 3 3 9 5" xfId="13059" xr:uid="{E0078489-6F8C-4115-A9E0-C28BD24C757B}"/>
    <cellStyle name="Normal 3 3 9 5 2" xfId="33400" xr:uid="{A97161E6-35CB-4466-8869-9CB1C64522FA}"/>
    <cellStyle name="Normal 3 3 9 6" xfId="15956" xr:uid="{5F2279B2-5D87-44BA-845F-923221DA8BC1}"/>
    <cellStyle name="Normal 3 3 9 6 2" xfId="36296" xr:uid="{5F325430-566A-4C2F-962E-8B2E78236EE9}"/>
    <cellStyle name="Normal 3 3 9 7" xfId="18870" xr:uid="{76BEB5CD-9805-45F3-9D04-9B411A62F198}"/>
    <cellStyle name="Normal 3 3 9 7 2" xfId="39210" xr:uid="{6DF4BDCA-C932-4EC4-BB69-DEE01ED84257}"/>
    <cellStyle name="Normal 3 3 9 8" xfId="19458" xr:uid="{2C75A101-51B7-46A5-A387-05D6F6C06900}"/>
    <cellStyle name="Normal 3 3 9 8 2" xfId="39797" xr:uid="{4174486E-6D9B-42E3-9061-799DE0F25C22}"/>
    <cellStyle name="Normal 3 3 9 9" xfId="22713" xr:uid="{44F31ACA-8E8B-42A8-B225-3074BA0A1196}"/>
    <cellStyle name="Normal 3 3 9 9 2" xfId="43048" xr:uid="{4C9C9DC4-BC6A-4C6C-9BFD-D59064FE1BF0}"/>
    <cellStyle name="Normal 3 4" xfId="106" xr:uid="{15E52206-0FAC-4A31-9593-0917A03584CE}"/>
    <cellStyle name="Normal 3 4 10" xfId="18400" xr:uid="{200AFE34-018F-491E-A910-563945C20B9E}"/>
    <cellStyle name="Normal 3 4 10 2" xfId="38740" xr:uid="{D5535FB5-534C-4604-920D-3119E359DA74}"/>
    <cellStyle name="Normal 3 4 11" xfId="18988" xr:uid="{9D3AE9AB-C4FE-4CCC-9C87-D9D2BABC8B8C}"/>
    <cellStyle name="Normal 3 4 11 2" xfId="39327" xr:uid="{55B7FF22-0461-4E06-84F2-1E8131354BCC}"/>
    <cellStyle name="Normal 3 4 12" xfId="22243" xr:uid="{12274132-72B1-4EB8-92B3-E8F96A2DFAD9}"/>
    <cellStyle name="Normal 3 4 12 2" xfId="42578" xr:uid="{A20ED735-519E-42A8-B028-A8CE31EC28E0}"/>
    <cellStyle name="Normal 3 4 13" xfId="11960" xr:uid="{D70FD059-AC8C-4B44-B6B8-C4059C1BDB29}"/>
    <cellStyle name="Normal 3 4 13 2" xfId="32301" xr:uid="{605405A6-222F-46C8-B0A0-C7A028BDBAE8}"/>
    <cellStyle name="Normal 3 4 14" xfId="8699" xr:uid="{C6A37BE5-6BFC-4574-9324-2843A058C7FE}"/>
    <cellStyle name="Normal 3 4 14 2" xfId="29042" xr:uid="{324540B6-7BDF-4A79-A346-A3297431BA05}"/>
    <cellStyle name="Normal 3 4 15" xfId="25544" xr:uid="{C059F0B0-008E-4BEA-88B9-0F7D583BE5BC}"/>
    <cellStyle name="Normal 3 4 16" xfId="45872" xr:uid="{4E2160EF-D796-49E5-A7CF-19AA7E70B0AD}"/>
    <cellStyle name="Normal 3 4 17" xfId="46358" xr:uid="{224800DC-AC28-47DE-AFA6-6D206047A874}"/>
    <cellStyle name="Normal 3 4 18" xfId="46850" xr:uid="{E3500784-FFA2-409E-8035-FDD1850441BC}"/>
    <cellStyle name="Normal 3 4 19" xfId="4841" xr:uid="{6F4937B7-9B32-4867-810A-F8C240EE1729}"/>
    <cellStyle name="Normal 3 4 2" xfId="5050" xr:uid="{7DDE5545-4FF1-4063-84A1-0F93C7294FB0}"/>
    <cellStyle name="Normal 3 4 2 10" xfId="12075" xr:uid="{A1BB4DA4-04D3-480A-977A-5703C0B589E9}"/>
    <cellStyle name="Normal 3 4 2 10 2" xfId="32416" xr:uid="{BA77B788-D8E9-4A86-9778-2F088233E034}"/>
    <cellStyle name="Normal 3 4 2 11" xfId="8814" xr:uid="{918B05D2-78F6-4C66-B4AD-C7AD47306455}"/>
    <cellStyle name="Normal 3 4 2 11 2" xfId="29157" xr:uid="{9A5C6E97-BD75-41F0-8365-CF06B39004E7}"/>
    <cellStyle name="Normal 3 4 2 12" xfId="25663" xr:uid="{164539F9-C9FF-42A9-987E-8D9E0D98D453}"/>
    <cellStyle name="Normal 3 4 2 13" xfId="45932" xr:uid="{0CFE028D-C4E9-4184-9738-41B095B68CC2}"/>
    <cellStyle name="Normal 3 4 2 14" xfId="46418" xr:uid="{A1913990-C6DC-4AB6-80F3-1B42C3D38830}"/>
    <cellStyle name="Normal 3 4 2 15" xfId="46910" xr:uid="{C80102BD-2A7E-4890-90A5-C25007AD1D5F}"/>
    <cellStyle name="Normal 3 4 2 2" xfId="5896" xr:uid="{AE6FF720-E82F-4A16-9029-D8548921337A}"/>
    <cellStyle name="Normal 3 4 2 2 10" xfId="46661" xr:uid="{82B8C4FE-A7C4-401C-8937-AC98FF19BC86}"/>
    <cellStyle name="Normal 3 4 2 2 11" xfId="47153" xr:uid="{E995C353-6BC9-49BB-8D69-F19200BEC2C0}"/>
    <cellStyle name="Normal 3 4 2 2 2" xfId="7054" xr:uid="{2025032E-8E6C-4801-8380-44559B980D71}"/>
    <cellStyle name="Normal 3 4 2 2 2 2" xfId="17340" xr:uid="{F9EF5EDF-C385-452F-BF42-ED4F4014D16B}"/>
    <cellStyle name="Normal 3 4 2 2 2 2 2" xfId="37680" xr:uid="{AD845684-4655-46FD-AC50-A48048A1090D}"/>
    <cellStyle name="Normal 3 4 2 2 2 3" xfId="20842" xr:uid="{AF993128-7F2F-41A9-8563-E0D8ED0C601C}"/>
    <cellStyle name="Normal 3 4 2 2 2 3 2" xfId="41181" xr:uid="{49FC72C6-0553-4B05-8EBF-563308EFC174}"/>
    <cellStyle name="Normal 3 4 2 2 2 4" xfId="24097" xr:uid="{72022F3E-93B3-469D-9311-258779BDA887}"/>
    <cellStyle name="Normal 3 4 2 2 2 4 2" xfId="44432" xr:uid="{3555B167-D775-4836-A5D0-6DBE7959A3AE}"/>
    <cellStyle name="Normal 3 4 2 2 2 5" xfId="14431" xr:uid="{CA9E030F-CA69-43E3-A27E-7698C457049B}"/>
    <cellStyle name="Normal 3 4 2 2 2 5 2" xfId="34772" xr:uid="{129DB9AC-7ABA-4034-BEED-30DC283FE2CD}"/>
    <cellStyle name="Normal 3 4 2 2 2 6" xfId="10553" xr:uid="{7B8F4958-C06E-4B3D-B1D4-966019765CCB}"/>
    <cellStyle name="Normal 3 4 2 2 2 6 2" xfId="30896" xr:uid="{7D402836-8CA7-4EB0-A2DA-1263981F3BA6}"/>
    <cellStyle name="Normal 3 4 2 2 2 7" xfId="27402" xr:uid="{D74E8FBB-1953-4BE6-A7CC-EC2DA7DBAB9E}"/>
    <cellStyle name="Normal 3 4 2 2 3" xfId="16182" xr:uid="{9A74BEFA-C64C-4598-8FC2-D6B02EDB5AAE}"/>
    <cellStyle name="Normal 3 4 2 2 3 2" xfId="36522" xr:uid="{3A03F0C9-7EEE-4BF8-8369-D3A6EC17FF22}"/>
    <cellStyle name="Normal 3 4 2 2 4" xfId="19684" xr:uid="{63BF462B-EAF8-476D-85BE-C8A63B93F5D4}"/>
    <cellStyle name="Normal 3 4 2 2 4 2" xfId="40023" xr:uid="{EE909159-F92D-4B28-A734-1582A642844C}"/>
    <cellStyle name="Normal 3 4 2 2 5" xfId="22939" xr:uid="{89E6B4CD-8729-4796-855C-8C7555831A77}"/>
    <cellStyle name="Normal 3 4 2 2 5 2" xfId="43274" xr:uid="{1A51C35C-AC92-49DC-A5F2-8CA455900921}"/>
    <cellStyle name="Normal 3 4 2 2 6" xfId="13275" xr:uid="{18D5DA51-193E-482C-8912-30B3D0A9A916}"/>
    <cellStyle name="Normal 3 4 2 2 6 2" xfId="33616" xr:uid="{0DFC830E-1390-4C71-8638-7FF109FBB48E}"/>
    <cellStyle name="Normal 3 4 2 2 7" xfId="9395" xr:uid="{E16FA0C3-1993-4FAD-98EF-737823652C68}"/>
    <cellStyle name="Normal 3 4 2 2 7 2" xfId="29738" xr:uid="{80FE9EBB-EE8A-4CCD-9C8F-AC83FF57987F}"/>
    <cellStyle name="Normal 3 4 2 2 8" xfId="26244" xr:uid="{8E54041D-3958-43CC-B01C-0CB28E737BBE}"/>
    <cellStyle name="Normal 3 4 2 2 9" xfId="46175" xr:uid="{99C4BFEA-7B1B-4438-AB04-F089946A0255}"/>
    <cellStyle name="Normal 3 4 2 3" xfId="6473" xr:uid="{AFBDD53F-84B6-41A4-A3E9-6CD9E2F19831}"/>
    <cellStyle name="Normal 3 4 2 3 2" xfId="16759" xr:uid="{6EEAEDD3-AD84-4A52-8E81-36E6BA6964CE}"/>
    <cellStyle name="Normal 3 4 2 3 2 2" xfId="37099" xr:uid="{7D241C0A-C61A-4948-BDC9-210305295AAB}"/>
    <cellStyle name="Normal 3 4 2 3 3" xfId="20261" xr:uid="{71B7D0B1-069A-4D10-A9F9-3A0EEEDFCAC1}"/>
    <cellStyle name="Normal 3 4 2 3 3 2" xfId="40600" xr:uid="{0FBCB6D7-80E0-4EA7-BB0D-5329FD2D5E41}"/>
    <cellStyle name="Normal 3 4 2 3 4" xfId="23516" xr:uid="{112D97AE-DC8C-426A-9330-F041ABBF4475}"/>
    <cellStyle name="Normal 3 4 2 3 4 2" xfId="43851" xr:uid="{2AC105C7-88B6-49D9-ACDD-C6446069525D}"/>
    <cellStyle name="Normal 3 4 2 3 5" xfId="13850" xr:uid="{7B060F91-09FD-4100-8A34-7377BAD1755D}"/>
    <cellStyle name="Normal 3 4 2 3 5 2" xfId="34191" xr:uid="{77D70016-27B8-432E-9462-20F1BC49A787}"/>
    <cellStyle name="Normal 3 4 2 3 6" xfId="9972" xr:uid="{641800B6-91CA-4B6F-B09E-A83811500D27}"/>
    <cellStyle name="Normal 3 4 2 3 6 2" xfId="30315" xr:uid="{57B4265D-7A87-4745-A56B-54237B9BE820}"/>
    <cellStyle name="Normal 3 4 2 3 7" xfId="26821" xr:uid="{38B854BD-43A3-47B5-96B2-F77899F908CE}"/>
    <cellStyle name="Normal 3 4 2 4" xfId="7637" xr:uid="{4BB29925-4688-4755-9832-080CC67CC068}"/>
    <cellStyle name="Normal 3 4 2 4 2" xfId="17922" xr:uid="{545DF7A8-7235-4336-8D4B-F92A734F0CB4}"/>
    <cellStyle name="Normal 3 4 2 4 2 2" xfId="38262" xr:uid="{5DC93FB6-B72C-4783-9CCE-15D320E79F45}"/>
    <cellStyle name="Normal 3 4 2 4 3" xfId="21424" xr:uid="{3958E497-DB1C-4908-9029-5EF9A47C110C}"/>
    <cellStyle name="Normal 3 4 2 4 3 2" xfId="41763" xr:uid="{BFE730FD-E7E1-423D-82E1-3C0668B47DFC}"/>
    <cellStyle name="Normal 3 4 2 4 4" xfId="24679" xr:uid="{2D709FBF-AF3B-49B0-BCEE-B5A757484B75}"/>
    <cellStyle name="Normal 3 4 2 4 4 2" xfId="45014" xr:uid="{1034CAAC-B84F-4731-AF14-0A20001A58F2}"/>
    <cellStyle name="Normal 3 4 2 4 5" xfId="15014" xr:uid="{67633C18-3417-4E54-843E-EA7D21D8CF49}"/>
    <cellStyle name="Normal 3 4 2 4 5 2" xfId="35354" xr:uid="{6BF93679-3826-418A-8353-04090698AE98}"/>
    <cellStyle name="Normal 3 4 2 4 6" xfId="11135" xr:uid="{CFF17A9B-AC54-4BF9-BE49-C5B859D0FB7C}"/>
    <cellStyle name="Normal 3 4 2 4 6 2" xfId="31478" xr:uid="{55FD769B-463A-4E60-9FE0-369B1CA8FBAA}"/>
    <cellStyle name="Normal 3 4 2 4 7" xfId="27984" xr:uid="{3C1BF0E9-A7C6-47BC-8EC4-CDCA67EE3D7B}"/>
    <cellStyle name="Normal 3 4 2 5" xfId="8104" xr:uid="{D04D6A9A-29F1-486C-9397-998BF80834DF}"/>
    <cellStyle name="Normal 3 4 2 5 2" xfId="21891" xr:uid="{3FF3C231-2E4E-43BE-9E60-35FEA2B5C4BC}"/>
    <cellStyle name="Normal 3 4 2 5 2 2" xfId="42227" xr:uid="{1BE7EA7A-308E-4FCA-8040-3F140BD5C555}"/>
    <cellStyle name="Normal 3 4 2 5 3" xfId="25143" xr:uid="{9C911512-5565-4DE0-82FE-890C66C33235}"/>
    <cellStyle name="Normal 3 4 2 5 3 2" xfId="45478" xr:uid="{348E9C28-5139-4E21-9B07-48809BA5C94B}"/>
    <cellStyle name="Normal 3 4 2 5 4" xfId="12706" xr:uid="{2F3111D7-387E-4B70-9994-2E11ECE850D3}"/>
    <cellStyle name="Normal 3 4 2 5 4 2" xfId="33047" xr:uid="{4DFC955F-2A81-4BB9-A47F-D8096CF60892}"/>
    <cellStyle name="Normal 3 4 2 5 5" xfId="11600" xr:uid="{514317A4-D2BB-4645-9439-A3478C292526}"/>
    <cellStyle name="Normal 3 4 2 5 5 2" xfId="31942" xr:uid="{07BAAD43-F20B-436B-8E66-4895004BF9FC}"/>
    <cellStyle name="Normal 3 4 2 5 6" xfId="28448" xr:uid="{207CD3B0-D5C5-4C8F-A0F4-A1B88188A428}"/>
    <cellStyle name="Normal 3 4 2 6" xfId="8557" xr:uid="{B682C068-3656-479B-A394-FE636D93E68E}"/>
    <cellStyle name="Normal 3 4 2 6 2" xfId="15601" xr:uid="{E40748D8-EF9A-4E98-8C0F-DD9DB0696712}"/>
    <cellStyle name="Normal 3 4 2 6 2 2" xfId="35941" xr:uid="{6FCBC258-94B4-4B13-9479-8079F83AA824}"/>
    <cellStyle name="Normal 3 4 2 6 3" xfId="28900" xr:uid="{70EEF0AF-1872-4798-BEF4-9E8A03B08490}"/>
    <cellStyle name="Normal 3 4 2 7" xfId="18515" xr:uid="{DB8D75DD-6928-4573-9EF4-4287C02C4F75}"/>
    <cellStyle name="Normal 3 4 2 7 2" xfId="38855" xr:uid="{4938C8BD-6DC6-4195-87FB-E152A94C8E0B}"/>
    <cellStyle name="Normal 3 4 2 8" xfId="19103" xr:uid="{F3ADC097-D96C-46EE-828C-FAF9477EC9EA}"/>
    <cellStyle name="Normal 3 4 2 8 2" xfId="39442" xr:uid="{A1F75D87-B5F1-443F-91C8-3A5A7B1840B8}"/>
    <cellStyle name="Normal 3 4 2 9" xfId="22358" xr:uid="{BCD518B8-6A08-4018-9457-28FAF22D1C75}"/>
    <cellStyle name="Normal 3 4 2 9 2" xfId="42693" xr:uid="{723F1FD5-3513-49A4-BE42-028D5196514C}"/>
    <cellStyle name="Normal 3 4 3" xfId="5553" xr:uid="{38A3A587-B0EA-4F6B-9375-194ED720B7E3}"/>
    <cellStyle name="Normal 3 4 3 10" xfId="12304" xr:uid="{4E9DB466-131D-421C-B986-16CC657948E5}"/>
    <cellStyle name="Normal 3 4 3 10 2" xfId="32645" xr:uid="{47CD64C4-39E6-489A-B608-D46ECFF2E5B2}"/>
    <cellStyle name="Normal 3 4 3 11" xfId="9043" xr:uid="{901E0E47-FE30-4E2D-AC2C-273FD0E9C5CF}"/>
    <cellStyle name="Normal 3 4 3 11 2" xfId="29386" xr:uid="{A627BE62-0797-408B-99ED-8D159938E9F3}"/>
    <cellStyle name="Normal 3 4 3 12" xfId="25892" xr:uid="{D7BAA6C8-1521-4478-B98E-44FA37B75B4C}"/>
    <cellStyle name="Normal 3 4 3 13" xfId="46115" xr:uid="{11B6A92B-5430-432B-980C-326123520056}"/>
    <cellStyle name="Normal 3 4 3 14" xfId="46601" xr:uid="{2B494790-547E-4A2C-8FB3-309B1166F6EF}"/>
    <cellStyle name="Normal 3 4 3 15" xfId="47093" xr:uid="{AFE35F90-DC6F-4A72-91CC-959BDE5E51CD}"/>
    <cellStyle name="Normal 3 4 3 2" xfId="6125" xr:uid="{E6ECD05E-D962-478C-B080-A522A2EB4FA8}"/>
    <cellStyle name="Normal 3 4 3 2 2" xfId="7283" xr:uid="{0B5F0CE0-CB68-4297-A5B4-B294DEA61F6D}"/>
    <cellStyle name="Normal 3 4 3 2 2 2" xfId="17569" xr:uid="{F34499EA-E35C-4130-9FB0-EFBAE510BDDB}"/>
    <cellStyle name="Normal 3 4 3 2 2 2 2" xfId="37909" xr:uid="{845CC105-7C30-4434-AF7D-F79FEA60DF6F}"/>
    <cellStyle name="Normal 3 4 3 2 2 3" xfId="21071" xr:uid="{D6E81D63-3913-4EA6-BF8A-BDEA2B226EA0}"/>
    <cellStyle name="Normal 3 4 3 2 2 3 2" xfId="41410" xr:uid="{D6A45E11-3EFE-4D94-ACC3-B4820D1E543A}"/>
    <cellStyle name="Normal 3 4 3 2 2 4" xfId="24326" xr:uid="{C8EA5A84-A9C3-48ED-B1ED-3B2A55C035A5}"/>
    <cellStyle name="Normal 3 4 3 2 2 4 2" xfId="44661" xr:uid="{7E723007-C064-4181-AA16-93D509EE1ED4}"/>
    <cellStyle name="Normal 3 4 3 2 2 5" xfId="14660" xr:uid="{C46B8169-633F-466B-B695-A4FB15E008E2}"/>
    <cellStyle name="Normal 3 4 3 2 2 5 2" xfId="35001" xr:uid="{B732471D-7EE6-4217-9D2A-5C7D92FB1DE4}"/>
    <cellStyle name="Normal 3 4 3 2 2 6" xfId="10782" xr:uid="{AFDE0B18-B74E-4D83-9950-C282D9FA8F42}"/>
    <cellStyle name="Normal 3 4 3 2 2 6 2" xfId="31125" xr:uid="{2C8D6BCD-7A6B-4BFB-9683-64CC00989545}"/>
    <cellStyle name="Normal 3 4 3 2 2 7" xfId="27631" xr:uid="{907FC6EF-C974-460C-9979-B09D3D86516A}"/>
    <cellStyle name="Normal 3 4 3 2 3" xfId="16411" xr:uid="{2CFC575A-BF1B-4014-A12F-F4F31FA04DDC}"/>
    <cellStyle name="Normal 3 4 3 2 3 2" xfId="36751" xr:uid="{DCCBE597-038E-4242-8CC4-A079D929AD90}"/>
    <cellStyle name="Normal 3 4 3 2 4" xfId="19913" xr:uid="{11792329-AB1A-4131-8CD2-0E52BB3EFF91}"/>
    <cellStyle name="Normal 3 4 3 2 4 2" xfId="40252" xr:uid="{3D639F6B-3C10-4624-9DAC-6DFB5CF6B5DE}"/>
    <cellStyle name="Normal 3 4 3 2 5" xfId="23168" xr:uid="{E72B6F18-1F7B-41A4-BBD8-B6AA97EB827A}"/>
    <cellStyle name="Normal 3 4 3 2 5 2" xfId="43503" xr:uid="{762344B5-3548-4A4B-9079-956BC2AE6A4D}"/>
    <cellStyle name="Normal 3 4 3 2 6" xfId="13502" xr:uid="{B54483CD-7E22-40AE-B798-25EC7F4A338C}"/>
    <cellStyle name="Normal 3 4 3 2 6 2" xfId="33843" xr:uid="{E94B592B-84F3-4D42-B32A-50ED0E93FA99}"/>
    <cellStyle name="Normal 3 4 3 2 7" xfId="9624" xr:uid="{0393E283-0F12-46C4-9903-0FD8E84782DF}"/>
    <cellStyle name="Normal 3 4 3 2 7 2" xfId="29967" xr:uid="{636E57A5-F08A-4E41-AF93-A26BF277E543}"/>
    <cellStyle name="Normal 3 4 3 2 8" xfId="26473" xr:uid="{3271CC67-EB63-4A5D-B0B2-E81688A34ADA}"/>
    <cellStyle name="Normal 3 4 3 3" xfId="6702" xr:uid="{CA642215-B394-4BD4-B244-4F0AB8EF1AB8}"/>
    <cellStyle name="Normal 3 4 3 3 2" xfId="16988" xr:uid="{C39E7162-598F-476E-934E-D6DFB31F4E8A}"/>
    <cellStyle name="Normal 3 4 3 3 2 2" xfId="37328" xr:uid="{496D1CB4-754A-4DBC-822B-1970FBFC7E0D}"/>
    <cellStyle name="Normal 3 4 3 3 3" xfId="20490" xr:uid="{0C866E0E-07D5-4204-A31F-3A4380E8CC2D}"/>
    <cellStyle name="Normal 3 4 3 3 3 2" xfId="40829" xr:uid="{5F3DED8A-4305-44ED-B3FF-CE27709034A5}"/>
    <cellStyle name="Normal 3 4 3 3 4" xfId="23745" xr:uid="{54F515EE-87B5-4A48-955D-5199D61F41CB}"/>
    <cellStyle name="Normal 3 4 3 3 4 2" xfId="44080" xr:uid="{71505058-D200-4A66-A648-C6037DA753EE}"/>
    <cellStyle name="Normal 3 4 3 3 5" xfId="14079" xr:uid="{32B3C1E8-AF2F-41AA-AF0A-A4842612BF27}"/>
    <cellStyle name="Normal 3 4 3 3 5 2" xfId="34420" xr:uid="{2D847ABE-87C9-4154-873F-9DCD005B6360}"/>
    <cellStyle name="Normal 3 4 3 3 6" xfId="10201" xr:uid="{5AB3F1AA-EE63-4997-A0BA-CE8671A43429}"/>
    <cellStyle name="Normal 3 4 3 3 6 2" xfId="30544" xr:uid="{27758562-8D4B-4025-91E8-73143D956E40}"/>
    <cellStyle name="Normal 3 4 3 3 7" xfId="27050" xr:uid="{F159B180-BA03-4A52-BBBD-B52549869534}"/>
    <cellStyle name="Normal 3 4 3 4" xfId="7866" xr:uid="{A6470162-FB6E-4112-9056-EE41C19C3F91}"/>
    <cellStyle name="Normal 3 4 3 4 2" xfId="18151" xr:uid="{548E2945-3B05-4BA0-B3F0-B8C6B2DF4233}"/>
    <cellStyle name="Normal 3 4 3 4 2 2" xfId="38491" xr:uid="{86195390-4711-4009-AEC9-332B6E720EEB}"/>
    <cellStyle name="Normal 3 4 3 4 3" xfId="21653" xr:uid="{B87DAD20-2B10-4BBC-9C1B-64799180A642}"/>
    <cellStyle name="Normal 3 4 3 4 3 2" xfId="41992" xr:uid="{641F80A4-B8E8-4993-9444-25035DE75937}"/>
    <cellStyle name="Normal 3 4 3 4 4" xfId="24908" xr:uid="{79FF2E67-C6AC-4E07-8458-28A92867ED34}"/>
    <cellStyle name="Normal 3 4 3 4 4 2" xfId="45243" xr:uid="{A248EF2F-2F18-4870-9FCE-BE1F2B7ECD0B}"/>
    <cellStyle name="Normal 3 4 3 4 5" xfId="15243" xr:uid="{D0023A82-F530-4007-B4AB-464CE751E1A6}"/>
    <cellStyle name="Normal 3 4 3 4 5 2" xfId="35583" xr:uid="{05523DC8-AE66-4137-B859-02A9EEE1B5C7}"/>
    <cellStyle name="Normal 3 4 3 4 6" xfId="11364" xr:uid="{C340C8F2-D326-41F8-BA96-41BAAD40636F}"/>
    <cellStyle name="Normal 3 4 3 4 6 2" xfId="31707" xr:uid="{373F4CAE-2C15-43DC-AEB7-F9E640923BAD}"/>
    <cellStyle name="Normal 3 4 3 4 7" xfId="28213" xr:uid="{335FFC8F-0EB6-4CB7-80F9-7006D3C8EB53}"/>
    <cellStyle name="Normal 3 4 3 5" xfId="12933" xr:uid="{CADE2368-E558-4251-8E15-159F20E26EF0}"/>
    <cellStyle name="Normal 3 4 3 5 2" xfId="33274" xr:uid="{53FE4B1E-EA34-4084-A2E1-46E7A041EB0C}"/>
    <cellStyle name="Normal 3 4 3 6" xfId="15830" xr:uid="{0909E0D3-69D1-4ED8-A9E3-AC1C5DFD0CF8}"/>
    <cellStyle name="Normal 3 4 3 6 2" xfId="36170" xr:uid="{955CA428-A43C-4F62-8667-A502CC1CF461}"/>
    <cellStyle name="Normal 3 4 3 7" xfId="18744" xr:uid="{D9CFC731-8971-43A8-A1E4-900600FFF49A}"/>
    <cellStyle name="Normal 3 4 3 7 2" xfId="39084" xr:uid="{0CF8955E-30B6-4C7D-9D10-BB1CFD894EC0}"/>
    <cellStyle name="Normal 3 4 3 8" xfId="19332" xr:uid="{7A4C11AF-73DA-411E-A3EF-3BE5105355AC}"/>
    <cellStyle name="Normal 3 4 3 8 2" xfId="39671" xr:uid="{D5D9EBF6-E996-46C4-B160-592531BB22AA}"/>
    <cellStyle name="Normal 3 4 3 9" xfId="22587" xr:uid="{09CCE8FB-83EE-4DE5-92F2-9A2B786E8D0F}"/>
    <cellStyle name="Normal 3 4 3 9 2" xfId="42922" xr:uid="{E6A48673-6F19-4A14-8520-440329A39B40}"/>
    <cellStyle name="Normal 3 4 4" xfId="5711" xr:uid="{599B28C1-F18E-4D3F-B261-2B4192FD70D9}"/>
    <cellStyle name="Normal 3 4 4 10" xfId="12462" xr:uid="{4B9E0B2D-B739-4765-812D-E7426AEDCF8A}"/>
    <cellStyle name="Normal 3 4 4 10 2" xfId="32803" xr:uid="{55C3C914-3B77-4BBD-8D46-D604AEEE254C}"/>
    <cellStyle name="Normal 3 4 4 11" xfId="9201" xr:uid="{FD3F1BA8-EA81-420D-A35F-2F30EA825313}"/>
    <cellStyle name="Normal 3 4 4 11 2" xfId="29544" xr:uid="{82C7DC10-8413-4B14-B949-B15D3076D130}"/>
    <cellStyle name="Normal 3 4 4 12" xfId="26050" xr:uid="{DC040D05-8BB9-454D-8B49-6BFA09FF9760}"/>
    <cellStyle name="Normal 3 4 4 2" xfId="6283" xr:uid="{F113FB78-694C-492B-87D8-1A1A86370EA2}"/>
    <cellStyle name="Normal 3 4 4 2 2" xfId="7441" xr:uid="{ACCCB0C7-C435-41A2-9F16-1FFE02DACC02}"/>
    <cellStyle name="Normal 3 4 4 2 2 2" xfId="17727" xr:uid="{0B43F7E1-BE86-499F-82D4-5B920CBEF88E}"/>
    <cellStyle name="Normal 3 4 4 2 2 2 2" xfId="38067" xr:uid="{DC3D9326-A763-4AEA-AFF9-D9347F3CFFD3}"/>
    <cellStyle name="Normal 3 4 4 2 2 3" xfId="21229" xr:uid="{E95566DD-7ECB-4E74-BF54-6091A0DC1428}"/>
    <cellStyle name="Normal 3 4 4 2 2 3 2" xfId="41568" xr:uid="{B77D73E8-BDF3-486F-A317-C6F6C00538A3}"/>
    <cellStyle name="Normal 3 4 4 2 2 4" xfId="24484" xr:uid="{52772D87-6650-4A98-923E-D6A4963C9A9A}"/>
    <cellStyle name="Normal 3 4 4 2 2 4 2" xfId="44819" xr:uid="{A96E830F-1EFE-4A0F-A4DA-C8B454700279}"/>
    <cellStyle name="Normal 3 4 4 2 2 5" xfId="14818" xr:uid="{580AB08C-A190-4F87-84B1-FD2D3FAB5F6F}"/>
    <cellStyle name="Normal 3 4 4 2 2 5 2" xfId="35159" xr:uid="{034AA4AB-D3CD-4C26-814B-7F02FC6A2773}"/>
    <cellStyle name="Normal 3 4 4 2 2 6" xfId="10940" xr:uid="{734ED597-C3DE-4EB8-80DD-1F6991F55EF6}"/>
    <cellStyle name="Normal 3 4 4 2 2 6 2" xfId="31283" xr:uid="{8BB5F579-62C3-4A55-8DA9-2BF80E116349}"/>
    <cellStyle name="Normal 3 4 4 2 2 7" xfId="27789" xr:uid="{4298B957-02C5-432A-8252-BFBC64CAAF8C}"/>
    <cellStyle name="Normal 3 4 4 2 3" xfId="16569" xr:uid="{17B66B4D-6A69-4B02-B600-0E32A630ADAA}"/>
    <cellStyle name="Normal 3 4 4 2 3 2" xfId="36909" xr:uid="{C863939A-570E-4C28-BAF6-F434AEB4DC8B}"/>
    <cellStyle name="Normal 3 4 4 2 4" xfId="20071" xr:uid="{EDBC4F00-386F-4E74-B831-715990B20A31}"/>
    <cellStyle name="Normal 3 4 4 2 4 2" xfId="40410" xr:uid="{1EBBBC75-5EB7-4977-A103-6EE104E251A6}"/>
    <cellStyle name="Normal 3 4 4 2 5" xfId="23326" xr:uid="{7AFE8F10-4A0A-4BA8-9074-DF493C3F75B6}"/>
    <cellStyle name="Normal 3 4 4 2 5 2" xfId="43661" xr:uid="{AF9DF75C-7ABF-4A71-BD2E-BED9F40BD9B5}"/>
    <cellStyle name="Normal 3 4 4 2 6" xfId="13660" xr:uid="{C55CA887-D41D-46F7-B973-36D4FE156273}"/>
    <cellStyle name="Normal 3 4 4 2 6 2" xfId="34001" xr:uid="{049F883A-A70E-42A3-B575-AF67BE2C6E95}"/>
    <cellStyle name="Normal 3 4 4 2 7" xfId="9782" xr:uid="{7E3B727B-7EF8-4212-84F7-F62A63E21194}"/>
    <cellStyle name="Normal 3 4 4 2 7 2" xfId="30125" xr:uid="{D733223A-D873-42E0-87BC-52E3F3CF01CE}"/>
    <cellStyle name="Normal 3 4 4 2 8" xfId="26631" xr:uid="{4975A13A-634B-4441-9BEB-AB0EE19DF1C8}"/>
    <cellStyle name="Normal 3 4 4 3" xfId="6860" xr:uid="{2A5039A1-C52E-469A-AB3A-CAE9591517F6}"/>
    <cellStyle name="Normal 3 4 4 3 2" xfId="17146" xr:uid="{B9E76420-053D-441E-B486-C8625581B002}"/>
    <cellStyle name="Normal 3 4 4 3 2 2" xfId="37486" xr:uid="{4FD6B537-6951-485D-9224-1C35187BFB3A}"/>
    <cellStyle name="Normal 3 4 4 3 3" xfId="20648" xr:uid="{5B8DED5B-BF48-41F9-B839-0BE51C0682E5}"/>
    <cellStyle name="Normal 3 4 4 3 3 2" xfId="40987" xr:uid="{5CBC13D1-9826-430A-92F9-1DA9CAD624CB}"/>
    <cellStyle name="Normal 3 4 4 3 4" xfId="23903" xr:uid="{0B83EC5E-2DB4-4BF9-A5CE-7A81250DE1E0}"/>
    <cellStyle name="Normal 3 4 4 3 4 2" xfId="44238" xr:uid="{0BBF938F-A35C-411F-9DC7-E79524E6EF8C}"/>
    <cellStyle name="Normal 3 4 4 3 5" xfId="14237" xr:uid="{9F15CC73-09CE-4E5A-8FB5-619DF23A802F}"/>
    <cellStyle name="Normal 3 4 4 3 5 2" xfId="34578" xr:uid="{0A0698C1-7F39-4645-B7A8-DFC42C1B95F4}"/>
    <cellStyle name="Normal 3 4 4 3 6" xfId="10359" xr:uid="{21D5390C-CD60-4DCF-B899-8B059CAAA14F}"/>
    <cellStyle name="Normal 3 4 4 3 6 2" xfId="30702" xr:uid="{BF62510E-55DA-427C-BE21-92BDFA2E3C40}"/>
    <cellStyle name="Normal 3 4 4 3 7" xfId="27208" xr:uid="{A58D643E-DAB4-44CF-8335-49F0F8CC4C7B}"/>
    <cellStyle name="Normal 3 4 4 4" xfId="8024" xr:uid="{63D33CB5-14D2-4A90-8E32-7675BF788692}"/>
    <cellStyle name="Normal 3 4 4 4 2" xfId="18309" xr:uid="{10C6FF20-945A-497F-820F-65DFDA1F6189}"/>
    <cellStyle name="Normal 3 4 4 4 2 2" xfId="38649" xr:uid="{D7149B4B-5255-47E4-B33E-CC7D68A0CFF3}"/>
    <cellStyle name="Normal 3 4 4 4 3" xfId="21811" xr:uid="{80B26F72-048B-42C2-93F6-EC7AFCD2DD14}"/>
    <cellStyle name="Normal 3 4 4 4 3 2" xfId="42150" xr:uid="{FA52A832-EF40-4868-B1AF-573507C1DD78}"/>
    <cellStyle name="Normal 3 4 4 4 4" xfId="25066" xr:uid="{EC88CBCF-34A1-4577-AC15-16506EFBB0E7}"/>
    <cellStyle name="Normal 3 4 4 4 4 2" xfId="45401" xr:uid="{A95B9D3E-180B-4B55-812A-70F8E189CE41}"/>
    <cellStyle name="Normal 3 4 4 4 5" xfId="15401" xr:uid="{A2DB0D58-5D93-45DC-91B7-197E89F6F17C}"/>
    <cellStyle name="Normal 3 4 4 4 5 2" xfId="35741" xr:uid="{70C97CE6-7E09-4886-98C4-3F56C2271DB0}"/>
    <cellStyle name="Normal 3 4 4 4 6" xfId="11522" xr:uid="{92B6C69B-C3AE-4069-AD8A-9FAE1086EE65}"/>
    <cellStyle name="Normal 3 4 4 4 6 2" xfId="31865" xr:uid="{C41F6BCE-6C75-421A-A5B5-13332A8BD6EC}"/>
    <cellStyle name="Normal 3 4 4 4 7" xfId="28371" xr:uid="{EB289016-FDD5-40DD-A4DC-72D3E106112F}"/>
    <cellStyle name="Normal 3 4 4 5" xfId="13091" xr:uid="{ED66BA03-873E-4AB5-8D9A-CB1F5B16179F}"/>
    <cellStyle name="Normal 3 4 4 5 2" xfId="33432" xr:uid="{C73B221B-D96D-47C6-9867-4C8303F17E35}"/>
    <cellStyle name="Normal 3 4 4 6" xfId="15988" xr:uid="{00826134-55A0-4FF0-9DB0-F4FD442130B7}"/>
    <cellStyle name="Normal 3 4 4 6 2" xfId="36328" xr:uid="{4FBB5E4E-1499-4F42-A5DA-D69FA5C4073A}"/>
    <cellStyle name="Normal 3 4 4 7" xfId="18902" xr:uid="{90AF1C5E-A762-4346-8F41-89CFC18871A6}"/>
    <cellStyle name="Normal 3 4 4 7 2" xfId="39242" xr:uid="{DEC12299-82A3-42CE-B860-81DE34831EE6}"/>
    <cellStyle name="Normal 3 4 4 8" xfId="19490" xr:uid="{896D220F-1F87-4FD1-BB58-22F85877060F}"/>
    <cellStyle name="Normal 3 4 4 8 2" xfId="39829" xr:uid="{9C0EAEA6-939B-4840-8954-E2FAD2D7C507}"/>
    <cellStyle name="Normal 3 4 4 9" xfId="22745" xr:uid="{8FD0543C-E2EA-489C-BCE7-2671D7F7636F}"/>
    <cellStyle name="Normal 3 4 4 9 2" xfId="43080" xr:uid="{0386969F-230A-49C3-94AC-32AC59C69A49}"/>
    <cellStyle name="Normal 3 4 5" xfId="5781" xr:uid="{58DA410D-0391-4B6E-99EC-36EE41B593DA}"/>
    <cellStyle name="Normal 3 4 5 2" xfId="6939" xr:uid="{B832CE40-FE31-44A1-B584-6189BA024D7D}"/>
    <cellStyle name="Normal 3 4 5 2 2" xfId="17225" xr:uid="{B0AD088F-BE05-4A8F-9F44-CCD2E3C63989}"/>
    <cellStyle name="Normal 3 4 5 2 2 2" xfId="37565" xr:uid="{9C37334C-BBDF-42BE-9299-77EE53A4D5BC}"/>
    <cellStyle name="Normal 3 4 5 2 3" xfId="20727" xr:uid="{D1461FE4-1F84-48A6-BFE8-76383361F0AB}"/>
    <cellStyle name="Normal 3 4 5 2 3 2" xfId="41066" xr:uid="{72F0DE6A-B366-4375-9031-0846B744B615}"/>
    <cellStyle name="Normal 3 4 5 2 4" xfId="23982" xr:uid="{81E08080-E53A-4D7C-83F6-4DD00323F3A4}"/>
    <cellStyle name="Normal 3 4 5 2 4 2" xfId="44317" xr:uid="{904FC8F9-8ED5-4B02-BA47-CDDEF386C8B9}"/>
    <cellStyle name="Normal 3 4 5 2 5" xfId="14316" xr:uid="{A5C9C623-384E-4591-8C29-3847CACA2CF0}"/>
    <cellStyle name="Normal 3 4 5 2 5 2" xfId="34657" xr:uid="{6D7B886D-E034-4615-879C-A5CCB0CD7797}"/>
    <cellStyle name="Normal 3 4 5 2 6" xfId="10438" xr:uid="{11F693F4-AC6A-489E-9A80-0A94A1685A8E}"/>
    <cellStyle name="Normal 3 4 5 2 6 2" xfId="30781" xr:uid="{0E72E7F2-B3F8-470F-815C-A66C1096C71F}"/>
    <cellStyle name="Normal 3 4 5 2 7" xfId="27287" xr:uid="{1897B83D-CFD4-4208-BD5F-F6226B217AA2}"/>
    <cellStyle name="Normal 3 4 5 3" xfId="16067" xr:uid="{60F728E6-5840-416C-B3F8-562964D5CC3F}"/>
    <cellStyle name="Normal 3 4 5 3 2" xfId="36407" xr:uid="{7316CE9E-4BD6-4232-B8B9-AD95121B21E7}"/>
    <cellStyle name="Normal 3 4 5 4" xfId="19569" xr:uid="{D5AFA774-6175-41DC-8211-B3C2A6672C20}"/>
    <cellStyle name="Normal 3 4 5 4 2" xfId="39908" xr:uid="{D3C71AA4-5A6F-4A12-B034-26FBE7C764DC}"/>
    <cellStyle name="Normal 3 4 5 5" xfId="22824" xr:uid="{E901D582-2B7B-4DCB-A744-3FF37730AF20}"/>
    <cellStyle name="Normal 3 4 5 5 2" xfId="43159" xr:uid="{41CB7819-5D49-4A09-8F77-A2F735474A5D}"/>
    <cellStyle name="Normal 3 4 5 6" xfId="13169" xr:uid="{9BAFD1E4-D958-42E2-B66B-696CB38B207B}"/>
    <cellStyle name="Normal 3 4 5 6 2" xfId="33510" xr:uid="{77F154CE-EB44-4BFF-AD21-6C0305EB574C}"/>
    <cellStyle name="Normal 3 4 5 7" xfId="9280" xr:uid="{BAAC3D52-B2CD-45DC-899E-C921527F9268}"/>
    <cellStyle name="Normal 3 4 5 7 2" xfId="29623" xr:uid="{5358A388-D27C-463B-BF11-E210B99FC156}"/>
    <cellStyle name="Normal 3 4 5 8" xfId="26129" xr:uid="{0312C307-04A8-47B4-A5CB-A11AC13CAF82}"/>
    <cellStyle name="Normal 3 4 6" xfId="6358" xr:uid="{6E6D2CC9-CB88-4668-888A-6349399D24CB}"/>
    <cellStyle name="Normal 3 4 6 2" xfId="16644" xr:uid="{DB2728D1-8318-4D06-994D-3F6CBB5055BC}"/>
    <cellStyle name="Normal 3 4 6 2 2" xfId="36984" xr:uid="{3ED57BA4-E49A-434F-B205-DB6408A742D4}"/>
    <cellStyle name="Normal 3 4 6 3" xfId="20146" xr:uid="{30674986-C5E3-4F81-A561-89BA34C3FA92}"/>
    <cellStyle name="Normal 3 4 6 3 2" xfId="40485" xr:uid="{A30FA73E-DA50-4546-8C47-E5634C2600E5}"/>
    <cellStyle name="Normal 3 4 6 4" xfId="23401" xr:uid="{04FCEAE0-89AD-4259-BC67-2D7E0C6875D4}"/>
    <cellStyle name="Normal 3 4 6 4 2" xfId="43736" xr:uid="{03FD87F9-D61D-4D2E-AACD-0C2572A1867B}"/>
    <cellStyle name="Normal 3 4 6 5" xfId="13735" xr:uid="{59C214BD-187E-4F59-B7E9-6E4D877F53EA}"/>
    <cellStyle name="Normal 3 4 6 5 2" xfId="34076" xr:uid="{4EB5C3F9-3FFA-4BE4-8472-634302BF61FD}"/>
    <cellStyle name="Normal 3 4 6 6" xfId="9857" xr:uid="{7856A79B-DBCE-4F31-8EEA-FF46F190F783}"/>
    <cellStyle name="Normal 3 4 6 6 2" xfId="30200" xr:uid="{FDF4F93E-1FFC-4351-8492-CD5C2116E8DF}"/>
    <cellStyle name="Normal 3 4 6 7" xfId="26706" xr:uid="{CF3D1B83-3571-4A2B-BD92-E04C151D9CBE}"/>
    <cellStyle name="Normal 3 4 7" xfId="7522" xr:uid="{BE520C18-B7D5-4405-B642-780279EA32BE}"/>
    <cellStyle name="Normal 3 4 7 2" xfId="17807" xr:uid="{14345397-24DF-4118-A2DB-EEC711C8BADA}"/>
    <cellStyle name="Normal 3 4 7 2 2" xfId="38147" xr:uid="{6A210965-397C-41B2-829D-6D94433204FC}"/>
    <cellStyle name="Normal 3 4 7 3" xfId="21309" xr:uid="{A634104E-33FA-4E3F-BD18-44665BFC891E}"/>
    <cellStyle name="Normal 3 4 7 3 2" xfId="41648" xr:uid="{A4FF5EED-7C92-469E-9D79-5349A4B6196D}"/>
    <cellStyle name="Normal 3 4 7 4" xfId="24564" xr:uid="{1230DFE5-083D-4E50-94FC-D16D3244BD65}"/>
    <cellStyle name="Normal 3 4 7 4 2" xfId="44899" xr:uid="{CAFE76EA-296A-4125-B79C-34FC152808F5}"/>
    <cellStyle name="Normal 3 4 7 5" xfId="14899" xr:uid="{428B424A-D595-4D06-969D-7EC68418EA51}"/>
    <cellStyle name="Normal 3 4 7 5 2" xfId="35239" xr:uid="{8BAF8239-66BC-4182-A8DC-4D28BC19EE3A}"/>
    <cellStyle name="Normal 3 4 7 6" xfId="11020" xr:uid="{01607ACB-ADE2-4105-935A-6B3FCA827AF8}"/>
    <cellStyle name="Normal 3 4 7 6 2" xfId="31363" xr:uid="{2A3115BF-98BF-4C91-9790-D36BA9072A6B}"/>
    <cellStyle name="Normal 3 4 7 7" xfId="27869" xr:uid="{345D6DB0-69F2-4F8A-A6E1-3CDB28D4FF0D}"/>
    <cellStyle name="Normal 3 4 8" xfId="8103" xr:uid="{5436F7E7-5F5F-4A15-BEC3-3F88F2726C9F}"/>
    <cellStyle name="Normal 3 4 8 2" xfId="21890" xr:uid="{D99F0F6D-DC99-4E5F-BF18-CD9B2C575B7C}"/>
    <cellStyle name="Normal 3 4 8 2 2" xfId="42226" xr:uid="{8E7BFB76-2B9F-48E3-90CA-9AE5FA5BECD3}"/>
    <cellStyle name="Normal 3 4 8 3" xfId="25142" xr:uid="{B96D329C-37C9-4F60-B34D-97F7EBBBF9A2}"/>
    <cellStyle name="Normal 3 4 8 3 2" xfId="45477" xr:uid="{B0BA1658-3CD8-43A5-B9E2-0E59C630D980}"/>
    <cellStyle name="Normal 3 4 8 4" xfId="12600" xr:uid="{517ABED9-2F06-4CF2-BD50-71E62A7031D8}"/>
    <cellStyle name="Normal 3 4 8 4 2" xfId="32941" xr:uid="{B8D733E4-9BBB-439E-88F0-FB99DBA025F2}"/>
    <cellStyle name="Normal 3 4 8 5" xfId="11599" xr:uid="{7B6B23A4-7577-454F-8D3F-A61A29AE6949}"/>
    <cellStyle name="Normal 3 4 8 5 2" xfId="31941" xr:uid="{43A6AA13-4B03-4304-9294-9E3A018D4651}"/>
    <cellStyle name="Normal 3 4 8 6" xfId="28447" xr:uid="{235B957B-2FFB-4851-ABBB-A2352BE0C12E}"/>
    <cellStyle name="Normal 3 4 9" xfId="8497" xr:uid="{86BCF8D5-61EE-4DA5-AD2F-7C721D76AE74}"/>
    <cellStyle name="Normal 3 4 9 2" xfId="15486" xr:uid="{C7BFA243-36CE-4520-8EB7-E6094E399369}"/>
    <cellStyle name="Normal 3 4 9 2 2" xfId="35826" xr:uid="{2EF88325-E77E-417D-966A-D819D2669386}"/>
    <cellStyle name="Normal 3 4 9 3" xfId="28840" xr:uid="{21A4199D-05A1-4A7D-8C03-DBEAC2442437}"/>
    <cellStyle name="Normal 3 5" xfId="1714" xr:uid="{F7FB8168-1EAC-4C95-8602-408318F279EA}"/>
    <cellStyle name="Normal 3 5 2" xfId="8105" xr:uid="{8228FF09-EECC-4962-ADDC-9A311963D5C8}"/>
    <cellStyle name="Normal 3 5 2 2" xfId="25144" xr:uid="{5C4004B5-D75A-45DD-ABDB-D2D1CB12E31E}"/>
    <cellStyle name="Normal 3 5 2 2 2" xfId="45479" xr:uid="{815F159C-2268-439B-998D-E3624E390449}"/>
    <cellStyle name="Normal 3 5 2 3" xfId="21892" xr:uid="{A7B63460-14F6-425E-9C2C-F4FBD28AB096}"/>
    <cellStyle name="Normal 3 5 2 3 2" xfId="42228" xr:uid="{5CEDC59C-16E9-470E-9615-824143FA9791}"/>
    <cellStyle name="Normal 3 5 2 4" xfId="11601" xr:uid="{DC4D282F-0C95-45A1-B2E9-BB41E51CD40A}"/>
    <cellStyle name="Normal 3 5 2 4 2" xfId="31943" xr:uid="{3079E611-B42A-4827-B70A-38C1C4BF1929}"/>
    <cellStyle name="Normal 3 5 2 5" xfId="28449" xr:uid="{2B3136E8-2133-4D66-9DEC-FABDC8BA7404}"/>
    <cellStyle name="Normal 3 5 2 6" xfId="46168" xr:uid="{AFA5DE6C-FD59-462E-9124-F78DA383683E}"/>
    <cellStyle name="Normal 3 5 2 7" xfId="46654" xr:uid="{F75804A0-796D-4D07-B0EE-6E9D0F43139C}"/>
    <cellStyle name="Normal 3 5 2 8" xfId="47146" xr:uid="{101AE092-779B-407F-91AD-D1C92C6D0C39}"/>
    <cellStyle name="Normal 3 5 3" xfId="8550" xr:uid="{4714C1DD-03CC-4328-B831-669C1D212D4B}"/>
    <cellStyle name="Normal 3 5 3 2" xfId="28893" xr:uid="{2A204143-FFA4-47C4-B70B-1EA7E809DCAA}"/>
    <cellStyle name="Normal 3 5 4" xfId="45925" xr:uid="{9EFA8DBC-718D-4C5C-A65A-89ED8D4E715C}"/>
    <cellStyle name="Normal 3 5 5" xfId="46411" xr:uid="{61D4E549-93CC-41F0-BEBD-550641D3D5E0}"/>
    <cellStyle name="Normal 3 5 6" xfId="46903" xr:uid="{F7696F85-CD4F-41DA-BA37-54EC1DF65178}"/>
    <cellStyle name="Normal 3 5 7" xfId="5266" xr:uid="{66A632A7-227C-4651-95E2-F094217D663F}"/>
    <cellStyle name="Normal 3 5 8" xfId="5043" xr:uid="{B8149D5B-281F-41C2-BC3E-F96AADC7AD8D}"/>
    <cellStyle name="Normal 3 6" xfId="2051" xr:uid="{4447D2B0-A632-4F3D-8C69-03E87289F59D}"/>
    <cellStyle name="Normal 3 6 10" xfId="12063" xr:uid="{44C8D9D5-197A-4444-AABA-7E4DF7F08ECF}"/>
    <cellStyle name="Normal 3 6 10 2" xfId="32404" xr:uid="{13B0DE01-798A-4FCD-9207-A4245D78CD98}"/>
    <cellStyle name="Normal 3 6 11" xfId="8802" xr:uid="{246D2144-F670-4CF3-B560-E48BECE6C342}"/>
    <cellStyle name="Normal 3 6 11 2" xfId="29145" xr:uid="{CF23EA88-F277-43F7-8D20-F7BB77AC0B45}"/>
    <cellStyle name="Normal 3 6 12" xfId="25651" xr:uid="{C3AD3C48-6BEF-463F-A48F-B62113C9A5B5}"/>
    <cellStyle name="Normal 3 6 13" xfId="46055" xr:uid="{0305DD4C-CF39-481E-8195-A0E0DA15FB03}"/>
    <cellStyle name="Normal 3 6 14" xfId="46541" xr:uid="{1624C0AC-D6FD-4FB9-983F-E1818E77FF29}"/>
    <cellStyle name="Normal 3 6 15" xfId="47033" xr:uid="{5DD48B2E-67A9-4F0E-B0A0-56C4F5CA6EB6}"/>
    <cellStyle name="Normal 3 6 16" xfId="5333" xr:uid="{7C58E219-847E-4253-9A4C-DCE918024142}"/>
    <cellStyle name="Normal 3 6 2" xfId="5884" xr:uid="{4E7F6B28-282A-41CC-9C5C-7025094C059C}"/>
    <cellStyle name="Normal 3 6 2 2" xfId="7042" xr:uid="{5E67F6EC-01F5-4B10-B363-E4294A1DFBA1}"/>
    <cellStyle name="Normal 3 6 2 2 2" xfId="17328" xr:uid="{B14772B0-AF9F-4178-8955-A30D75052E16}"/>
    <cellStyle name="Normal 3 6 2 2 2 2" xfId="37668" xr:uid="{F377E163-3E92-4751-9F2C-C5B11FE82176}"/>
    <cellStyle name="Normal 3 6 2 2 3" xfId="20830" xr:uid="{6028C8D7-8002-4E3E-B667-EF9381A19A12}"/>
    <cellStyle name="Normal 3 6 2 2 3 2" xfId="41169" xr:uid="{726F74E7-319B-4B77-9047-CA4767AA45A2}"/>
    <cellStyle name="Normal 3 6 2 2 4" xfId="24085" xr:uid="{6156AC4C-3A80-4261-BB2B-5C3B5BA728A7}"/>
    <cellStyle name="Normal 3 6 2 2 4 2" xfId="44420" xr:uid="{344DA8BF-1361-4800-A74D-027AE9BD176D}"/>
    <cellStyle name="Normal 3 6 2 2 5" xfId="14419" xr:uid="{538D625F-808A-4D77-BBDA-A35F951FB9B2}"/>
    <cellStyle name="Normal 3 6 2 2 5 2" xfId="34760" xr:uid="{434572C5-C67B-470D-83D5-FBB21C5F0A48}"/>
    <cellStyle name="Normal 3 6 2 2 6" xfId="10541" xr:uid="{8CF9CA87-9428-4273-804A-901FB6A2F56B}"/>
    <cellStyle name="Normal 3 6 2 2 6 2" xfId="30884" xr:uid="{CE75A571-D90E-4670-8600-4147BED0A09E}"/>
    <cellStyle name="Normal 3 6 2 2 7" xfId="27390" xr:uid="{C00D9FC3-E883-4425-A519-3D08C3F1E85C}"/>
    <cellStyle name="Normal 3 6 2 3" xfId="16170" xr:uid="{2D5D9569-5A8E-4F71-95F2-0E6B52A8EBA4}"/>
    <cellStyle name="Normal 3 6 2 3 2" xfId="36510" xr:uid="{A180A046-8599-4F47-8C86-6FA61F3D4860}"/>
    <cellStyle name="Normal 3 6 2 4" xfId="19672" xr:uid="{B8A66795-06BC-46CD-85E0-BB3B6F2FD90A}"/>
    <cellStyle name="Normal 3 6 2 4 2" xfId="40011" xr:uid="{D84588B2-1860-48DD-93CB-90763EBAB6ED}"/>
    <cellStyle name="Normal 3 6 2 5" xfId="22927" xr:uid="{F104D7C8-B5A9-42EB-9E38-967EE6E4FD3C}"/>
    <cellStyle name="Normal 3 6 2 5 2" xfId="43262" xr:uid="{1259844F-EE8A-4015-A71F-43C829E400E4}"/>
    <cellStyle name="Normal 3 6 2 6" xfId="13263" xr:uid="{E8252388-EDD9-43F8-B1D2-FA116E9A3B8C}"/>
    <cellStyle name="Normal 3 6 2 6 2" xfId="33604" xr:uid="{D7015CFC-C0BB-4B0F-8040-1BB9015AE90D}"/>
    <cellStyle name="Normal 3 6 2 7" xfId="9383" xr:uid="{67B3C4FC-7094-4D88-BF45-67C3A6CF20AE}"/>
    <cellStyle name="Normal 3 6 2 7 2" xfId="29726" xr:uid="{7A681C13-4760-4EA2-9D8D-426860C0D5FB}"/>
    <cellStyle name="Normal 3 6 2 8" xfId="26232" xr:uid="{F871DD16-E54C-4983-9524-3586AFBC65D4}"/>
    <cellStyle name="Normal 3 6 3" xfId="6461" xr:uid="{701532BF-0053-4C63-96B8-926297462FF5}"/>
    <cellStyle name="Normal 3 6 3 2" xfId="16747" xr:uid="{C858E7D1-68E4-4AB6-BA78-5383A5928FAC}"/>
    <cellStyle name="Normal 3 6 3 2 2" xfId="37087" xr:uid="{27F68A07-F5E3-4034-B420-86768B137215}"/>
    <cellStyle name="Normal 3 6 3 3" xfId="20249" xr:uid="{E6B6696F-CAC5-4671-8595-34865B1F831F}"/>
    <cellStyle name="Normal 3 6 3 3 2" xfId="40588" xr:uid="{1BB84096-B9A5-4AF7-902F-EE1190584609}"/>
    <cellStyle name="Normal 3 6 3 4" xfId="23504" xr:uid="{9F931A2F-4610-42D3-9DF7-AF1907C46C0F}"/>
    <cellStyle name="Normal 3 6 3 4 2" xfId="43839" xr:uid="{74580C31-B3EB-48AE-9DA2-204892C4C3A4}"/>
    <cellStyle name="Normal 3 6 3 5" xfId="13838" xr:uid="{98CE919E-16CC-4B19-99C8-31E163E60EBE}"/>
    <cellStyle name="Normal 3 6 3 5 2" xfId="34179" xr:uid="{A0338204-F253-4BA6-8654-03FB5D6AB5CB}"/>
    <cellStyle name="Normal 3 6 3 6" xfId="9960" xr:uid="{546E3C28-1F37-493D-AB33-E06ED945D929}"/>
    <cellStyle name="Normal 3 6 3 6 2" xfId="30303" xr:uid="{5F516EEB-BAB7-43E7-8B6D-5D4851914F11}"/>
    <cellStyle name="Normal 3 6 3 7" xfId="26809" xr:uid="{211776E6-6B59-4563-AA9E-0BA5E7568800}"/>
    <cellStyle name="Normal 3 6 4" xfId="7625" xr:uid="{848F5B84-95BB-4F0F-ADAA-4786190DF620}"/>
    <cellStyle name="Normal 3 6 4 2" xfId="17910" xr:uid="{47250512-94AC-40C6-A8D7-238F01946C01}"/>
    <cellStyle name="Normal 3 6 4 2 2" xfId="38250" xr:uid="{54D966F3-D6AD-4141-9444-C983DD167E39}"/>
    <cellStyle name="Normal 3 6 4 3" xfId="21412" xr:uid="{8B1CFF78-0BBB-46B2-9654-2661B479E4AE}"/>
    <cellStyle name="Normal 3 6 4 3 2" xfId="41751" xr:uid="{123F014F-6247-4A11-A514-6492713E71F7}"/>
    <cellStyle name="Normal 3 6 4 4" xfId="24667" xr:uid="{B430460F-4CA1-4042-8E19-31E126BD85D8}"/>
    <cellStyle name="Normal 3 6 4 4 2" xfId="45002" xr:uid="{34BFE8CD-3E6F-4A25-8484-AFE4B3C61007}"/>
    <cellStyle name="Normal 3 6 4 5" xfId="15002" xr:uid="{B8DD5F83-1453-405F-BDA6-151C73C49EDC}"/>
    <cellStyle name="Normal 3 6 4 5 2" xfId="35342" xr:uid="{BD000DE7-0757-41A2-A440-F6D010635722}"/>
    <cellStyle name="Normal 3 6 4 6" xfId="11123" xr:uid="{8A459B6D-ACF5-4840-99A7-D0FDA8E739B5}"/>
    <cellStyle name="Normal 3 6 4 6 2" xfId="31466" xr:uid="{1451B1AD-1092-40D3-B477-8079588E21C4}"/>
    <cellStyle name="Normal 3 6 4 7" xfId="27972" xr:uid="{5293F90C-0DE8-4F96-9752-C090060715B0}"/>
    <cellStyle name="Normal 3 6 5" xfId="12694" xr:uid="{243C3939-734C-4E72-A031-F16C5A5D589E}"/>
    <cellStyle name="Normal 3 6 5 2" xfId="33035" xr:uid="{A9B30CB0-FE24-4A23-BA95-4D2500497D82}"/>
    <cellStyle name="Normal 3 6 6" xfId="15589" xr:uid="{A2287DED-C468-40EA-BABA-2AA1BA1D8643}"/>
    <cellStyle name="Normal 3 6 6 2" xfId="35929" xr:uid="{A9D4FF78-E8D8-40B0-A27E-D3B1C3B952F5}"/>
    <cellStyle name="Normal 3 6 7" xfId="18503" xr:uid="{202CFAB0-3429-475E-A11B-25F2FFBB75DA}"/>
    <cellStyle name="Normal 3 6 7 2" xfId="38843" xr:uid="{C3B29A88-C1FC-445B-92B5-31C01E0087AD}"/>
    <cellStyle name="Normal 3 6 8" xfId="19091" xr:uid="{1719D967-B1B8-4AC8-8612-12186FD7B193}"/>
    <cellStyle name="Normal 3 6 8 2" xfId="39430" xr:uid="{448670FB-6369-4893-9A6F-C632E5CA35EC}"/>
    <cellStyle name="Normal 3 6 9" xfId="22346" xr:uid="{8D006AF4-4D72-4B8B-A9BE-9C623CCA863D}"/>
    <cellStyle name="Normal 3 6 9 2" xfId="42681" xr:uid="{2356E202-0345-48DF-A8EC-12E2B8F67AF8}"/>
    <cellStyle name="Normal 3 7" xfId="3816" xr:uid="{3B6538F6-B346-4C38-8652-1F91E12951E5}"/>
    <cellStyle name="Normal 3 7 10" xfId="12171" xr:uid="{EE98A81A-0EF5-49AF-9F25-1FCA8F7BC2C1}"/>
    <cellStyle name="Normal 3 7 10 2" xfId="32512" xr:uid="{B287F125-AFDD-40D8-9F62-CF223A6993A7}"/>
    <cellStyle name="Normal 3 7 11" xfId="8910" xr:uid="{BFDBC777-F7A6-4067-85BA-5429A1C88635}"/>
    <cellStyle name="Normal 3 7 11 2" xfId="29253" xr:uid="{0F98EE6B-A0C2-4312-8B93-531ACED6406C}"/>
    <cellStyle name="Normal 3 7 12" xfId="25759" xr:uid="{052C6027-C4FF-49B8-A178-EAC9CC8F929C}"/>
    <cellStyle name="Normal 3 7 13" xfId="5428" xr:uid="{BE4A463D-ED89-47A2-8A50-7830B1D60E51}"/>
    <cellStyle name="Normal 3 7 2" xfId="5992" xr:uid="{D90DFAE0-0622-4203-B195-38B59461DB3E}"/>
    <cellStyle name="Normal 3 7 2 2" xfId="7150" xr:uid="{23BE7789-C4E9-40BD-9E48-A3B8F8F35D6C}"/>
    <cellStyle name="Normal 3 7 2 2 2" xfId="17436" xr:uid="{F5B5D27C-15C4-4E3E-A77D-AF763C59C29B}"/>
    <cellStyle name="Normal 3 7 2 2 2 2" xfId="37776" xr:uid="{0336F7D2-32D1-478A-BB1F-5DE84C384A04}"/>
    <cellStyle name="Normal 3 7 2 2 3" xfId="20938" xr:uid="{B996AA2C-304C-4D65-A658-E2594314F336}"/>
    <cellStyle name="Normal 3 7 2 2 3 2" xfId="41277" xr:uid="{4BC376CB-CC0A-4185-A869-F6A1A3111E67}"/>
    <cellStyle name="Normal 3 7 2 2 4" xfId="24193" xr:uid="{034A60FB-7CA4-4AC7-8FD4-47F5899C41E0}"/>
    <cellStyle name="Normal 3 7 2 2 4 2" xfId="44528" xr:uid="{E7FE6D11-559E-470D-94D0-824BF3D603EF}"/>
    <cellStyle name="Normal 3 7 2 2 5" xfId="14527" xr:uid="{AE435AC6-95F8-43EE-8E5E-483B214B00CE}"/>
    <cellStyle name="Normal 3 7 2 2 5 2" xfId="34868" xr:uid="{BCF38FC9-EC7B-4465-9039-B5AEB5683203}"/>
    <cellStyle name="Normal 3 7 2 2 6" xfId="10649" xr:uid="{5654628E-09E4-47BA-89D1-790A88C3E186}"/>
    <cellStyle name="Normal 3 7 2 2 6 2" xfId="30992" xr:uid="{BD830736-25BD-49A4-BE03-3405689EDB0E}"/>
    <cellStyle name="Normal 3 7 2 2 7" xfId="27498" xr:uid="{6180A2EC-984D-4EE5-B057-6FD161F66375}"/>
    <cellStyle name="Normal 3 7 2 3" xfId="16278" xr:uid="{B3F74462-8195-4CA6-AA95-D47B031EA08F}"/>
    <cellStyle name="Normal 3 7 2 3 2" xfId="36618" xr:uid="{27BB29EE-E1D1-4D2F-BF10-0DE0B953BE1E}"/>
    <cellStyle name="Normal 3 7 2 4" xfId="19780" xr:uid="{71E59F9F-EDC7-4E16-BF1F-0FCA602F2DC7}"/>
    <cellStyle name="Normal 3 7 2 4 2" xfId="40119" xr:uid="{9977672C-B633-4046-A7E4-1D99A7A46E04}"/>
    <cellStyle name="Normal 3 7 2 5" xfId="23035" xr:uid="{86FD6A71-FB38-435C-BA20-410AA111F393}"/>
    <cellStyle name="Normal 3 7 2 5 2" xfId="43370" xr:uid="{646198AF-5FCC-4563-A58A-D90F031C59A1}"/>
    <cellStyle name="Normal 3 7 2 6" xfId="13369" xr:uid="{CF608821-F2C2-4548-92D1-42799D6C4083}"/>
    <cellStyle name="Normal 3 7 2 6 2" xfId="33710" xr:uid="{D675711B-2359-4E31-B03D-038F3D6564FE}"/>
    <cellStyle name="Normal 3 7 2 7" xfId="9491" xr:uid="{7B2A7B7A-7AB9-4E84-AC38-3D6B9801B71F}"/>
    <cellStyle name="Normal 3 7 2 7 2" xfId="29834" xr:uid="{88045AC3-FC51-4EF8-AB67-C5F75F49ACFF}"/>
    <cellStyle name="Normal 3 7 2 8" xfId="26340" xr:uid="{DBA9AB93-7E26-4C63-BC41-ED343732619B}"/>
    <cellStyle name="Normal 3 7 3" xfId="6569" xr:uid="{40DE7D56-D815-4DEF-ACA1-89EE83291F65}"/>
    <cellStyle name="Normal 3 7 3 2" xfId="16855" xr:uid="{5929B52D-3A99-486C-8127-CCF0635C860B}"/>
    <cellStyle name="Normal 3 7 3 2 2" xfId="37195" xr:uid="{F90F34E0-F681-428B-BC8C-F51DD364A7B3}"/>
    <cellStyle name="Normal 3 7 3 3" xfId="20357" xr:uid="{FEE945BA-A33A-4994-95F0-39E2DCC8DD01}"/>
    <cellStyle name="Normal 3 7 3 3 2" xfId="40696" xr:uid="{4C9A9C32-C8CD-41D9-9372-052CFBAA6DF5}"/>
    <cellStyle name="Normal 3 7 3 4" xfId="23612" xr:uid="{18450206-1DAD-4894-B450-8A90EE396B0C}"/>
    <cellStyle name="Normal 3 7 3 4 2" xfId="43947" xr:uid="{E487E561-5B6B-4BFA-B31B-35171A2A258C}"/>
    <cellStyle name="Normal 3 7 3 5" xfId="13946" xr:uid="{24CA882F-93E6-498A-9C19-A23C8E8D7941}"/>
    <cellStyle name="Normal 3 7 3 5 2" xfId="34287" xr:uid="{09A37DF0-A303-4778-B179-524DC1CC4501}"/>
    <cellStyle name="Normal 3 7 3 6" xfId="10068" xr:uid="{384CA8DC-3E97-4FDA-B085-D1248E893606}"/>
    <cellStyle name="Normal 3 7 3 6 2" xfId="30411" xr:uid="{B54F3382-1A66-4CD9-880D-D226A7BC142A}"/>
    <cellStyle name="Normal 3 7 3 7" xfId="26917" xr:uid="{F8F618A5-5FA4-4C20-AEB8-E1ADC6CFDB45}"/>
    <cellStyle name="Normal 3 7 4" xfId="7733" xr:uid="{E32EA4F3-9258-4368-9F20-D904B883F54D}"/>
    <cellStyle name="Normal 3 7 4 2" xfId="18018" xr:uid="{08B47348-9A4B-4798-95E4-DB93C77AAE52}"/>
    <cellStyle name="Normal 3 7 4 2 2" xfId="38358" xr:uid="{FB900F6B-DBD2-45AB-897A-A82AD1F0B14F}"/>
    <cellStyle name="Normal 3 7 4 3" xfId="21520" xr:uid="{D13F92CF-BD10-4AE6-8BE7-26382872A452}"/>
    <cellStyle name="Normal 3 7 4 3 2" xfId="41859" xr:uid="{7D1E3C67-D370-40EE-B2CB-FF7F003B0755}"/>
    <cellStyle name="Normal 3 7 4 4" xfId="24775" xr:uid="{BD2CAF48-3B5F-488E-851E-4B39E4B04251}"/>
    <cellStyle name="Normal 3 7 4 4 2" xfId="45110" xr:uid="{A53F3D5F-ACCC-4C27-945A-59DA67037396}"/>
    <cellStyle name="Normal 3 7 4 5" xfId="15110" xr:uid="{5C5283F7-547F-4463-A4C1-CA6E5E174654}"/>
    <cellStyle name="Normal 3 7 4 5 2" xfId="35450" xr:uid="{BCD9BDC4-D8C4-4957-9CEF-0DA5B46A91D7}"/>
    <cellStyle name="Normal 3 7 4 6" xfId="11231" xr:uid="{FF9DC92D-E47D-4990-B56D-7587DF6F0806}"/>
    <cellStyle name="Normal 3 7 4 6 2" xfId="31574" xr:uid="{B6ED0E25-DD71-4744-889C-38C0454CFFDE}"/>
    <cellStyle name="Normal 3 7 4 7" xfId="28080" xr:uid="{4B81148A-AA5A-4525-9FCA-98695EC136E4}"/>
    <cellStyle name="Normal 3 7 5" xfId="12800" xr:uid="{6E7AEE07-1BE0-48CE-8B65-DC3565E216CC}"/>
    <cellStyle name="Normal 3 7 5 2" xfId="33141" xr:uid="{10C7CF23-A284-4B61-BEDC-8E650EC539A9}"/>
    <cellStyle name="Normal 3 7 6" xfId="15697" xr:uid="{6F576567-C45A-4FB2-8788-E16656661E58}"/>
    <cellStyle name="Normal 3 7 6 2" xfId="36037" xr:uid="{2EA3A5CE-A92B-4023-97BC-30AA43AF8ED0}"/>
    <cellStyle name="Normal 3 7 7" xfId="18611" xr:uid="{D4236E5D-3EFE-4602-882F-1BC6684E7129}"/>
    <cellStyle name="Normal 3 7 7 2" xfId="38951" xr:uid="{DB052577-AED6-4B88-BB09-5F67A99B8D07}"/>
    <cellStyle name="Normal 3 7 8" xfId="19199" xr:uid="{F712EAE8-F31C-41B8-87F8-10F7FA98AAB7}"/>
    <cellStyle name="Normal 3 7 8 2" xfId="39538" xr:uid="{072DE167-2192-4E22-87DD-CC47B87A5185}"/>
    <cellStyle name="Normal 3 7 9" xfId="22454" xr:uid="{F381F706-E9E8-4DDE-B0A2-2E0A4AB09C77}"/>
    <cellStyle name="Normal 3 7 9 2" xfId="42789" xr:uid="{528A7133-F579-4CBC-8745-9A8076096247}"/>
    <cellStyle name="Normal 3 8" xfId="5478" xr:uid="{40B61DEA-515C-4FA8-B0A2-ED21A65A1027}"/>
    <cellStyle name="Normal 3 8 10" xfId="12229" xr:uid="{7A3A7D2D-DA21-4EB0-A442-373CC38156E3}"/>
    <cellStyle name="Normal 3 8 10 2" xfId="32570" xr:uid="{ED3F4B07-344B-4A40-B061-30FDEF444547}"/>
    <cellStyle name="Normal 3 8 11" xfId="8968" xr:uid="{900FDC26-B4D0-4D1D-A487-DBEEA51ED9C0}"/>
    <cellStyle name="Normal 3 8 11 2" xfId="29311" xr:uid="{2916601D-8F2D-41DE-BA2E-98763DB7953F}"/>
    <cellStyle name="Normal 3 8 12" xfId="25817" xr:uid="{1FFE6EF3-0E84-4800-A0A2-97135FBFF0E3}"/>
    <cellStyle name="Normal 3 8 2" xfId="6050" xr:uid="{8CAC4A10-4FBD-4ECB-A0FE-8B854FF46E92}"/>
    <cellStyle name="Normal 3 8 2 2" xfId="7208" xr:uid="{4E79121B-14FE-4E02-80E6-25EBD9EE2DC1}"/>
    <cellStyle name="Normal 3 8 2 2 2" xfId="17494" xr:uid="{B8A24771-0B8B-4256-BBF3-A605970C706A}"/>
    <cellStyle name="Normal 3 8 2 2 2 2" xfId="37834" xr:uid="{D32BDDDE-C8D2-41FF-B125-0480CBF14DFC}"/>
    <cellStyle name="Normal 3 8 2 2 3" xfId="20996" xr:uid="{3444BB80-6F91-4700-AB48-B94694871F47}"/>
    <cellStyle name="Normal 3 8 2 2 3 2" xfId="41335" xr:uid="{BDB76287-50E8-47D7-9F6F-536E7B65F692}"/>
    <cellStyle name="Normal 3 8 2 2 4" xfId="24251" xr:uid="{F0F05F9D-338A-456D-9E08-73566DDA520C}"/>
    <cellStyle name="Normal 3 8 2 2 4 2" xfId="44586" xr:uid="{A65006BB-A3F6-4BFC-8A54-BEA2B4E1B7C3}"/>
    <cellStyle name="Normal 3 8 2 2 5" xfId="14585" xr:uid="{0A8E462B-8481-4F91-AF80-F9E8294ECE71}"/>
    <cellStyle name="Normal 3 8 2 2 5 2" xfId="34926" xr:uid="{C1BDC9D3-E88B-47D5-A11B-2B22C065B670}"/>
    <cellStyle name="Normal 3 8 2 2 6" xfId="10707" xr:uid="{2CE6D88F-ED0E-495A-969E-0DEBD18EB6FD}"/>
    <cellStyle name="Normal 3 8 2 2 6 2" xfId="31050" xr:uid="{6381EE14-6562-484F-8F97-566D26B3ACAB}"/>
    <cellStyle name="Normal 3 8 2 2 7" xfId="27556" xr:uid="{9A2E85F2-91AA-40E6-85FC-4248EC67AA22}"/>
    <cellStyle name="Normal 3 8 2 3" xfId="16336" xr:uid="{E027E19D-5D4A-4DBF-9E74-EC40BC5B4BE5}"/>
    <cellStyle name="Normal 3 8 2 3 2" xfId="36676" xr:uid="{CBBB9E2C-0E20-45C0-8B2B-4C3092E73945}"/>
    <cellStyle name="Normal 3 8 2 4" xfId="19838" xr:uid="{3B081176-3604-45DB-B25B-E2617B597050}"/>
    <cellStyle name="Normal 3 8 2 4 2" xfId="40177" xr:uid="{FA265913-2DAB-4F7B-9266-2D25D2D091F9}"/>
    <cellStyle name="Normal 3 8 2 5" xfId="23093" xr:uid="{5E5735B9-5C0F-4A09-A079-E79CE2970F9F}"/>
    <cellStyle name="Normal 3 8 2 5 2" xfId="43428" xr:uid="{4DEC54B7-102C-4F29-9DC8-7BDFAE30C6D2}"/>
    <cellStyle name="Normal 3 8 2 6" xfId="13427" xr:uid="{9E42D5CC-8469-45F0-9814-5033FB3206C0}"/>
    <cellStyle name="Normal 3 8 2 6 2" xfId="33768" xr:uid="{D8DB7086-69DB-4727-96FE-90277F3AED71}"/>
    <cellStyle name="Normal 3 8 2 7" xfId="9549" xr:uid="{9C5E3B35-A983-4A8A-9B2E-BBA7ABA516CF}"/>
    <cellStyle name="Normal 3 8 2 7 2" xfId="29892" xr:uid="{459B0793-7381-48C8-A78B-0FC4FC484CB3}"/>
    <cellStyle name="Normal 3 8 2 8" xfId="26398" xr:uid="{7C621357-B39B-4F9F-AA47-993E46DEA5CF}"/>
    <cellStyle name="Normal 3 8 3" xfId="6627" xr:uid="{0296792F-250A-4108-8108-308CBECA7E28}"/>
    <cellStyle name="Normal 3 8 3 2" xfId="16913" xr:uid="{52D287AE-7DBB-4C52-BE23-04A08DD1FAC0}"/>
    <cellStyle name="Normal 3 8 3 2 2" xfId="37253" xr:uid="{149E6966-CE08-48B2-82F4-939E8E8E9005}"/>
    <cellStyle name="Normal 3 8 3 3" xfId="20415" xr:uid="{DA1BE9E9-CDAC-41D6-9DB3-A1ED7AAEB5A5}"/>
    <cellStyle name="Normal 3 8 3 3 2" xfId="40754" xr:uid="{E63B466B-C793-44A5-A9C4-24B5AC17BAE3}"/>
    <cellStyle name="Normal 3 8 3 4" xfId="23670" xr:uid="{060E83FE-3A75-43B0-8D3C-2A43B2AC3C2D}"/>
    <cellStyle name="Normal 3 8 3 4 2" xfId="44005" xr:uid="{2D6B341D-BD7D-4F8A-9448-52D4ACDDF759}"/>
    <cellStyle name="Normal 3 8 3 5" xfId="14004" xr:uid="{D0A3B589-1EA1-421B-A7E2-A3C5EC75C7FC}"/>
    <cellStyle name="Normal 3 8 3 5 2" xfId="34345" xr:uid="{B52DF981-3E7F-42EE-A097-8918AFB499DA}"/>
    <cellStyle name="Normal 3 8 3 6" xfId="10126" xr:uid="{A92CA060-E267-4E92-82CC-AA2387B17EB6}"/>
    <cellStyle name="Normal 3 8 3 6 2" xfId="30469" xr:uid="{4FFC202F-F39D-4D84-8FFE-49A42C782186}"/>
    <cellStyle name="Normal 3 8 3 7" xfId="26975" xr:uid="{2F7FA1C0-F35F-4CB2-8026-318D42864522}"/>
    <cellStyle name="Normal 3 8 4" xfId="7791" xr:uid="{E11A14A6-C8E6-4703-B466-F6E0806AB9BB}"/>
    <cellStyle name="Normal 3 8 4 2" xfId="18076" xr:uid="{C2872157-B119-4C58-8C41-584B69E74579}"/>
    <cellStyle name="Normal 3 8 4 2 2" xfId="38416" xr:uid="{354D0124-C97F-469A-9B89-FB62836A6FA6}"/>
    <cellStyle name="Normal 3 8 4 3" xfId="21578" xr:uid="{EA9FE969-A88C-4D98-BFA7-68F9758051B4}"/>
    <cellStyle name="Normal 3 8 4 3 2" xfId="41917" xr:uid="{54939ACA-115F-4003-ACA6-BD1F3CBFDFC3}"/>
    <cellStyle name="Normal 3 8 4 4" xfId="24833" xr:uid="{302A7A90-7DE1-4D9A-AE04-537A6CDC7CA8}"/>
    <cellStyle name="Normal 3 8 4 4 2" xfId="45168" xr:uid="{6F9DD141-95D1-43E8-84B7-CB5C6CD891C5}"/>
    <cellStyle name="Normal 3 8 4 5" xfId="15168" xr:uid="{35713EE6-9527-46EB-995B-EF00E4C0C068}"/>
    <cellStyle name="Normal 3 8 4 5 2" xfId="35508" xr:uid="{AA52B67F-5004-4BF1-A5DA-A397E32B2070}"/>
    <cellStyle name="Normal 3 8 4 6" xfId="11289" xr:uid="{3FF9A174-FD2B-4D49-A714-E313B030AF95}"/>
    <cellStyle name="Normal 3 8 4 6 2" xfId="31632" xr:uid="{8A3E9586-3F75-445A-B803-D7A008D9A53A}"/>
    <cellStyle name="Normal 3 8 4 7" xfId="28138" xr:uid="{7651BAC4-0B29-4F07-B8C3-34A7B196BBDD}"/>
    <cellStyle name="Normal 3 8 5" xfId="12858" xr:uid="{72B4826F-E837-4441-B034-C4CADDC3ED0F}"/>
    <cellStyle name="Normal 3 8 5 2" xfId="33199" xr:uid="{DA581573-DAAA-4640-B7F5-1AB63765721B}"/>
    <cellStyle name="Normal 3 8 6" xfId="15755" xr:uid="{B6073097-2B59-4FA0-A8C5-8B5FC73CF6F4}"/>
    <cellStyle name="Normal 3 8 6 2" xfId="36095" xr:uid="{C138A1AE-CE35-49B1-A6AC-B574FD81F597}"/>
    <cellStyle name="Normal 3 8 7" xfId="18669" xr:uid="{6CF29252-5325-4736-B120-3A15366D370D}"/>
    <cellStyle name="Normal 3 8 7 2" xfId="39009" xr:uid="{C25499B6-D104-4F42-8F03-8FFC6C037E5B}"/>
    <cellStyle name="Normal 3 8 8" xfId="19257" xr:uid="{2137025C-B5F8-4A8F-91F3-22D05C0A662F}"/>
    <cellStyle name="Normal 3 8 8 2" xfId="39596" xr:uid="{EBC7A1A5-9A81-4100-96C3-72FE57249D29}"/>
    <cellStyle name="Normal 3 8 9" xfId="22512" xr:uid="{638F7059-0B6E-4093-B6A5-BF8E052136DF}"/>
    <cellStyle name="Normal 3 8 9 2" xfId="42847" xr:uid="{36D02710-36F5-49C3-8A7D-06C7137EC64B}"/>
    <cellStyle name="Normal 3 9" xfId="5541" xr:uid="{544A07F8-A0CE-43F9-924B-05DE07CEED03}"/>
    <cellStyle name="Normal 3 9 10" xfId="12292" xr:uid="{1AFB2E52-9A7D-4961-B278-4784CC20C6E7}"/>
    <cellStyle name="Normal 3 9 10 2" xfId="32633" xr:uid="{93E3AC16-6F8C-4436-BBBD-E5A400497B8E}"/>
    <cellStyle name="Normal 3 9 11" xfId="9031" xr:uid="{0CA7BF16-7D0F-473D-8FD4-D7748F590392}"/>
    <cellStyle name="Normal 3 9 11 2" xfId="29374" xr:uid="{7E8C45C4-4D6E-4438-BDDD-2410D57BF189}"/>
    <cellStyle name="Normal 3 9 12" xfId="25880" xr:uid="{96596EFC-DF63-4F16-B532-2CA0A08B5591}"/>
    <cellStyle name="Normal 3 9 2" xfId="6113" xr:uid="{15BE44B9-D467-4669-AC1D-916AE894E791}"/>
    <cellStyle name="Normal 3 9 2 2" xfId="7271" xr:uid="{51274790-79FA-4FD6-B56A-E1E07AB828BA}"/>
    <cellStyle name="Normal 3 9 2 2 2" xfId="17557" xr:uid="{84976AC3-CF9E-41EB-9127-A486C619B050}"/>
    <cellStyle name="Normal 3 9 2 2 2 2" xfId="37897" xr:uid="{37E9049A-39CC-4EFE-9E54-A57188BF703F}"/>
    <cellStyle name="Normal 3 9 2 2 3" xfId="21059" xr:uid="{E6881D83-2CBA-4C06-AA00-086BE9036457}"/>
    <cellStyle name="Normal 3 9 2 2 3 2" xfId="41398" xr:uid="{0F81C726-8DF9-4735-B005-B93BD74CA2A2}"/>
    <cellStyle name="Normal 3 9 2 2 4" xfId="24314" xr:uid="{C1D317A9-220A-48E6-A50B-1FE8D63259A8}"/>
    <cellStyle name="Normal 3 9 2 2 4 2" xfId="44649" xr:uid="{F65497E3-10FA-448D-8CB6-C5A77260A99F}"/>
    <cellStyle name="Normal 3 9 2 2 5" xfId="14648" xr:uid="{35903D54-1102-422D-9105-2DED838B013D}"/>
    <cellStyle name="Normal 3 9 2 2 5 2" xfId="34989" xr:uid="{74BC41C4-0662-4BB9-A037-FD08274E04D9}"/>
    <cellStyle name="Normal 3 9 2 2 6" xfId="10770" xr:uid="{1D2148DD-E78D-4E28-A6E2-A113F2FEAD71}"/>
    <cellStyle name="Normal 3 9 2 2 6 2" xfId="31113" xr:uid="{63CF1712-8F38-4F76-A6EE-1F842EBF13A1}"/>
    <cellStyle name="Normal 3 9 2 2 7" xfId="27619" xr:uid="{B984E146-8B6F-4584-9170-7C45329EB60E}"/>
    <cellStyle name="Normal 3 9 2 3" xfId="16399" xr:uid="{A1A5B2D6-67CB-4B6E-82C3-1CDEE8335BC5}"/>
    <cellStyle name="Normal 3 9 2 3 2" xfId="36739" xr:uid="{CF8AEA81-83B4-4085-80C4-F25F461001CD}"/>
    <cellStyle name="Normal 3 9 2 4" xfId="19901" xr:uid="{4ACBC423-5632-460B-93F9-924C2B7E5BEF}"/>
    <cellStyle name="Normal 3 9 2 4 2" xfId="40240" xr:uid="{D8D1B1D5-2A53-45CE-8836-F2CB244D7F09}"/>
    <cellStyle name="Normal 3 9 2 5" xfId="23156" xr:uid="{637903CE-2782-4D17-9870-827DE2F4C1D2}"/>
    <cellStyle name="Normal 3 9 2 5 2" xfId="43491" xr:uid="{B9C83FAD-3535-454A-AB8C-2F08FF5503FC}"/>
    <cellStyle name="Normal 3 9 2 6" xfId="13490" xr:uid="{9C597031-7088-4046-9667-7DAA5784B489}"/>
    <cellStyle name="Normal 3 9 2 6 2" xfId="33831" xr:uid="{8DC2B7EA-24D4-4405-A3A1-74AA24BC9274}"/>
    <cellStyle name="Normal 3 9 2 7" xfId="9612" xr:uid="{0C0BE361-6327-4C35-98BB-9987A2D7A508}"/>
    <cellStyle name="Normal 3 9 2 7 2" xfId="29955" xr:uid="{215471DC-7FF0-4FDB-BC57-63E89B1C48AE}"/>
    <cellStyle name="Normal 3 9 2 8" xfId="26461" xr:uid="{9027DBC9-BA23-4AC2-891C-D8BC838514FA}"/>
    <cellStyle name="Normal 3 9 3" xfId="6690" xr:uid="{583ACBE3-AB51-4EE6-B581-3E456E87D2F0}"/>
    <cellStyle name="Normal 3 9 3 2" xfId="16976" xr:uid="{B7635814-6265-46C7-BAF6-7D0284A3372C}"/>
    <cellStyle name="Normal 3 9 3 2 2" xfId="37316" xr:uid="{D3B7770F-0E22-43A4-926F-DE172F74F5D6}"/>
    <cellStyle name="Normal 3 9 3 3" xfId="20478" xr:uid="{04396FD5-8110-447B-8441-EA45AC555C1F}"/>
    <cellStyle name="Normal 3 9 3 3 2" xfId="40817" xr:uid="{447B56EB-D96A-4BE2-AA16-62E9569729B2}"/>
    <cellStyle name="Normal 3 9 3 4" xfId="23733" xr:uid="{35C901C2-7519-4B78-8481-079552FD3DA6}"/>
    <cellStyle name="Normal 3 9 3 4 2" xfId="44068" xr:uid="{C8E5587A-D799-4CEF-8735-255F068AB9F9}"/>
    <cellStyle name="Normal 3 9 3 5" xfId="14067" xr:uid="{B7BA4AE7-228B-4E0D-BAF5-A864DE0DA736}"/>
    <cellStyle name="Normal 3 9 3 5 2" xfId="34408" xr:uid="{0266683A-F584-4602-B6E0-1445453866D0}"/>
    <cellStyle name="Normal 3 9 3 6" xfId="10189" xr:uid="{DD96BAAB-B3E8-4D17-8A01-4D415E5EE012}"/>
    <cellStyle name="Normal 3 9 3 6 2" xfId="30532" xr:uid="{09D792F2-B685-45D2-9053-E731BD886CE5}"/>
    <cellStyle name="Normal 3 9 3 7" xfId="27038" xr:uid="{5A401C91-4D58-45EE-BABC-E0F17BE9E66C}"/>
    <cellStyle name="Normal 3 9 4" xfId="7854" xr:uid="{50A2585B-9261-4BB6-936D-24BCC6E1F5CE}"/>
    <cellStyle name="Normal 3 9 4 2" xfId="18139" xr:uid="{32462651-7E76-46FD-AE5E-F04002F97AE7}"/>
    <cellStyle name="Normal 3 9 4 2 2" xfId="38479" xr:uid="{A1B43873-421F-4CA2-8414-8F0159C1DE35}"/>
    <cellStyle name="Normal 3 9 4 3" xfId="21641" xr:uid="{F27893FD-B138-4522-B5A1-716783528DF1}"/>
    <cellStyle name="Normal 3 9 4 3 2" xfId="41980" xr:uid="{38E058C8-9A4D-4B97-9FDB-3B5A4C6F585F}"/>
    <cellStyle name="Normal 3 9 4 4" xfId="24896" xr:uid="{E9CDFD24-8DA5-45E2-B8A3-CD75E3B7DB4B}"/>
    <cellStyle name="Normal 3 9 4 4 2" xfId="45231" xr:uid="{D2811FFF-68FD-4C4B-A219-09812433EBD0}"/>
    <cellStyle name="Normal 3 9 4 5" xfId="15231" xr:uid="{D3FB2DA5-06DE-42D2-ADEE-E3837D1FD143}"/>
    <cellStyle name="Normal 3 9 4 5 2" xfId="35571" xr:uid="{C1712670-BD5B-40E7-B148-158DB96B01CC}"/>
    <cellStyle name="Normal 3 9 4 6" xfId="11352" xr:uid="{6A57450D-51FC-49A0-9A28-C78125173361}"/>
    <cellStyle name="Normal 3 9 4 6 2" xfId="31695" xr:uid="{F2A8DE75-EB37-4845-8D8D-0395C2698BB1}"/>
    <cellStyle name="Normal 3 9 4 7" xfId="28201" xr:uid="{06457279-1883-4302-BF05-717A8F88FA72}"/>
    <cellStyle name="Normal 3 9 5" xfId="12921" xr:uid="{4E31A435-E623-4A1C-9D0D-8FD418D6401F}"/>
    <cellStyle name="Normal 3 9 5 2" xfId="33262" xr:uid="{200600D6-5D18-4532-9090-DA7A14F3B4F5}"/>
    <cellStyle name="Normal 3 9 6" xfId="15818" xr:uid="{E25FB5EA-BF1E-437E-995D-2F754023065C}"/>
    <cellStyle name="Normal 3 9 6 2" xfId="36158" xr:uid="{96DE5D03-96CF-4ABE-A47B-9FE19B6B61CC}"/>
    <cellStyle name="Normal 3 9 7" xfId="18732" xr:uid="{0021FAC7-5E3F-4170-A3C4-62066988E0E7}"/>
    <cellStyle name="Normal 3 9 7 2" xfId="39072" xr:uid="{A19E06CD-9CAC-4ECD-A128-8123140D1BD0}"/>
    <cellStyle name="Normal 3 9 8" xfId="19320" xr:uid="{2475AF8D-C72D-4274-8D80-0C41C1F997A4}"/>
    <cellStyle name="Normal 3 9 8 2" xfId="39659" xr:uid="{005B8349-4DA0-4A5B-B33E-DFDA5699723B}"/>
    <cellStyle name="Normal 3 9 9" xfId="22575" xr:uid="{9CD563A0-3740-4F32-92DF-C73AA180773E}"/>
    <cellStyle name="Normal 3 9 9 2" xfId="42910" xr:uid="{5BCDAFE2-5D0B-4D91-8623-DC7C905CE595}"/>
    <cellStyle name="Normal 30" xfId="5647" xr:uid="{43469F83-164F-4BE4-B392-01665149213B}"/>
    <cellStyle name="Normal 30 10" xfId="12398" xr:uid="{B03143AD-3D48-42D1-B5DD-FBF238D8FDD5}"/>
    <cellStyle name="Normal 30 10 2" xfId="32739" xr:uid="{11F8654A-F9C9-434E-B577-801C664EF000}"/>
    <cellStyle name="Normal 30 11" xfId="9137" xr:uid="{2BA0B952-1987-4B04-9E75-2DFEAD86A78A}"/>
    <cellStyle name="Normal 30 11 2" xfId="29480" xr:uid="{179E2787-2D8C-4E06-8ACC-3B350137B433}"/>
    <cellStyle name="Normal 30 12" xfId="25986" xr:uid="{20126C72-54A1-4623-B40D-9D7B14F401E8}"/>
    <cellStyle name="Normal 30 2" xfId="6219" xr:uid="{4CB9946B-20AF-4DAC-BF38-C09DEE664CE4}"/>
    <cellStyle name="Normal 30 2 2" xfId="7377" xr:uid="{D22A29A4-784A-4822-994E-9CB8D7C393AF}"/>
    <cellStyle name="Normal 30 2 2 2" xfId="17663" xr:uid="{52A737B7-0887-4D2F-AD60-9E4B5C4DBD8F}"/>
    <cellStyle name="Normal 30 2 2 2 2" xfId="38003" xr:uid="{13691A1F-C09F-4495-98E9-5ED037C7D135}"/>
    <cellStyle name="Normal 30 2 2 3" xfId="21165" xr:uid="{B69CC79F-85B3-4175-AB28-9B244C3262D1}"/>
    <cellStyle name="Normal 30 2 2 3 2" xfId="41504" xr:uid="{462F29DE-5EE7-4D9B-BFBD-D8128760BCCA}"/>
    <cellStyle name="Normal 30 2 2 4" xfId="24420" xr:uid="{00D06BD3-DC40-447C-8477-4186D20A6E34}"/>
    <cellStyle name="Normal 30 2 2 4 2" xfId="44755" xr:uid="{AF5E7706-BF92-4B60-BFCC-AAA2B0D79429}"/>
    <cellStyle name="Normal 30 2 2 5" xfId="14754" xr:uid="{3D2D0A3C-07B7-4F89-B90E-8CE90B4CAB5D}"/>
    <cellStyle name="Normal 30 2 2 5 2" xfId="35095" xr:uid="{A4192F88-F9B3-4C1F-A17F-3D3CB8A0D86A}"/>
    <cellStyle name="Normal 30 2 2 6" xfId="10876" xr:uid="{E8D65FBF-BE21-4938-A560-86CD6B623CC3}"/>
    <cellStyle name="Normal 30 2 2 6 2" xfId="31219" xr:uid="{7093EBD9-DB97-4CAD-B875-7829A21C8A47}"/>
    <cellStyle name="Normal 30 2 2 7" xfId="27725" xr:uid="{E0E17E48-2834-47B9-B2BA-D404ABDB4C8F}"/>
    <cellStyle name="Normal 30 2 3" xfId="16505" xr:uid="{00AAA00C-6EF9-4712-B826-743D0280B477}"/>
    <cellStyle name="Normal 30 2 3 2" xfId="36845" xr:uid="{014EC495-900E-4CC2-B918-DE475C05FF0F}"/>
    <cellStyle name="Normal 30 2 4" xfId="20007" xr:uid="{49F76B06-E36C-4910-8D2C-C647A88E0C8F}"/>
    <cellStyle name="Normal 30 2 4 2" xfId="40346" xr:uid="{6A7410A9-3383-4FC4-A0A8-83955D081D6F}"/>
    <cellStyle name="Normal 30 2 5" xfId="23262" xr:uid="{D9E566D9-CA94-4CB2-ABAA-0F27B620D14C}"/>
    <cellStyle name="Normal 30 2 5 2" xfId="43597" xr:uid="{794F8F51-7A85-4156-9E7C-3FE0681E0DDB}"/>
    <cellStyle name="Normal 30 2 6" xfId="13596" xr:uid="{0D4E79DF-79DE-4E3E-AB41-78B7B1962F94}"/>
    <cellStyle name="Normal 30 2 6 2" xfId="33937" xr:uid="{6CBE3097-36E2-497B-8180-A4404472E2DD}"/>
    <cellStyle name="Normal 30 2 7" xfId="9718" xr:uid="{CC59FDE1-B322-45B0-B1FA-BA33EF30CCC9}"/>
    <cellStyle name="Normal 30 2 7 2" xfId="30061" xr:uid="{E69ADAD5-EF99-4941-B4B5-FF8B608CC82E}"/>
    <cellStyle name="Normal 30 2 8" xfId="26567" xr:uid="{F08B50DA-A8EE-4C3B-995B-4A237CA094EC}"/>
    <cellStyle name="Normal 30 3" xfId="6796" xr:uid="{92C66566-DBB3-4025-A7D4-E9065E761242}"/>
    <cellStyle name="Normal 30 3 2" xfId="17082" xr:uid="{03EC8B0A-0F07-4BD0-A2DD-FDA09D1109C1}"/>
    <cellStyle name="Normal 30 3 2 2" xfId="37422" xr:uid="{E0E6E763-DF83-4F26-8412-D1B2C83F7487}"/>
    <cellStyle name="Normal 30 3 3" xfId="20584" xr:uid="{B0359EFB-786D-4C19-AE2A-A6ADC5BA7FBA}"/>
    <cellStyle name="Normal 30 3 3 2" xfId="40923" xr:uid="{08A0ACA1-8C23-42E0-9542-85B94E8740AD}"/>
    <cellStyle name="Normal 30 3 4" xfId="23839" xr:uid="{76BA7A99-6BC9-466C-B766-4AB327BF92A3}"/>
    <cellStyle name="Normal 30 3 4 2" xfId="44174" xr:uid="{715C5445-457D-43A2-8C80-199BA0EEDD19}"/>
    <cellStyle name="Normal 30 3 5" xfId="14173" xr:uid="{7C84FD17-5F56-4356-A6DC-17C53F81B281}"/>
    <cellStyle name="Normal 30 3 5 2" xfId="34514" xr:uid="{5C6412E7-EBE2-473D-8B71-3D4E70EEDEDE}"/>
    <cellStyle name="Normal 30 3 6" xfId="10295" xr:uid="{B75B4495-619D-4473-B14C-2E640CD99348}"/>
    <cellStyle name="Normal 30 3 6 2" xfId="30638" xr:uid="{4CE9B2B8-A0EF-45DA-852F-00CF17E06CCE}"/>
    <cellStyle name="Normal 30 3 7" xfId="27144" xr:uid="{E922A461-CC8C-4E51-B236-D2E5BC5F37BE}"/>
    <cellStyle name="Normal 30 4" xfId="7960" xr:uid="{113E61F1-DC05-4866-9077-8964BFE1B772}"/>
    <cellStyle name="Normal 30 4 2" xfId="18245" xr:uid="{86C5AD35-86BB-4E18-A01A-88ACEB76136F}"/>
    <cellStyle name="Normal 30 4 2 2" xfId="38585" xr:uid="{54ABA4F6-1581-4FF0-BA4D-3851F76F291F}"/>
    <cellStyle name="Normal 30 4 3" xfId="21747" xr:uid="{43695726-0C61-4C84-B212-B351B60660F3}"/>
    <cellStyle name="Normal 30 4 3 2" xfId="42086" xr:uid="{3D3F57F1-717D-4C18-A367-9DD6C97D051E}"/>
    <cellStyle name="Normal 30 4 4" xfId="25002" xr:uid="{71E0C1EA-A8CE-4AAB-AB85-F11F6519ABE4}"/>
    <cellStyle name="Normal 30 4 4 2" xfId="45337" xr:uid="{CB75093A-1C26-4AAB-B4B0-00307A634248}"/>
    <cellStyle name="Normal 30 4 5" xfId="15337" xr:uid="{29C0F7E2-1CA9-480A-B5AF-917D65940DC9}"/>
    <cellStyle name="Normal 30 4 5 2" xfId="35677" xr:uid="{1FD02624-5AA7-4098-BF53-2A24AE772C30}"/>
    <cellStyle name="Normal 30 4 6" xfId="11458" xr:uid="{97DD003C-4F67-425C-B619-7A01752F9BB3}"/>
    <cellStyle name="Normal 30 4 6 2" xfId="31801" xr:uid="{E03D296C-AA05-4326-AB4A-139F4BB36A87}"/>
    <cellStyle name="Normal 30 4 7" xfId="28307" xr:uid="{A3C4E707-5C45-4CB3-AFAC-7B5A9D5B7A66}"/>
    <cellStyle name="Normal 30 5" xfId="13027" xr:uid="{07D0B837-F373-4591-BC47-DBB37A31DE43}"/>
    <cellStyle name="Normal 30 5 2" xfId="33368" xr:uid="{803CC876-77B3-487C-91A8-D6B0777F0613}"/>
    <cellStyle name="Normal 30 6" xfId="15924" xr:uid="{B1D6678A-85D4-4330-8DFB-EE164EBE5093}"/>
    <cellStyle name="Normal 30 6 2" xfId="36264" xr:uid="{331A7C45-FD0B-4148-AFB9-00A3931D6436}"/>
    <cellStyle name="Normal 30 7" xfId="18838" xr:uid="{D004A305-5FC9-407E-875F-5A5F4FCFB099}"/>
    <cellStyle name="Normal 30 7 2" xfId="39178" xr:uid="{03CB5E9F-C70B-4E27-909C-31679C66A587}"/>
    <cellStyle name="Normal 30 8" xfId="19426" xr:uid="{404F8A4E-4E51-4FBF-82F3-2E58B44F6B5F}"/>
    <cellStyle name="Normal 30 8 2" xfId="39765" xr:uid="{4A6B65A1-0559-4BAB-87CB-5552EF04B1DE}"/>
    <cellStyle name="Normal 30 9" xfId="22681" xr:uid="{E7937009-B462-449F-B943-03574DC08C7A}"/>
    <cellStyle name="Normal 30 9 2" xfId="43016" xr:uid="{1AB6BE2C-C790-454C-9FEC-7F69EB115303}"/>
    <cellStyle name="Normal 31" xfId="5756" xr:uid="{59026837-6706-474A-9170-6C26226A865C}"/>
    <cellStyle name="Normal 31 10" xfId="9254" xr:uid="{39BA04A7-EBAF-42A8-ABB1-543FFD77604C}"/>
    <cellStyle name="Normal 31 10 2" xfId="29597" xr:uid="{6F3CF951-697B-43C0-A259-8F12E18434E6}"/>
    <cellStyle name="Normal 31 11" xfId="26103" xr:uid="{13EFA438-78D8-47F4-AFF7-9F473FD92446}"/>
    <cellStyle name="Normal 31 2" xfId="6913" xr:uid="{3D6C2950-13E1-4C20-A2DD-347AD33B2550}"/>
    <cellStyle name="Normal 31 2 2" xfId="17199" xr:uid="{EA3B5C3F-A784-4823-B053-A5A44F91CA02}"/>
    <cellStyle name="Normal 31 2 2 2" xfId="37539" xr:uid="{97457746-42A0-48D0-9531-737F34845584}"/>
    <cellStyle name="Normal 31 2 3" xfId="20701" xr:uid="{1315B7C6-7394-4DBB-85B4-CF0AF8B4407C}"/>
    <cellStyle name="Normal 31 2 3 2" xfId="41040" xr:uid="{EBF4A86A-8F81-4EB5-B9A6-BFFA9F7B7628}"/>
    <cellStyle name="Normal 31 2 4" xfId="23956" xr:uid="{D86932EF-CA72-4C52-A481-E7F9B956098E}"/>
    <cellStyle name="Normal 31 2 4 2" xfId="44291" xr:uid="{9BF6C560-0575-48F7-9EFE-C93D0C7E46EB}"/>
    <cellStyle name="Normal 31 2 5" xfId="14290" xr:uid="{E4EBD617-55CE-4240-A06F-EA7E40F4922D}"/>
    <cellStyle name="Normal 31 2 5 2" xfId="34631" xr:uid="{3E739378-75E8-40AD-BD9A-F1AD1AABDBFB}"/>
    <cellStyle name="Normal 31 2 6" xfId="10412" xr:uid="{8EF56E7E-E8C0-4EBC-9E83-85D21B2F5164}"/>
    <cellStyle name="Normal 31 2 6 2" xfId="30755" xr:uid="{6A66A499-7AE1-4ABB-AD08-8D36E44D54FB}"/>
    <cellStyle name="Normal 31 2 7" xfId="27261" xr:uid="{54840C1E-B869-4EB5-9386-6A7F7EEADCAD}"/>
    <cellStyle name="Normal 31 3" xfId="8077" xr:uid="{4CA13D72-11A0-4E82-9FB5-B3F921162274}"/>
    <cellStyle name="Normal 31 3 2" xfId="18362" xr:uid="{E7C548ED-D468-4010-9CB3-E865E7B6B94C}"/>
    <cellStyle name="Normal 31 3 2 2" xfId="38702" xr:uid="{DA153472-2A73-487D-8EBC-F2B02401A250}"/>
    <cellStyle name="Normal 31 3 3" xfId="21864" xr:uid="{4D4BE08D-6BF7-47DA-91BE-BD0FC4B1A89E}"/>
    <cellStyle name="Normal 31 3 3 2" xfId="42203" xr:uid="{7E7ECF22-8A52-4CB9-A253-EBE37BA8A156}"/>
    <cellStyle name="Normal 31 3 4" xfId="25119" xr:uid="{8A5C8A24-6FAB-411F-B484-D3D13C40D0BA}"/>
    <cellStyle name="Normal 31 3 4 2" xfId="45454" xr:uid="{55C11BF0-C04B-4457-815C-935A4CE2A500}"/>
    <cellStyle name="Normal 31 3 5" xfId="15454" xr:uid="{576BC581-18A6-47E5-ACB9-E878415A5C5A}"/>
    <cellStyle name="Normal 31 3 5 2" xfId="35794" xr:uid="{5B3FFCA7-C71F-4C06-93C1-D11E1A20F7AE}"/>
    <cellStyle name="Normal 31 3 6" xfId="11575" xr:uid="{8BD914B1-78A7-46F6-9848-DE04E47E0046}"/>
    <cellStyle name="Normal 31 3 6 2" xfId="31918" xr:uid="{E3562703-94E7-48DC-A2DC-60475B63091F}"/>
    <cellStyle name="Normal 31 3 7" xfId="28424" xr:uid="{783138BC-8910-451D-A957-B790AB7F0880}"/>
    <cellStyle name="Normal 31 4" xfId="13144" xr:uid="{603C5699-7EE8-4CB4-AF0D-3CDD8F6843B2}"/>
    <cellStyle name="Normal 31 4 2" xfId="33485" xr:uid="{D035EA9C-C9AB-4C7D-99CC-07D5499780EC}"/>
    <cellStyle name="Normal 31 5" xfId="16041" xr:uid="{60F8CF4A-C569-4B3B-AE7F-5A23D73076E3}"/>
    <cellStyle name="Normal 31 5 2" xfId="36381" xr:uid="{F68C39C8-6286-45C9-B8C5-93E6EF6F1938}"/>
    <cellStyle name="Normal 31 6" xfId="18955" xr:uid="{4411DCAB-5F30-4BA4-9762-7F8F3B4B4FBB}"/>
    <cellStyle name="Normal 31 6 2" xfId="39295" xr:uid="{A0B6D231-A804-4D4C-B8E1-330C906EA49D}"/>
    <cellStyle name="Normal 31 7" xfId="19543" xr:uid="{466EF58C-2F35-4267-B18A-7C3ECF08D804}"/>
    <cellStyle name="Normal 31 7 2" xfId="39882" xr:uid="{0626FFD1-F03B-4D07-822D-1C5D7FC3D6C2}"/>
    <cellStyle name="Normal 31 8" xfId="22798" xr:uid="{BF88DEE7-9CF7-4D25-9632-5D2878314D3B}"/>
    <cellStyle name="Normal 31 8 2" xfId="43133" xr:uid="{110D8DEA-1A81-45AB-BDB0-B2609E6A0E66}"/>
    <cellStyle name="Normal 31 9" xfId="12515" xr:uid="{89A26B5F-810A-4FD9-B3B9-066C0F846CE7}"/>
    <cellStyle name="Normal 31 9 2" xfId="32856" xr:uid="{68047F65-8D39-4EFE-BFBA-A7669AE8AD93}"/>
    <cellStyle name="Normal 32" xfId="7496" xr:uid="{20BF3432-4E9F-4F38-9321-E20F17034155}"/>
    <cellStyle name="Normal 32 2" xfId="14873" xr:uid="{0C4CA8DB-61A0-4B0B-A1D0-8934843351B3}"/>
    <cellStyle name="Normal 33" xfId="8082" xr:uid="{98F56989-865E-4C1E-B673-2F13BD9C0A88}"/>
    <cellStyle name="Normal 33 2" xfId="15459" xr:uid="{7402F70C-C650-424F-9EEC-5121957C0C9B}"/>
    <cellStyle name="Normal 33 2 2" xfId="35799" xr:uid="{88912E20-2A69-445B-BF0F-993CAFC6A452}"/>
    <cellStyle name="Normal 33 3" xfId="18367" xr:uid="{0861AE50-C403-42DD-85AA-75D529B51921}"/>
    <cellStyle name="Normal 33 3 2" xfId="38707" xr:uid="{7B214BD8-E52A-42C4-8FC2-89A4E7A45039}"/>
    <cellStyle name="Normal 33 4" xfId="18960" xr:uid="{5FCC0F79-C0D1-4881-99BE-06BDBCE6D71C}"/>
    <cellStyle name="Normal 33 4 2" xfId="39300" xr:uid="{4B6506B5-6B94-4FB0-BE6F-788DE89E81BF}"/>
    <cellStyle name="Normal 33 5" xfId="21869" xr:uid="{187743B6-9CF8-404A-B384-F2BD6F4B44B9}"/>
    <cellStyle name="Normal 33 5 2" xfId="42208" xr:uid="{96263FA7-8FB0-4480-A5C2-5D03E74E6B02}"/>
    <cellStyle name="Normal 33 6" xfId="25124" xr:uid="{8314AC6C-90E4-4A19-97C4-C83860916E66}"/>
    <cellStyle name="Normal 33 6 2" xfId="45459" xr:uid="{AD374645-9E85-401A-A82C-CACC9687DD79}"/>
    <cellStyle name="Normal 33 7" xfId="12519" xr:uid="{DBE715C4-2FC0-477F-911F-8E929F4C2E03}"/>
    <cellStyle name="Normal 33 7 2" xfId="32860" xr:uid="{A6E8C4E6-CAD8-4278-9409-8D8CEF30130C}"/>
    <cellStyle name="Normal 33 8" xfId="11580" xr:uid="{670B761E-7F88-4183-8F20-E7F18631030E}"/>
    <cellStyle name="Normal 33 8 2" xfId="31923" xr:uid="{F1C4A7CC-69C5-4801-B6AA-D3BB5E09EF23}"/>
    <cellStyle name="Normal 33 9" xfId="28429" xr:uid="{2783B371-BE8E-40A7-865A-73A16831DF23}"/>
    <cellStyle name="Normal 34" xfId="8433" xr:uid="{FFA05F28-D0E1-43AF-9BD8-989060E77363}"/>
    <cellStyle name="Normal 34 2" xfId="22219" xr:uid="{52E573C2-C64C-48DF-8A69-21774396F5CC}"/>
    <cellStyle name="Normal 34 2 2" xfId="42555" xr:uid="{54C4F495-4CC2-4616-B40D-E66CB5450A8D}"/>
    <cellStyle name="Normal 34 3" xfId="12524" xr:uid="{632D943C-5AD0-44DE-BBE9-A5A2FBF73C1D}"/>
    <cellStyle name="Normal 34 3 2" xfId="32865" xr:uid="{789914D4-25AC-4588-BAF6-95A7B729C432}"/>
    <cellStyle name="Normal 34 4" xfId="11928" xr:uid="{5B92A38D-E1E7-44B7-BC54-79D04BF306A1}"/>
    <cellStyle name="Normal 34 4 2" xfId="32270" xr:uid="{5D991EA6-9319-4BD1-AFED-D48C68382B21}"/>
    <cellStyle name="Normal 34 5" xfId="28776" xr:uid="{699DFE76-280D-4A3E-B108-9BAFCD27E68F}"/>
    <cellStyle name="Normal 35" xfId="8431" xr:uid="{ADE62C7B-4E52-450C-A743-CD04B1AE2B0F}"/>
    <cellStyle name="Normal 35 2" xfId="11929" xr:uid="{8A27A623-F2F6-459B-B006-B758609566AB}"/>
    <cellStyle name="Normal 36" xfId="18965" xr:uid="{E69FC695-111F-42C6-BD71-1B57C5049318}"/>
    <cellStyle name="Normal 37" xfId="22220" xr:uid="{118B8A4E-B7BA-4D97-9C09-014C2D12986E}"/>
    <cellStyle name="Normal 38" xfId="25520" xr:uid="{6F0A085D-D5FC-4B2C-839E-1FB611C5A85D}"/>
    <cellStyle name="Normal 39" xfId="25470" xr:uid="{2344E088-99C1-4B0F-A51B-3177FE355BF1}"/>
    <cellStyle name="Normal 4" xfId="59" xr:uid="{0E320A18-4318-4B70-86ED-12CB51ACC2F5}"/>
    <cellStyle name="Normal 4 2" xfId="1775" xr:uid="{DA5CECA0-F922-4097-ADDD-75410E1EE3DD}"/>
    <cellStyle name="Normal 4 2 2" xfId="5262" xr:uid="{D63266EE-B904-4D01-A720-D6C98E0933D8}"/>
    <cellStyle name="Normal 4 2 3" xfId="5263" xr:uid="{1456E7E0-3DB2-4E4F-8F52-1ECC5FFD6B72}"/>
    <cellStyle name="Normal 4 3" xfId="47359" xr:uid="{0E674674-AC88-42BC-9515-A04B1B6343BF}"/>
    <cellStyle name="Normal 4 4" xfId="1" xr:uid="{00000000-0005-0000-0000-000002000000}"/>
    <cellStyle name="Normal 4 5" xfId="47485" xr:uid="{3F405201-F7D3-4844-B872-F07E3F162A19}"/>
    <cellStyle name="Normal 4 6" xfId="47611" xr:uid="{AB14577C-1CA7-475B-8490-EEEFDA221A58}"/>
    <cellStyle name="Normal 40" xfId="45805" xr:uid="{6D1CD11C-4EB8-4085-9606-16ECCF197204}"/>
    <cellStyle name="Normal 41" xfId="45807" xr:uid="{0B1B3CF4-4AF4-4E4E-A393-C89D76FF3238}"/>
    <cellStyle name="Normal 42" xfId="46781" xr:uid="{DF69BD6A-ABA4-4DF8-B1B8-2E9177A181F1}"/>
    <cellStyle name="Normal 43" xfId="46785" xr:uid="{96F64D99-37AF-4CA8-9509-80575A224899}"/>
    <cellStyle name="Normal 44" xfId="47277" xr:uid="{7503F0FA-45A9-466F-B427-DEC02ABDE7CE}"/>
    <cellStyle name="Normal 45" xfId="47279" xr:uid="{CBB50C0F-7507-417A-A473-DD8C31E69E7C}"/>
    <cellStyle name="Normal 46" xfId="47282" xr:uid="{B798772D-F26F-46C8-9E4B-04AE3356042F}"/>
    <cellStyle name="Normal 47" xfId="47284" xr:uid="{81AEB0FA-69BA-40DF-AA08-1D78F3FB5D35}"/>
    <cellStyle name="Normal 47 2" xfId="47287" xr:uid="{CC32E067-F789-4349-A9E0-885B23EDB0D2}"/>
    <cellStyle name="Normal 48" xfId="47290" xr:uid="{84FC9120-A802-4113-AA0E-EE9926AE0AF6}"/>
    <cellStyle name="Normal 49" xfId="47416" xr:uid="{DA264019-8AB5-4A51-B306-C5CD840659D7}"/>
    <cellStyle name="Normal 5" xfId="4790" xr:uid="{9F3167DA-CBF0-452B-AE9A-A1F1521996AF}"/>
    <cellStyle name="Normal 5 10" xfId="5653" xr:uid="{A8E0F807-3490-46DF-9791-D49E85891CF3}"/>
    <cellStyle name="Normal 5 10 10" xfId="12404" xr:uid="{3EE4717F-E178-4EEB-9367-D65632117F9F}"/>
    <cellStyle name="Normal 5 10 10 2" xfId="32745" xr:uid="{10639119-524C-4B2C-957F-20B4C8F2BE48}"/>
    <cellStyle name="Normal 5 10 11" xfId="9143" xr:uid="{C12F663E-451F-4849-A3AA-833D03C653DA}"/>
    <cellStyle name="Normal 5 10 11 2" xfId="29486" xr:uid="{BBFD4AA6-E960-4219-9878-E13BE9BB64E6}"/>
    <cellStyle name="Normal 5 10 12" xfId="25992" xr:uid="{3E5BA075-552C-4E7F-8A3D-8333844C3A1B}"/>
    <cellStyle name="Normal 5 10 2" xfId="6225" xr:uid="{85892F75-BFA6-4BD1-8A30-52207905AC82}"/>
    <cellStyle name="Normal 5 10 2 2" xfId="7383" xr:uid="{26EDAE8B-C8CD-4B30-922D-94E2FBF3B1FC}"/>
    <cellStyle name="Normal 5 10 2 2 2" xfId="17669" xr:uid="{7311F9FE-549D-4511-B835-FA61A28FBDEB}"/>
    <cellStyle name="Normal 5 10 2 2 2 2" xfId="38009" xr:uid="{8DD0227C-41DC-4CB5-BA1F-ECB5E81BEC90}"/>
    <cellStyle name="Normal 5 10 2 2 3" xfId="21171" xr:uid="{1DEA7B71-7A60-4560-AE69-37007E6B89A1}"/>
    <cellStyle name="Normal 5 10 2 2 3 2" xfId="41510" xr:uid="{D7B7E846-394D-4311-8947-C9DFA2BD7F71}"/>
    <cellStyle name="Normal 5 10 2 2 4" xfId="24426" xr:uid="{ED535554-6EF5-4843-8008-9A26369F2194}"/>
    <cellStyle name="Normal 5 10 2 2 4 2" xfId="44761" xr:uid="{C62D46BC-C4DD-4CC6-AE24-52694342B67F}"/>
    <cellStyle name="Normal 5 10 2 2 5" xfId="14760" xr:uid="{7EADC6D0-F076-4821-BBF1-EE059A7E4A32}"/>
    <cellStyle name="Normal 5 10 2 2 5 2" xfId="35101" xr:uid="{BA7010BA-8F8C-4BD7-BE8C-C1D710CDAB85}"/>
    <cellStyle name="Normal 5 10 2 2 6" xfId="10882" xr:uid="{67D0BCE7-8EB7-471B-87CC-CA15038DE7C8}"/>
    <cellStyle name="Normal 5 10 2 2 6 2" xfId="31225" xr:uid="{7FBF6253-533C-4670-B18D-5635BFD3E749}"/>
    <cellStyle name="Normal 5 10 2 2 7" xfId="27731" xr:uid="{E1A71397-9AF5-4F6E-8ED0-7CF78A96CC68}"/>
    <cellStyle name="Normal 5 10 2 3" xfId="16511" xr:uid="{033E34E6-579F-4525-9D34-3588D2BC8DD6}"/>
    <cellStyle name="Normal 5 10 2 3 2" xfId="36851" xr:uid="{7C1319E7-426C-4875-A1D3-90E4267679F3}"/>
    <cellStyle name="Normal 5 10 2 4" xfId="20013" xr:uid="{D25DE38D-970D-485B-92E5-2BDD668906BF}"/>
    <cellStyle name="Normal 5 10 2 4 2" xfId="40352" xr:uid="{34696C24-1FF9-470C-AC6D-3EA1EDAEF839}"/>
    <cellStyle name="Normal 5 10 2 5" xfId="23268" xr:uid="{94C2F26C-53FF-4FA8-991D-77E6E91C5514}"/>
    <cellStyle name="Normal 5 10 2 5 2" xfId="43603" xr:uid="{6FC4820C-35DA-48D8-9F62-6FD561AE23DD}"/>
    <cellStyle name="Normal 5 10 2 6" xfId="13602" xr:uid="{9A70D566-0D99-49CA-B93B-34CBC9E333BA}"/>
    <cellStyle name="Normal 5 10 2 6 2" xfId="33943" xr:uid="{29002A52-5F9A-42A0-AB9D-8D1157080A98}"/>
    <cellStyle name="Normal 5 10 2 7" xfId="9724" xr:uid="{A75EC48E-68A6-49C5-9029-576ED97A7FC4}"/>
    <cellStyle name="Normal 5 10 2 7 2" xfId="30067" xr:uid="{4D1CEDB7-7F18-409E-ABBD-C94054765852}"/>
    <cellStyle name="Normal 5 10 2 8" xfId="26573" xr:uid="{59363638-E906-47F3-BE3F-1E5CA390EB14}"/>
    <cellStyle name="Normal 5 10 3" xfId="6802" xr:uid="{207FD884-EF39-46B5-AB69-617034771E91}"/>
    <cellStyle name="Normal 5 10 3 2" xfId="17088" xr:uid="{0C379463-EF04-4DA9-9283-0795A785F5A3}"/>
    <cellStyle name="Normal 5 10 3 2 2" xfId="37428" xr:uid="{2E124639-4059-407F-B4E0-486ED61A0F1F}"/>
    <cellStyle name="Normal 5 10 3 3" xfId="20590" xr:uid="{3F27DF31-C1EF-4876-BF9C-DFCF41FCE5DD}"/>
    <cellStyle name="Normal 5 10 3 3 2" xfId="40929" xr:uid="{E9CFC518-92E0-404D-B61B-E0B1C977FFE3}"/>
    <cellStyle name="Normal 5 10 3 4" xfId="23845" xr:uid="{55911D79-8E20-43B3-9D15-E08F93CB1E1B}"/>
    <cellStyle name="Normal 5 10 3 4 2" xfId="44180" xr:uid="{D72F7BE5-9331-41B1-90D2-7EE66E37E76D}"/>
    <cellStyle name="Normal 5 10 3 5" xfId="14179" xr:uid="{DB90EF44-2ADE-477E-ACA3-BBF5A6C1E18C}"/>
    <cellStyle name="Normal 5 10 3 5 2" xfId="34520" xr:uid="{A6C5500B-318C-4258-80CA-8A75413F8686}"/>
    <cellStyle name="Normal 5 10 3 6" xfId="10301" xr:uid="{24F27471-E5FB-46B8-8103-EC4790C90D4E}"/>
    <cellStyle name="Normal 5 10 3 6 2" xfId="30644" xr:uid="{8B0576EB-CDF8-4CF2-8B01-7B2A5EE202CE}"/>
    <cellStyle name="Normal 5 10 3 7" xfId="27150" xr:uid="{E256417D-305F-4F80-8623-8464B4C596C0}"/>
    <cellStyle name="Normal 5 10 4" xfId="7966" xr:uid="{4C6613B2-CDF6-48C4-A7C5-99D10ABE799A}"/>
    <cellStyle name="Normal 5 10 4 2" xfId="18251" xr:uid="{D4C96779-EB97-4BA2-8D56-308B7F6D6901}"/>
    <cellStyle name="Normal 5 10 4 2 2" xfId="38591" xr:uid="{5F299F80-1822-4634-B130-1A585B282DB4}"/>
    <cellStyle name="Normal 5 10 4 3" xfId="21753" xr:uid="{471DBB94-849D-400E-B67A-DE9D5F1C59DF}"/>
    <cellStyle name="Normal 5 10 4 3 2" xfId="42092" xr:uid="{6E634ADE-7C7D-4328-8DA5-2C432DF2093E}"/>
    <cellStyle name="Normal 5 10 4 4" xfId="25008" xr:uid="{E32A1C3C-7547-4986-99FD-6DD8204D47B9}"/>
    <cellStyle name="Normal 5 10 4 4 2" xfId="45343" xr:uid="{CD140658-EA24-4F1F-95AD-3D6A4C1A8DDC}"/>
    <cellStyle name="Normal 5 10 4 5" xfId="15343" xr:uid="{52B3A8F3-AAC8-45C4-A631-54FF40CE2DFB}"/>
    <cellStyle name="Normal 5 10 4 5 2" xfId="35683" xr:uid="{159D28E4-CB5D-4B34-AEF7-90412003FEDB}"/>
    <cellStyle name="Normal 5 10 4 6" xfId="11464" xr:uid="{8F415BF4-D641-41E2-B8E2-A828F35B4F16}"/>
    <cellStyle name="Normal 5 10 4 6 2" xfId="31807" xr:uid="{82D4CE48-25E1-4B53-9A49-B72F3BDF995E}"/>
    <cellStyle name="Normal 5 10 4 7" xfId="28313" xr:uid="{0DF8DFEA-7FD4-4C6E-89CA-41112FFB9C85}"/>
    <cellStyle name="Normal 5 10 5" xfId="13033" xr:uid="{04D3143F-110F-435B-8186-EDE382AAB26F}"/>
    <cellStyle name="Normal 5 10 5 2" xfId="33374" xr:uid="{5A74776C-F6AD-43B6-B080-01CBD6A2A146}"/>
    <cellStyle name="Normal 5 10 6" xfId="15930" xr:uid="{5A83718A-BDA3-48A6-8AE8-17228737E9AE}"/>
    <cellStyle name="Normal 5 10 6 2" xfId="36270" xr:uid="{460EEE08-6A46-4EDC-AF5B-BB8334BB5683}"/>
    <cellStyle name="Normal 5 10 7" xfId="18844" xr:uid="{4CDA4C9D-223E-44BE-A62C-7FC589CD2008}"/>
    <cellStyle name="Normal 5 10 7 2" xfId="39184" xr:uid="{5082447E-AD77-4A79-8D14-689C8F156809}"/>
    <cellStyle name="Normal 5 10 8" xfId="19432" xr:uid="{2D4BB847-4877-41EF-BB34-D3FF0329D9D7}"/>
    <cellStyle name="Normal 5 10 8 2" xfId="39771" xr:uid="{9E1C059F-EF07-42C5-AE08-9FC193374897}"/>
    <cellStyle name="Normal 5 10 9" xfId="22687" xr:uid="{205122FA-CE77-4A3B-BCEF-EFB263F62276}"/>
    <cellStyle name="Normal 5 10 9 2" xfId="43022" xr:uid="{53B399E8-0592-434A-88C3-947C6298CF30}"/>
    <cellStyle name="Normal 5 11" xfId="5761" xr:uid="{43BC2521-B9A2-4A5A-B939-3A2801997326}"/>
    <cellStyle name="Normal 5 11 2" xfId="6918" xr:uid="{23236634-D134-44E2-A79F-62F747ED5E40}"/>
    <cellStyle name="Normal 5 11 2 2" xfId="17204" xr:uid="{C4C2932E-02D0-40C2-A8A3-B29947CF10DD}"/>
    <cellStyle name="Normal 5 11 2 2 2" xfId="37544" xr:uid="{325ADC94-3C91-4ADC-AF2C-0F191C7799DF}"/>
    <cellStyle name="Normal 5 11 2 3" xfId="20706" xr:uid="{BC411212-0037-499B-B7AA-F26723125972}"/>
    <cellStyle name="Normal 5 11 2 3 2" xfId="41045" xr:uid="{55AA3535-27E1-464E-9EDD-6453977EB2F5}"/>
    <cellStyle name="Normal 5 11 2 4" xfId="23961" xr:uid="{47474055-1053-4F01-A24F-9CA10EA66762}"/>
    <cellStyle name="Normal 5 11 2 4 2" xfId="44296" xr:uid="{32245C25-E562-41E5-AC3B-DDC7A2391EF9}"/>
    <cellStyle name="Normal 5 11 2 5" xfId="14295" xr:uid="{0A990B92-6C08-4014-B252-1C90B0C58B13}"/>
    <cellStyle name="Normal 5 11 2 5 2" xfId="34636" xr:uid="{56106D43-0EAD-4667-AA2B-E63A0A00B6DC}"/>
    <cellStyle name="Normal 5 11 2 6" xfId="10417" xr:uid="{9E56BB39-BF32-4E26-B1C9-CD81B45C879F}"/>
    <cellStyle name="Normal 5 11 2 6 2" xfId="30760" xr:uid="{6EAEBB8D-D79B-4965-AC71-A0C461997012}"/>
    <cellStyle name="Normal 5 11 2 7" xfId="27266" xr:uid="{E98048FB-B49C-47A8-A3BF-4775CA884009}"/>
    <cellStyle name="Normal 5 11 3" xfId="16046" xr:uid="{223C1A31-0B67-4DC0-A66F-42086424A95E}"/>
    <cellStyle name="Normal 5 11 3 2" xfId="36386" xr:uid="{EF42C72C-12CB-495A-AC73-BFB75A3C20E9}"/>
    <cellStyle name="Normal 5 11 4" xfId="19548" xr:uid="{AB9128DF-BF31-4245-9FC9-55A5E276B6E5}"/>
    <cellStyle name="Normal 5 11 4 2" xfId="39887" xr:uid="{BC54939D-D03B-4D6B-BA79-34C699EF8CDE}"/>
    <cellStyle name="Normal 5 11 5" xfId="22803" xr:uid="{D5594A94-8FDF-41C3-82FE-DB2D47E421E5}"/>
    <cellStyle name="Normal 5 11 5 2" xfId="43138" xr:uid="{8A734F19-BC44-438E-A6D2-65282264983A}"/>
    <cellStyle name="Normal 5 11 6" xfId="13149" xr:uid="{A68A2E50-6FDB-4B22-8CB9-9643B8BE8A95}"/>
    <cellStyle name="Normal 5 11 6 2" xfId="33490" xr:uid="{4ACF133D-3F18-4387-A0C7-319C3ADDBFC6}"/>
    <cellStyle name="Normal 5 11 7" xfId="9259" xr:uid="{07124BC2-4302-48D5-976F-B874A87867E9}"/>
    <cellStyle name="Normal 5 11 7 2" xfId="29602" xr:uid="{195B884B-841E-44F1-BE1D-9C50E816B9D4}"/>
    <cellStyle name="Normal 5 11 8" xfId="26108" xr:uid="{BEDD9266-6504-4363-94B8-447B7065F31F}"/>
    <cellStyle name="Normal 5 12" xfId="6337" xr:uid="{5D178ABE-7479-4E49-9923-680F9C727FAF}"/>
    <cellStyle name="Normal 5 12 2" xfId="16623" xr:uid="{5E7216B1-F76D-4977-8429-5939889663F9}"/>
    <cellStyle name="Normal 5 12 2 2" xfId="36963" xr:uid="{F3998FAC-B79E-48F7-9833-3F94D2BE3BFE}"/>
    <cellStyle name="Normal 5 12 3" xfId="20125" xr:uid="{5A8D1368-2021-4110-8583-C35335B5FA49}"/>
    <cellStyle name="Normal 5 12 3 2" xfId="40464" xr:uid="{8D4E9F07-64A3-400C-81F1-0211297CBDF5}"/>
    <cellStyle name="Normal 5 12 4" xfId="23380" xr:uid="{B170A6E4-B7F0-4680-A3E8-6DC9328EFE14}"/>
    <cellStyle name="Normal 5 12 4 2" xfId="43715" xr:uid="{F152C439-F59B-406D-BB16-376C39CEF738}"/>
    <cellStyle name="Normal 5 12 5" xfId="13714" xr:uid="{4A35C48A-F9FE-4306-91B0-C8EB88091DED}"/>
    <cellStyle name="Normal 5 12 5 2" xfId="34055" xr:uid="{BF41F450-EACF-49C9-A8F3-8A6989844932}"/>
    <cellStyle name="Normal 5 12 6" xfId="9836" xr:uid="{0107AAF5-4465-4248-9A2B-6B77D2E48CDF}"/>
    <cellStyle name="Normal 5 12 6 2" xfId="30179" xr:uid="{E9D8B306-B5BE-44C9-A04C-ABAF3FCA7695}"/>
    <cellStyle name="Normal 5 12 7" xfId="26685" xr:uid="{10AADC80-AFB5-4F01-96E6-0DADC2706EBB}"/>
    <cellStyle name="Normal 5 13" xfId="7501" xr:uid="{925B3B2B-F4B0-4C35-B7D4-139F5EA2C6AC}"/>
    <cellStyle name="Normal 5 13 2" xfId="17786" xr:uid="{1FC9FCE1-6BDB-4336-BD14-7FED25F5159D}"/>
    <cellStyle name="Normal 5 13 2 2" xfId="38126" xr:uid="{D778CBF9-9EFF-43A8-A555-6833041218DA}"/>
    <cellStyle name="Normal 5 13 3" xfId="21288" xr:uid="{3163C482-936B-494C-8FC0-9857BE394599}"/>
    <cellStyle name="Normal 5 13 3 2" xfId="41627" xr:uid="{1307C925-B2A2-41C8-89A9-1AE8772DC3A7}"/>
    <cellStyle name="Normal 5 13 4" xfId="24543" xr:uid="{78E69BA2-74C3-4385-A104-59F69C41E4CA}"/>
    <cellStyle name="Normal 5 13 4 2" xfId="44878" xr:uid="{54909BB3-518C-4767-A8E9-4815CA39EC49}"/>
    <cellStyle name="Normal 5 13 5" xfId="14878" xr:uid="{FE91EE69-EF03-45A3-B01B-C6834D488206}"/>
    <cellStyle name="Normal 5 13 5 2" xfId="35218" xr:uid="{66EE0A3F-4202-487F-8398-696AFF8D3246}"/>
    <cellStyle name="Normal 5 13 6" xfId="10999" xr:uid="{3B82BA79-D36D-4775-AB92-5CD3D2357FA8}"/>
    <cellStyle name="Normal 5 13 6 2" xfId="31342" xr:uid="{4051DF01-6378-4B9E-8D1B-332E78ABF439}"/>
    <cellStyle name="Normal 5 13 7" xfId="27848" xr:uid="{3209DC93-9A07-4670-9621-E098659D9B6F}"/>
    <cellStyle name="Normal 5 14" xfId="8106" xr:uid="{F1726FEE-45E9-45B1-A6AD-AAC500D01241}"/>
    <cellStyle name="Normal 5 14 2" xfId="21893" xr:uid="{3ED5E655-45B3-421E-A4E2-CAC06765E43A}"/>
    <cellStyle name="Normal 5 14 2 2" xfId="42229" xr:uid="{0CD8D31C-D121-451E-8063-2CF0795054FC}"/>
    <cellStyle name="Normal 5 14 3" xfId="25145" xr:uid="{BCA2CAAB-6218-41FE-A300-BA5315930B9E}"/>
    <cellStyle name="Normal 5 14 3 2" xfId="45480" xr:uid="{06FD0C25-BA6C-4285-B9DB-C6C7CCE82470}"/>
    <cellStyle name="Normal 5 14 4" xfId="12581" xr:uid="{013E24B6-91A5-4A35-AB12-82DD356C9D43}"/>
    <cellStyle name="Normal 5 14 4 2" xfId="32922" xr:uid="{68017D57-808A-4567-818F-E078BE8B2B45}"/>
    <cellStyle name="Normal 5 14 5" xfId="11602" xr:uid="{902F34A9-BE5B-46BF-83AC-34D91B41B966}"/>
    <cellStyle name="Normal 5 14 5 2" xfId="31944" xr:uid="{4BABCEC5-FD29-42B1-8FA2-289B6C7B75B5}"/>
    <cellStyle name="Normal 5 14 6" xfId="28450" xr:uid="{99DBF31B-67E0-451F-B229-66D7770D6127}"/>
    <cellStyle name="Normal 5 15" xfId="8439" xr:uid="{A730D4EF-A4E6-48C7-ADDB-EF19ED916034}"/>
    <cellStyle name="Normal 5 15 2" xfId="15465" xr:uid="{3D73A0C8-7957-44B7-8BA2-FB3C8AD44BFD}"/>
    <cellStyle name="Normal 5 15 2 2" xfId="35805" xr:uid="{D46BE7B6-FA69-45BE-B58B-39618C7F465C}"/>
    <cellStyle name="Normal 5 15 3" xfId="28782" xr:uid="{0F8DF250-2264-4FDF-B6BB-A08E08CA0E32}"/>
    <cellStyle name="Normal 5 16" xfId="18379" xr:uid="{E3269747-2E90-4941-AAE8-3EB76CCE72E3}"/>
    <cellStyle name="Normal 5 16 2" xfId="38719" xr:uid="{FFD7ED2E-456C-414A-BD69-9D8F51F87067}"/>
    <cellStyle name="Normal 5 17" xfId="18967" xr:uid="{F3D2A9BD-7EF2-427C-8806-960BDAB01FCC}"/>
    <cellStyle name="Normal 5 17 2" xfId="39306" xr:uid="{88019A3E-4652-438F-BC2D-A1520BDFFEB0}"/>
    <cellStyle name="Normal 5 18" xfId="22222" xr:uid="{C954F866-8168-4BD5-8A25-A9C0F2826CCD}"/>
    <cellStyle name="Normal 5 18 2" xfId="42557" xr:uid="{6577A010-A1BC-4123-B9DA-D511F554AEDC}"/>
    <cellStyle name="Normal 5 19" xfId="11939" xr:uid="{64418529-9FDA-458D-9D73-8853479F0052}"/>
    <cellStyle name="Normal 5 19 2" xfId="32280" xr:uid="{57833E07-0F68-41AF-93E6-43E686D7CC62}"/>
    <cellStyle name="Normal 5 2" xfId="4800" xr:uid="{FEF2A172-8CBC-4A2C-A299-F222E141CDE1}"/>
    <cellStyle name="Normal 5 2 10" xfId="5767" xr:uid="{D0F84C99-EDAF-4CB2-89D4-9E2D4E43ECBA}"/>
    <cellStyle name="Normal 5 2 10 2" xfId="6925" xr:uid="{5CFEDA1D-2C8B-4A49-8B79-C43D3D282285}"/>
    <cellStyle name="Normal 5 2 10 2 2" xfId="17211" xr:uid="{9411C1CE-AA34-4041-BC01-939447152189}"/>
    <cellStyle name="Normal 5 2 10 2 2 2" xfId="37551" xr:uid="{451FEC46-D77B-451C-97BC-0B5C92FE049C}"/>
    <cellStyle name="Normal 5 2 10 2 3" xfId="20713" xr:uid="{AA9EBAFC-1482-4A14-A793-8B1545582785}"/>
    <cellStyle name="Normal 5 2 10 2 3 2" xfId="41052" xr:uid="{85B01E49-F969-48BD-BACE-E7089E5D1BF6}"/>
    <cellStyle name="Normal 5 2 10 2 4" xfId="23968" xr:uid="{A9321428-E2B0-4732-82C2-DD7520581104}"/>
    <cellStyle name="Normal 5 2 10 2 4 2" xfId="44303" xr:uid="{7DAB8FC7-18ED-4980-87FB-1B96021EBC92}"/>
    <cellStyle name="Normal 5 2 10 2 5" xfId="14302" xr:uid="{9B58C55F-C657-408E-A3AF-57AF57FB8156}"/>
    <cellStyle name="Normal 5 2 10 2 5 2" xfId="34643" xr:uid="{282F6D16-609E-4E67-8EFD-AF910D5AE636}"/>
    <cellStyle name="Normal 5 2 10 2 6" xfId="10424" xr:uid="{9F8204A6-E255-49F0-8EEA-B230D08CE772}"/>
    <cellStyle name="Normal 5 2 10 2 6 2" xfId="30767" xr:uid="{EE11EA2D-78AB-4C64-BFC5-2087FDB6D2C5}"/>
    <cellStyle name="Normal 5 2 10 2 7" xfId="27273" xr:uid="{0CFE6378-5A99-4A6E-B05B-C7D22470E710}"/>
    <cellStyle name="Normal 5 2 10 3" xfId="16053" xr:uid="{48D4CBDE-CB5C-4941-94EE-56AF28EE85E9}"/>
    <cellStyle name="Normal 5 2 10 3 2" xfId="36393" xr:uid="{603451BA-A519-4450-926A-B6E3D4443C15}"/>
    <cellStyle name="Normal 5 2 10 4" xfId="19555" xr:uid="{8A932F83-BE24-4659-B135-AD84E672A946}"/>
    <cellStyle name="Normal 5 2 10 4 2" xfId="39894" xr:uid="{A46863AA-8882-4FF8-AFC7-C8F4CCDDAF07}"/>
    <cellStyle name="Normal 5 2 10 5" xfId="22810" xr:uid="{C9D3663C-C039-4DFB-B581-DD491B77C5E0}"/>
    <cellStyle name="Normal 5 2 10 5 2" xfId="43145" xr:uid="{8CA576C4-D043-41C8-A0BF-5595BF71F829}"/>
    <cellStyle name="Normal 5 2 10 6" xfId="13156" xr:uid="{79F13D4B-FC78-45F6-9372-4EF96EEA735D}"/>
    <cellStyle name="Normal 5 2 10 6 2" xfId="33497" xr:uid="{2602F2BB-0C9F-4C33-B035-E32D36F8C1F5}"/>
    <cellStyle name="Normal 5 2 10 7" xfId="9266" xr:uid="{0501282A-A207-4D78-BA98-61A45EA4AECD}"/>
    <cellStyle name="Normal 5 2 10 7 2" xfId="29609" xr:uid="{B2CE32F0-17BE-47EF-BA07-372011353ECD}"/>
    <cellStyle name="Normal 5 2 10 8" xfId="26115" xr:uid="{20C31F9B-D1B3-4EA7-9873-7A685627D661}"/>
    <cellStyle name="Normal 5 2 11" xfId="6344" xr:uid="{BA0EBAEA-62F0-4128-8DEA-C84BF709AA74}"/>
    <cellStyle name="Normal 5 2 11 2" xfId="16630" xr:uid="{CD8593CD-AB2E-4B06-AA5D-9D289EEED215}"/>
    <cellStyle name="Normal 5 2 11 2 2" xfId="36970" xr:uid="{5921C8E0-9A75-43D5-AC22-9DDBF4770F54}"/>
    <cellStyle name="Normal 5 2 11 3" xfId="20132" xr:uid="{C879C1A3-B9CA-487D-B410-D61955D80963}"/>
    <cellStyle name="Normal 5 2 11 3 2" xfId="40471" xr:uid="{16F9D1DF-A5B9-4E09-BD0B-1707CB184466}"/>
    <cellStyle name="Normal 5 2 11 4" xfId="23387" xr:uid="{E2648F24-8CB4-4374-B541-CE01F9BC7240}"/>
    <cellStyle name="Normal 5 2 11 4 2" xfId="43722" xr:uid="{2DFE7EA8-3335-4FD4-B934-F9D57CDA9ACB}"/>
    <cellStyle name="Normal 5 2 11 5" xfId="13721" xr:uid="{E6A69277-59F4-4D69-87C5-53581ACA30D1}"/>
    <cellStyle name="Normal 5 2 11 5 2" xfId="34062" xr:uid="{7379154D-F9D1-4647-8EFA-C40DE40D1C89}"/>
    <cellStyle name="Normal 5 2 11 6" xfId="9843" xr:uid="{51CC45C4-DD78-4BDA-B335-4782886A8C5C}"/>
    <cellStyle name="Normal 5 2 11 6 2" xfId="30186" xr:uid="{EF4A5E7E-58C1-48A0-B0C6-1C7F1BDD9821}"/>
    <cellStyle name="Normal 5 2 11 7" xfId="26692" xr:uid="{5006C0B9-08E5-4C6A-A1C3-F963E991706E}"/>
    <cellStyle name="Normal 5 2 12" xfId="7508" xr:uid="{972A8C00-D4D9-4455-BD0F-2FC369181FC2}"/>
    <cellStyle name="Normal 5 2 12 2" xfId="17793" xr:uid="{A114BE3F-8D54-40E7-B5E8-EE9FDE669336}"/>
    <cellStyle name="Normal 5 2 12 2 2" xfId="38133" xr:uid="{9E722E17-B5D3-4CD2-A440-850F6402705D}"/>
    <cellStyle name="Normal 5 2 12 3" xfId="21295" xr:uid="{6562969A-3462-40CA-B592-C08E6A484BD6}"/>
    <cellStyle name="Normal 5 2 12 3 2" xfId="41634" xr:uid="{8F2D0701-798E-4153-9346-16C6F3FFA6B7}"/>
    <cellStyle name="Normal 5 2 12 4" xfId="24550" xr:uid="{E0988C0E-C83A-4736-9644-F2892C29EA68}"/>
    <cellStyle name="Normal 5 2 12 4 2" xfId="44885" xr:uid="{EC71C8F1-7F57-4A1F-AD4F-86E4B79B2C69}"/>
    <cellStyle name="Normal 5 2 12 5" xfId="14885" xr:uid="{64ECA77C-AE2D-4535-92BB-A2F8795EFD84}"/>
    <cellStyle name="Normal 5 2 12 5 2" xfId="35225" xr:uid="{FFB755A5-A3F7-4FEF-8DBF-1B9FECBB2886}"/>
    <cellStyle name="Normal 5 2 12 6" xfId="11006" xr:uid="{A71F6D71-6E66-446E-861A-9C31CFD985E8}"/>
    <cellStyle name="Normal 5 2 12 6 2" xfId="31349" xr:uid="{91C336A2-3AB8-463E-AEC5-4442F68EE2FA}"/>
    <cellStyle name="Normal 5 2 12 7" xfId="27855" xr:uid="{3E6B10A8-E1C2-4383-B43D-867C14479EFF}"/>
    <cellStyle name="Normal 5 2 13" xfId="8107" xr:uid="{A95E63E7-0BF8-4BF9-81BE-81C043BABDD2}"/>
    <cellStyle name="Normal 5 2 13 2" xfId="21894" xr:uid="{CBE888AD-7C3D-45FB-95A3-D7E4F5AFCB00}"/>
    <cellStyle name="Normal 5 2 13 2 2" xfId="42230" xr:uid="{127CEDC1-637B-4BD3-970E-BADFCFE0F9A1}"/>
    <cellStyle name="Normal 5 2 13 3" xfId="25146" xr:uid="{81634C60-ABC1-4D19-8570-C5D7C74916D3}"/>
    <cellStyle name="Normal 5 2 13 3 2" xfId="45481" xr:uid="{84D23D33-5199-47ED-93D8-AEEA62B0AFB6}"/>
    <cellStyle name="Normal 5 2 13 4" xfId="12587" xr:uid="{6B75BA8C-BEE5-4BC8-95E1-E5F053AFE5BF}"/>
    <cellStyle name="Normal 5 2 13 4 2" xfId="32928" xr:uid="{3C433452-8DC2-491D-9811-566BCB255A79}"/>
    <cellStyle name="Normal 5 2 13 5" xfId="11603" xr:uid="{D7791594-5C1A-46B4-88EB-55D3762932B2}"/>
    <cellStyle name="Normal 5 2 13 5 2" xfId="31945" xr:uid="{ECC0C775-2337-427B-B6B2-C2373859CC53}"/>
    <cellStyle name="Normal 5 2 13 6" xfId="28451" xr:uid="{827DD1B8-48E2-45A4-87C5-A5D6359B8D07}"/>
    <cellStyle name="Normal 5 2 14" xfId="8452" xr:uid="{6F95042F-533E-4E33-80A2-393CDC207D6C}"/>
    <cellStyle name="Normal 5 2 14 2" xfId="15472" xr:uid="{976F0796-943D-4568-86B2-44E0C2E5AB7F}"/>
    <cellStyle name="Normal 5 2 14 2 2" xfId="35812" xr:uid="{EEC43DE4-F745-43B4-BF37-50F72D264508}"/>
    <cellStyle name="Normal 5 2 14 3" xfId="28795" xr:uid="{E82D6775-5E11-41A2-A43E-8E8AD86C0545}"/>
    <cellStyle name="Normal 5 2 15" xfId="18386" xr:uid="{BED71DF0-FEAD-4CBB-A37E-458913A22588}"/>
    <cellStyle name="Normal 5 2 15 2" xfId="38726" xr:uid="{D37E397A-6791-4D96-AA75-E64F63DEDEB2}"/>
    <cellStyle name="Normal 5 2 16" xfId="18974" xr:uid="{9EA421FE-04A1-487E-B17D-93B0BF089C02}"/>
    <cellStyle name="Normal 5 2 16 2" xfId="39313" xr:uid="{E74EF30C-9961-45BE-B0F3-ECF61E4A3746}"/>
    <cellStyle name="Normal 5 2 17" xfId="22229" xr:uid="{7D92121F-90E2-40D4-9C49-E099359E69A7}"/>
    <cellStyle name="Normal 5 2 17 2" xfId="42564" xr:uid="{644A0457-4AD4-4654-AC6E-82D78CD0BC2A}"/>
    <cellStyle name="Normal 5 2 18" xfId="11946" xr:uid="{5C62630B-01EF-4DCD-ABBA-2D9105E13F0A}"/>
    <cellStyle name="Normal 5 2 18 2" xfId="32287" xr:uid="{09C78EDE-74C1-420C-992C-4941AF2ACF33}"/>
    <cellStyle name="Normal 5 2 19" xfId="8685" xr:uid="{79CF663C-3391-40AF-B3C5-A7F6144E2434}"/>
    <cellStyle name="Normal 5 2 19 2" xfId="29028" xr:uid="{89042263-B053-40E7-A981-1059440734BC}"/>
    <cellStyle name="Normal 5 2 2" xfId="4827" xr:uid="{49D197A0-2157-43A1-B4C4-7DC6474EDA81}"/>
    <cellStyle name="Normal 5 2 2 10" xfId="8108" xr:uid="{34F29BD6-3688-4FD4-894E-6600520F667C}"/>
    <cellStyle name="Normal 5 2 2 10 2" xfId="21895" xr:uid="{2C7917C0-4BB8-429C-ABC2-DF75DA94D5A3}"/>
    <cellStyle name="Normal 5 2 2 10 2 2" xfId="42231" xr:uid="{B4933E71-1C04-4521-ADEF-DB2C581E92F6}"/>
    <cellStyle name="Normal 5 2 2 10 3" xfId="25147" xr:uid="{3D425B6C-03DA-40A5-9D55-9C101BDA1B4E}"/>
    <cellStyle name="Normal 5 2 2 10 3 2" xfId="45482" xr:uid="{D366C574-9F31-4795-BA7C-618DAB82AE06}"/>
    <cellStyle name="Normal 5 2 2 10 4" xfId="12635" xr:uid="{CC3D978B-D243-4897-B3D9-98FCEF5F83EC}"/>
    <cellStyle name="Normal 5 2 2 10 4 2" xfId="32976" xr:uid="{12C879B2-53CA-42B9-BD67-CCCD2BC25BE9}"/>
    <cellStyle name="Normal 5 2 2 10 5" xfId="11604" xr:uid="{30989ADA-733E-424F-B1A3-DEC97261BE65}"/>
    <cellStyle name="Normal 5 2 2 10 5 2" xfId="31946" xr:uid="{534945DE-FCD7-4929-BC99-B86A3F08AA3C}"/>
    <cellStyle name="Normal 5 2 2 10 6" xfId="28452" xr:uid="{B98A4FAE-8B0C-436B-B176-04A849AEF3D1}"/>
    <cellStyle name="Normal 5 2 2 11" xfId="8480" xr:uid="{93FFFFB4-AD65-4B1A-BCCA-B4C6AAA7CB7C}"/>
    <cellStyle name="Normal 5 2 2 11 2" xfId="15529" xr:uid="{8CFBE4BA-0CD2-482B-9EDF-577375B2C6E4}"/>
    <cellStyle name="Normal 5 2 2 11 2 2" xfId="35869" xr:uid="{AFE0FF9B-30C8-4699-A082-92AA4A2025FF}"/>
    <cellStyle name="Normal 5 2 2 11 3" xfId="28823" xr:uid="{37155932-67AB-4114-844A-B71B1D6134DE}"/>
    <cellStyle name="Normal 5 2 2 12" xfId="18443" xr:uid="{DE58DF7B-684D-4B97-9CDB-C7EA0E9D365A}"/>
    <cellStyle name="Normal 5 2 2 12 2" xfId="38783" xr:uid="{F55AC2F5-0908-4D61-9F0E-00EE6E4149B2}"/>
    <cellStyle name="Normal 5 2 2 13" xfId="19031" xr:uid="{FE3A1C07-7BE4-4FD1-B9B4-767E0DFF8F37}"/>
    <cellStyle name="Normal 5 2 2 13 2" xfId="39370" xr:uid="{F4826903-BA17-460A-9840-EE0B1FAA3E78}"/>
    <cellStyle name="Normal 5 2 2 14" xfId="22286" xr:uid="{982C64D2-2854-47D3-A788-5BF73FA2725D}"/>
    <cellStyle name="Normal 5 2 2 14 2" xfId="42621" xr:uid="{6C36493A-CE0C-41DF-AF0F-55381F577C63}"/>
    <cellStyle name="Normal 5 2 2 15" xfId="12003" xr:uid="{F90B23EA-0D41-4FB2-9869-B717E3C26A38}"/>
    <cellStyle name="Normal 5 2 2 15 2" xfId="32344" xr:uid="{1349C428-4808-4ABF-B368-EFFD8DAE68A5}"/>
    <cellStyle name="Normal 5 2 2 16" xfId="8742" xr:uid="{717A7EE4-807E-44E6-B853-D838C7069BA7}"/>
    <cellStyle name="Normal 5 2 2 16 2" xfId="29085" xr:uid="{E418D9DC-9A31-4644-9706-453E6B8377FD}"/>
    <cellStyle name="Normal 5 2 2 17" xfId="25587" xr:uid="{BF68D495-CA6C-4DE7-8E4D-A4EEF8B14189}"/>
    <cellStyle name="Normal 5 2 2 18" xfId="45855" xr:uid="{EB1FE5B7-93E8-449D-9E1E-0C425830EDB2}"/>
    <cellStyle name="Normal 5 2 2 19" xfId="46341" xr:uid="{74B4EE7D-6777-4E32-88A9-33D5FA93D9D0}"/>
    <cellStyle name="Normal 5 2 2 2" xfId="4842" xr:uid="{63251270-97B6-44DD-955C-643BCF2600F9}"/>
    <cellStyle name="Normal 5 2 2 2 10" xfId="22401" xr:uid="{0AB5ADC0-76CC-4305-86EC-A5CED0F691CF}"/>
    <cellStyle name="Normal 5 2 2 2 10 2" xfId="42736" xr:uid="{7122171C-4079-4432-BCB6-798DAE1D3BD9}"/>
    <cellStyle name="Normal 5 2 2 2 11" xfId="12118" xr:uid="{764A0395-2D5A-4BC9-91A6-B15E419C7096}"/>
    <cellStyle name="Normal 5 2 2 2 11 2" xfId="32459" xr:uid="{210E3832-D189-4AEF-93AE-4574012AB285}"/>
    <cellStyle name="Normal 5 2 2 2 12" xfId="8857" xr:uid="{4ED076CF-B2A2-4E41-A21C-DED6A9B220CE}"/>
    <cellStyle name="Normal 5 2 2 2 12 2" xfId="29200" xr:uid="{2CFB5B0C-EDC9-4659-AF7B-AC7F74A40DF3}"/>
    <cellStyle name="Normal 5 2 2 2 13" xfId="25706" xr:uid="{F417C51D-A6CE-4193-B564-6AC93C4534A5}"/>
    <cellStyle name="Normal 5 2 2 2 14" xfId="45915" xr:uid="{F298D2DC-067F-4D3F-96EA-B0C6DFF3A625}"/>
    <cellStyle name="Normal 5 2 2 2 15" xfId="46401" xr:uid="{A211C92F-5C39-4EBC-8428-C911961C1CDA}"/>
    <cellStyle name="Normal 5 2 2 2 16" xfId="46893" xr:uid="{17A26229-381D-4E1C-BD92-14FF279BEDF5}"/>
    <cellStyle name="Normal 5 2 2 2 2" xfId="5054" xr:uid="{2BF54560-F589-45DB-B3BC-74F3113ED92C}"/>
    <cellStyle name="Normal 5 2 2 2 2 10" xfId="12505" xr:uid="{0CB4671E-C8F9-4F4B-A87C-FEDEB3E6F2F9}"/>
    <cellStyle name="Normal 5 2 2 2 2 10 2" xfId="32846" xr:uid="{C93A932C-6186-43FE-BF3D-812E1A8831D1}"/>
    <cellStyle name="Normal 5 2 2 2 2 11" xfId="9244" xr:uid="{6D0144C9-1CEE-4AC4-A2FA-BF59EBC12047}"/>
    <cellStyle name="Normal 5 2 2 2 2 11 2" xfId="29587" xr:uid="{DBCCF446-5E32-491B-9C1A-45F8A7CDF68B}"/>
    <cellStyle name="Normal 5 2 2 2 2 12" xfId="26093" xr:uid="{8F4BC4E8-AD8C-4F4E-A865-3B1B531FAC14}"/>
    <cellStyle name="Normal 5 2 2 2 2 13" xfId="45936" xr:uid="{7F3EB4C9-ABC4-4327-B607-0B01FF14750C}"/>
    <cellStyle name="Normal 5 2 2 2 2 14" xfId="46422" xr:uid="{4886320D-98C1-47B8-B7D2-ECB445F47749}"/>
    <cellStyle name="Normal 5 2 2 2 2 15" xfId="46914" xr:uid="{E396230E-33FC-4A6A-8D6E-969CD88DBD16}"/>
    <cellStyle name="Normal 5 2 2 2 2 2" xfId="6326" xr:uid="{0BA7BAEC-A1F0-4CD0-B554-E9CED680DA26}"/>
    <cellStyle name="Normal 5 2 2 2 2 2 10" xfId="46665" xr:uid="{7B99B3EF-8EF0-48F2-BCF7-29204D9F1043}"/>
    <cellStyle name="Normal 5 2 2 2 2 2 11" xfId="47157" xr:uid="{624DE97E-CF0E-4EF7-82DA-32BC2480220A}"/>
    <cellStyle name="Normal 5 2 2 2 2 2 2" xfId="7484" xr:uid="{E5557C04-F0A1-42B1-95E5-F282D9844B77}"/>
    <cellStyle name="Normal 5 2 2 2 2 2 2 2" xfId="17770" xr:uid="{66249A36-FF5D-4E29-909E-366F1E0F6421}"/>
    <cellStyle name="Normal 5 2 2 2 2 2 2 2 2" xfId="38110" xr:uid="{AF9C9F29-25E0-4809-A423-F5BF3C99291A}"/>
    <cellStyle name="Normal 5 2 2 2 2 2 2 3" xfId="21272" xr:uid="{B03C55E4-8714-442C-A2A8-D21601C78584}"/>
    <cellStyle name="Normal 5 2 2 2 2 2 2 3 2" xfId="41611" xr:uid="{A64EB369-8A58-4079-A088-DC7ADC223484}"/>
    <cellStyle name="Normal 5 2 2 2 2 2 2 4" xfId="24527" xr:uid="{F524998C-DD09-46E9-A896-2BC57AD71F87}"/>
    <cellStyle name="Normal 5 2 2 2 2 2 2 4 2" xfId="44862" xr:uid="{71108191-D76F-427A-A609-F1D3355012EF}"/>
    <cellStyle name="Normal 5 2 2 2 2 2 2 5" xfId="14861" xr:uid="{B01E9192-A2B8-430A-AAC7-4854987EBA30}"/>
    <cellStyle name="Normal 5 2 2 2 2 2 2 5 2" xfId="35202" xr:uid="{C40FDB1E-701D-4D40-AA7D-4DDFC9D64F20}"/>
    <cellStyle name="Normal 5 2 2 2 2 2 2 6" xfId="10983" xr:uid="{7808D67A-2F10-4F92-AFDB-B7E6C0278DB6}"/>
    <cellStyle name="Normal 5 2 2 2 2 2 2 6 2" xfId="31326" xr:uid="{CB06C08B-46BB-431D-AC90-927C27BBCA98}"/>
    <cellStyle name="Normal 5 2 2 2 2 2 2 7" xfId="27832" xr:uid="{6DC4DCD1-D389-4F6F-8A24-B61CA0865EC9}"/>
    <cellStyle name="Normal 5 2 2 2 2 2 3" xfId="16612" xr:uid="{52971365-FE83-4F84-9DF8-0C6D7C76E981}"/>
    <cellStyle name="Normal 5 2 2 2 2 2 3 2" xfId="36952" xr:uid="{66E6D32C-C789-42AB-898D-96FF2DB90B87}"/>
    <cellStyle name="Normal 5 2 2 2 2 2 4" xfId="20114" xr:uid="{5F7766D5-F23C-4970-9177-68E280A398EA}"/>
    <cellStyle name="Normal 5 2 2 2 2 2 4 2" xfId="40453" xr:uid="{CC036789-98BC-4E9E-9507-486C60925157}"/>
    <cellStyle name="Normal 5 2 2 2 2 2 5" xfId="23369" xr:uid="{944E430A-6B67-472F-B9EC-0D8C23C4E11E}"/>
    <cellStyle name="Normal 5 2 2 2 2 2 5 2" xfId="43704" xr:uid="{01910A26-71AA-4232-8A1B-C5469FC03D24}"/>
    <cellStyle name="Normal 5 2 2 2 2 2 6" xfId="13703" xr:uid="{7ECE5241-E17E-4B6D-91D1-CA2C9490309A}"/>
    <cellStyle name="Normal 5 2 2 2 2 2 6 2" xfId="34044" xr:uid="{1A7C4882-78DC-467D-ADAB-935EC04FE975}"/>
    <cellStyle name="Normal 5 2 2 2 2 2 7" xfId="9825" xr:uid="{7EF973B8-087B-411B-8BE1-F17E15F60C91}"/>
    <cellStyle name="Normal 5 2 2 2 2 2 7 2" xfId="30168" xr:uid="{25106D17-2572-47BA-9E04-78FBD218961C}"/>
    <cellStyle name="Normal 5 2 2 2 2 2 8" xfId="26674" xr:uid="{CF97F392-BAAB-47B6-B54D-C35707B2ADCC}"/>
    <cellStyle name="Normal 5 2 2 2 2 2 9" xfId="46179" xr:uid="{60AF99DD-F1AC-487B-A7E9-B78C0C2F71DB}"/>
    <cellStyle name="Normal 5 2 2 2 2 3" xfId="6903" xr:uid="{C90F0E80-80CC-418C-9AD8-ECFDEBD74076}"/>
    <cellStyle name="Normal 5 2 2 2 2 3 2" xfId="17189" xr:uid="{D0277B84-5185-4E27-903F-6A2FDCE2376A}"/>
    <cellStyle name="Normal 5 2 2 2 2 3 2 2" xfId="37529" xr:uid="{E654C546-8204-4521-B77E-E5685A469536}"/>
    <cellStyle name="Normal 5 2 2 2 2 3 3" xfId="20691" xr:uid="{5A299B02-FCD8-4310-91B9-E98F512E8D28}"/>
    <cellStyle name="Normal 5 2 2 2 2 3 3 2" xfId="41030" xr:uid="{1CAE26BC-474E-4F8F-8924-E3579A5B9B2D}"/>
    <cellStyle name="Normal 5 2 2 2 2 3 4" xfId="23946" xr:uid="{5731B169-1AF5-4B0D-9843-0907E824F168}"/>
    <cellStyle name="Normal 5 2 2 2 2 3 4 2" xfId="44281" xr:uid="{B4719421-7BF9-48DF-81E5-C829B153EF79}"/>
    <cellStyle name="Normal 5 2 2 2 2 3 5" xfId="14280" xr:uid="{AA6B42CC-02A7-4FFD-B7BD-5EB895E84154}"/>
    <cellStyle name="Normal 5 2 2 2 2 3 5 2" xfId="34621" xr:uid="{81413782-CD10-4FC8-AA5F-57482FCCA0E0}"/>
    <cellStyle name="Normal 5 2 2 2 2 3 6" xfId="10402" xr:uid="{58D8AE95-47D4-46E2-9F4A-E022AE1112A3}"/>
    <cellStyle name="Normal 5 2 2 2 2 3 6 2" xfId="30745" xr:uid="{D0F08607-3158-42A6-9F9B-994F7F5BA115}"/>
    <cellStyle name="Normal 5 2 2 2 2 3 7" xfId="27251" xr:uid="{7D4DABAF-75D6-4D20-959C-ECA72985B172}"/>
    <cellStyle name="Normal 5 2 2 2 2 4" xfId="8067" xr:uid="{9720F269-A968-4F3C-B811-512B8DA95DE5}"/>
    <cellStyle name="Normal 5 2 2 2 2 4 2" xfId="18352" xr:uid="{C555031C-F25D-4595-A6FD-B317B809E63F}"/>
    <cellStyle name="Normal 5 2 2 2 2 4 2 2" xfId="38692" xr:uid="{B1372A5D-3E2E-44B2-BF39-DD19FEE6BEE2}"/>
    <cellStyle name="Normal 5 2 2 2 2 4 3" xfId="21854" xr:uid="{7B34D75F-2567-4BD7-B8C5-109A712A7FD8}"/>
    <cellStyle name="Normal 5 2 2 2 2 4 3 2" xfId="42193" xr:uid="{6948275E-00AE-40AE-9B96-765B52E28B6B}"/>
    <cellStyle name="Normal 5 2 2 2 2 4 4" xfId="25109" xr:uid="{03DECB5E-DB56-4E65-998B-474A6C3F4B07}"/>
    <cellStyle name="Normal 5 2 2 2 2 4 4 2" xfId="45444" xr:uid="{503F6862-1355-4CB4-AF9F-C05A2B87A8F4}"/>
    <cellStyle name="Normal 5 2 2 2 2 4 5" xfId="15444" xr:uid="{4FA663F6-EBFC-4212-8103-31A7F69E8404}"/>
    <cellStyle name="Normal 5 2 2 2 2 4 5 2" xfId="35784" xr:uid="{D933E0E4-171E-4698-BD06-4D4CF9D7A03B}"/>
    <cellStyle name="Normal 5 2 2 2 2 4 6" xfId="11565" xr:uid="{59A2E419-FDD7-4383-80DE-E88B1F3AA919}"/>
    <cellStyle name="Normal 5 2 2 2 2 4 6 2" xfId="31908" xr:uid="{295E744F-89D2-4A96-8FC1-18CF3260E430}"/>
    <cellStyle name="Normal 5 2 2 2 2 4 7" xfId="28414" xr:uid="{7E35A8F7-CFA2-43F1-9E72-60290648BBBE}"/>
    <cellStyle name="Normal 5 2 2 2 2 5" xfId="8110" xr:uid="{E14D679E-B65F-40F2-884C-04EC8E2C5D7B}"/>
    <cellStyle name="Normal 5 2 2 2 2 5 2" xfId="21897" xr:uid="{8A4B155E-1947-445D-94A5-BEE32A8AE5D2}"/>
    <cellStyle name="Normal 5 2 2 2 2 5 2 2" xfId="42233" xr:uid="{6E0B35CC-B7DA-4BF7-801C-C3605FE013EE}"/>
    <cellStyle name="Normal 5 2 2 2 2 5 3" xfId="25149" xr:uid="{21FA54C5-5EB5-4716-BB22-3A8466D4D9A9}"/>
    <cellStyle name="Normal 5 2 2 2 2 5 3 2" xfId="45484" xr:uid="{599F2E1A-E967-4044-9791-AE8A0A551137}"/>
    <cellStyle name="Normal 5 2 2 2 2 5 4" xfId="13134" xr:uid="{30C23D17-ADE1-4C25-A721-3E610986E0E1}"/>
    <cellStyle name="Normal 5 2 2 2 2 5 4 2" xfId="33475" xr:uid="{1ADF30CF-0021-4521-A811-95464E63AD49}"/>
    <cellStyle name="Normal 5 2 2 2 2 5 5" xfId="11606" xr:uid="{7F8E091E-1B46-44D4-B1DD-73F444E4F122}"/>
    <cellStyle name="Normal 5 2 2 2 2 5 5 2" xfId="31948" xr:uid="{80309B2A-11D7-405E-ABBB-30F7A6BF48C5}"/>
    <cellStyle name="Normal 5 2 2 2 2 5 6" xfId="28454" xr:uid="{4A6D87D8-D2A2-489B-9D1D-ED80D6E02E08}"/>
    <cellStyle name="Normal 5 2 2 2 2 6" xfId="8561" xr:uid="{C09A906D-FD94-4823-90CA-31D045FFB20E}"/>
    <cellStyle name="Normal 5 2 2 2 2 6 2" xfId="16031" xr:uid="{E26D8D9E-8050-48E9-9366-DC3F108AFFCE}"/>
    <cellStyle name="Normal 5 2 2 2 2 6 2 2" xfId="36371" xr:uid="{44BA0127-49A2-49D9-BE22-E5795AFA71A3}"/>
    <cellStyle name="Normal 5 2 2 2 2 6 3" xfId="28904" xr:uid="{93C14782-50F5-48C6-BD60-AE5B525BC340}"/>
    <cellStyle name="Normal 5 2 2 2 2 7" xfId="18945" xr:uid="{365702BB-2036-47B3-BFFC-B683E751498F}"/>
    <cellStyle name="Normal 5 2 2 2 2 7 2" xfId="39285" xr:uid="{04CED628-A18C-4314-A1AE-910D64194CF2}"/>
    <cellStyle name="Normal 5 2 2 2 2 8" xfId="19533" xr:uid="{0F4AD32D-8B6F-43E9-9381-ADE8101D71E9}"/>
    <cellStyle name="Normal 5 2 2 2 2 8 2" xfId="39872" xr:uid="{B938FA65-B097-4C19-808C-981F2E1E9C43}"/>
    <cellStyle name="Normal 5 2 2 2 2 9" xfId="22788" xr:uid="{7B382B2E-AE5F-4A45-A1F8-C53AA4A9A20E}"/>
    <cellStyle name="Normal 5 2 2 2 2 9 2" xfId="43123" xr:uid="{EE253464-FA31-4A69-97E4-4651F207F05C}"/>
    <cellStyle name="Normal 5 2 2 2 3" xfId="5939" xr:uid="{9D057918-28E8-469E-A8F8-69B9B11516EC}"/>
    <cellStyle name="Normal 5 2 2 2 3 10" xfId="46644" xr:uid="{B59776EB-4B31-4469-AD08-16B9C69417CD}"/>
    <cellStyle name="Normal 5 2 2 2 3 11" xfId="47136" xr:uid="{33668315-C92A-460A-862A-298DB66BA2EF}"/>
    <cellStyle name="Normal 5 2 2 2 3 2" xfId="7097" xr:uid="{2863986B-43D9-49B9-A0FD-CB34CE5E4085}"/>
    <cellStyle name="Normal 5 2 2 2 3 2 2" xfId="17383" xr:uid="{E04002E2-9EC3-4460-A2DD-D6D4720A1572}"/>
    <cellStyle name="Normal 5 2 2 2 3 2 2 2" xfId="37723" xr:uid="{2B0D07B0-27E0-49DB-8E59-AE9F33B96946}"/>
    <cellStyle name="Normal 5 2 2 2 3 2 3" xfId="20885" xr:uid="{A4618EED-F62B-4DD0-8B79-FC4FAF81176B}"/>
    <cellStyle name="Normal 5 2 2 2 3 2 3 2" xfId="41224" xr:uid="{1079F638-1CE1-4DFB-B01F-14EBFD8DC276}"/>
    <cellStyle name="Normal 5 2 2 2 3 2 4" xfId="24140" xr:uid="{2AA3FF5A-0567-402A-83C9-1F99CCED5897}"/>
    <cellStyle name="Normal 5 2 2 2 3 2 4 2" xfId="44475" xr:uid="{2BAC7A9C-4E46-4107-A563-F3C676529686}"/>
    <cellStyle name="Normal 5 2 2 2 3 2 5" xfId="14474" xr:uid="{142D764D-14B1-4B2F-A466-665384029BAF}"/>
    <cellStyle name="Normal 5 2 2 2 3 2 5 2" xfId="34815" xr:uid="{AF5E1DFF-2394-4294-9117-42BBFD6AA861}"/>
    <cellStyle name="Normal 5 2 2 2 3 2 6" xfId="10596" xr:uid="{8DDA7FDA-3FF2-4002-B734-FB0232CFB1DC}"/>
    <cellStyle name="Normal 5 2 2 2 3 2 6 2" xfId="30939" xr:uid="{95D24525-7539-4014-8FB1-26F87B35879F}"/>
    <cellStyle name="Normal 5 2 2 2 3 2 7" xfId="27445" xr:uid="{14DF9B2E-15A4-4ABE-8AA6-0862A3B597B7}"/>
    <cellStyle name="Normal 5 2 2 2 3 3" xfId="16225" xr:uid="{270112C4-2CBC-4C78-B063-9F609CB5F412}"/>
    <cellStyle name="Normal 5 2 2 2 3 3 2" xfId="36565" xr:uid="{FD37C4C9-78ED-4494-B273-2F7EAA94CA55}"/>
    <cellStyle name="Normal 5 2 2 2 3 4" xfId="19727" xr:uid="{AF1FC320-C3F9-4709-9E95-A2D0353C7838}"/>
    <cellStyle name="Normal 5 2 2 2 3 4 2" xfId="40066" xr:uid="{C07E8BF5-DC43-4015-A9FB-A21B153AA7D0}"/>
    <cellStyle name="Normal 5 2 2 2 3 5" xfId="22982" xr:uid="{9E2305E0-E443-442F-A6B8-5B2EA1383013}"/>
    <cellStyle name="Normal 5 2 2 2 3 5 2" xfId="43317" xr:uid="{9A6A1B84-A9CB-464F-B6AB-CA2ECB97C810}"/>
    <cellStyle name="Normal 5 2 2 2 3 6" xfId="13316" xr:uid="{E5FE241F-A024-4FDB-B654-09FEFCFCC6BA}"/>
    <cellStyle name="Normal 5 2 2 2 3 6 2" xfId="33657" xr:uid="{7F330943-A37B-41C9-9F5F-624F935EA5C1}"/>
    <cellStyle name="Normal 5 2 2 2 3 7" xfId="9438" xr:uid="{31B49B0B-F242-4153-ADFF-79061ABC00EA}"/>
    <cellStyle name="Normal 5 2 2 2 3 7 2" xfId="29781" xr:uid="{6D6C165C-4E50-4268-A0BC-8B17E9CACC5E}"/>
    <cellStyle name="Normal 5 2 2 2 3 8" xfId="26287" xr:uid="{928E4757-0585-4450-8225-6C00EABAFDA9}"/>
    <cellStyle name="Normal 5 2 2 2 3 9" xfId="46158" xr:uid="{D903BC7F-2C88-404A-B152-4944CD7873AF}"/>
    <cellStyle name="Normal 5 2 2 2 4" xfId="6516" xr:uid="{E5195B1C-D5C9-4F01-B8FE-72DA2061826C}"/>
    <cellStyle name="Normal 5 2 2 2 4 2" xfId="16802" xr:uid="{AA4A832C-F4BE-4780-9A0B-C6615BF54985}"/>
    <cellStyle name="Normal 5 2 2 2 4 2 2" xfId="37142" xr:uid="{03F9ADD9-8DE4-4034-83DA-95A76C894B25}"/>
    <cellStyle name="Normal 5 2 2 2 4 3" xfId="20304" xr:uid="{5025DF77-90C9-49E9-B210-17733DE2B47F}"/>
    <cellStyle name="Normal 5 2 2 2 4 3 2" xfId="40643" xr:uid="{9AEED4FF-7548-43B7-87D4-F9097E26EAEB}"/>
    <cellStyle name="Normal 5 2 2 2 4 4" xfId="23559" xr:uid="{F34FCC8E-EF67-4861-AAE1-634617DF4A4D}"/>
    <cellStyle name="Normal 5 2 2 2 4 4 2" xfId="43894" xr:uid="{036CF27B-0CB7-4CEA-9BFE-B936D8DA6B3E}"/>
    <cellStyle name="Normal 5 2 2 2 4 5" xfId="13893" xr:uid="{6537651F-F2ED-410E-951B-E482B3898E38}"/>
    <cellStyle name="Normal 5 2 2 2 4 5 2" xfId="34234" xr:uid="{A8CB8269-68CA-44CD-A36D-3DE49B48219F}"/>
    <cellStyle name="Normal 5 2 2 2 4 6" xfId="10015" xr:uid="{CC47B77C-C29A-4AF3-B381-09E18BCC411D}"/>
    <cellStyle name="Normal 5 2 2 2 4 6 2" xfId="30358" xr:uid="{F694D5EC-4427-40BC-8773-6D16216895CC}"/>
    <cellStyle name="Normal 5 2 2 2 4 7" xfId="26864" xr:uid="{78BB61E7-D35E-420A-9220-C8EE8BB3FE40}"/>
    <cellStyle name="Normal 5 2 2 2 5" xfId="7680" xr:uid="{894FAC35-4EF5-47FF-850F-928C861AD320}"/>
    <cellStyle name="Normal 5 2 2 2 5 2" xfId="17965" xr:uid="{7BB28830-83CD-4FE1-AD8C-448367D09E67}"/>
    <cellStyle name="Normal 5 2 2 2 5 2 2" xfId="38305" xr:uid="{96747D33-CAF1-419D-AF29-4B298F3D86E1}"/>
    <cellStyle name="Normal 5 2 2 2 5 3" xfId="21467" xr:uid="{4CBDE05A-E444-418C-BA15-E39603299ED8}"/>
    <cellStyle name="Normal 5 2 2 2 5 3 2" xfId="41806" xr:uid="{3F13BAED-BE30-4474-8268-3CD7EEC3851F}"/>
    <cellStyle name="Normal 5 2 2 2 5 4" xfId="24722" xr:uid="{4D5C0C97-2961-4E27-8C3F-778C709AFC82}"/>
    <cellStyle name="Normal 5 2 2 2 5 4 2" xfId="45057" xr:uid="{09589208-1141-4D04-8EA2-5B47700E3155}"/>
    <cellStyle name="Normal 5 2 2 2 5 5" xfId="15057" xr:uid="{0BD76903-12AC-442A-B47B-3D720738B02E}"/>
    <cellStyle name="Normal 5 2 2 2 5 5 2" xfId="35397" xr:uid="{623A6D12-8DDF-452F-AD43-013317F3FEC9}"/>
    <cellStyle name="Normal 5 2 2 2 5 6" xfId="11178" xr:uid="{4DC1C8D2-E01F-43DE-B8ED-4898E5422831}"/>
    <cellStyle name="Normal 5 2 2 2 5 6 2" xfId="31521" xr:uid="{91D04013-6D07-46D6-9B1C-CD8C23BC59EF}"/>
    <cellStyle name="Normal 5 2 2 2 5 7" xfId="28027" xr:uid="{44BB9A5D-0F6C-4719-82E0-286B38C68851}"/>
    <cellStyle name="Normal 5 2 2 2 6" xfId="8109" xr:uid="{D9F4CBB8-8106-4CE6-ABCC-B94E4D24D690}"/>
    <cellStyle name="Normal 5 2 2 2 6 2" xfId="21896" xr:uid="{95B007F7-E49F-486E-9325-BE0A7D4C893E}"/>
    <cellStyle name="Normal 5 2 2 2 6 2 2" xfId="42232" xr:uid="{EAC9C54C-03D7-4D56-85E4-E97D59125583}"/>
    <cellStyle name="Normal 5 2 2 2 6 3" xfId="25148" xr:uid="{3D11463B-7A3C-4A4B-95AA-8C231999094A}"/>
    <cellStyle name="Normal 5 2 2 2 6 3 2" xfId="45483" xr:uid="{33764DB2-9F59-487C-AE1B-C75E5AC9ECC1}"/>
    <cellStyle name="Normal 5 2 2 2 6 4" xfId="12747" xr:uid="{7C6FE2AA-73E1-423C-864A-BAABAAD16A71}"/>
    <cellStyle name="Normal 5 2 2 2 6 4 2" xfId="33088" xr:uid="{E87E2D4C-51F9-4504-9A87-E6CF0E9D3C72}"/>
    <cellStyle name="Normal 5 2 2 2 6 5" xfId="11605" xr:uid="{2BB60440-0F3B-4723-9685-B334A5A2AB49}"/>
    <cellStyle name="Normal 5 2 2 2 6 5 2" xfId="31947" xr:uid="{B0F4107E-B702-47C8-A36A-0E18C4489853}"/>
    <cellStyle name="Normal 5 2 2 2 6 6" xfId="28453" xr:uid="{2F99BFEE-128C-4C04-9BCE-400844A8D3A5}"/>
    <cellStyle name="Normal 5 2 2 2 7" xfId="8540" xr:uid="{D8B224E9-E649-4E9D-AA54-22E3D4553A52}"/>
    <cellStyle name="Normal 5 2 2 2 7 2" xfId="15644" xr:uid="{D85A545D-4063-44B1-9C7F-E9920F07BD77}"/>
    <cellStyle name="Normal 5 2 2 2 7 2 2" xfId="35984" xr:uid="{0E3EC2E7-6D77-4177-A529-6356DFB77F42}"/>
    <cellStyle name="Normal 5 2 2 2 7 3" xfId="28883" xr:uid="{F315FB22-5E8A-4D4A-8AEE-ABD180DD07E0}"/>
    <cellStyle name="Normal 5 2 2 2 8" xfId="18558" xr:uid="{A90A0E52-D11E-4B25-84EF-0D1645947270}"/>
    <cellStyle name="Normal 5 2 2 2 8 2" xfId="38898" xr:uid="{55F5AAAE-9E53-401E-9E4E-2DCFF32EE9FB}"/>
    <cellStyle name="Normal 5 2 2 2 9" xfId="19146" xr:uid="{E09FBB5B-8EFA-4673-BA32-695DED5385FB}"/>
    <cellStyle name="Normal 5 2 2 2 9 2" xfId="39485" xr:uid="{18D40F05-2D3E-456E-82AB-1E591C4D500B}"/>
    <cellStyle name="Normal 5 2 2 20" xfId="46833" xr:uid="{C2E23B95-B084-4ECA-970F-6EEFBCA8148D}"/>
    <cellStyle name="Normal 5 2 2 3" xfId="5053" xr:uid="{E8AE4928-ABF2-4862-AB59-56C6238660F4}"/>
    <cellStyle name="Normal 5 2 2 3 10" xfId="12214" xr:uid="{4C30E9EE-64B7-4340-832F-02DFCD8AECCA}"/>
    <cellStyle name="Normal 5 2 2 3 10 2" xfId="32555" xr:uid="{0176BE7C-529F-4D00-8130-7729E8CF445D}"/>
    <cellStyle name="Normal 5 2 2 3 11" xfId="8953" xr:uid="{013E6F01-ECF4-47D3-A627-58A6C068BF24}"/>
    <cellStyle name="Normal 5 2 2 3 11 2" xfId="29296" xr:uid="{38A74677-44FF-4C0C-9A7F-4C3E6C16BBF7}"/>
    <cellStyle name="Normal 5 2 2 3 12" xfId="25802" xr:uid="{F30A1CCE-8C97-4736-A0B6-CD0D3E03630E}"/>
    <cellStyle name="Normal 5 2 2 3 13" xfId="45935" xr:uid="{A24CAD06-8A8B-4DE9-8C83-DADA95D3A324}"/>
    <cellStyle name="Normal 5 2 2 3 14" xfId="46421" xr:uid="{D5347ADB-6C93-45C9-BEA3-27136FBFC71A}"/>
    <cellStyle name="Normal 5 2 2 3 15" xfId="46913" xr:uid="{BA1971F8-1FAC-4D4B-A3D5-54C33999D4E5}"/>
    <cellStyle name="Normal 5 2 2 3 2" xfId="6035" xr:uid="{7C7D9B94-D9AD-4B2F-8027-87BC9030D62D}"/>
    <cellStyle name="Normal 5 2 2 3 2 10" xfId="46664" xr:uid="{F263C2F6-4E99-4E70-8B15-88D3F5CB2200}"/>
    <cellStyle name="Normal 5 2 2 3 2 11" xfId="47156" xr:uid="{EA65D6C8-1568-4F32-B4B1-448A270DE997}"/>
    <cellStyle name="Normal 5 2 2 3 2 2" xfId="7193" xr:uid="{6FC6BDC4-D70B-44AF-BBC8-80CB25BB72E2}"/>
    <cellStyle name="Normal 5 2 2 3 2 2 2" xfId="17479" xr:uid="{157D4B01-07DD-427B-8C0B-47DB78F29EDD}"/>
    <cellStyle name="Normal 5 2 2 3 2 2 2 2" xfId="37819" xr:uid="{164F9B8F-5CEF-49D7-9370-223FDB08DBF8}"/>
    <cellStyle name="Normal 5 2 2 3 2 2 3" xfId="20981" xr:uid="{C5B38522-8E21-49C5-9D9B-1D3A1AAF2DBF}"/>
    <cellStyle name="Normal 5 2 2 3 2 2 3 2" xfId="41320" xr:uid="{9589671F-05BB-4755-8C48-54B84DC3ED81}"/>
    <cellStyle name="Normal 5 2 2 3 2 2 4" xfId="24236" xr:uid="{7AC38310-1678-42C3-8277-7B64AF3C73EB}"/>
    <cellStyle name="Normal 5 2 2 3 2 2 4 2" xfId="44571" xr:uid="{028747EC-DB4A-4DD9-A5EF-ED2C8750E957}"/>
    <cellStyle name="Normal 5 2 2 3 2 2 5" xfId="14570" xr:uid="{0343D7A5-6743-4523-86A6-6E55F68FC2D2}"/>
    <cellStyle name="Normal 5 2 2 3 2 2 5 2" xfId="34911" xr:uid="{EA0F508E-1325-4C6E-9BE4-0D27CED2F9CC}"/>
    <cellStyle name="Normal 5 2 2 3 2 2 6" xfId="10692" xr:uid="{8B41E81E-040A-4E89-9B48-0A934DE256EE}"/>
    <cellStyle name="Normal 5 2 2 3 2 2 6 2" xfId="31035" xr:uid="{DCFA2E3B-F057-409D-A98A-C66BA7182700}"/>
    <cellStyle name="Normal 5 2 2 3 2 2 7" xfId="27541" xr:uid="{BA7933B7-DBE4-489F-86C8-2734953B6515}"/>
    <cellStyle name="Normal 5 2 2 3 2 3" xfId="16321" xr:uid="{1B71C0CF-1D6C-44E4-B1BD-FFADDA2F6C94}"/>
    <cellStyle name="Normal 5 2 2 3 2 3 2" xfId="36661" xr:uid="{1070299E-5B66-4E85-9EC5-F43D7291868A}"/>
    <cellStyle name="Normal 5 2 2 3 2 4" xfId="19823" xr:uid="{DE8A0C2B-483E-47FF-B608-CE64E0691423}"/>
    <cellStyle name="Normal 5 2 2 3 2 4 2" xfId="40162" xr:uid="{C20DB74D-FB44-482E-9A38-7A704A0DD4E5}"/>
    <cellStyle name="Normal 5 2 2 3 2 5" xfId="23078" xr:uid="{BF716C75-0174-4C81-A7BC-04543B2441C0}"/>
    <cellStyle name="Normal 5 2 2 3 2 5 2" xfId="43413" xr:uid="{B88124A3-19FD-41F7-AA56-399DBA342754}"/>
    <cellStyle name="Normal 5 2 2 3 2 6" xfId="13412" xr:uid="{2BB3BCC4-2798-413B-A517-F676370CD73B}"/>
    <cellStyle name="Normal 5 2 2 3 2 6 2" xfId="33753" xr:uid="{8AEFE264-5AE7-4CD1-B688-32D05C41B901}"/>
    <cellStyle name="Normal 5 2 2 3 2 7" xfId="9534" xr:uid="{F5D824BB-5997-462E-93B8-1795219FFE91}"/>
    <cellStyle name="Normal 5 2 2 3 2 7 2" xfId="29877" xr:uid="{ADA2B868-B483-463D-909E-310C4E29AAD6}"/>
    <cellStyle name="Normal 5 2 2 3 2 8" xfId="26383" xr:uid="{55A98698-F446-4DDF-AA9B-FF9D944E872C}"/>
    <cellStyle name="Normal 5 2 2 3 2 9" xfId="46178" xr:uid="{E0604040-75F1-495D-ACED-399C0790EA21}"/>
    <cellStyle name="Normal 5 2 2 3 3" xfId="6612" xr:uid="{5B5DA1F4-653B-400E-8013-4998B6805F9C}"/>
    <cellStyle name="Normal 5 2 2 3 3 2" xfId="16898" xr:uid="{D63FC4A7-9F00-4858-A3E8-0E36156A5F34}"/>
    <cellStyle name="Normal 5 2 2 3 3 2 2" xfId="37238" xr:uid="{1005DD93-A935-4AE6-96EF-52152218E78A}"/>
    <cellStyle name="Normal 5 2 2 3 3 3" xfId="20400" xr:uid="{F8058CA8-40C5-4818-9D8E-F57A8D3F8A2E}"/>
    <cellStyle name="Normal 5 2 2 3 3 3 2" xfId="40739" xr:uid="{A6804298-D330-4593-9107-6701CF0576DD}"/>
    <cellStyle name="Normal 5 2 2 3 3 4" xfId="23655" xr:uid="{86C9D96F-C5F1-43C4-B0DB-DF39C4708D01}"/>
    <cellStyle name="Normal 5 2 2 3 3 4 2" xfId="43990" xr:uid="{CFAB4695-5817-4045-B445-B82C8434BCD0}"/>
    <cellStyle name="Normal 5 2 2 3 3 5" xfId="13989" xr:uid="{31BF9062-60C6-433B-9221-9308BD48DDD4}"/>
    <cellStyle name="Normal 5 2 2 3 3 5 2" xfId="34330" xr:uid="{F88BFD17-ACCD-4624-AEA8-EF81968E4462}"/>
    <cellStyle name="Normal 5 2 2 3 3 6" xfId="10111" xr:uid="{47E09A6D-2AFD-4765-8CBB-9F93D2C34301}"/>
    <cellStyle name="Normal 5 2 2 3 3 6 2" xfId="30454" xr:uid="{18575B68-34A7-497C-9624-7DA4E380AC7C}"/>
    <cellStyle name="Normal 5 2 2 3 3 7" xfId="26960" xr:uid="{729CE1EA-6707-4FE5-AF96-E15BB5E97DFC}"/>
    <cellStyle name="Normal 5 2 2 3 4" xfId="7776" xr:uid="{CBCE9049-5DBC-4BF3-9E1C-F7443FFB32F7}"/>
    <cellStyle name="Normal 5 2 2 3 4 2" xfId="18061" xr:uid="{4F734127-11C0-4F19-8A31-DFF3228F3FD7}"/>
    <cellStyle name="Normal 5 2 2 3 4 2 2" xfId="38401" xr:uid="{269D9D8A-EEE8-4142-97AD-3C420E8095F3}"/>
    <cellStyle name="Normal 5 2 2 3 4 3" xfId="21563" xr:uid="{C88CCFB0-7685-4F44-A727-DC1CE6A6FD4E}"/>
    <cellStyle name="Normal 5 2 2 3 4 3 2" xfId="41902" xr:uid="{4DBD8475-0D75-4E3F-94EE-D577F76EF234}"/>
    <cellStyle name="Normal 5 2 2 3 4 4" xfId="24818" xr:uid="{F6C6DB08-15B8-4630-9D86-81212DCC1354}"/>
    <cellStyle name="Normal 5 2 2 3 4 4 2" xfId="45153" xr:uid="{5B297E59-CA6C-4FDD-8C01-8777FAFC14B0}"/>
    <cellStyle name="Normal 5 2 2 3 4 5" xfId="15153" xr:uid="{329940F8-BD09-4935-82A9-6312C529AAE9}"/>
    <cellStyle name="Normal 5 2 2 3 4 5 2" xfId="35493" xr:uid="{75E7387F-8E3D-4BF4-B8B9-C7E5E7FC7739}"/>
    <cellStyle name="Normal 5 2 2 3 4 6" xfId="11274" xr:uid="{0529E45F-A592-40FC-A01D-4EE6E1164A79}"/>
    <cellStyle name="Normal 5 2 2 3 4 6 2" xfId="31617" xr:uid="{277E774A-971F-4C1D-9174-D5674F33A5AB}"/>
    <cellStyle name="Normal 5 2 2 3 4 7" xfId="28123" xr:uid="{4CB45E03-ADC3-4C14-A3C7-8C87D2184F24}"/>
    <cellStyle name="Normal 5 2 2 3 5" xfId="8111" xr:uid="{A5BF3C3B-408C-4234-B900-0F656F4A9978}"/>
    <cellStyle name="Normal 5 2 2 3 5 2" xfId="21898" xr:uid="{578CE53F-FB19-4B37-8C4A-F9CC633A6A25}"/>
    <cellStyle name="Normal 5 2 2 3 5 2 2" xfId="42234" xr:uid="{9276EAD0-7F22-4A9A-A151-6F95069C1AEF}"/>
    <cellStyle name="Normal 5 2 2 3 5 3" xfId="25150" xr:uid="{62732814-F3B9-4D62-952A-4BCB177B6C43}"/>
    <cellStyle name="Normal 5 2 2 3 5 3 2" xfId="45485" xr:uid="{7D3169A5-2763-486D-B244-4704A8A4D17E}"/>
    <cellStyle name="Normal 5 2 2 3 5 4" xfId="12843" xr:uid="{DFC212E6-4A58-4C56-B806-BFED1D7704FF}"/>
    <cellStyle name="Normal 5 2 2 3 5 4 2" xfId="33184" xr:uid="{22ED331B-258B-45C3-A713-5D6F2F578F60}"/>
    <cellStyle name="Normal 5 2 2 3 5 5" xfId="11607" xr:uid="{07E52894-D935-4580-8252-59C57A93FADC}"/>
    <cellStyle name="Normal 5 2 2 3 5 5 2" xfId="31949" xr:uid="{ADE0D36C-770B-4AF6-886C-3600431B33B1}"/>
    <cellStyle name="Normal 5 2 2 3 5 6" xfId="28455" xr:uid="{3047B890-7775-452A-BBC1-5D10CF57A7E7}"/>
    <cellStyle name="Normal 5 2 2 3 6" xfId="8560" xr:uid="{7E9352DB-CE08-42B5-8BEE-BCEB433791FA}"/>
    <cellStyle name="Normal 5 2 2 3 6 2" xfId="15740" xr:uid="{B7B509A2-FA56-4FE1-B7CD-B14B604BF5CF}"/>
    <cellStyle name="Normal 5 2 2 3 6 2 2" xfId="36080" xr:uid="{A47092BF-436F-4FFA-B8C0-7600A832ACEE}"/>
    <cellStyle name="Normal 5 2 2 3 6 3" xfId="28903" xr:uid="{B8FFD0C6-B7DB-4516-B718-8FFC4729F8A0}"/>
    <cellStyle name="Normal 5 2 2 3 7" xfId="18654" xr:uid="{3ADCBB8B-04F9-47AA-9F86-958DC1F1423E}"/>
    <cellStyle name="Normal 5 2 2 3 7 2" xfId="38994" xr:uid="{B0C9B949-BAC4-4655-965E-1DC0BA495CE2}"/>
    <cellStyle name="Normal 5 2 2 3 8" xfId="19242" xr:uid="{44DD12AA-AC64-4B12-A011-CC23CF8FDE44}"/>
    <cellStyle name="Normal 5 2 2 3 8 2" xfId="39581" xr:uid="{5DE00D74-DAD0-4963-BC24-6C24DC2948EA}"/>
    <cellStyle name="Normal 5 2 2 3 9" xfId="22497" xr:uid="{95C7E7A6-2838-4B97-A266-4B656FFB8244}"/>
    <cellStyle name="Normal 5 2 2 3 9 2" xfId="42832" xr:uid="{15A8EF94-A6D4-44DB-8ED2-45A3660D86B0}"/>
    <cellStyle name="Normal 5 2 2 4" xfId="5521" xr:uid="{89A3ED5A-82F1-4AC7-B72A-2124A3ED5E54}"/>
    <cellStyle name="Normal 5 2 2 4 10" xfId="12272" xr:uid="{86226C60-741E-48F2-84DD-3365313C6EFD}"/>
    <cellStyle name="Normal 5 2 2 4 10 2" xfId="32613" xr:uid="{4D1587BC-AAED-404A-9B19-21AC9AEDF40F}"/>
    <cellStyle name="Normal 5 2 2 4 11" xfId="9011" xr:uid="{0BE0A998-1EF9-411B-A331-B85D4EBA2C7F}"/>
    <cellStyle name="Normal 5 2 2 4 11 2" xfId="29354" xr:uid="{03CF6B11-CB05-4C24-9887-68DBE95A60ED}"/>
    <cellStyle name="Normal 5 2 2 4 12" xfId="25860" xr:uid="{3D0424D5-52D4-4AC6-B924-3022CD3936AE}"/>
    <cellStyle name="Normal 5 2 2 4 13" xfId="46098" xr:uid="{207AE883-4E34-452B-8A04-BBA3CE7E07E5}"/>
    <cellStyle name="Normal 5 2 2 4 14" xfId="46584" xr:uid="{03A54760-CCC6-45F0-9FD3-C94FD55F26D9}"/>
    <cellStyle name="Normal 5 2 2 4 15" xfId="47076" xr:uid="{543AA529-3A38-40B4-AAE3-028D1C85B6EC}"/>
    <cellStyle name="Normal 5 2 2 4 2" xfId="6093" xr:uid="{37BB78B8-E8E5-43CF-A663-65344930D3A2}"/>
    <cellStyle name="Normal 5 2 2 4 2 2" xfId="7251" xr:uid="{2C033EB4-1747-46F1-9033-D7389BF9C71F}"/>
    <cellStyle name="Normal 5 2 2 4 2 2 2" xfId="17537" xr:uid="{09BF8068-719D-4F6B-96A6-AC64AFF35929}"/>
    <cellStyle name="Normal 5 2 2 4 2 2 2 2" xfId="37877" xr:uid="{4DF31EEC-BB61-4A21-AD72-B360B52CC082}"/>
    <cellStyle name="Normal 5 2 2 4 2 2 3" xfId="21039" xr:uid="{2821674D-6F8B-4161-B447-5D1230E20907}"/>
    <cellStyle name="Normal 5 2 2 4 2 2 3 2" xfId="41378" xr:uid="{A46D6394-BCC4-4779-B8DD-4EB40C6EFE4F}"/>
    <cellStyle name="Normal 5 2 2 4 2 2 4" xfId="24294" xr:uid="{3EEBCABC-6548-4E30-889C-5CCF10C7769D}"/>
    <cellStyle name="Normal 5 2 2 4 2 2 4 2" xfId="44629" xr:uid="{98C29175-4A45-4472-81A7-805A691BEEAD}"/>
    <cellStyle name="Normal 5 2 2 4 2 2 5" xfId="14628" xr:uid="{FF20CFD7-7D5B-4F0C-A62E-9C072F51B216}"/>
    <cellStyle name="Normal 5 2 2 4 2 2 5 2" xfId="34969" xr:uid="{A56DB552-30A0-4332-B335-82E1BB90FE50}"/>
    <cellStyle name="Normal 5 2 2 4 2 2 6" xfId="10750" xr:uid="{DF7E4E86-F14E-44DA-B418-7CD4945A58BD}"/>
    <cellStyle name="Normal 5 2 2 4 2 2 6 2" xfId="31093" xr:uid="{BDFEE19F-3009-41B7-8998-F44D2516C5B2}"/>
    <cellStyle name="Normal 5 2 2 4 2 2 7" xfId="27599" xr:uid="{CE4792DC-33EA-4932-95E7-84A12E1BB5DF}"/>
    <cellStyle name="Normal 5 2 2 4 2 3" xfId="16379" xr:uid="{63B1B350-58E8-4E26-9916-1EFDF039E5FF}"/>
    <cellStyle name="Normal 5 2 2 4 2 3 2" xfId="36719" xr:uid="{6496D2BD-61A1-4A5E-BDDA-03C3443EF1C7}"/>
    <cellStyle name="Normal 5 2 2 4 2 4" xfId="19881" xr:uid="{3822D99F-3612-4113-8B0D-8F870E49EFAC}"/>
    <cellStyle name="Normal 5 2 2 4 2 4 2" xfId="40220" xr:uid="{397008F5-D017-4B55-84D3-5EF0CBD9F328}"/>
    <cellStyle name="Normal 5 2 2 4 2 5" xfId="23136" xr:uid="{0838DDA2-3A49-4637-A587-01EB0AE3A990}"/>
    <cellStyle name="Normal 5 2 2 4 2 5 2" xfId="43471" xr:uid="{F596451A-70B5-4264-B77E-D676A2EE7C07}"/>
    <cellStyle name="Normal 5 2 2 4 2 6" xfId="13470" xr:uid="{3CE9048E-FCC9-4A59-BCB4-511CB494F14E}"/>
    <cellStyle name="Normal 5 2 2 4 2 6 2" xfId="33811" xr:uid="{672F16F0-4BC2-40B6-8ADD-8BE83AA348EF}"/>
    <cellStyle name="Normal 5 2 2 4 2 7" xfId="9592" xr:uid="{1E07E05E-C36E-471F-9FE0-45A6EB063B2F}"/>
    <cellStyle name="Normal 5 2 2 4 2 7 2" xfId="29935" xr:uid="{1B1026DA-88D1-4B75-B6AB-D89B79BEEEBF}"/>
    <cellStyle name="Normal 5 2 2 4 2 8" xfId="26441" xr:uid="{B5FBA2FF-0670-4FB2-88B5-CF20E7007591}"/>
    <cellStyle name="Normal 5 2 2 4 3" xfId="6670" xr:uid="{8A58770D-63D2-4BE9-9A79-1EB7D76513C5}"/>
    <cellStyle name="Normal 5 2 2 4 3 2" xfId="16956" xr:uid="{A5236A2A-BC0A-4DA4-B3B6-D52EF837912A}"/>
    <cellStyle name="Normal 5 2 2 4 3 2 2" xfId="37296" xr:uid="{485CAE0D-7550-4698-834B-98A3E9E58F9E}"/>
    <cellStyle name="Normal 5 2 2 4 3 3" xfId="20458" xr:uid="{CAD91B5F-AAF6-438B-83ED-E158C9F8E1DB}"/>
    <cellStyle name="Normal 5 2 2 4 3 3 2" xfId="40797" xr:uid="{C63D2CF6-0FE5-4FF4-B2AF-625AFB3ACE35}"/>
    <cellStyle name="Normal 5 2 2 4 3 4" xfId="23713" xr:uid="{E43A6D09-BCEB-4268-AE80-71A9D5529457}"/>
    <cellStyle name="Normal 5 2 2 4 3 4 2" xfId="44048" xr:uid="{1771BA8E-20B6-4991-92F4-2E799D9B4677}"/>
    <cellStyle name="Normal 5 2 2 4 3 5" xfId="14047" xr:uid="{B8A0A145-4EE1-4F0A-80B6-2F88902F49DB}"/>
    <cellStyle name="Normal 5 2 2 4 3 5 2" xfId="34388" xr:uid="{B94B83EE-A170-44D4-9A22-0190206ED5C9}"/>
    <cellStyle name="Normal 5 2 2 4 3 6" xfId="10169" xr:uid="{04DB84B9-D875-4D25-8566-4715E516419C}"/>
    <cellStyle name="Normal 5 2 2 4 3 6 2" xfId="30512" xr:uid="{ACB4AB0D-64A2-412B-886F-61BC1DFBADC1}"/>
    <cellStyle name="Normal 5 2 2 4 3 7" xfId="27018" xr:uid="{D3D2C9A3-6215-4B3E-9256-35293C51BC93}"/>
    <cellStyle name="Normal 5 2 2 4 4" xfId="7834" xr:uid="{3339251B-56D5-4BE0-9A2C-0255FC1EAC40}"/>
    <cellStyle name="Normal 5 2 2 4 4 2" xfId="18119" xr:uid="{3E206730-3281-43A1-A2B7-89B260BD8E7A}"/>
    <cellStyle name="Normal 5 2 2 4 4 2 2" xfId="38459" xr:uid="{9A006D0B-F005-44F0-8E44-92A822E6F2CB}"/>
    <cellStyle name="Normal 5 2 2 4 4 3" xfId="21621" xr:uid="{68914AAC-C7EF-477B-A094-491239F819EF}"/>
    <cellStyle name="Normal 5 2 2 4 4 3 2" xfId="41960" xr:uid="{6AD2F5D8-1D4C-4EA0-9376-E090F20F637E}"/>
    <cellStyle name="Normal 5 2 2 4 4 4" xfId="24876" xr:uid="{803ECE61-8E2A-4C7A-87A4-09823CC0C5D8}"/>
    <cellStyle name="Normal 5 2 2 4 4 4 2" xfId="45211" xr:uid="{39422D9E-7794-4048-9B4D-60D4B3778600}"/>
    <cellStyle name="Normal 5 2 2 4 4 5" xfId="15211" xr:uid="{4CA01BE7-F77D-4889-8086-CDDCF944FE13}"/>
    <cellStyle name="Normal 5 2 2 4 4 5 2" xfId="35551" xr:uid="{D7263703-9354-42CA-B94A-13DD3CB009A5}"/>
    <cellStyle name="Normal 5 2 2 4 4 6" xfId="11332" xr:uid="{43720EDA-22E9-406D-924B-631360B146D7}"/>
    <cellStyle name="Normal 5 2 2 4 4 6 2" xfId="31675" xr:uid="{823FB49B-BFB7-4F1D-99E2-E14A22915E82}"/>
    <cellStyle name="Normal 5 2 2 4 4 7" xfId="28181" xr:uid="{F9FC6EC1-D861-4B7C-8A59-62A1F04B458E}"/>
    <cellStyle name="Normal 5 2 2 4 5" xfId="12901" xr:uid="{43883AE7-3B8F-4BD2-8E9B-7D8A581EDEE1}"/>
    <cellStyle name="Normal 5 2 2 4 5 2" xfId="33242" xr:uid="{B4429443-C818-4F61-B8AB-F8F98F5D4760}"/>
    <cellStyle name="Normal 5 2 2 4 6" xfId="15798" xr:uid="{032086AB-4D23-4886-BC4F-D3B06F25C5A4}"/>
    <cellStyle name="Normal 5 2 2 4 6 2" xfId="36138" xr:uid="{B23396F6-B069-4C76-A11E-A38890688842}"/>
    <cellStyle name="Normal 5 2 2 4 7" xfId="18712" xr:uid="{AB1E65D2-A3C9-47DB-A363-4F23C0ECDD31}"/>
    <cellStyle name="Normal 5 2 2 4 7 2" xfId="39052" xr:uid="{1A2C52BC-8392-453F-87DA-2E1999BECD59}"/>
    <cellStyle name="Normal 5 2 2 4 8" xfId="19300" xr:uid="{E5B70AED-83AD-4E73-AA40-0499C26B7636}"/>
    <cellStyle name="Normal 5 2 2 4 8 2" xfId="39639" xr:uid="{2E6B1C62-ECA4-4AFB-8F0D-7B445489FD35}"/>
    <cellStyle name="Normal 5 2 2 4 9" xfId="22555" xr:uid="{0249C633-3482-40A0-87D0-2C6A69A95763}"/>
    <cellStyle name="Normal 5 2 2 4 9 2" xfId="42890" xr:uid="{DC4E6648-4C21-47BB-A634-9091D4F58C8A}"/>
    <cellStyle name="Normal 5 2 2 5" xfId="5596" xr:uid="{34E144AB-1911-4CF0-9A78-80E0F0DF7CEB}"/>
    <cellStyle name="Normal 5 2 2 5 10" xfId="12347" xr:uid="{BB1A6897-8A4D-4C54-B135-B13452DAAA44}"/>
    <cellStyle name="Normal 5 2 2 5 10 2" xfId="32688" xr:uid="{160684CF-C31A-42C5-93A5-6EAB10B9ACF3}"/>
    <cellStyle name="Normal 5 2 2 5 11" xfId="9086" xr:uid="{A5530297-4719-47A8-9845-8491EBF3BF58}"/>
    <cellStyle name="Normal 5 2 2 5 11 2" xfId="29429" xr:uid="{4F5DD97E-29E6-4BD0-87D2-07DA27DF1339}"/>
    <cellStyle name="Normal 5 2 2 5 12" xfId="25935" xr:uid="{361948EB-4B9D-4708-981A-36CF200FCD45}"/>
    <cellStyle name="Normal 5 2 2 5 2" xfId="6168" xr:uid="{04A3C47A-A14D-4177-B409-912F0697E96B}"/>
    <cellStyle name="Normal 5 2 2 5 2 2" xfId="7326" xr:uid="{12EB1A6F-506F-416E-8BED-0A220F363380}"/>
    <cellStyle name="Normal 5 2 2 5 2 2 2" xfId="17612" xr:uid="{D5393DC3-592F-4EBA-822F-3E6DAD399D0A}"/>
    <cellStyle name="Normal 5 2 2 5 2 2 2 2" xfId="37952" xr:uid="{9977387C-81E2-4FD2-BD48-3560580272ED}"/>
    <cellStyle name="Normal 5 2 2 5 2 2 3" xfId="21114" xr:uid="{AEEC896E-5CA1-430C-B07B-8718AB47FA75}"/>
    <cellStyle name="Normal 5 2 2 5 2 2 3 2" xfId="41453" xr:uid="{720EDFC9-1164-42CA-90C2-B3F09F3573C9}"/>
    <cellStyle name="Normal 5 2 2 5 2 2 4" xfId="24369" xr:uid="{D6090E86-1F41-4CE1-9838-E934D5D4FE46}"/>
    <cellStyle name="Normal 5 2 2 5 2 2 4 2" xfId="44704" xr:uid="{F72FEF13-0CF8-4070-BF1C-45F682193E0D}"/>
    <cellStyle name="Normal 5 2 2 5 2 2 5" xfId="14703" xr:uid="{7C8BD1E9-6E7A-466F-859B-652481815305}"/>
    <cellStyle name="Normal 5 2 2 5 2 2 5 2" xfId="35044" xr:uid="{46E5FE13-9DB9-4AC4-98EC-B745E93CB28A}"/>
    <cellStyle name="Normal 5 2 2 5 2 2 6" xfId="10825" xr:uid="{2564989F-ECBA-4A2A-916A-B609771C661C}"/>
    <cellStyle name="Normal 5 2 2 5 2 2 6 2" xfId="31168" xr:uid="{D718EAB8-4105-445D-81EB-274FE19CBE81}"/>
    <cellStyle name="Normal 5 2 2 5 2 2 7" xfId="27674" xr:uid="{C71EE71C-6CB5-484D-93C3-B86AA039301B}"/>
    <cellStyle name="Normal 5 2 2 5 2 3" xfId="16454" xr:uid="{BB934302-2EB5-4B52-8E4F-EBB505F40081}"/>
    <cellStyle name="Normal 5 2 2 5 2 3 2" xfId="36794" xr:uid="{2F173226-7272-4D21-93B9-8E65EB55A4F9}"/>
    <cellStyle name="Normal 5 2 2 5 2 4" xfId="19956" xr:uid="{1EC8283D-0E62-43B1-BF13-23B64322C2DA}"/>
    <cellStyle name="Normal 5 2 2 5 2 4 2" xfId="40295" xr:uid="{54E5EC70-5B73-41ED-B3E5-221F748D4E4B}"/>
    <cellStyle name="Normal 5 2 2 5 2 5" xfId="23211" xr:uid="{0DE75D23-B067-4098-86F5-C9D4997CE40E}"/>
    <cellStyle name="Normal 5 2 2 5 2 5 2" xfId="43546" xr:uid="{57873EE4-C2E1-4254-B95E-AB62C1E27EB7}"/>
    <cellStyle name="Normal 5 2 2 5 2 6" xfId="13545" xr:uid="{6E32DD69-10A1-4506-A299-FEFAA42EC403}"/>
    <cellStyle name="Normal 5 2 2 5 2 6 2" xfId="33886" xr:uid="{377D25BD-1A02-485B-A82D-5BD55AA363AD}"/>
    <cellStyle name="Normal 5 2 2 5 2 7" xfId="9667" xr:uid="{10E9E4F5-A032-4C42-AE2E-20EF338D4B1F}"/>
    <cellStyle name="Normal 5 2 2 5 2 7 2" xfId="30010" xr:uid="{9451902F-BAFB-42A1-8F6E-49B82094CBA7}"/>
    <cellStyle name="Normal 5 2 2 5 2 8" xfId="26516" xr:uid="{38E000B7-B507-428A-B486-2613F0232558}"/>
    <cellStyle name="Normal 5 2 2 5 3" xfId="6745" xr:uid="{D4B3C2F2-CBAD-46DC-AD4F-457894773D5B}"/>
    <cellStyle name="Normal 5 2 2 5 3 2" xfId="17031" xr:uid="{F3CA874D-DC61-4DBD-ADA4-CDBF4E572FA1}"/>
    <cellStyle name="Normal 5 2 2 5 3 2 2" xfId="37371" xr:uid="{755E4D39-41FF-4CB8-B365-CC811DE28DBC}"/>
    <cellStyle name="Normal 5 2 2 5 3 3" xfId="20533" xr:uid="{6B55B144-868A-460C-83EA-66B1360FCBCD}"/>
    <cellStyle name="Normal 5 2 2 5 3 3 2" xfId="40872" xr:uid="{AABD459E-1536-434F-BC28-E8B1E9045841}"/>
    <cellStyle name="Normal 5 2 2 5 3 4" xfId="23788" xr:uid="{669F6D85-1302-4A78-B91A-5FDB9DC1EC04}"/>
    <cellStyle name="Normal 5 2 2 5 3 4 2" xfId="44123" xr:uid="{2E3C84D8-EF4E-4EB4-BD4D-9E75AD2A9D6F}"/>
    <cellStyle name="Normal 5 2 2 5 3 5" xfId="14122" xr:uid="{B8B23544-89A2-4755-917F-939CC1816732}"/>
    <cellStyle name="Normal 5 2 2 5 3 5 2" xfId="34463" xr:uid="{76A07C64-32C0-4E45-B775-F66686DEF008}"/>
    <cellStyle name="Normal 5 2 2 5 3 6" xfId="10244" xr:uid="{57CC5FCF-BD0F-4C2C-B9E0-8E82E5882990}"/>
    <cellStyle name="Normal 5 2 2 5 3 6 2" xfId="30587" xr:uid="{78CEC8AD-FF47-4177-857F-FA1497985D79}"/>
    <cellStyle name="Normal 5 2 2 5 3 7" xfId="27093" xr:uid="{94986E7B-B5FA-4AE4-9E77-9576D87F02CD}"/>
    <cellStyle name="Normal 5 2 2 5 4" xfId="7909" xr:uid="{B58D8C25-9A88-46CE-9B45-9FC17C60CD2B}"/>
    <cellStyle name="Normal 5 2 2 5 4 2" xfId="18194" xr:uid="{6C4A5806-7F73-4C28-9B73-BA634327458A}"/>
    <cellStyle name="Normal 5 2 2 5 4 2 2" xfId="38534" xr:uid="{4AA7194E-9BDD-4DA2-9298-B7E600ADD0DC}"/>
    <cellStyle name="Normal 5 2 2 5 4 3" xfId="21696" xr:uid="{8036A6EF-3DE1-4DD0-8EF3-124E23C16576}"/>
    <cellStyle name="Normal 5 2 2 5 4 3 2" xfId="42035" xr:uid="{9B8D4037-AC5A-499C-A7A7-FAEEB8D93113}"/>
    <cellStyle name="Normal 5 2 2 5 4 4" xfId="24951" xr:uid="{47E7D08C-EAC9-4B75-9129-BC4FB50F6AA0}"/>
    <cellStyle name="Normal 5 2 2 5 4 4 2" xfId="45286" xr:uid="{DEB2ACE8-95CA-4B0C-950F-589498B188EE}"/>
    <cellStyle name="Normal 5 2 2 5 4 5" xfId="15286" xr:uid="{E96A8440-84F2-4237-82B2-3996240179BC}"/>
    <cellStyle name="Normal 5 2 2 5 4 5 2" xfId="35626" xr:uid="{A7E0C67E-C942-4F7A-AB7A-34B4D0B91236}"/>
    <cellStyle name="Normal 5 2 2 5 4 6" xfId="11407" xr:uid="{690A401F-62A3-47BA-B3A6-920E733DDD75}"/>
    <cellStyle name="Normal 5 2 2 5 4 6 2" xfId="31750" xr:uid="{F3FE6A74-09FC-4B06-AF19-A4FD32D5ED8F}"/>
    <cellStyle name="Normal 5 2 2 5 4 7" xfId="28256" xr:uid="{6E0842A0-E25E-4B2C-AAC9-5A96865893F2}"/>
    <cellStyle name="Normal 5 2 2 5 5" xfId="12976" xr:uid="{A80305BF-396C-4FCD-9C26-EA492150B70B}"/>
    <cellStyle name="Normal 5 2 2 5 5 2" xfId="33317" xr:uid="{E3D19D12-002B-4D0C-86D8-F8C31F9B0417}"/>
    <cellStyle name="Normal 5 2 2 5 6" xfId="15873" xr:uid="{83A973BF-D2B3-4062-9331-6C00CCC43001}"/>
    <cellStyle name="Normal 5 2 2 5 6 2" xfId="36213" xr:uid="{F8CDD2A6-4B20-485F-B011-1894784B4D17}"/>
    <cellStyle name="Normal 5 2 2 5 7" xfId="18787" xr:uid="{4EB8DBDF-3F58-436A-9DAA-9A005EB8BFF5}"/>
    <cellStyle name="Normal 5 2 2 5 7 2" xfId="39127" xr:uid="{4EE29FA1-ED29-48C8-9232-E394EE80C91C}"/>
    <cellStyle name="Normal 5 2 2 5 8" xfId="19375" xr:uid="{25F85A7C-923F-4239-956C-33D912712CD3}"/>
    <cellStyle name="Normal 5 2 2 5 8 2" xfId="39714" xr:uid="{EF899D10-9A4D-4C49-91E9-DF49B247B6D9}"/>
    <cellStyle name="Normal 5 2 2 5 9" xfId="22630" xr:uid="{6042833B-574D-42ED-BB98-B8B86A850F85}"/>
    <cellStyle name="Normal 5 2 2 5 9 2" xfId="42965" xr:uid="{3BC290CD-325F-448F-9331-F84A628A4F3D}"/>
    <cellStyle name="Normal 5 2 2 6" xfId="5694" xr:uid="{658F0B84-D319-4A99-9FFB-5EC1918330A1}"/>
    <cellStyle name="Normal 5 2 2 6 10" xfId="12445" xr:uid="{619C7FBE-3A50-41A3-AC9D-1905C6EE8C82}"/>
    <cellStyle name="Normal 5 2 2 6 10 2" xfId="32786" xr:uid="{7A9758CD-C1B4-4789-9891-4CD6131E9A0D}"/>
    <cellStyle name="Normal 5 2 2 6 11" xfId="9184" xr:uid="{450E7433-976D-4073-A877-50F2470A17B1}"/>
    <cellStyle name="Normal 5 2 2 6 11 2" xfId="29527" xr:uid="{C733205A-3E86-4A17-8126-C16D344270A9}"/>
    <cellStyle name="Normal 5 2 2 6 12" xfId="26033" xr:uid="{0A758CB2-A1B2-4401-9AE9-D4D3450440BA}"/>
    <cellStyle name="Normal 5 2 2 6 2" xfId="6266" xr:uid="{802B2F8A-1D97-4CBA-811F-0648002CEA43}"/>
    <cellStyle name="Normal 5 2 2 6 2 2" xfId="7424" xr:uid="{0DC9565D-E52F-4548-9607-FEC5B62ED42E}"/>
    <cellStyle name="Normal 5 2 2 6 2 2 2" xfId="17710" xr:uid="{6773B637-C83A-4301-8644-B9306E450172}"/>
    <cellStyle name="Normal 5 2 2 6 2 2 2 2" xfId="38050" xr:uid="{2FBB9D31-9F64-46A9-9721-2FAE2097C8DA}"/>
    <cellStyle name="Normal 5 2 2 6 2 2 3" xfId="21212" xr:uid="{84E91414-2873-406E-9E6C-9131A61E2AC8}"/>
    <cellStyle name="Normal 5 2 2 6 2 2 3 2" xfId="41551" xr:uid="{1DD90F3A-E1DD-4847-BDCB-5CB88C6C782D}"/>
    <cellStyle name="Normal 5 2 2 6 2 2 4" xfId="24467" xr:uid="{D42A222C-8EF7-43C2-883E-0B39CCF7E5F5}"/>
    <cellStyle name="Normal 5 2 2 6 2 2 4 2" xfId="44802" xr:uid="{5F73F037-D746-429C-8021-5AD97C8EA051}"/>
    <cellStyle name="Normal 5 2 2 6 2 2 5" xfId="14801" xr:uid="{89896CD8-15DB-4912-982A-8BFF054C3220}"/>
    <cellStyle name="Normal 5 2 2 6 2 2 5 2" xfId="35142" xr:uid="{D2C522E7-9ADD-4EFF-AAEA-03BE7ECA3D11}"/>
    <cellStyle name="Normal 5 2 2 6 2 2 6" xfId="10923" xr:uid="{37A0BA1F-ECA5-433D-A5AE-F47399CD1696}"/>
    <cellStyle name="Normal 5 2 2 6 2 2 6 2" xfId="31266" xr:uid="{3BAF0051-585C-4016-985A-A10FCE10402D}"/>
    <cellStyle name="Normal 5 2 2 6 2 2 7" xfId="27772" xr:uid="{C10B6FD4-76E1-40BA-9956-EB39B1D3AC45}"/>
    <cellStyle name="Normal 5 2 2 6 2 3" xfId="16552" xr:uid="{6F62B2A6-F8F9-4659-B37F-393C04A9F063}"/>
    <cellStyle name="Normal 5 2 2 6 2 3 2" xfId="36892" xr:uid="{AD294176-3EDA-44A0-BFC1-02A0F233A32E}"/>
    <cellStyle name="Normal 5 2 2 6 2 4" xfId="20054" xr:uid="{878EE806-4E76-4304-9811-463AF8212AEF}"/>
    <cellStyle name="Normal 5 2 2 6 2 4 2" xfId="40393" xr:uid="{8A5146BE-6FD6-4551-8948-ACBDB10F3A5A}"/>
    <cellStyle name="Normal 5 2 2 6 2 5" xfId="23309" xr:uid="{1198A302-0380-4188-AD2D-B4E58A9029AC}"/>
    <cellStyle name="Normal 5 2 2 6 2 5 2" xfId="43644" xr:uid="{E94B16F0-D992-4C75-9362-39D7B7F76E37}"/>
    <cellStyle name="Normal 5 2 2 6 2 6" xfId="13643" xr:uid="{0AA3FAE6-B4F5-4FCC-BE22-07432D0C08DF}"/>
    <cellStyle name="Normal 5 2 2 6 2 6 2" xfId="33984" xr:uid="{78FE7669-CAD5-4D97-BAEB-5B9AE5CADA91}"/>
    <cellStyle name="Normal 5 2 2 6 2 7" xfId="9765" xr:uid="{CA9B83FA-AD74-408C-AF43-18C78C902EAF}"/>
    <cellStyle name="Normal 5 2 2 6 2 7 2" xfId="30108" xr:uid="{1D0004A7-1A43-4789-A035-34DC1A21DC7C}"/>
    <cellStyle name="Normal 5 2 2 6 2 8" xfId="26614" xr:uid="{8C4B84FA-675B-4B3E-9DBC-9DD75076D277}"/>
    <cellStyle name="Normal 5 2 2 6 3" xfId="6843" xr:uid="{2B103BA2-D896-4346-A694-25F88AE7823B}"/>
    <cellStyle name="Normal 5 2 2 6 3 2" xfId="17129" xr:uid="{4162EC81-D1C0-4807-94A1-13C73604AF14}"/>
    <cellStyle name="Normal 5 2 2 6 3 2 2" xfId="37469" xr:uid="{5F1DAB41-FA8F-4140-B5D3-2059DB0DD291}"/>
    <cellStyle name="Normal 5 2 2 6 3 3" xfId="20631" xr:uid="{46CD3422-D489-4AAF-A6E3-D8BD109F7976}"/>
    <cellStyle name="Normal 5 2 2 6 3 3 2" xfId="40970" xr:uid="{F0148837-6544-4031-A294-A65232D7AB07}"/>
    <cellStyle name="Normal 5 2 2 6 3 4" xfId="23886" xr:uid="{C2316A8C-4904-4430-8CE0-F21251FA3C5E}"/>
    <cellStyle name="Normal 5 2 2 6 3 4 2" xfId="44221" xr:uid="{060AE640-21E3-48C5-BABE-3D6736060205}"/>
    <cellStyle name="Normal 5 2 2 6 3 5" xfId="14220" xr:uid="{D6B4D5CE-B5FA-48FD-B381-08D24ECFED6C}"/>
    <cellStyle name="Normal 5 2 2 6 3 5 2" xfId="34561" xr:uid="{788AD767-E06D-4E0E-8B51-8BF9C36F0C08}"/>
    <cellStyle name="Normal 5 2 2 6 3 6" xfId="10342" xr:uid="{0C7A3FD9-D15E-4AE5-A2C0-3CAA5DB03484}"/>
    <cellStyle name="Normal 5 2 2 6 3 6 2" xfId="30685" xr:uid="{F0280556-D87A-4E2F-A112-9A8FEF35015B}"/>
    <cellStyle name="Normal 5 2 2 6 3 7" xfId="27191" xr:uid="{73A50EC0-460F-4B0B-A7B7-1D990D5115DC}"/>
    <cellStyle name="Normal 5 2 2 6 4" xfId="8007" xr:uid="{3F825269-6489-4936-991B-1643713F4C27}"/>
    <cellStyle name="Normal 5 2 2 6 4 2" xfId="18292" xr:uid="{B48FB1BE-37CB-427D-91E9-F70D92DDF2C5}"/>
    <cellStyle name="Normal 5 2 2 6 4 2 2" xfId="38632" xr:uid="{2FE576D1-D026-47AF-A4FF-8B1306607181}"/>
    <cellStyle name="Normal 5 2 2 6 4 3" xfId="21794" xr:uid="{BE4001E5-3A28-4F44-985C-EF59DDA099E2}"/>
    <cellStyle name="Normal 5 2 2 6 4 3 2" xfId="42133" xr:uid="{DA78A522-393F-484C-89D2-9F2221F728A5}"/>
    <cellStyle name="Normal 5 2 2 6 4 4" xfId="25049" xr:uid="{2A153E70-3B42-4A88-960B-6DB84DED576F}"/>
    <cellStyle name="Normal 5 2 2 6 4 4 2" xfId="45384" xr:uid="{C1040E6E-B648-4176-A649-B6C34B822A36}"/>
    <cellStyle name="Normal 5 2 2 6 4 5" xfId="15384" xr:uid="{E64CB60E-6E4C-4FFC-B0F7-67EC11CD4EB1}"/>
    <cellStyle name="Normal 5 2 2 6 4 5 2" xfId="35724" xr:uid="{5F9A0591-1D5B-44EC-93AC-0FA3716FFAAF}"/>
    <cellStyle name="Normal 5 2 2 6 4 6" xfId="11505" xr:uid="{21FAF62C-931A-43B3-A5BF-2542D546168D}"/>
    <cellStyle name="Normal 5 2 2 6 4 6 2" xfId="31848" xr:uid="{5991F825-89C1-4195-93FD-B64AE66B863A}"/>
    <cellStyle name="Normal 5 2 2 6 4 7" xfId="28354" xr:uid="{B6125B5E-8CA4-4185-8554-47CF7A7C281C}"/>
    <cellStyle name="Normal 5 2 2 6 5" xfId="13074" xr:uid="{62858098-EBE5-4C30-A0CB-59745C5324A5}"/>
    <cellStyle name="Normal 5 2 2 6 5 2" xfId="33415" xr:uid="{160B4AA8-8D15-4DCD-9E1C-9188837D9E4D}"/>
    <cellStyle name="Normal 5 2 2 6 6" xfId="15971" xr:uid="{FF2BBF9D-C6CB-4685-B6EA-68B1B79BD246}"/>
    <cellStyle name="Normal 5 2 2 6 6 2" xfId="36311" xr:uid="{C61A07B9-1484-421D-B53E-A1AE64C3940C}"/>
    <cellStyle name="Normal 5 2 2 6 7" xfId="18885" xr:uid="{3266FB69-C84E-40E6-A3A5-2BC38F9EA6D5}"/>
    <cellStyle name="Normal 5 2 2 6 7 2" xfId="39225" xr:uid="{E0D1CCF2-23E2-4184-8A9F-8B20BD5FE165}"/>
    <cellStyle name="Normal 5 2 2 6 8" xfId="19473" xr:uid="{ADC0F558-4559-4D94-92F4-2D16ACB1392F}"/>
    <cellStyle name="Normal 5 2 2 6 8 2" xfId="39812" xr:uid="{D8F7BD70-D988-4D91-9569-E1467F358844}"/>
    <cellStyle name="Normal 5 2 2 6 9" xfId="22728" xr:uid="{C01FB4F6-21F9-40E7-A2B2-8128C84CD0B3}"/>
    <cellStyle name="Normal 5 2 2 6 9 2" xfId="43063" xr:uid="{326E8FF1-2ECD-4C8F-BA7A-0E28F406FBCA}"/>
    <cellStyle name="Normal 5 2 2 7" xfId="5824" xr:uid="{B4A5A0F4-39B9-47BA-982D-8ED76EBFCB3E}"/>
    <cellStyle name="Normal 5 2 2 7 2" xfId="6982" xr:uid="{F2792114-5483-4B26-969D-136F30DB7140}"/>
    <cellStyle name="Normal 5 2 2 7 2 2" xfId="17268" xr:uid="{D42ACF71-D14B-4E49-9E2D-0BEB99E6C604}"/>
    <cellStyle name="Normal 5 2 2 7 2 2 2" xfId="37608" xr:uid="{C260F950-887F-4584-88E8-6A515346AC03}"/>
    <cellStyle name="Normal 5 2 2 7 2 3" xfId="20770" xr:uid="{6AD87B2A-13B1-423F-B5B6-8E365290E854}"/>
    <cellStyle name="Normal 5 2 2 7 2 3 2" xfId="41109" xr:uid="{558D4B80-23A2-47A8-A6A5-D845A6A566A9}"/>
    <cellStyle name="Normal 5 2 2 7 2 4" xfId="24025" xr:uid="{EF7D2AC1-8EC7-4457-80CD-A5CC316C2A4A}"/>
    <cellStyle name="Normal 5 2 2 7 2 4 2" xfId="44360" xr:uid="{C114AF71-865C-4741-837D-DBA3AAE05A0D}"/>
    <cellStyle name="Normal 5 2 2 7 2 5" xfId="14359" xr:uid="{CEECA44F-A967-48D5-89AD-BF467A13FF72}"/>
    <cellStyle name="Normal 5 2 2 7 2 5 2" xfId="34700" xr:uid="{EDB2DD80-D19A-4FCF-8490-1743C334A748}"/>
    <cellStyle name="Normal 5 2 2 7 2 6" xfId="10481" xr:uid="{58AFD356-4877-433D-A0D5-75410504091A}"/>
    <cellStyle name="Normal 5 2 2 7 2 6 2" xfId="30824" xr:uid="{70D74DEE-5636-4017-91EB-92E2714251FA}"/>
    <cellStyle name="Normal 5 2 2 7 2 7" xfId="27330" xr:uid="{617F5FD3-7E63-4DDE-A021-2D47444BFF4A}"/>
    <cellStyle name="Normal 5 2 2 7 3" xfId="16110" xr:uid="{0DDB6AFF-6ED7-460E-8594-F20AD389BD06}"/>
    <cellStyle name="Normal 5 2 2 7 3 2" xfId="36450" xr:uid="{DC99AFAF-4765-4D8F-8203-34F499D17D1E}"/>
    <cellStyle name="Normal 5 2 2 7 4" xfId="19612" xr:uid="{801B3E98-E369-49CA-B4B5-01232783382D}"/>
    <cellStyle name="Normal 5 2 2 7 4 2" xfId="39951" xr:uid="{C3E9105F-AF4D-4DEA-B50E-C8DD8E59AEDD}"/>
    <cellStyle name="Normal 5 2 2 7 5" xfId="22867" xr:uid="{4C1C40F4-26C6-4270-B69B-198C7B6D3E47}"/>
    <cellStyle name="Normal 5 2 2 7 5 2" xfId="43202" xr:uid="{81ECAFC3-55B4-468B-8B31-22924FDFA428}"/>
    <cellStyle name="Normal 5 2 2 7 6" xfId="13204" xr:uid="{49493133-2C98-4569-A7FF-D627CCF2F678}"/>
    <cellStyle name="Normal 5 2 2 7 6 2" xfId="33545" xr:uid="{E4B6754C-337F-42A2-89DA-A72F504EEC95}"/>
    <cellStyle name="Normal 5 2 2 7 7" xfId="9323" xr:uid="{EF901F59-2039-460F-A6FD-D73484E463A5}"/>
    <cellStyle name="Normal 5 2 2 7 7 2" xfId="29666" xr:uid="{D2D52151-CE14-4EFF-89A0-E370819B41AD}"/>
    <cellStyle name="Normal 5 2 2 7 8" xfId="26172" xr:uid="{7D414F19-A2DB-4EA5-9895-AA828655EE77}"/>
    <cellStyle name="Normal 5 2 2 8" xfId="6401" xr:uid="{41ABA576-CDF2-48EA-9C33-2AA6F8045D2B}"/>
    <cellStyle name="Normal 5 2 2 8 2" xfId="16687" xr:uid="{F59C2C5E-BCC6-4886-A6A3-549EEB584B4C}"/>
    <cellStyle name="Normal 5 2 2 8 2 2" xfId="37027" xr:uid="{2EF4A59F-0C49-4220-8421-D1A6B1807DC5}"/>
    <cellStyle name="Normal 5 2 2 8 3" xfId="20189" xr:uid="{A486C843-4A03-4951-9F17-295260451622}"/>
    <cellStyle name="Normal 5 2 2 8 3 2" xfId="40528" xr:uid="{B5CB5707-B2D9-44C3-B999-C7CE5D457075}"/>
    <cellStyle name="Normal 5 2 2 8 4" xfId="23444" xr:uid="{F8781C6B-824A-41A9-9DE5-CE41A231E497}"/>
    <cellStyle name="Normal 5 2 2 8 4 2" xfId="43779" xr:uid="{8F70B15F-FA9D-4F6A-BC3F-CEE52EB7F414}"/>
    <cellStyle name="Normal 5 2 2 8 5" xfId="13778" xr:uid="{0DD2508A-3643-4A51-B86F-BC4C5D568158}"/>
    <cellStyle name="Normal 5 2 2 8 5 2" xfId="34119" xr:uid="{038DB549-42B0-4145-94DB-7347F90EEC2E}"/>
    <cellStyle name="Normal 5 2 2 8 6" xfId="9900" xr:uid="{CB952B03-9D6D-43A6-B25D-7D43376D6E73}"/>
    <cellStyle name="Normal 5 2 2 8 6 2" xfId="30243" xr:uid="{51BBE091-CAF5-477F-80F6-8702264D85E9}"/>
    <cellStyle name="Normal 5 2 2 8 7" xfId="26749" xr:uid="{E02D47A8-A50B-4AE7-B955-DB5725ACECFA}"/>
    <cellStyle name="Normal 5 2 2 9" xfId="7565" xr:uid="{6F2D369F-2287-4E85-AAE6-F4BD98FCB766}"/>
    <cellStyle name="Normal 5 2 2 9 2" xfId="17850" xr:uid="{EBED940A-5C69-4BBD-867D-78E00C49ED89}"/>
    <cellStyle name="Normal 5 2 2 9 2 2" xfId="38190" xr:uid="{BF72D882-1EA6-49B4-B47F-547C6DE3C6A7}"/>
    <cellStyle name="Normal 5 2 2 9 3" xfId="21352" xr:uid="{DC1956BA-1B4A-403B-B9B8-1CC0A22029A7}"/>
    <cellStyle name="Normal 5 2 2 9 3 2" xfId="41691" xr:uid="{2944B496-1334-4F3F-8E1D-B3FAB5F2B1E8}"/>
    <cellStyle name="Normal 5 2 2 9 4" xfId="24607" xr:uid="{ED9AB85A-C4DF-4A3C-A431-BB3E20E5C5BA}"/>
    <cellStyle name="Normal 5 2 2 9 4 2" xfId="44942" xr:uid="{B74CB1F3-FDE6-41E5-A513-36CDF6875848}"/>
    <cellStyle name="Normal 5 2 2 9 5" xfId="14942" xr:uid="{3F7B43A1-0EFC-45E5-94E0-103EA8DB0BD1}"/>
    <cellStyle name="Normal 5 2 2 9 5 2" xfId="35282" xr:uid="{63E11917-9B39-4240-9556-783E69AA71CC}"/>
    <cellStyle name="Normal 5 2 2 9 6" xfId="11063" xr:uid="{EF8128EE-B624-4DC2-BF8B-EECB5D574DE9}"/>
    <cellStyle name="Normal 5 2 2 9 6 2" xfId="31406" xr:uid="{CE017453-1511-41CA-A659-B31BD37EE879}"/>
    <cellStyle name="Normal 5 2 2 9 7" xfId="27912" xr:uid="{8CCCF6F0-9E1E-4990-AAD9-C5F00A29D2A0}"/>
    <cellStyle name="Normal 5 2 20" xfId="25530" xr:uid="{FDF3AE01-3556-4A80-A14E-C24D0D85757E}"/>
    <cellStyle name="Normal 5 2 21" xfId="45827" xr:uid="{FB718AA9-4A29-4107-BC61-E1C08B459776}"/>
    <cellStyle name="Normal 5 2 22" xfId="46313" xr:uid="{C20C259D-A410-41AD-873D-76016A3C0587}"/>
    <cellStyle name="Normal 5 2 23" xfId="46805" xr:uid="{0C483C56-973B-4398-97CB-B2DC3430581B}"/>
    <cellStyle name="Normal 5 2 3" xfId="4843" xr:uid="{2D79F612-DA7C-4752-A967-A271B61A237C}"/>
    <cellStyle name="Normal 5 2 3 10" xfId="18415" xr:uid="{0F117FC2-6DB4-49DF-B355-7E7FCDECF398}"/>
    <cellStyle name="Normal 5 2 3 10 2" xfId="38755" xr:uid="{F503A5B9-E009-4ADA-ACAF-C9476C09F702}"/>
    <cellStyle name="Normal 5 2 3 11" xfId="19003" xr:uid="{3A43AF45-F502-487B-B123-8A89F1532CB1}"/>
    <cellStyle name="Normal 5 2 3 11 2" xfId="39342" xr:uid="{F44DBF13-0B90-42CB-83EF-421763F34FB0}"/>
    <cellStyle name="Normal 5 2 3 12" xfId="22258" xr:uid="{E4F6BD43-0F58-49EB-BEA5-F99135626CA3}"/>
    <cellStyle name="Normal 5 2 3 12 2" xfId="42593" xr:uid="{EFB7CFE1-1D65-4F75-8E44-2F5713754EA4}"/>
    <cellStyle name="Normal 5 2 3 13" xfId="11975" xr:uid="{1F27CA39-7DA7-4B1B-B292-941E8A824FB6}"/>
    <cellStyle name="Normal 5 2 3 13 2" xfId="32316" xr:uid="{16BF9C50-6700-4408-8105-A0DFC5BEAE21}"/>
    <cellStyle name="Normal 5 2 3 14" xfId="8714" xr:uid="{40B260B4-AFA6-4198-96E1-34EBD330A8C9}"/>
    <cellStyle name="Normal 5 2 3 14 2" xfId="29057" xr:uid="{8C0E4A00-5C42-4005-A63B-7E348C3B3464}"/>
    <cellStyle name="Normal 5 2 3 15" xfId="25559" xr:uid="{E9E9D0BF-DEC2-4BA0-8C4A-E0B7ABDE1EC9}"/>
    <cellStyle name="Normal 5 2 3 16" xfId="45887" xr:uid="{1924566B-4FDD-4E58-A761-83FD6788EA99}"/>
    <cellStyle name="Normal 5 2 3 17" xfId="46373" xr:uid="{F21A4BB1-421F-4ED2-A500-CBBBD9D6037C}"/>
    <cellStyle name="Normal 5 2 3 18" xfId="46865" xr:uid="{C5659F6E-A725-43EC-A41D-E1AD342A0056}"/>
    <cellStyle name="Normal 5 2 3 2" xfId="5055" xr:uid="{E2A66A03-20D8-4F4A-80B6-DBDE0C235EDF}"/>
    <cellStyle name="Normal 5 2 3 2 10" xfId="12090" xr:uid="{4C04A904-BE81-489B-B3BB-21875B6DCE71}"/>
    <cellStyle name="Normal 5 2 3 2 10 2" xfId="32431" xr:uid="{B5420FFA-6056-446F-AF84-08D2FADB064E}"/>
    <cellStyle name="Normal 5 2 3 2 11" xfId="8829" xr:uid="{269AFD12-5560-4B8A-BAF7-679C42467C2C}"/>
    <cellStyle name="Normal 5 2 3 2 11 2" xfId="29172" xr:uid="{FE9FCDD1-0BE1-4FD0-A3EB-24B1B8E2B89C}"/>
    <cellStyle name="Normal 5 2 3 2 12" xfId="25678" xr:uid="{74328D84-8DC7-4589-AD46-24B92023C186}"/>
    <cellStyle name="Normal 5 2 3 2 13" xfId="45937" xr:uid="{A3B2D5A6-42D2-4325-9327-973413F0BFDE}"/>
    <cellStyle name="Normal 5 2 3 2 14" xfId="46423" xr:uid="{FF0D1CFB-EB9A-4574-BCC5-D0013BF8B579}"/>
    <cellStyle name="Normal 5 2 3 2 15" xfId="46915" xr:uid="{CFA48AF1-8027-476A-8C8F-B2CC09516384}"/>
    <cellStyle name="Normal 5 2 3 2 2" xfId="5911" xr:uid="{10FBB45B-19B8-4980-8E8E-ECB04827BF64}"/>
    <cellStyle name="Normal 5 2 3 2 2 10" xfId="46666" xr:uid="{36B8C1B3-99CB-4BBE-B006-8DD9C49C1322}"/>
    <cellStyle name="Normal 5 2 3 2 2 11" xfId="47158" xr:uid="{5C2A297D-92FA-480A-ADC4-2E751BBB6A1B}"/>
    <cellStyle name="Normal 5 2 3 2 2 2" xfId="7069" xr:uid="{FDB6328A-493B-493C-A102-B72911D38458}"/>
    <cellStyle name="Normal 5 2 3 2 2 2 2" xfId="17355" xr:uid="{6ECBAD7B-0254-4AC4-B48B-8560BA825988}"/>
    <cellStyle name="Normal 5 2 3 2 2 2 2 2" xfId="37695" xr:uid="{83E801DA-AC52-4ED0-96C5-6780C8D43DCF}"/>
    <cellStyle name="Normal 5 2 3 2 2 2 3" xfId="20857" xr:uid="{F11C18BA-DB5A-4EC8-A3E8-9C3BE9FAD603}"/>
    <cellStyle name="Normal 5 2 3 2 2 2 3 2" xfId="41196" xr:uid="{2A6033A1-1637-4D94-A4DD-43FF8A75850C}"/>
    <cellStyle name="Normal 5 2 3 2 2 2 4" xfId="24112" xr:uid="{B01380E4-C7B5-47D0-A1B6-511D3807AE8F}"/>
    <cellStyle name="Normal 5 2 3 2 2 2 4 2" xfId="44447" xr:uid="{69944F9E-1254-473F-8C1A-04E9C6CBE67B}"/>
    <cellStyle name="Normal 5 2 3 2 2 2 5" xfId="14446" xr:uid="{D1762437-C6BC-4EEA-8BEA-28049654C48F}"/>
    <cellStyle name="Normal 5 2 3 2 2 2 5 2" xfId="34787" xr:uid="{E5E479E6-2AFF-4AE7-8ED9-9172029B5CD2}"/>
    <cellStyle name="Normal 5 2 3 2 2 2 6" xfId="10568" xr:uid="{842DA9B0-1E79-442C-B965-2ABBE48740D0}"/>
    <cellStyle name="Normal 5 2 3 2 2 2 6 2" xfId="30911" xr:uid="{DDE9443F-102E-4F03-AAE8-F59CD0D4DB6A}"/>
    <cellStyle name="Normal 5 2 3 2 2 2 7" xfId="27417" xr:uid="{FD2444B2-9538-4638-B7D7-A5609982C785}"/>
    <cellStyle name="Normal 5 2 3 2 2 3" xfId="16197" xr:uid="{6D75177F-FD70-4A48-B0D4-E99C56F627DE}"/>
    <cellStyle name="Normal 5 2 3 2 2 3 2" xfId="36537" xr:uid="{2D29627B-787D-4F98-BAEF-78BF005CF4D5}"/>
    <cellStyle name="Normal 5 2 3 2 2 4" xfId="19699" xr:uid="{1FA59706-C565-4D08-9A2A-A4EB58F2B91E}"/>
    <cellStyle name="Normal 5 2 3 2 2 4 2" xfId="40038" xr:uid="{A9DF3C39-5889-44A0-88D6-7D23FC52DC31}"/>
    <cellStyle name="Normal 5 2 3 2 2 5" xfId="22954" xr:uid="{76A20A11-E7C6-4D8B-8340-21CA8A7F1DC2}"/>
    <cellStyle name="Normal 5 2 3 2 2 5 2" xfId="43289" xr:uid="{5D99FD9C-1669-4E2C-A2D4-404148D87C84}"/>
    <cellStyle name="Normal 5 2 3 2 2 6" xfId="13290" xr:uid="{80375B61-7868-4CAE-8D3F-2E3178CE4134}"/>
    <cellStyle name="Normal 5 2 3 2 2 6 2" xfId="33631" xr:uid="{A2B49068-8F8E-45D0-83E5-7E19099B7241}"/>
    <cellStyle name="Normal 5 2 3 2 2 7" xfId="9410" xr:uid="{6A67281D-AAB5-4260-A2B3-98BF3BFE2344}"/>
    <cellStyle name="Normal 5 2 3 2 2 7 2" xfId="29753" xr:uid="{7AA8515A-01F5-4552-8FA3-EBB4B5133346}"/>
    <cellStyle name="Normal 5 2 3 2 2 8" xfId="26259" xr:uid="{20213857-8ED5-4650-9F31-F7C6ACEDA570}"/>
    <cellStyle name="Normal 5 2 3 2 2 9" xfId="46180" xr:uid="{5CC9B165-3D7C-4109-89B8-DAE24DAB0C04}"/>
    <cellStyle name="Normal 5 2 3 2 3" xfId="6488" xr:uid="{3D0FA118-9B64-49F6-ADAD-8AB8BADE5EE1}"/>
    <cellStyle name="Normal 5 2 3 2 3 2" xfId="16774" xr:uid="{55CC6EC5-A91F-42A7-AB00-6F62A5FD05B5}"/>
    <cellStyle name="Normal 5 2 3 2 3 2 2" xfId="37114" xr:uid="{A84724EB-9DB1-45EC-BF87-6477BB5DF2F2}"/>
    <cellStyle name="Normal 5 2 3 2 3 3" xfId="20276" xr:uid="{88A2C94D-531E-4AB6-971F-EA9B461B4AD5}"/>
    <cellStyle name="Normal 5 2 3 2 3 3 2" xfId="40615" xr:uid="{69E7E417-7032-4B93-9FD4-EC36DCC050A7}"/>
    <cellStyle name="Normal 5 2 3 2 3 4" xfId="23531" xr:uid="{9C2677D0-3787-4994-AE79-1F88F465DDFD}"/>
    <cellStyle name="Normal 5 2 3 2 3 4 2" xfId="43866" xr:uid="{7E2E2967-EADA-4E9E-9244-AE73DCC6C42B}"/>
    <cellStyle name="Normal 5 2 3 2 3 5" xfId="13865" xr:uid="{507B7957-0346-40DD-B7BA-F0935571A215}"/>
    <cellStyle name="Normal 5 2 3 2 3 5 2" xfId="34206" xr:uid="{7942D842-3E47-4EEF-9D48-A83BE6520A96}"/>
    <cellStyle name="Normal 5 2 3 2 3 6" xfId="9987" xr:uid="{8EE660BB-99A1-4922-9DA0-0CE9FD658932}"/>
    <cellStyle name="Normal 5 2 3 2 3 6 2" xfId="30330" xr:uid="{C2EF6200-EE91-4056-930D-66102819C19B}"/>
    <cellStyle name="Normal 5 2 3 2 3 7" xfId="26836" xr:uid="{B571B577-BA8A-4B8D-B23A-87D183E1AC79}"/>
    <cellStyle name="Normal 5 2 3 2 4" xfId="7652" xr:uid="{666CF15B-BC04-438D-BFC0-EE3D495E5A15}"/>
    <cellStyle name="Normal 5 2 3 2 4 2" xfId="17937" xr:uid="{6379037B-8D6D-40AA-B3D6-3089494D3568}"/>
    <cellStyle name="Normal 5 2 3 2 4 2 2" xfId="38277" xr:uid="{59904239-5847-4206-A33F-089493ECAD9D}"/>
    <cellStyle name="Normal 5 2 3 2 4 3" xfId="21439" xr:uid="{58361E1D-6228-4405-922D-C537904C12AC}"/>
    <cellStyle name="Normal 5 2 3 2 4 3 2" xfId="41778" xr:uid="{1B05DE7A-E73C-4F53-B753-BDE7B07B6023}"/>
    <cellStyle name="Normal 5 2 3 2 4 4" xfId="24694" xr:uid="{8B1B741F-76D7-435E-AA87-0D060AC569D5}"/>
    <cellStyle name="Normal 5 2 3 2 4 4 2" xfId="45029" xr:uid="{C26D43DA-B818-4FC2-9D73-1B69DCB7FB81}"/>
    <cellStyle name="Normal 5 2 3 2 4 5" xfId="15029" xr:uid="{06CAB156-5458-4D6D-A7FF-E28A0C81C7D4}"/>
    <cellStyle name="Normal 5 2 3 2 4 5 2" xfId="35369" xr:uid="{66922BAB-759D-4646-9EC7-792C1D5C1F9C}"/>
    <cellStyle name="Normal 5 2 3 2 4 6" xfId="11150" xr:uid="{410F7D92-78FF-4161-B6DC-97639A72479B}"/>
    <cellStyle name="Normal 5 2 3 2 4 6 2" xfId="31493" xr:uid="{7B4D98F6-C8AE-4330-8E58-98DDFAB4B114}"/>
    <cellStyle name="Normal 5 2 3 2 4 7" xfId="27999" xr:uid="{FCFA24FA-29F5-4C47-9A8D-B657F3EF3E81}"/>
    <cellStyle name="Normal 5 2 3 2 5" xfId="8113" xr:uid="{90A888C6-387B-401E-8B28-DC47D72F867B}"/>
    <cellStyle name="Normal 5 2 3 2 5 2" xfId="21900" xr:uid="{627D5F74-ECAD-479C-8074-9CE625E1BFAC}"/>
    <cellStyle name="Normal 5 2 3 2 5 2 2" xfId="42236" xr:uid="{87C3165D-9B86-4F48-B552-2188429BE582}"/>
    <cellStyle name="Normal 5 2 3 2 5 3" xfId="25152" xr:uid="{7F27BD44-105E-41B3-BCD3-CE08996B8C3D}"/>
    <cellStyle name="Normal 5 2 3 2 5 3 2" xfId="45487" xr:uid="{D77E8069-30F3-4B22-996E-6284B3ADEC00}"/>
    <cellStyle name="Normal 5 2 3 2 5 4" xfId="12721" xr:uid="{A44B00DF-888A-41B6-8B73-46A246644A2E}"/>
    <cellStyle name="Normal 5 2 3 2 5 4 2" xfId="33062" xr:uid="{56207ABE-203A-4CCF-B178-BC46AB8F2210}"/>
    <cellStyle name="Normal 5 2 3 2 5 5" xfId="11609" xr:uid="{F2435CAE-CB29-4C96-AB89-0C1CECEC7E7D}"/>
    <cellStyle name="Normal 5 2 3 2 5 5 2" xfId="31951" xr:uid="{F9E969D7-E9C9-41FD-8C5B-413E1BC80E39}"/>
    <cellStyle name="Normal 5 2 3 2 5 6" xfId="28457" xr:uid="{FAC23A5E-E025-4C7A-970A-FD8EAC736854}"/>
    <cellStyle name="Normal 5 2 3 2 6" xfId="8562" xr:uid="{2AF1523E-466D-499B-B907-AFB81BC1E343}"/>
    <cellStyle name="Normal 5 2 3 2 6 2" xfId="15616" xr:uid="{C967E8DE-8F43-4591-91EC-A4145B44E529}"/>
    <cellStyle name="Normal 5 2 3 2 6 2 2" xfId="35956" xr:uid="{945A95DC-AAC1-4493-96CB-7F30388E1645}"/>
    <cellStyle name="Normal 5 2 3 2 6 3" xfId="28905" xr:uid="{23DE5BFA-B23B-4725-9575-CF495748BAEF}"/>
    <cellStyle name="Normal 5 2 3 2 7" xfId="18530" xr:uid="{C0F772B9-442D-48D6-84BD-210D62EF5111}"/>
    <cellStyle name="Normal 5 2 3 2 7 2" xfId="38870" xr:uid="{9861A0F0-8D67-4C9B-9BB5-032E921250C9}"/>
    <cellStyle name="Normal 5 2 3 2 8" xfId="19118" xr:uid="{8BD8838F-5F76-44F2-A72F-F960CD011ED9}"/>
    <cellStyle name="Normal 5 2 3 2 8 2" xfId="39457" xr:uid="{D1E027C4-9BF9-4EA9-8BF7-50BBF4C78D57}"/>
    <cellStyle name="Normal 5 2 3 2 9" xfId="22373" xr:uid="{F8617833-B588-4AFA-8990-D3B86A65ED71}"/>
    <cellStyle name="Normal 5 2 3 2 9 2" xfId="42708" xr:uid="{8E64724A-E703-423B-8B54-1DBA602FC64F}"/>
    <cellStyle name="Normal 5 2 3 3" xfId="5568" xr:uid="{C93F942B-769E-4270-ACCF-45D49AE7E71F}"/>
    <cellStyle name="Normal 5 2 3 3 10" xfId="12319" xr:uid="{C3252027-F2EF-4A2A-A1D2-1F4FDF8CFE52}"/>
    <cellStyle name="Normal 5 2 3 3 10 2" xfId="32660" xr:uid="{D24EA169-FC72-4A01-BED0-74941910942F}"/>
    <cellStyle name="Normal 5 2 3 3 11" xfId="9058" xr:uid="{FBBFF27B-3478-4029-809A-824CDA59A47E}"/>
    <cellStyle name="Normal 5 2 3 3 11 2" xfId="29401" xr:uid="{23925F96-702A-413B-B6B1-DF30C1BCC6E1}"/>
    <cellStyle name="Normal 5 2 3 3 12" xfId="25907" xr:uid="{12EC120B-5DBC-4F76-9A11-B73ED99CE062}"/>
    <cellStyle name="Normal 5 2 3 3 13" xfId="46130" xr:uid="{91328861-F353-4096-8DDC-9C3489E2F4A4}"/>
    <cellStyle name="Normal 5 2 3 3 14" xfId="46616" xr:uid="{C5702E02-05D7-44DA-B9C5-16C5E1DEAA8A}"/>
    <cellStyle name="Normal 5 2 3 3 15" xfId="47108" xr:uid="{8B7488ED-FA19-4496-8031-85EFCA10EA57}"/>
    <cellStyle name="Normal 5 2 3 3 2" xfId="6140" xr:uid="{6AF3ED1C-4A8B-495E-8B5E-1A8CA271FE4E}"/>
    <cellStyle name="Normal 5 2 3 3 2 2" xfId="7298" xr:uid="{B9F9DCB6-DFC1-4BDC-930A-35A5A80335A2}"/>
    <cellStyle name="Normal 5 2 3 3 2 2 2" xfId="17584" xr:uid="{4C9EE01A-C35E-4813-896B-5D9DE5B50A8B}"/>
    <cellStyle name="Normal 5 2 3 3 2 2 2 2" xfId="37924" xr:uid="{0054F663-CF0A-44B2-9252-21CAA22E74CF}"/>
    <cellStyle name="Normal 5 2 3 3 2 2 3" xfId="21086" xr:uid="{608D9F80-861F-4CDE-9284-EB42A993C9F4}"/>
    <cellStyle name="Normal 5 2 3 3 2 2 3 2" xfId="41425" xr:uid="{1F07DED3-0E6B-4D50-9BE2-819571B6767B}"/>
    <cellStyle name="Normal 5 2 3 3 2 2 4" xfId="24341" xr:uid="{7C1F1D3E-A6CD-46A9-9A2F-EF511275CDC6}"/>
    <cellStyle name="Normal 5 2 3 3 2 2 4 2" xfId="44676" xr:uid="{4F190C97-72E0-4305-A643-7232799BA260}"/>
    <cellStyle name="Normal 5 2 3 3 2 2 5" xfId="14675" xr:uid="{ACCA5008-F9C9-4EF9-9F59-D5A87F601B40}"/>
    <cellStyle name="Normal 5 2 3 3 2 2 5 2" xfId="35016" xr:uid="{82D8AC28-1012-4031-92CD-30DE13F5AC7C}"/>
    <cellStyle name="Normal 5 2 3 3 2 2 6" xfId="10797" xr:uid="{E8BB802C-46B2-429F-8D87-292472B6F2FE}"/>
    <cellStyle name="Normal 5 2 3 3 2 2 6 2" xfId="31140" xr:uid="{A776B5C0-98DB-4983-8E0A-409BFF9EAB94}"/>
    <cellStyle name="Normal 5 2 3 3 2 2 7" xfId="27646" xr:uid="{E798E3E6-7454-4534-8215-C34ECFCB0FA9}"/>
    <cellStyle name="Normal 5 2 3 3 2 3" xfId="16426" xr:uid="{356D2742-263A-4017-85AA-AAD63C363F86}"/>
    <cellStyle name="Normal 5 2 3 3 2 3 2" xfId="36766" xr:uid="{427848C9-F271-4247-A43B-720ACCD6B512}"/>
    <cellStyle name="Normal 5 2 3 3 2 4" xfId="19928" xr:uid="{48298D8A-3B85-417D-BBBB-8B620CA5D591}"/>
    <cellStyle name="Normal 5 2 3 3 2 4 2" xfId="40267" xr:uid="{2B91371F-135B-4851-A61D-D06CF0724AFF}"/>
    <cellStyle name="Normal 5 2 3 3 2 5" xfId="23183" xr:uid="{6D085D3C-756A-4D5A-81A3-5C58AB9FC201}"/>
    <cellStyle name="Normal 5 2 3 3 2 5 2" xfId="43518" xr:uid="{7B374F01-CCE2-4B5E-A66A-11EB5D35B57A}"/>
    <cellStyle name="Normal 5 2 3 3 2 6" xfId="13517" xr:uid="{B88604B9-4581-4F01-9F46-502CD1D74619}"/>
    <cellStyle name="Normal 5 2 3 3 2 6 2" xfId="33858" xr:uid="{ECF81439-1735-45DC-86CD-D3E261D1FD9E}"/>
    <cellStyle name="Normal 5 2 3 3 2 7" xfId="9639" xr:uid="{7F358382-1B83-45DB-9BCA-1F7411C9F883}"/>
    <cellStyle name="Normal 5 2 3 3 2 7 2" xfId="29982" xr:uid="{D4949500-47A7-4011-9860-07946C62530A}"/>
    <cellStyle name="Normal 5 2 3 3 2 8" xfId="26488" xr:uid="{3CFE1179-E816-41B4-96A3-4867C5B9035E}"/>
    <cellStyle name="Normal 5 2 3 3 3" xfId="6717" xr:uid="{5A7241FC-2F30-4A8D-8153-442017771459}"/>
    <cellStyle name="Normal 5 2 3 3 3 2" xfId="17003" xr:uid="{2970D4DC-066A-4E8C-AF77-C85F61231244}"/>
    <cellStyle name="Normal 5 2 3 3 3 2 2" xfId="37343" xr:uid="{40854470-9353-497F-8D35-73E66A91204F}"/>
    <cellStyle name="Normal 5 2 3 3 3 3" xfId="20505" xr:uid="{A7E5739B-BBEC-47DF-B6AA-3249BE1AE96C}"/>
    <cellStyle name="Normal 5 2 3 3 3 3 2" xfId="40844" xr:uid="{268091C1-5BBE-4640-8FDD-703449C97123}"/>
    <cellStyle name="Normal 5 2 3 3 3 4" xfId="23760" xr:uid="{D07C6C36-9F60-4796-933A-D7FDD4851D64}"/>
    <cellStyle name="Normal 5 2 3 3 3 4 2" xfId="44095" xr:uid="{FA34D137-9C30-48AD-9B5F-696C165076B0}"/>
    <cellStyle name="Normal 5 2 3 3 3 5" xfId="14094" xr:uid="{4CA3E2EF-23A7-4CAA-B031-4B1ECA2DAEA9}"/>
    <cellStyle name="Normal 5 2 3 3 3 5 2" xfId="34435" xr:uid="{7DC1A9CA-0389-49B4-BD40-306DE5F34686}"/>
    <cellStyle name="Normal 5 2 3 3 3 6" xfId="10216" xr:uid="{1EF2FF36-910D-4814-A817-ACFEBFE75587}"/>
    <cellStyle name="Normal 5 2 3 3 3 6 2" xfId="30559" xr:uid="{2C4711C9-F58C-4201-A800-4BBEB97CF751}"/>
    <cellStyle name="Normal 5 2 3 3 3 7" xfId="27065" xr:uid="{2079CDFC-C92F-42B4-AF15-085CFBC46907}"/>
    <cellStyle name="Normal 5 2 3 3 4" xfId="7881" xr:uid="{BF2F2CAD-6230-4F62-A438-BA00839A9D2D}"/>
    <cellStyle name="Normal 5 2 3 3 4 2" xfId="18166" xr:uid="{D2406B3E-4F94-4545-8592-7F85C7443417}"/>
    <cellStyle name="Normal 5 2 3 3 4 2 2" xfId="38506" xr:uid="{E9A2CEC1-CC27-4A01-9B1E-CFF22C5603B2}"/>
    <cellStyle name="Normal 5 2 3 3 4 3" xfId="21668" xr:uid="{AE0B4179-EC27-42D6-A88E-46AD19C3BC96}"/>
    <cellStyle name="Normal 5 2 3 3 4 3 2" xfId="42007" xr:uid="{5EC1D711-914B-46CE-BB85-188BB8D63973}"/>
    <cellStyle name="Normal 5 2 3 3 4 4" xfId="24923" xr:uid="{8731F26B-8759-4ECA-8CB9-B9E2BB9FCAC8}"/>
    <cellStyle name="Normal 5 2 3 3 4 4 2" xfId="45258" xr:uid="{04FEF603-F2BF-490D-8E74-B2BF3F332275}"/>
    <cellStyle name="Normal 5 2 3 3 4 5" xfId="15258" xr:uid="{7EA3197F-D3BD-4A17-A312-0F771FE12578}"/>
    <cellStyle name="Normal 5 2 3 3 4 5 2" xfId="35598" xr:uid="{5E3F8070-8397-4051-8FB4-BAB64FB80057}"/>
    <cellStyle name="Normal 5 2 3 3 4 6" xfId="11379" xr:uid="{7144B40A-3962-432C-BA35-5C4C643952C8}"/>
    <cellStyle name="Normal 5 2 3 3 4 6 2" xfId="31722" xr:uid="{6EDF642F-76E7-494E-919B-509B14B4AD84}"/>
    <cellStyle name="Normal 5 2 3 3 4 7" xfId="28228" xr:uid="{B854560F-D732-46BF-A1E2-D7DF914761EF}"/>
    <cellStyle name="Normal 5 2 3 3 5" xfId="12948" xr:uid="{06B163CD-FB8C-4D02-ABF7-DCE60E5D0962}"/>
    <cellStyle name="Normal 5 2 3 3 5 2" xfId="33289" xr:uid="{16A0975B-2984-45E6-B702-44F3EDCB5EF6}"/>
    <cellStyle name="Normal 5 2 3 3 6" xfId="15845" xr:uid="{DA6528CD-6126-4E70-B312-54459C560076}"/>
    <cellStyle name="Normal 5 2 3 3 6 2" xfId="36185" xr:uid="{7A16A654-4970-4D0F-BD0F-390C3236A402}"/>
    <cellStyle name="Normal 5 2 3 3 7" xfId="18759" xr:uid="{3826FE06-7A5D-4215-8B37-7E4D86D4680B}"/>
    <cellStyle name="Normal 5 2 3 3 7 2" xfId="39099" xr:uid="{80B32DC7-6897-4947-8135-0CBC7A251C9A}"/>
    <cellStyle name="Normal 5 2 3 3 8" xfId="19347" xr:uid="{4201D722-78F0-4018-8F61-3C32096701CE}"/>
    <cellStyle name="Normal 5 2 3 3 8 2" xfId="39686" xr:uid="{8AD9638D-86C5-4FFC-A98A-CB79EDDB1086}"/>
    <cellStyle name="Normal 5 2 3 3 9" xfId="22602" xr:uid="{30BF9920-8DC3-437F-B765-A1DBC9696BBC}"/>
    <cellStyle name="Normal 5 2 3 3 9 2" xfId="42937" xr:uid="{CA9AF2F2-CD85-4335-87D1-E21DD448AD2B}"/>
    <cellStyle name="Normal 5 2 3 4" xfId="5725" xr:uid="{4DFBBF70-4008-436D-92E9-4DB2987B3014}"/>
    <cellStyle name="Normal 5 2 3 4 10" xfId="12477" xr:uid="{018AD44A-9136-4B84-8DBE-C2ADFF124F2A}"/>
    <cellStyle name="Normal 5 2 3 4 10 2" xfId="32818" xr:uid="{3054E514-3D9E-4A5B-BF2A-B33607192F72}"/>
    <cellStyle name="Normal 5 2 3 4 11" xfId="9216" xr:uid="{D01487EE-2A08-435E-9D7D-7BDE94FFE518}"/>
    <cellStyle name="Normal 5 2 3 4 11 2" xfId="29559" xr:uid="{F6B843CF-7994-42F3-86B8-E19AE5EC09B4}"/>
    <cellStyle name="Normal 5 2 3 4 12" xfId="26065" xr:uid="{89CE4794-BA94-4EA7-994F-0EF1D8CF6951}"/>
    <cellStyle name="Normal 5 2 3 4 2" xfId="6298" xr:uid="{E1495733-C79B-4BE5-B349-3A22C9116CC3}"/>
    <cellStyle name="Normal 5 2 3 4 2 2" xfId="7456" xr:uid="{7C3BDA89-D220-48C6-860A-5689B81418AA}"/>
    <cellStyle name="Normal 5 2 3 4 2 2 2" xfId="17742" xr:uid="{1109E7F2-CB27-4BFC-8E2F-06315E012877}"/>
    <cellStyle name="Normal 5 2 3 4 2 2 2 2" xfId="38082" xr:uid="{5A4D1C48-C283-4FBE-BDE4-0396BAED5894}"/>
    <cellStyle name="Normal 5 2 3 4 2 2 3" xfId="21244" xr:uid="{CF9D9B78-5163-4388-BBB1-3BCEBCD22B99}"/>
    <cellStyle name="Normal 5 2 3 4 2 2 3 2" xfId="41583" xr:uid="{AB8D6BC8-42F0-4928-A2DF-B5C475101D4F}"/>
    <cellStyle name="Normal 5 2 3 4 2 2 4" xfId="24499" xr:uid="{5B497D94-B1F8-4FCE-B4EB-D31A5CA329D5}"/>
    <cellStyle name="Normal 5 2 3 4 2 2 4 2" xfId="44834" xr:uid="{C7D45DB9-4ABC-4900-8590-39DB8B9A8D87}"/>
    <cellStyle name="Normal 5 2 3 4 2 2 5" xfId="14833" xr:uid="{406A6C25-3685-48C1-BB2B-23EEE0E51062}"/>
    <cellStyle name="Normal 5 2 3 4 2 2 5 2" xfId="35174" xr:uid="{A1C09810-7C04-4FAE-8FEF-A9930C739673}"/>
    <cellStyle name="Normal 5 2 3 4 2 2 6" xfId="10955" xr:uid="{8B5726F1-B132-48E5-B82A-09742D5B9B99}"/>
    <cellStyle name="Normal 5 2 3 4 2 2 6 2" xfId="31298" xr:uid="{9A8E0226-1C30-4528-98BD-10DDFB10096C}"/>
    <cellStyle name="Normal 5 2 3 4 2 2 7" xfId="27804" xr:uid="{96DEAAEE-5ECC-4D3C-944D-17050D160F62}"/>
    <cellStyle name="Normal 5 2 3 4 2 3" xfId="16584" xr:uid="{1656881D-F724-4D32-9DEF-0D4AE105B303}"/>
    <cellStyle name="Normal 5 2 3 4 2 3 2" xfId="36924" xr:uid="{A63693CE-352B-48E0-BBD9-15A0A0EB5590}"/>
    <cellStyle name="Normal 5 2 3 4 2 4" xfId="20086" xr:uid="{E152EE63-0EB8-4326-816B-F2B9462EE726}"/>
    <cellStyle name="Normal 5 2 3 4 2 4 2" xfId="40425" xr:uid="{407DC9BA-89D4-439A-B86A-A33FD2A70362}"/>
    <cellStyle name="Normal 5 2 3 4 2 5" xfId="23341" xr:uid="{7FCAAF71-9709-4A67-9312-ACBAFE990663}"/>
    <cellStyle name="Normal 5 2 3 4 2 5 2" xfId="43676" xr:uid="{0DB1972C-69C3-4B90-A4DF-EA97BEC888FE}"/>
    <cellStyle name="Normal 5 2 3 4 2 6" xfId="13675" xr:uid="{A1F135E6-12FC-456E-9457-43992A005515}"/>
    <cellStyle name="Normal 5 2 3 4 2 6 2" xfId="34016" xr:uid="{C8C1035B-1536-43ED-8FA9-17C2FE773367}"/>
    <cellStyle name="Normal 5 2 3 4 2 7" xfId="9797" xr:uid="{C749DF6B-AA6A-4896-91AF-6D84894D8BEC}"/>
    <cellStyle name="Normal 5 2 3 4 2 7 2" xfId="30140" xr:uid="{46D5F46B-5041-4D2C-A8BA-83143322011A}"/>
    <cellStyle name="Normal 5 2 3 4 2 8" xfId="26646" xr:uid="{D861B5D8-F899-40D0-9C17-07DF84686460}"/>
    <cellStyle name="Normal 5 2 3 4 3" xfId="6875" xr:uid="{D35CD174-F72E-44F3-9062-492E2425AAEB}"/>
    <cellStyle name="Normal 5 2 3 4 3 2" xfId="17161" xr:uid="{7F0CFBA2-0FE9-4C3B-BBD0-2CED65EF7814}"/>
    <cellStyle name="Normal 5 2 3 4 3 2 2" xfId="37501" xr:uid="{B191CFEE-0136-4E17-A27C-B169A1813CE2}"/>
    <cellStyle name="Normal 5 2 3 4 3 3" xfId="20663" xr:uid="{D845C6EE-A77C-44A5-A310-106D4446C4E5}"/>
    <cellStyle name="Normal 5 2 3 4 3 3 2" xfId="41002" xr:uid="{4BD4A618-AB59-42B7-B999-5BCB3EF804C2}"/>
    <cellStyle name="Normal 5 2 3 4 3 4" xfId="23918" xr:uid="{317532F0-330D-4361-AB0F-DD95B110383B}"/>
    <cellStyle name="Normal 5 2 3 4 3 4 2" xfId="44253" xr:uid="{C4648109-EFD8-4828-BBDE-7D9B073668A0}"/>
    <cellStyle name="Normal 5 2 3 4 3 5" xfId="14252" xr:uid="{77E5EADE-0A84-4259-B805-35AED2ACE32B}"/>
    <cellStyle name="Normal 5 2 3 4 3 5 2" xfId="34593" xr:uid="{D9EB4B9D-EF1A-4B1F-8924-FF892C0B0D14}"/>
    <cellStyle name="Normal 5 2 3 4 3 6" xfId="10374" xr:uid="{69A861E6-7C2D-47C2-B03A-7A351E46CED6}"/>
    <cellStyle name="Normal 5 2 3 4 3 6 2" xfId="30717" xr:uid="{00C89554-7790-43DE-8E5F-12C05071FF1A}"/>
    <cellStyle name="Normal 5 2 3 4 3 7" xfId="27223" xr:uid="{FAEE0BA5-764C-4113-8FE3-556DC325AC8A}"/>
    <cellStyle name="Normal 5 2 3 4 4" xfId="8039" xr:uid="{09038C2D-8CC7-42F1-86BF-481FBFDC9411}"/>
    <cellStyle name="Normal 5 2 3 4 4 2" xfId="18324" xr:uid="{33EF260B-25E7-483D-AFA5-C6F7E18B8090}"/>
    <cellStyle name="Normal 5 2 3 4 4 2 2" xfId="38664" xr:uid="{118D0956-CF37-4D7D-8B3C-E5335D309990}"/>
    <cellStyle name="Normal 5 2 3 4 4 3" xfId="21826" xr:uid="{29E0F63B-6EA5-453E-865F-6922767AAB50}"/>
    <cellStyle name="Normal 5 2 3 4 4 3 2" xfId="42165" xr:uid="{22A3D82A-A7E5-498B-880C-C84C910B58FA}"/>
    <cellStyle name="Normal 5 2 3 4 4 4" xfId="25081" xr:uid="{D0FBE841-6A23-4BF7-9CF5-D37DF345EF8B}"/>
    <cellStyle name="Normal 5 2 3 4 4 4 2" xfId="45416" xr:uid="{2734527E-5680-40DA-AE04-2909E9BFD8E5}"/>
    <cellStyle name="Normal 5 2 3 4 4 5" xfId="15416" xr:uid="{F6EFD2A7-7A2E-4CD5-9609-98A6327112EA}"/>
    <cellStyle name="Normal 5 2 3 4 4 5 2" xfId="35756" xr:uid="{90A961EE-905C-479A-A81A-9CC45D95C530}"/>
    <cellStyle name="Normal 5 2 3 4 4 6" xfId="11537" xr:uid="{A48AB037-92F3-47C4-8B0E-08E6F4223ABE}"/>
    <cellStyle name="Normal 5 2 3 4 4 6 2" xfId="31880" xr:uid="{F0AB6D23-82DC-4953-A9E0-8F9AA36DA888}"/>
    <cellStyle name="Normal 5 2 3 4 4 7" xfId="28386" xr:uid="{EC544D9A-11C1-424D-9F00-B3E5DC78E736}"/>
    <cellStyle name="Normal 5 2 3 4 5" xfId="13106" xr:uid="{0C098A5E-1E24-490F-9F5A-F18E05E59473}"/>
    <cellStyle name="Normal 5 2 3 4 5 2" xfId="33447" xr:uid="{3633242C-587B-4840-B6D3-CEE03BCF8050}"/>
    <cellStyle name="Normal 5 2 3 4 6" xfId="16003" xr:uid="{D2FCE0CE-902E-4515-97D7-0733C5053E32}"/>
    <cellStyle name="Normal 5 2 3 4 6 2" xfId="36343" xr:uid="{4914BC26-9113-4A0D-BFFD-BE4582993E09}"/>
    <cellStyle name="Normal 5 2 3 4 7" xfId="18917" xr:uid="{167CD97A-5286-4668-A7C3-1C14B1C8B90D}"/>
    <cellStyle name="Normal 5 2 3 4 7 2" xfId="39257" xr:uid="{171A7A0A-1DD6-43B8-AD20-B7A088A3465B}"/>
    <cellStyle name="Normal 5 2 3 4 8" xfId="19505" xr:uid="{81B60091-E0B2-45F4-BC11-327BA9777312}"/>
    <cellStyle name="Normal 5 2 3 4 8 2" xfId="39844" xr:uid="{26B5E028-4A96-4D92-912D-521FD1D11A09}"/>
    <cellStyle name="Normal 5 2 3 4 9" xfId="22760" xr:uid="{34CA0B6E-81CB-412B-AEDA-7FE26EDA17D2}"/>
    <cellStyle name="Normal 5 2 3 4 9 2" xfId="43095" xr:uid="{4BA2405C-B7E7-4B31-9120-A5420321F603}"/>
    <cellStyle name="Normal 5 2 3 5" xfId="5796" xr:uid="{CA906E94-D415-4230-82E5-B324A1D93C18}"/>
    <cellStyle name="Normal 5 2 3 5 2" xfId="6954" xr:uid="{D389F018-94CE-4A56-8E1B-0B86A34A07AD}"/>
    <cellStyle name="Normal 5 2 3 5 2 2" xfId="17240" xr:uid="{55287E6C-B424-4213-90B3-EE5DEF3E168A}"/>
    <cellStyle name="Normal 5 2 3 5 2 2 2" xfId="37580" xr:uid="{0D407C87-F074-43F9-985C-B14F59CC50FA}"/>
    <cellStyle name="Normal 5 2 3 5 2 3" xfId="20742" xr:uid="{732CBD79-CF91-4221-891C-86E376112510}"/>
    <cellStyle name="Normal 5 2 3 5 2 3 2" xfId="41081" xr:uid="{C5584AF1-38C3-4C03-871E-FEEB683275AC}"/>
    <cellStyle name="Normal 5 2 3 5 2 4" xfId="23997" xr:uid="{59BAF529-C82D-4DF2-8CD0-6D83CCB883AD}"/>
    <cellStyle name="Normal 5 2 3 5 2 4 2" xfId="44332" xr:uid="{B4D6F932-FF02-447B-9191-AD1052B45A9C}"/>
    <cellStyle name="Normal 5 2 3 5 2 5" xfId="14331" xr:uid="{292A71B3-4DB7-4350-A9BC-61427825F61C}"/>
    <cellStyle name="Normal 5 2 3 5 2 5 2" xfId="34672" xr:uid="{7DC514CE-F9EE-46C7-905C-EFCA77334967}"/>
    <cellStyle name="Normal 5 2 3 5 2 6" xfId="10453" xr:uid="{9733CD1B-F72B-4158-998D-A025D758B048}"/>
    <cellStyle name="Normal 5 2 3 5 2 6 2" xfId="30796" xr:uid="{27C65322-C965-4B5D-98F3-36C92F6B992E}"/>
    <cellStyle name="Normal 5 2 3 5 2 7" xfId="27302" xr:uid="{7BB79363-F37F-4919-964C-E82BE09B1B37}"/>
    <cellStyle name="Normal 5 2 3 5 3" xfId="16082" xr:uid="{DC58714B-7CDE-46C9-B6BC-11F6678B3897}"/>
    <cellStyle name="Normal 5 2 3 5 3 2" xfId="36422" xr:uid="{8193B004-1DEF-431B-9AD8-43B20056A2AB}"/>
    <cellStyle name="Normal 5 2 3 5 4" xfId="19584" xr:uid="{68051EF7-7B94-43CB-9F9D-150A7F219C73}"/>
    <cellStyle name="Normal 5 2 3 5 4 2" xfId="39923" xr:uid="{8AE3FF53-D18C-4ECB-8039-A230BD6FC618}"/>
    <cellStyle name="Normal 5 2 3 5 5" xfId="22839" xr:uid="{8CC4EDFD-BA19-4B4B-9521-47D2F01F3D34}"/>
    <cellStyle name="Normal 5 2 3 5 5 2" xfId="43174" xr:uid="{4471B217-48EE-4042-80B4-D519DD27C66F}"/>
    <cellStyle name="Normal 5 2 3 5 6" xfId="13181" xr:uid="{CDE264A8-412E-483E-8B44-8401740C26B7}"/>
    <cellStyle name="Normal 5 2 3 5 6 2" xfId="33522" xr:uid="{C12B243E-C60F-4103-A7F6-CB6C2B191D17}"/>
    <cellStyle name="Normal 5 2 3 5 7" xfId="9295" xr:uid="{6517973F-BBBF-4054-AED3-560F9DE4DE85}"/>
    <cellStyle name="Normal 5 2 3 5 7 2" xfId="29638" xr:uid="{0C4E6C3A-0580-41F6-8E81-089884DB4656}"/>
    <cellStyle name="Normal 5 2 3 5 8" xfId="26144" xr:uid="{0D2F40D2-D25C-4019-85AA-C268F599F61E}"/>
    <cellStyle name="Normal 5 2 3 6" xfId="6373" xr:uid="{74B6E33C-2E42-4FDD-9089-46D370202B06}"/>
    <cellStyle name="Normal 5 2 3 6 2" xfId="16659" xr:uid="{0E7BD6AD-000E-4F14-B5E2-2A0BFFE60BA4}"/>
    <cellStyle name="Normal 5 2 3 6 2 2" xfId="36999" xr:uid="{D7C4E6D7-6B30-4D8C-AD56-78C218E94D8D}"/>
    <cellStyle name="Normal 5 2 3 6 3" xfId="20161" xr:uid="{F2646006-42FA-4E37-BF47-229FAEB0CA44}"/>
    <cellStyle name="Normal 5 2 3 6 3 2" xfId="40500" xr:uid="{DC85DCE5-99E8-4DF0-8448-CFEEFF853F4E}"/>
    <cellStyle name="Normal 5 2 3 6 4" xfId="23416" xr:uid="{9A526857-15D3-4032-8C0D-DCF211A09227}"/>
    <cellStyle name="Normal 5 2 3 6 4 2" xfId="43751" xr:uid="{CC1FFBF5-55FC-41C0-909D-86C2DC9195BC}"/>
    <cellStyle name="Normal 5 2 3 6 5" xfId="13750" xr:uid="{D3E4A881-6DA0-4D49-9C5F-26C0F26028BA}"/>
    <cellStyle name="Normal 5 2 3 6 5 2" xfId="34091" xr:uid="{16B70589-D4EE-45B2-A726-4BD663CFC9BA}"/>
    <cellStyle name="Normal 5 2 3 6 6" xfId="9872" xr:uid="{0065C8A2-9F1C-4F02-A6BB-BD437DFA27A6}"/>
    <cellStyle name="Normal 5 2 3 6 6 2" xfId="30215" xr:uid="{C1C64228-97F3-438A-A65C-E008AE031674}"/>
    <cellStyle name="Normal 5 2 3 6 7" xfId="26721" xr:uid="{4D927507-CC36-4B9D-943F-F06AA45D3F44}"/>
    <cellStyle name="Normal 5 2 3 7" xfId="7537" xr:uid="{96981B1E-2CBB-4B1F-8231-284CF936C3AE}"/>
    <cellStyle name="Normal 5 2 3 7 2" xfId="17822" xr:uid="{3D97F5BB-EAD1-4A78-AA55-61A46ECABCC3}"/>
    <cellStyle name="Normal 5 2 3 7 2 2" xfId="38162" xr:uid="{03DA86E7-FD2C-4F2E-85C5-DAA9CFF71998}"/>
    <cellStyle name="Normal 5 2 3 7 3" xfId="21324" xr:uid="{59FE24A6-9C32-4C0B-ABA8-9B58D5931711}"/>
    <cellStyle name="Normal 5 2 3 7 3 2" xfId="41663" xr:uid="{C7F3B4FB-9B53-4334-9271-C4B58F8C0950}"/>
    <cellStyle name="Normal 5 2 3 7 4" xfId="24579" xr:uid="{E265709B-1D7B-427B-A04F-AB81B3BB685A}"/>
    <cellStyle name="Normal 5 2 3 7 4 2" xfId="44914" xr:uid="{6C480AB8-43B1-4437-A4E4-C31E55ABBDA5}"/>
    <cellStyle name="Normal 5 2 3 7 5" xfId="14914" xr:uid="{E191C487-BC71-4C29-A465-7AB97FBE691D}"/>
    <cellStyle name="Normal 5 2 3 7 5 2" xfId="35254" xr:uid="{8C4D0AC9-003A-4F04-B9E6-71577D60E710}"/>
    <cellStyle name="Normal 5 2 3 7 6" xfId="11035" xr:uid="{087F6BA4-83D2-4635-B167-D4DBFF1A4E03}"/>
    <cellStyle name="Normal 5 2 3 7 6 2" xfId="31378" xr:uid="{AAA29509-C5CB-4758-8845-58E75BD91DFB}"/>
    <cellStyle name="Normal 5 2 3 7 7" xfId="27884" xr:uid="{82F40289-1C6E-47E5-A950-7317E6B7FBAC}"/>
    <cellStyle name="Normal 5 2 3 8" xfId="8112" xr:uid="{3F5D4D9E-D274-4F42-929E-EC56DE0CAC3D}"/>
    <cellStyle name="Normal 5 2 3 8 2" xfId="21899" xr:uid="{CEC32FB3-57A4-4983-B582-B3CD22734A86}"/>
    <cellStyle name="Normal 5 2 3 8 2 2" xfId="42235" xr:uid="{60CC0D25-22BB-4C71-BA96-4929CB2E56EB}"/>
    <cellStyle name="Normal 5 2 3 8 3" xfId="25151" xr:uid="{46A4FE69-2438-41B7-BC3B-0146353132A2}"/>
    <cellStyle name="Normal 5 2 3 8 3 2" xfId="45486" xr:uid="{F72B393B-A0F5-436B-9BDE-B9A6C9333BAB}"/>
    <cellStyle name="Normal 5 2 3 8 4" xfId="12612" xr:uid="{69FCE071-36D8-48DC-8DF8-DCF3E1185345}"/>
    <cellStyle name="Normal 5 2 3 8 4 2" xfId="32953" xr:uid="{3B99D9B2-3664-4756-B014-5C1A72B587BF}"/>
    <cellStyle name="Normal 5 2 3 8 5" xfId="11608" xr:uid="{7C1F8375-D75C-4925-A470-FE4F246929BB}"/>
    <cellStyle name="Normal 5 2 3 8 5 2" xfId="31950" xr:uid="{70460A80-A4E7-49A6-9A7C-C77E6251DA52}"/>
    <cellStyle name="Normal 5 2 3 8 6" xfId="28456" xr:uid="{4DF995AC-D510-4B36-8933-C4868BD601D2}"/>
    <cellStyle name="Normal 5 2 3 9" xfId="8512" xr:uid="{5B3B71FF-8BFE-41DE-9CA5-3ABA4981EADC}"/>
    <cellStyle name="Normal 5 2 3 9 2" xfId="15501" xr:uid="{424D28C7-251D-4B8D-8963-C6CDC4392039}"/>
    <cellStyle name="Normal 5 2 3 9 2 2" xfId="35841" xr:uid="{5D8B1CB5-581B-4431-BC45-DBD8B4F459A1}"/>
    <cellStyle name="Normal 5 2 3 9 3" xfId="28855" xr:uid="{9CDF725A-804A-49C7-96E4-CC081AF0C5E3}"/>
    <cellStyle name="Normal 5 2 4" xfId="5052" xr:uid="{3CC3F7C5-1D34-46C1-89BF-92984B9792EA}"/>
    <cellStyle name="Normal 5 2 4 10" xfId="19047" xr:uid="{0FF86256-02B3-48E9-8D40-4244F259CB40}"/>
    <cellStyle name="Normal 5 2 4 10 2" xfId="39386" xr:uid="{03396A98-A5E8-400B-8C70-E3B7FD1BCCD7}"/>
    <cellStyle name="Normal 5 2 4 11" xfId="22302" xr:uid="{3F6ADA6C-6A5B-4B0D-A33C-FB8FB59B4E1C}"/>
    <cellStyle name="Normal 5 2 4 11 2" xfId="42637" xr:uid="{AF4F9652-A6E3-42FC-983C-5E74070F097E}"/>
    <cellStyle name="Normal 5 2 4 12" xfId="12019" xr:uid="{9ED986F2-A362-4335-B6C9-17B6A96B0ECE}"/>
    <cellStyle name="Normal 5 2 4 12 2" xfId="32360" xr:uid="{CD345BB9-543A-40B5-8873-C77502231220}"/>
    <cellStyle name="Normal 5 2 4 13" xfId="8758" xr:uid="{999896F3-2E31-4799-AAD2-AADA5C118CD3}"/>
    <cellStyle name="Normal 5 2 4 13 2" xfId="29101" xr:uid="{55FEF5F4-2934-4480-90CA-0510D26BE47C}"/>
    <cellStyle name="Normal 5 2 4 14" xfId="25603" xr:uid="{EE45673D-7EFE-4A93-B389-329A2211DF92}"/>
    <cellStyle name="Normal 5 2 4 15" xfId="45934" xr:uid="{42BE996D-26F9-45F1-8780-1E100A10C2BA}"/>
    <cellStyle name="Normal 5 2 4 16" xfId="46420" xr:uid="{053E7A02-2F64-4127-9EC0-1198899DC7DB}"/>
    <cellStyle name="Normal 5 2 4 17" xfId="46912" xr:uid="{D356D7A0-D0BC-4968-B37E-91B0DF79143B}"/>
    <cellStyle name="Normal 5 2 4 2" xfId="5391" xr:uid="{077BEB3F-974C-40C5-B9A6-D65BE9B2AD0C}"/>
    <cellStyle name="Normal 5 2 4 2 10" xfId="12134" xr:uid="{23484846-D370-48D7-B52A-D37BFD98B9E6}"/>
    <cellStyle name="Normal 5 2 4 2 10 2" xfId="32475" xr:uid="{770A7448-DD2B-43C9-88EB-84FE8631B5FC}"/>
    <cellStyle name="Normal 5 2 4 2 11" xfId="8873" xr:uid="{CF5E611B-EA57-4BC9-9847-46401DF1A7EA}"/>
    <cellStyle name="Normal 5 2 4 2 11 2" xfId="29216" xr:uid="{77814305-9AF3-416C-91BF-E57BAF70E8E0}"/>
    <cellStyle name="Normal 5 2 4 2 12" xfId="25722" xr:uid="{3C553863-9849-4FE5-9B38-EE0DB5ED9F0D}"/>
    <cellStyle name="Normal 5 2 4 2 13" xfId="46177" xr:uid="{D8E4EDE9-6855-47C7-9BAF-458181D0B22A}"/>
    <cellStyle name="Normal 5 2 4 2 14" xfId="46663" xr:uid="{D8BD8106-A2D7-4397-A6F9-4E0D7B39F26E}"/>
    <cellStyle name="Normal 5 2 4 2 15" xfId="47155" xr:uid="{54FE0C90-B18B-45D0-9945-6C0707E909C3}"/>
    <cellStyle name="Normal 5 2 4 2 2" xfId="5955" xr:uid="{81506A45-C5F8-4272-8BE0-B4CA265F71AD}"/>
    <cellStyle name="Normal 5 2 4 2 2 2" xfId="7113" xr:uid="{B281F085-628A-4B83-BE44-1478F5451FE4}"/>
    <cellStyle name="Normal 5 2 4 2 2 2 2" xfId="17399" xr:uid="{B8C0F87C-B5BF-4189-A3E4-E620C56F3834}"/>
    <cellStyle name="Normal 5 2 4 2 2 2 2 2" xfId="37739" xr:uid="{2C7E86B8-7C88-48D5-8539-B158AFD026D2}"/>
    <cellStyle name="Normal 5 2 4 2 2 2 3" xfId="20901" xr:uid="{C9F6E7BB-69F5-4886-897C-D1628E6EF7D4}"/>
    <cellStyle name="Normal 5 2 4 2 2 2 3 2" xfId="41240" xr:uid="{4BFBD4BA-D485-4513-BA8A-7A0836520C1A}"/>
    <cellStyle name="Normal 5 2 4 2 2 2 4" xfId="24156" xr:uid="{379B0729-5D48-4DAB-94A5-9A138D54914A}"/>
    <cellStyle name="Normal 5 2 4 2 2 2 4 2" xfId="44491" xr:uid="{31AAB688-195F-4098-847E-24524E71F058}"/>
    <cellStyle name="Normal 5 2 4 2 2 2 5" xfId="14490" xr:uid="{192DF38C-F762-4E51-BF17-0EC1D2EF525F}"/>
    <cellStyle name="Normal 5 2 4 2 2 2 5 2" xfId="34831" xr:uid="{298648CD-2E62-4880-BC02-CCE042DE79FB}"/>
    <cellStyle name="Normal 5 2 4 2 2 2 6" xfId="10612" xr:uid="{E50DF68D-6BFF-40B9-A25A-0ABF65945C54}"/>
    <cellStyle name="Normal 5 2 4 2 2 2 6 2" xfId="30955" xr:uid="{B88DDC45-6B33-442F-B54D-A3428809F6DD}"/>
    <cellStyle name="Normal 5 2 4 2 2 2 7" xfId="27461" xr:uid="{937F486A-B61D-46CC-87B9-D6E3F6240730}"/>
    <cellStyle name="Normal 5 2 4 2 2 3" xfId="16241" xr:uid="{3FB70F0A-5BC2-4B3F-838A-68A06FE7D188}"/>
    <cellStyle name="Normal 5 2 4 2 2 3 2" xfId="36581" xr:uid="{09FFDDC1-B06F-495B-8E64-A0C5743D6952}"/>
    <cellStyle name="Normal 5 2 4 2 2 4" xfId="19743" xr:uid="{F10B0D63-E575-4A31-948C-5BB65E830133}"/>
    <cellStyle name="Normal 5 2 4 2 2 4 2" xfId="40082" xr:uid="{0F825847-A239-4FF7-B4A1-B184EA988CF0}"/>
    <cellStyle name="Normal 5 2 4 2 2 5" xfId="22998" xr:uid="{9FFB343A-CC5D-4A09-BB00-333587B9A305}"/>
    <cellStyle name="Normal 5 2 4 2 2 5 2" xfId="43333" xr:uid="{E680F144-954D-48D9-AB2B-1662CDA6100B}"/>
    <cellStyle name="Normal 5 2 4 2 2 6" xfId="13332" xr:uid="{EB6DB4AA-2B21-4733-8D76-FCE17FD310C5}"/>
    <cellStyle name="Normal 5 2 4 2 2 6 2" xfId="33673" xr:uid="{251AD641-017E-4C6A-9569-2A4F80B4F720}"/>
    <cellStyle name="Normal 5 2 4 2 2 7" xfId="9454" xr:uid="{DC713025-1088-4BA0-A8A7-1EF878EBAA2B}"/>
    <cellStyle name="Normal 5 2 4 2 2 7 2" xfId="29797" xr:uid="{7271E02D-7F02-4336-85A9-3335EF0AF5E2}"/>
    <cellStyle name="Normal 5 2 4 2 2 8" xfId="26303" xr:uid="{0A130901-6903-4397-919A-F61296D055AE}"/>
    <cellStyle name="Normal 5 2 4 2 3" xfId="6532" xr:uid="{7FB663EC-4028-44B5-867B-230711976EBD}"/>
    <cellStyle name="Normal 5 2 4 2 3 2" xfId="16818" xr:uid="{9DE56A78-1F0F-4C90-B8F1-6ECBBAC7615C}"/>
    <cellStyle name="Normal 5 2 4 2 3 2 2" xfId="37158" xr:uid="{9DA0ACB9-BC08-4E24-AE4B-0F3E93E02957}"/>
    <cellStyle name="Normal 5 2 4 2 3 3" xfId="20320" xr:uid="{02446FDA-1455-4D81-BDC1-D5600347D7E0}"/>
    <cellStyle name="Normal 5 2 4 2 3 3 2" xfId="40659" xr:uid="{F4CBF584-6DAD-45FC-8CAA-0DDCF6062F6A}"/>
    <cellStyle name="Normal 5 2 4 2 3 4" xfId="23575" xr:uid="{A67F74B1-99CF-439A-AC7E-EB2348165B58}"/>
    <cellStyle name="Normal 5 2 4 2 3 4 2" xfId="43910" xr:uid="{37A5673D-71B7-4910-8664-F56932279A25}"/>
    <cellStyle name="Normal 5 2 4 2 3 5" xfId="13909" xr:uid="{CA2E165C-3D10-46FD-AD06-063EC7EDA07E}"/>
    <cellStyle name="Normal 5 2 4 2 3 5 2" xfId="34250" xr:uid="{314EABC0-5A5C-4B93-9B30-5DEB4B99E439}"/>
    <cellStyle name="Normal 5 2 4 2 3 6" xfId="10031" xr:uid="{55BC0079-283F-4393-84F9-20510F296D39}"/>
    <cellStyle name="Normal 5 2 4 2 3 6 2" xfId="30374" xr:uid="{8C1C8D20-533C-40D2-8228-362CF94B0A94}"/>
    <cellStyle name="Normal 5 2 4 2 3 7" xfId="26880" xr:uid="{C1E79D44-3379-45BC-B953-BD6F25D4696B}"/>
    <cellStyle name="Normal 5 2 4 2 4" xfId="7696" xr:uid="{5EBF7F1C-7CE2-4A27-B9A7-6D80A55F4F91}"/>
    <cellStyle name="Normal 5 2 4 2 4 2" xfId="17981" xr:uid="{0F643C02-479E-4585-99B7-96F74FC3CEF0}"/>
    <cellStyle name="Normal 5 2 4 2 4 2 2" xfId="38321" xr:uid="{37A514A0-875C-4EAC-80E3-E1CABE2CC11A}"/>
    <cellStyle name="Normal 5 2 4 2 4 3" xfId="21483" xr:uid="{C81F79AB-84B0-4409-9EDE-CA0481A815B6}"/>
    <cellStyle name="Normal 5 2 4 2 4 3 2" xfId="41822" xr:uid="{78A39B1F-817B-46E8-A5EE-C3AE38F23239}"/>
    <cellStyle name="Normal 5 2 4 2 4 4" xfId="24738" xr:uid="{A4237A6F-3615-48D7-B94D-3F1C307971C2}"/>
    <cellStyle name="Normal 5 2 4 2 4 4 2" xfId="45073" xr:uid="{F2FCD048-BB27-4206-B740-6C5CF1FD191C}"/>
    <cellStyle name="Normal 5 2 4 2 4 5" xfId="15073" xr:uid="{1838AB1E-27DC-4894-95D5-E1BAA56005F0}"/>
    <cellStyle name="Normal 5 2 4 2 4 5 2" xfId="35413" xr:uid="{39C747F7-EA6B-4DDE-9ABC-25915D647B74}"/>
    <cellStyle name="Normal 5 2 4 2 4 6" xfId="11194" xr:uid="{C66CE00A-A8BC-4F8C-B201-64448FFA7FF0}"/>
    <cellStyle name="Normal 5 2 4 2 4 6 2" xfId="31537" xr:uid="{8ADA876D-769B-4213-8E86-FC2EB9C7C8AF}"/>
    <cellStyle name="Normal 5 2 4 2 4 7" xfId="28043" xr:uid="{047A07ED-6589-458E-B665-DD7FA0BF181A}"/>
    <cellStyle name="Normal 5 2 4 2 5" xfId="12763" xr:uid="{050DDBA3-77FA-439C-A5C6-2608134C92EA}"/>
    <cellStyle name="Normal 5 2 4 2 5 2" xfId="33104" xr:uid="{B3A90C1C-BD10-4991-8660-FCB35B677972}"/>
    <cellStyle name="Normal 5 2 4 2 6" xfId="15660" xr:uid="{53746806-9BEF-4CEF-81C9-CDCE4D9C8F3E}"/>
    <cellStyle name="Normal 5 2 4 2 6 2" xfId="36000" xr:uid="{5513F1C0-4839-4AD6-84A9-1FEA1FC814F3}"/>
    <cellStyle name="Normal 5 2 4 2 7" xfId="18574" xr:uid="{3B7B5A75-6549-477F-908E-A23253BFF025}"/>
    <cellStyle name="Normal 5 2 4 2 7 2" xfId="38914" xr:uid="{D1E179A6-20F4-4967-AB7B-6A731020DDEB}"/>
    <cellStyle name="Normal 5 2 4 2 8" xfId="19162" xr:uid="{D6A22848-EA62-4C40-9A0C-1BA6F7C47A17}"/>
    <cellStyle name="Normal 5 2 4 2 8 2" xfId="39501" xr:uid="{810D8211-BAA6-411A-8C1E-2D0D1D9529BD}"/>
    <cellStyle name="Normal 5 2 4 2 9" xfId="22417" xr:uid="{32C35948-C01C-45B8-9D04-2791A8A31180}"/>
    <cellStyle name="Normal 5 2 4 2 9 2" xfId="42752" xr:uid="{1B366C48-8AD5-4E9C-8E70-F360DE248A07}"/>
    <cellStyle name="Normal 5 2 4 3" xfId="5612" xr:uid="{9477DDF0-96AA-42B0-A534-539FD3720F5E}"/>
    <cellStyle name="Normal 5 2 4 3 10" xfId="12363" xr:uid="{691412D4-408D-4B46-B647-9B0ED27EB3E7}"/>
    <cellStyle name="Normal 5 2 4 3 10 2" xfId="32704" xr:uid="{95592ED2-78D0-4503-85DA-3A269B383073}"/>
    <cellStyle name="Normal 5 2 4 3 11" xfId="9102" xr:uid="{4414D44F-E497-4822-9975-6059865087FD}"/>
    <cellStyle name="Normal 5 2 4 3 11 2" xfId="29445" xr:uid="{574E88DC-91E6-4333-B913-F0A5AF007865}"/>
    <cellStyle name="Normal 5 2 4 3 12" xfId="25951" xr:uid="{FCBF8AB8-79B6-4B08-A8A1-7814F732400F}"/>
    <cellStyle name="Normal 5 2 4 3 2" xfId="6184" xr:uid="{87F93529-E224-4298-9A8F-29E7C180FD50}"/>
    <cellStyle name="Normal 5 2 4 3 2 2" xfId="7342" xr:uid="{F6AC9E27-6E7A-4D56-B1AB-C9444E224ECE}"/>
    <cellStyle name="Normal 5 2 4 3 2 2 2" xfId="17628" xr:uid="{4AC96424-DC47-4AF1-8897-9F74CBD5F455}"/>
    <cellStyle name="Normal 5 2 4 3 2 2 2 2" xfId="37968" xr:uid="{268A5AA7-C7F2-412E-8719-B8C635018755}"/>
    <cellStyle name="Normal 5 2 4 3 2 2 3" xfId="21130" xr:uid="{FE7E1C5D-C676-4FB5-9027-10C67EF67F1D}"/>
    <cellStyle name="Normal 5 2 4 3 2 2 3 2" xfId="41469" xr:uid="{308E959A-A074-496A-AE41-BB77E96CC77A}"/>
    <cellStyle name="Normal 5 2 4 3 2 2 4" xfId="24385" xr:uid="{9768A2CF-C322-4A3E-AC25-12761D749838}"/>
    <cellStyle name="Normal 5 2 4 3 2 2 4 2" xfId="44720" xr:uid="{72686260-5C66-4DEF-8C9F-86D23EBCDEBE}"/>
    <cellStyle name="Normal 5 2 4 3 2 2 5" xfId="14719" xr:uid="{96D100F0-D80A-4221-B4E9-407083CABE56}"/>
    <cellStyle name="Normal 5 2 4 3 2 2 5 2" xfId="35060" xr:uid="{4AB85208-F332-4871-BA09-9F339C0103DC}"/>
    <cellStyle name="Normal 5 2 4 3 2 2 6" xfId="10841" xr:uid="{9B8B1F89-6BC2-4364-AE34-E241C012D934}"/>
    <cellStyle name="Normal 5 2 4 3 2 2 6 2" xfId="31184" xr:uid="{7B3D86D9-7A67-4DC4-AB88-70AE981A89EC}"/>
    <cellStyle name="Normal 5 2 4 3 2 2 7" xfId="27690" xr:uid="{8580F94A-1DAE-45A1-BEFC-A1FBC7F62DC7}"/>
    <cellStyle name="Normal 5 2 4 3 2 3" xfId="16470" xr:uid="{76A2579B-1538-428C-9427-2021528B07AC}"/>
    <cellStyle name="Normal 5 2 4 3 2 3 2" xfId="36810" xr:uid="{782B7326-9478-46E1-9949-8BE22B16BEE0}"/>
    <cellStyle name="Normal 5 2 4 3 2 4" xfId="19972" xr:uid="{F03991D7-5081-4331-AA9B-7D895AA63F59}"/>
    <cellStyle name="Normal 5 2 4 3 2 4 2" xfId="40311" xr:uid="{8C9202B2-397C-4ADF-B340-6F63AF98F45A}"/>
    <cellStyle name="Normal 5 2 4 3 2 5" xfId="23227" xr:uid="{E4DFD5F9-60BE-4724-AB1A-9367336C6036}"/>
    <cellStyle name="Normal 5 2 4 3 2 5 2" xfId="43562" xr:uid="{4A1347E5-D484-4373-A90A-525A0CADC1A9}"/>
    <cellStyle name="Normal 5 2 4 3 2 6" xfId="13561" xr:uid="{3B7D1ACE-2D2A-4D5B-B0B1-DBD0DE87C805}"/>
    <cellStyle name="Normal 5 2 4 3 2 6 2" xfId="33902" xr:uid="{2F49B554-991B-483E-B6C1-650F4A19EC76}"/>
    <cellStyle name="Normal 5 2 4 3 2 7" xfId="9683" xr:uid="{E12930AA-1AD7-4907-9FC4-DB4F775805BA}"/>
    <cellStyle name="Normal 5 2 4 3 2 7 2" xfId="30026" xr:uid="{F20BCE1A-D35B-4E24-874A-23DF24013840}"/>
    <cellStyle name="Normal 5 2 4 3 2 8" xfId="26532" xr:uid="{99AFE4EB-44AE-42FF-9E64-0B270B606387}"/>
    <cellStyle name="Normal 5 2 4 3 3" xfId="6761" xr:uid="{AD497523-F679-42C4-BCA4-8AB110C09359}"/>
    <cellStyle name="Normal 5 2 4 3 3 2" xfId="17047" xr:uid="{7C50B410-BD01-4D2A-9D66-57EF5ADEE76E}"/>
    <cellStyle name="Normal 5 2 4 3 3 2 2" xfId="37387" xr:uid="{8CCEB3B5-C703-40BD-9734-B33EA9A2E2DF}"/>
    <cellStyle name="Normal 5 2 4 3 3 3" xfId="20549" xr:uid="{0A289E4D-E411-4872-94BF-967BFD6D86F2}"/>
    <cellStyle name="Normal 5 2 4 3 3 3 2" xfId="40888" xr:uid="{DD7CF402-4C06-4726-B812-879B1760B477}"/>
    <cellStyle name="Normal 5 2 4 3 3 4" xfId="23804" xr:uid="{066C29A5-05F4-44AA-B72E-B1D8587516C5}"/>
    <cellStyle name="Normal 5 2 4 3 3 4 2" xfId="44139" xr:uid="{051D7BBA-EFE2-4854-BA63-D9059FC3581C}"/>
    <cellStyle name="Normal 5 2 4 3 3 5" xfId="14138" xr:uid="{C536A56F-451D-4C5E-B0F1-87A55696BABD}"/>
    <cellStyle name="Normal 5 2 4 3 3 5 2" xfId="34479" xr:uid="{8A7F34BC-6765-4C73-B4B9-9C9AB3BEB8B3}"/>
    <cellStyle name="Normal 5 2 4 3 3 6" xfId="10260" xr:uid="{93D0B0F6-1341-4F65-82EB-324581F84409}"/>
    <cellStyle name="Normal 5 2 4 3 3 6 2" xfId="30603" xr:uid="{CFFD8396-6B2E-4CF8-B97D-C02A19A529D8}"/>
    <cellStyle name="Normal 5 2 4 3 3 7" xfId="27109" xr:uid="{9653E7E2-25A0-48EC-8122-E18A2F0E1042}"/>
    <cellStyle name="Normal 5 2 4 3 4" xfId="7925" xr:uid="{CF4DD25C-BDC9-436C-92BD-18027BEB2810}"/>
    <cellStyle name="Normal 5 2 4 3 4 2" xfId="18210" xr:uid="{95862953-8FEE-4606-A1EA-318B4D9EA3F9}"/>
    <cellStyle name="Normal 5 2 4 3 4 2 2" xfId="38550" xr:uid="{CFB38E25-6D5D-4286-B21A-4298A671FD94}"/>
    <cellStyle name="Normal 5 2 4 3 4 3" xfId="21712" xr:uid="{D0223F79-B913-4AF1-A38D-D0B43EAF00A6}"/>
    <cellStyle name="Normal 5 2 4 3 4 3 2" xfId="42051" xr:uid="{367A8894-9236-4B7F-BDC1-9AAB44087265}"/>
    <cellStyle name="Normal 5 2 4 3 4 4" xfId="24967" xr:uid="{290C2944-CC05-459E-A28A-8E558F5687BA}"/>
    <cellStyle name="Normal 5 2 4 3 4 4 2" xfId="45302" xr:uid="{5836B933-B4F8-462F-B1F4-A4FF35C6DE2A}"/>
    <cellStyle name="Normal 5 2 4 3 4 5" xfId="15302" xr:uid="{53CA634C-7FF3-4B58-94B5-E1DBC9CEC283}"/>
    <cellStyle name="Normal 5 2 4 3 4 5 2" xfId="35642" xr:uid="{353C58B1-B443-49F4-A0D4-686304B3EF4D}"/>
    <cellStyle name="Normal 5 2 4 3 4 6" xfId="11423" xr:uid="{77085645-1384-4660-B747-772367E2C51F}"/>
    <cellStyle name="Normal 5 2 4 3 4 6 2" xfId="31766" xr:uid="{B85D4BC5-B682-4322-A3A5-FC5FB080BA52}"/>
    <cellStyle name="Normal 5 2 4 3 4 7" xfId="28272" xr:uid="{32D7349D-BADE-432F-BD05-48A73E15F368}"/>
    <cellStyle name="Normal 5 2 4 3 5" xfId="12992" xr:uid="{6604D593-445A-441D-8961-A99B340A3E5B}"/>
    <cellStyle name="Normal 5 2 4 3 5 2" xfId="33333" xr:uid="{A7CB62D3-F7FC-4BA5-9D48-3D93D333C160}"/>
    <cellStyle name="Normal 5 2 4 3 6" xfId="15889" xr:uid="{650828CB-4CE3-40B5-B8D4-2AD422E6B506}"/>
    <cellStyle name="Normal 5 2 4 3 6 2" xfId="36229" xr:uid="{133DC405-682C-4BC0-B904-8E2BDC092F45}"/>
    <cellStyle name="Normal 5 2 4 3 7" xfId="18803" xr:uid="{09343A7E-7617-404F-849E-A8C7459E0581}"/>
    <cellStyle name="Normal 5 2 4 3 7 2" xfId="39143" xr:uid="{F5F91120-266F-434B-9F8F-4667096B8379}"/>
    <cellStyle name="Normal 5 2 4 3 8" xfId="19391" xr:uid="{C8424B23-9818-4E35-8E4F-2DFAACA22E2A}"/>
    <cellStyle name="Normal 5 2 4 3 8 2" xfId="39730" xr:uid="{D03E36AA-7675-4772-83AF-151838E3921C}"/>
    <cellStyle name="Normal 5 2 4 3 9" xfId="22646" xr:uid="{0FB7FF0B-2A4A-4B6D-91C6-4A399A2C8CBE}"/>
    <cellStyle name="Normal 5 2 4 3 9 2" xfId="42981" xr:uid="{733D4546-8CD8-4612-B432-E7BFA38CC5D0}"/>
    <cellStyle name="Normal 5 2 4 4" xfId="5840" xr:uid="{44B52CEA-012E-4909-B84E-5D792AC441E0}"/>
    <cellStyle name="Normal 5 2 4 4 2" xfId="6998" xr:uid="{41AC4027-AEA9-4888-AC42-A0DE9BDB3C93}"/>
    <cellStyle name="Normal 5 2 4 4 2 2" xfId="17284" xr:uid="{8AB98623-2BDC-4BD1-8D7E-BDB84D9EA66B}"/>
    <cellStyle name="Normal 5 2 4 4 2 2 2" xfId="37624" xr:uid="{8855BEC7-A4C1-42E3-93A0-AD14EA3656AF}"/>
    <cellStyle name="Normal 5 2 4 4 2 3" xfId="20786" xr:uid="{6A6FD2CC-826D-43ED-9086-66D19322539F}"/>
    <cellStyle name="Normal 5 2 4 4 2 3 2" xfId="41125" xr:uid="{7BCC98A3-0514-4949-BF63-19C25814A6B1}"/>
    <cellStyle name="Normal 5 2 4 4 2 4" xfId="24041" xr:uid="{A6DBCDCB-5936-4C0A-A36B-E96F7AEC2DC1}"/>
    <cellStyle name="Normal 5 2 4 4 2 4 2" xfId="44376" xr:uid="{69ED8354-5B62-4EA5-B559-C72A131998E2}"/>
    <cellStyle name="Normal 5 2 4 4 2 5" xfId="14375" xr:uid="{0800F35A-2DED-4F36-B722-2E8D0D1493DB}"/>
    <cellStyle name="Normal 5 2 4 4 2 5 2" xfId="34716" xr:uid="{C1BAA48D-7277-489B-9792-22D5FA26D881}"/>
    <cellStyle name="Normal 5 2 4 4 2 6" xfId="10497" xr:uid="{7279E05B-913F-4E93-A760-631FF334D579}"/>
    <cellStyle name="Normal 5 2 4 4 2 6 2" xfId="30840" xr:uid="{E105EC16-78CF-4FD5-9C6D-4D6B1DF7896B}"/>
    <cellStyle name="Normal 5 2 4 4 2 7" xfId="27346" xr:uid="{27F7CA88-26E9-4408-85B3-B0BDF8272FBE}"/>
    <cellStyle name="Normal 5 2 4 4 3" xfId="16126" xr:uid="{0CF0FF8C-D841-4B0C-AE52-20DCACA76EEF}"/>
    <cellStyle name="Normal 5 2 4 4 3 2" xfId="36466" xr:uid="{2DE0D96C-4D95-4F53-B6F3-F4EEE10585B4}"/>
    <cellStyle name="Normal 5 2 4 4 4" xfId="19628" xr:uid="{272505DD-153C-4600-9FEF-B4F8D1CCF731}"/>
    <cellStyle name="Normal 5 2 4 4 4 2" xfId="39967" xr:uid="{A0CC0C9B-2A7C-4517-AB20-A37A3F32FE52}"/>
    <cellStyle name="Normal 5 2 4 4 5" xfId="22883" xr:uid="{144C586F-D511-453D-9AE2-9388E96C4ED1}"/>
    <cellStyle name="Normal 5 2 4 4 5 2" xfId="43218" xr:uid="{ECD6E4F5-899D-4445-8517-42E271576F1D}"/>
    <cellStyle name="Normal 5 2 4 4 6" xfId="13219" xr:uid="{77590AF9-D5FA-40E0-8C56-8D19854C312B}"/>
    <cellStyle name="Normal 5 2 4 4 6 2" xfId="33560" xr:uid="{E1CFB7FF-29B8-4232-8841-77A31E82DE5A}"/>
    <cellStyle name="Normal 5 2 4 4 7" xfId="9339" xr:uid="{CB3B66BA-CF68-4B37-A260-69D12FFD102F}"/>
    <cellStyle name="Normal 5 2 4 4 7 2" xfId="29682" xr:uid="{F7CDF5CA-15AC-46D8-9BC9-57E3EAB42B85}"/>
    <cellStyle name="Normal 5 2 4 4 8" xfId="26188" xr:uid="{673F3A15-5252-4B80-94DE-2207CB3D8C7D}"/>
    <cellStyle name="Normal 5 2 4 5" xfId="6417" xr:uid="{82AF92EB-EE35-4FC2-A61C-59F3F0338231}"/>
    <cellStyle name="Normal 5 2 4 5 2" xfId="16703" xr:uid="{9D793A4E-F30B-406C-8280-AC9B4402377C}"/>
    <cellStyle name="Normal 5 2 4 5 2 2" xfId="37043" xr:uid="{4278E348-82FE-4868-B5E9-6B0670103393}"/>
    <cellStyle name="Normal 5 2 4 5 3" xfId="20205" xr:uid="{6BFB4320-0BAA-4486-9874-586B890A43A3}"/>
    <cellStyle name="Normal 5 2 4 5 3 2" xfId="40544" xr:uid="{E2FC540B-9A09-4F18-A15A-4E362423BC3C}"/>
    <cellStyle name="Normal 5 2 4 5 4" xfId="23460" xr:uid="{81078E0F-B0B8-444F-B08F-5922966B1186}"/>
    <cellStyle name="Normal 5 2 4 5 4 2" xfId="43795" xr:uid="{5B80920C-53A5-4B57-8414-E13717C544F4}"/>
    <cellStyle name="Normal 5 2 4 5 5" xfId="13794" xr:uid="{C8AFE6F6-57C0-42A3-A614-A88377A564C8}"/>
    <cellStyle name="Normal 5 2 4 5 5 2" xfId="34135" xr:uid="{0A79DC40-09F5-4343-BFFB-3639D94BE5F5}"/>
    <cellStyle name="Normal 5 2 4 5 6" xfId="9916" xr:uid="{2CC4599E-6EB6-4470-BBDA-5DFE8C645537}"/>
    <cellStyle name="Normal 5 2 4 5 6 2" xfId="30259" xr:uid="{933760F6-DC79-4D1E-A3FD-371B2F452E54}"/>
    <cellStyle name="Normal 5 2 4 5 7" xfId="26765" xr:uid="{396E5EB2-25DE-424A-95B8-57A7E968678D}"/>
    <cellStyle name="Normal 5 2 4 6" xfId="7581" xr:uid="{1027DC45-1DCD-493F-8BC3-15043EF8F1C7}"/>
    <cellStyle name="Normal 5 2 4 6 2" xfId="17866" xr:uid="{C54F1433-5F59-40A2-A4B6-4C26A658EC70}"/>
    <cellStyle name="Normal 5 2 4 6 2 2" xfId="38206" xr:uid="{348E26D7-94D8-4291-A173-A2AC4BC221DC}"/>
    <cellStyle name="Normal 5 2 4 6 3" xfId="21368" xr:uid="{74A000C1-8358-48C4-8E5C-08492433BA4C}"/>
    <cellStyle name="Normal 5 2 4 6 3 2" xfId="41707" xr:uid="{57615518-681C-4BBC-93A5-0EEE0F9ABA2F}"/>
    <cellStyle name="Normal 5 2 4 6 4" xfId="24623" xr:uid="{865C3807-444C-4209-B5DC-1F8239238B8B}"/>
    <cellStyle name="Normal 5 2 4 6 4 2" xfId="44958" xr:uid="{B6D6A351-7EA6-4E7F-A8F3-D2A5DF06E68B}"/>
    <cellStyle name="Normal 5 2 4 6 5" xfId="14958" xr:uid="{BDD038DF-5976-4113-9C0B-778B681AA5E7}"/>
    <cellStyle name="Normal 5 2 4 6 5 2" xfId="35298" xr:uid="{FC921C7B-A2FF-4680-BC6B-F4E61ACA5973}"/>
    <cellStyle name="Normal 5 2 4 6 6" xfId="11079" xr:uid="{2165FD67-FEDA-4A7B-AD83-6B193F44DA83}"/>
    <cellStyle name="Normal 5 2 4 6 6 2" xfId="31422" xr:uid="{492FEF63-1B4A-401D-A6AC-460332DBF3EA}"/>
    <cellStyle name="Normal 5 2 4 6 7" xfId="27928" xr:uid="{B847C03B-3283-4F29-9797-9A73E92AD587}"/>
    <cellStyle name="Normal 5 2 4 7" xfId="8114" xr:uid="{A8CBACB5-7D9A-41D0-A651-17CBFC67EF89}"/>
    <cellStyle name="Normal 5 2 4 7 2" xfId="21901" xr:uid="{685B00E2-78AF-4062-83AC-5E42690C4248}"/>
    <cellStyle name="Normal 5 2 4 7 2 2" xfId="42237" xr:uid="{5FE2C323-1AFF-4449-B85F-E74D5DE29B81}"/>
    <cellStyle name="Normal 5 2 4 7 3" xfId="25153" xr:uid="{E3626483-B4DC-47A3-98D0-6F88F55EBA6F}"/>
    <cellStyle name="Normal 5 2 4 7 3 2" xfId="45488" xr:uid="{D0206225-784B-487A-8600-9EA24D8CAD75}"/>
    <cellStyle name="Normal 5 2 4 7 4" xfId="12650" xr:uid="{E18C7C80-37E4-4C87-826D-DEC07A78127F}"/>
    <cellStyle name="Normal 5 2 4 7 4 2" xfId="32991" xr:uid="{77B4CAA6-D6BE-4EF2-A10F-B5B218E63135}"/>
    <cellStyle name="Normal 5 2 4 7 5" xfId="11610" xr:uid="{A563886E-7FAC-40C8-81C8-4727CF1ACD79}"/>
    <cellStyle name="Normal 5 2 4 7 5 2" xfId="31952" xr:uid="{E474C7A2-8180-4083-ABBC-3F717DFC7B3C}"/>
    <cellStyle name="Normal 5 2 4 7 6" xfId="28458" xr:uid="{CBB6A667-0563-43A6-8191-2918FE04E383}"/>
    <cellStyle name="Normal 5 2 4 8" xfId="8559" xr:uid="{32E45E5A-F5FC-4009-BFB7-98F40B20B776}"/>
    <cellStyle name="Normal 5 2 4 8 2" xfId="15545" xr:uid="{62774908-E4AA-4175-9481-3C9437FD9645}"/>
    <cellStyle name="Normal 5 2 4 8 2 2" xfId="35885" xr:uid="{E2207CD7-87E6-4765-8D97-01BC49181ACC}"/>
    <cellStyle name="Normal 5 2 4 8 3" xfId="28902" xr:uid="{02D8F676-F74F-4B11-A657-94ECD4A14C1B}"/>
    <cellStyle name="Normal 5 2 4 9" xfId="18459" xr:uid="{8D9FE160-6C5D-454B-925E-78BC59C46320}"/>
    <cellStyle name="Normal 5 2 4 9 2" xfId="38799" xr:uid="{A5E0A16E-E486-435D-81AB-0D6246C6466B}"/>
    <cellStyle name="Normal 5 2 5" xfId="5331" xr:uid="{06E96498-6A4D-4D84-8D49-1A5FD4A61447}"/>
    <cellStyle name="Normal 5 2 5 10" xfId="12061" xr:uid="{1CB912D2-5198-466E-A844-F07E099D8F09}"/>
    <cellStyle name="Normal 5 2 5 10 2" xfId="32402" xr:uid="{174BB854-2694-491A-A0EE-2F02900009EA}"/>
    <cellStyle name="Normal 5 2 5 11" xfId="8800" xr:uid="{1047D74E-59FB-476D-8DB4-727230A260B4}"/>
    <cellStyle name="Normal 5 2 5 11 2" xfId="29143" xr:uid="{34DB562B-B8D6-4A5D-9B1A-2C1B9A92B951}"/>
    <cellStyle name="Normal 5 2 5 12" xfId="25649" xr:uid="{7268EFB9-E555-464F-915C-18A6B6A7F557}"/>
    <cellStyle name="Normal 5 2 5 13" xfId="46070" xr:uid="{7EFD4AB8-C5DB-43DF-8B8F-FA60FE8F9EEB}"/>
    <cellStyle name="Normal 5 2 5 14" xfId="46556" xr:uid="{346B3C0D-15FC-42A2-98FE-B9B16CEFA807}"/>
    <cellStyle name="Normal 5 2 5 15" xfId="47048" xr:uid="{D4C58523-E48E-42E7-8BC3-8BB4FC308B4D}"/>
    <cellStyle name="Normal 5 2 5 2" xfId="5882" xr:uid="{5A37BD84-6A3A-4393-B7D6-4DCD6EDEAD8A}"/>
    <cellStyle name="Normal 5 2 5 2 2" xfId="7040" xr:uid="{424EF9EE-30E0-4625-91BD-93942ED975FC}"/>
    <cellStyle name="Normal 5 2 5 2 2 2" xfId="17326" xr:uid="{1C3625A4-523D-4719-9DD8-0BC58CE41BDF}"/>
    <cellStyle name="Normal 5 2 5 2 2 2 2" xfId="37666" xr:uid="{50161D76-CC84-4B98-8B59-BEBC9ACC6D21}"/>
    <cellStyle name="Normal 5 2 5 2 2 3" xfId="20828" xr:uid="{78F0C0DF-A9CD-41CD-8DD6-71D01EFAF4D4}"/>
    <cellStyle name="Normal 5 2 5 2 2 3 2" xfId="41167" xr:uid="{B1E5DB21-0207-4D96-8833-48E374840680}"/>
    <cellStyle name="Normal 5 2 5 2 2 4" xfId="24083" xr:uid="{0BA489A7-3FF9-40CA-BBCC-01C37C70EBAC}"/>
    <cellStyle name="Normal 5 2 5 2 2 4 2" xfId="44418" xr:uid="{C6B059EE-35E2-4E4B-95BB-DBEC6509D412}"/>
    <cellStyle name="Normal 5 2 5 2 2 5" xfId="14417" xr:uid="{9C8F0CA3-6CEB-47B5-B35E-371789ED7AD0}"/>
    <cellStyle name="Normal 5 2 5 2 2 5 2" xfId="34758" xr:uid="{638C1082-3497-445F-A6A0-CFCCFD2E0AC3}"/>
    <cellStyle name="Normal 5 2 5 2 2 6" xfId="10539" xr:uid="{1F05FC8F-B862-4501-A828-775AC7ACF3F0}"/>
    <cellStyle name="Normal 5 2 5 2 2 6 2" xfId="30882" xr:uid="{A87BEF47-8912-4845-AB57-52BDABF4B748}"/>
    <cellStyle name="Normal 5 2 5 2 2 7" xfId="27388" xr:uid="{5F86AF91-553B-4752-A801-8CE0B7B55800}"/>
    <cellStyle name="Normal 5 2 5 2 3" xfId="16168" xr:uid="{2D325A84-DF17-47E2-BBDB-E184EC035B5E}"/>
    <cellStyle name="Normal 5 2 5 2 3 2" xfId="36508" xr:uid="{5EBF3158-1BF4-4481-8621-4F85E9198D6E}"/>
    <cellStyle name="Normal 5 2 5 2 4" xfId="19670" xr:uid="{559D2F4F-4AA3-4924-B4B0-2ADDD3B9F5EC}"/>
    <cellStyle name="Normal 5 2 5 2 4 2" xfId="40009" xr:uid="{AC27E98B-B201-4BC3-8CF2-FD457E06A2C7}"/>
    <cellStyle name="Normal 5 2 5 2 5" xfId="22925" xr:uid="{22826661-7614-4C72-9265-D71B4EB2FFE0}"/>
    <cellStyle name="Normal 5 2 5 2 5 2" xfId="43260" xr:uid="{DE4558E4-858D-4F79-8BA9-A6691D493D2E}"/>
    <cellStyle name="Normal 5 2 5 2 6" xfId="13261" xr:uid="{23F9CCC9-3A99-45D1-99B9-C9C0EC97330C}"/>
    <cellStyle name="Normal 5 2 5 2 6 2" xfId="33602" xr:uid="{8DD15F3E-C29B-4DF3-95C6-A1DDBC846D8E}"/>
    <cellStyle name="Normal 5 2 5 2 7" xfId="9381" xr:uid="{A95E4CD9-A603-4DF2-BDDD-C681614077C9}"/>
    <cellStyle name="Normal 5 2 5 2 7 2" xfId="29724" xr:uid="{863E0EEF-C05C-49AA-AAB4-595D08962A97}"/>
    <cellStyle name="Normal 5 2 5 2 8" xfId="26230" xr:uid="{82366A3B-DA03-474F-9CDC-3C6610FBAE5B}"/>
    <cellStyle name="Normal 5 2 5 3" xfId="6459" xr:uid="{D76A9058-83DD-4DF0-8DF2-DBE61DF3CE13}"/>
    <cellStyle name="Normal 5 2 5 3 2" xfId="16745" xr:uid="{43768764-A75F-46A1-B97E-5FAED6F4A4B0}"/>
    <cellStyle name="Normal 5 2 5 3 2 2" xfId="37085" xr:uid="{174B613E-27F7-48B6-BB83-79A61ED25C9C}"/>
    <cellStyle name="Normal 5 2 5 3 3" xfId="20247" xr:uid="{8A56168C-592C-45D9-841B-B2ABCA5F6EA1}"/>
    <cellStyle name="Normal 5 2 5 3 3 2" xfId="40586" xr:uid="{13F5EC10-930E-4021-A2A4-8F112F2DA70E}"/>
    <cellStyle name="Normal 5 2 5 3 4" xfId="23502" xr:uid="{2DD101D1-0A77-4CE6-BE11-14879F238004}"/>
    <cellStyle name="Normal 5 2 5 3 4 2" xfId="43837" xr:uid="{A0DBAF10-C770-4248-AC6E-8C76CB75AF41}"/>
    <cellStyle name="Normal 5 2 5 3 5" xfId="13836" xr:uid="{4F736946-1B6E-4B74-9846-6BDACC2211A0}"/>
    <cellStyle name="Normal 5 2 5 3 5 2" xfId="34177" xr:uid="{27EF342C-6FFB-424B-846D-FC895465FA0C}"/>
    <cellStyle name="Normal 5 2 5 3 6" xfId="9958" xr:uid="{D5D93F59-BF81-4C47-9AD3-F7542A1C0390}"/>
    <cellStyle name="Normal 5 2 5 3 6 2" xfId="30301" xr:uid="{3CE1A690-B74B-499D-8C2C-A9722300EBA1}"/>
    <cellStyle name="Normal 5 2 5 3 7" xfId="26807" xr:uid="{AB46FC24-D480-4EA2-A4F3-812F86313F84}"/>
    <cellStyle name="Normal 5 2 5 4" xfId="7623" xr:uid="{FE824EA5-790E-41FB-8A80-E909E433DEA3}"/>
    <cellStyle name="Normal 5 2 5 4 2" xfId="17908" xr:uid="{E881F1E3-C140-4E11-983A-46D597487177}"/>
    <cellStyle name="Normal 5 2 5 4 2 2" xfId="38248" xr:uid="{721CBFA5-6B1B-4964-A0DE-2CE511D6A267}"/>
    <cellStyle name="Normal 5 2 5 4 3" xfId="21410" xr:uid="{7C4C7746-C154-48CC-BA22-4CA1AEAA7893}"/>
    <cellStyle name="Normal 5 2 5 4 3 2" xfId="41749" xr:uid="{1C5B5E0B-C78A-4FB8-8638-A0A37B30E141}"/>
    <cellStyle name="Normal 5 2 5 4 4" xfId="24665" xr:uid="{F89017F4-5A16-4A92-8CCA-69C7957B280C}"/>
    <cellStyle name="Normal 5 2 5 4 4 2" xfId="45000" xr:uid="{31608CFE-D690-4B36-B81A-2C7617548233}"/>
    <cellStyle name="Normal 5 2 5 4 5" xfId="15000" xr:uid="{738BFD72-E71F-4D30-AEAD-B4015BF83293}"/>
    <cellStyle name="Normal 5 2 5 4 5 2" xfId="35340" xr:uid="{4BE333B9-FF24-4DB7-88B5-7894A6F79F68}"/>
    <cellStyle name="Normal 5 2 5 4 6" xfId="11121" xr:uid="{7BA592CD-029C-4CFD-B0EB-7F9714F5956A}"/>
    <cellStyle name="Normal 5 2 5 4 6 2" xfId="31464" xr:uid="{BE649DF5-2961-45EB-94F9-430A4E4ABDCA}"/>
    <cellStyle name="Normal 5 2 5 4 7" xfId="27970" xr:uid="{6FED1B08-347C-4019-800B-067C110407F7}"/>
    <cellStyle name="Normal 5 2 5 5" xfId="12692" xr:uid="{23E29EA0-6BB3-4653-A200-49075F536308}"/>
    <cellStyle name="Normal 5 2 5 5 2" xfId="33033" xr:uid="{AE2DEEF3-24BD-45C5-88C7-FEF8C493A059}"/>
    <cellStyle name="Normal 5 2 5 6" xfId="15587" xr:uid="{23F936FB-B7FE-459D-85BE-6CED80A8EFBB}"/>
    <cellStyle name="Normal 5 2 5 6 2" xfId="35927" xr:uid="{5159ACB2-4F65-4FEF-B1CA-E3AF80C9B3AF}"/>
    <cellStyle name="Normal 5 2 5 7" xfId="18501" xr:uid="{2C06A4FE-C439-4A9A-8CCD-20B84278E7D6}"/>
    <cellStyle name="Normal 5 2 5 7 2" xfId="38841" xr:uid="{03CB3CE0-5430-4647-9A0B-A6139F1DE185}"/>
    <cellStyle name="Normal 5 2 5 8" xfId="19089" xr:uid="{3B73933B-92D7-4491-9CB3-627350069601}"/>
    <cellStyle name="Normal 5 2 5 8 2" xfId="39428" xr:uid="{A8A62753-EF5B-4ECC-8443-393D5DAA6955}"/>
    <cellStyle name="Normal 5 2 5 9" xfId="22344" xr:uid="{B28AEB36-6039-47A4-96AB-182C940B70DD}"/>
    <cellStyle name="Normal 5 2 5 9 2" xfId="42679" xr:uid="{C98A437C-D34F-4097-B7DF-DB004D2B5A3D}"/>
    <cellStyle name="Normal 5 2 6" xfId="5442" xr:uid="{66A49171-C9CB-41C7-8946-7B759068D028}"/>
    <cellStyle name="Normal 5 2 6 10" xfId="12186" xr:uid="{330E78FB-8BE0-4A5F-8A1C-D1F7D3EC4B63}"/>
    <cellStyle name="Normal 5 2 6 10 2" xfId="32527" xr:uid="{34E38E7D-F7C6-47AE-868B-53401B9C141B}"/>
    <cellStyle name="Normal 5 2 6 11" xfId="8925" xr:uid="{B66BDA26-AD6C-4556-8A99-266C44F80F25}"/>
    <cellStyle name="Normal 5 2 6 11 2" xfId="29268" xr:uid="{FC8B491A-345C-4B56-A6AB-9399DBE5A363}"/>
    <cellStyle name="Normal 5 2 6 12" xfId="25774" xr:uid="{F1611494-3453-4195-8E2E-163D5DE287C1}"/>
    <cellStyle name="Normal 5 2 6 2" xfId="6007" xr:uid="{B3EBC9E7-66B5-429B-BDB8-D582B087ADE9}"/>
    <cellStyle name="Normal 5 2 6 2 2" xfId="7165" xr:uid="{1AC6D330-A15D-4393-9BBA-7D39E8FB9C0A}"/>
    <cellStyle name="Normal 5 2 6 2 2 2" xfId="17451" xr:uid="{BFA38C12-C18D-4261-8F91-6A422EE0CF63}"/>
    <cellStyle name="Normal 5 2 6 2 2 2 2" xfId="37791" xr:uid="{41904C07-06F2-4BC9-B01B-F6B81B52CB64}"/>
    <cellStyle name="Normal 5 2 6 2 2 3" xfId="20953" xr:uid="{94BAE893-70F4-4427-AC54-28E38ED9EAE5}"/>
    <cellStyle name="Normal 5 2 6 2 2 3 2" xfId="41292" xr:uid="{3C86E985-D6C9-426B-A1EF-D13FF1F3D1D3}"/>
    <cellStyle name="Normal 5 2 6 2 2 4" xfId="24208" xr:uid="{CDC9CBF7-ECE4-4E7E-8452-548BA88483F5}"/>
    <cellStyle name="Normal 5 2 6 2 2 4 2" xfId="44543" xr:uid="{A875E99A-97E0-4950-B610-F5510F7349C4}"/>
    <cellStyle name="Normal 5 2 6 2 2 5" xfId="14542" xr:uid="{B941E1C5-49F9-48D3-B767-7BD735318B05}"/>
    <cellStyle name="Normal 5 2 6 2 2 5 2" xfId="34883" xr:uid="{CAC9CC6F-1474-47AE-AD5D-7D5B6FFE9A16}"/>
    <cellStyle name="Normal 5 2 6 2 2 6" xfId="10664" xr:uid="{144A4B6C-040A-488B-B72B-8EDF5192347B}"/>
    <cellStyle name="Normal 5 2 6 2 2 6 2" xfId="31007" xr:uid="{838BF421-2FA8-4785-84AF-E67B7A481B20}"/>
    <cellStyle name="Normal 5 2 6 2 2 7" xfId="27513" xr:uid="{0A2CBE1F-8F8F-4A64-8135-56C69318B00A}"/>
    <cellStyle name="Normal 5 2 6 2 3" xfId="16293" xr:uid="{217B8D15-4E36-448D-9E8B-87EA767CBE68}"/>
    <cellStyle name="Normal 5 2 6 2 3 2" xfId="36633" xr:uid="{B520E740-ABC9-491F-A07F-8279EFED9AAA}"/>
    <cellStyle name="Normal 5 2 6 2 4" xfId="19795" xr:uid="{90D1B0A9-4FB1-45F8-ABED-61DD4BCB86EC}"/>
    <cellStyle name="Normal 5 2 6 2 4 2" xfId="40134" xr:uid="{C2C0EF68-551D-4E8F-914B-5C228642F172}"/>
    <cellStyle name="Normal 5 2 6 2 5" xfId="23050" xr:uid="{D1FBCBD9-1D8B-4F0D-9C4B-84363EDBA6E7}"/>
    <cellStyle name="Normal 5 2 6 2 5 2" xfId="43385" xr:uid="{30ECCCB2-5148-4605-8442-8BDEA76EB625}"/>
    <cellStyle name="Normal 5 2 6 2 6" xfId="13384" xr:uid="{66EA855E-174B-4861-B45F-A7FDEEF49459}"/>
    <cellStyle name="Normal 5 2 6 2 6 2" xfId="33725" xr:uid="{69C3195F-E3EA-43AC-8D17-E2064643AA90}"/>
    <cellStyle name="Normal 5 2 6 2 7" xfId="9506" xr:uid="{3D9EA903-0EA0-4C38-9E38-0F2E569DF213}"/>
    <cellStyle name="Normal 5 2 6 2 7 2" xfId="29849" xr:uid="{7EE2BA44-61B7-4E32-BA63-E0AACCB041C6}"/>
    <cellStyle name="Normal 5 2 6 2 8" xfId="26355" xr:uid="{961D3081-0FBF-4384-A2D3-68C7D693D2B8}"/>
    <cellStyle name="Normal 5 2 6 3" xfId="6584" xr:uid="{149CCFE9-30EB-4738-822D-23FDC123A8A4}"/>
    <cellStyle name="Normal 5 2 6 3 2" xfId="16870" xr:uid="{383F7F2E-0660-48E0-B25D-9EC0CC504CAC}"/>
    <cellStyle name="Normal 5 2 6 3 2 2" xfId="37210" xr:uid="{43C07D47-32F2-4890-A0C4-EF1A09F7756A}"/>
    <cellStyle name="Normal 5 2 6 3 3" xfId="20372" xr:uid="{64535C24-81BD-433E-93A8-DD380D14885F}"/>
    <cellStyle name="Normal 5 2 6 3 3 2" xfId="40711" xr:uid="{29059B1C-F887-4150-AC28-B7C255871C9E}"/>
    <cellStyle name="Normal 5 2 6 3 4" xfId="23627" xr:uid="{4AC5025B-56D8-49E4-AA3E-33D30925C79E}"/>
    <cellStyle name="Normal 5 2 6 3 4 2" xfId="43962" xr:uid="{5FC17DCA-0E96-45DA-8641-77E6EA628DF8}"/>
    <cellStyle name="Normal 5 2 6 3 5" xfId="13961" xr:uid="{79AE7DB4-D7DF-4970-A831-C5A709DFE371}"/>
    <cellStyle name="Normal 5 2 6 3 5 2" xfId="34302" xr:uid="{E115DA7C-EAB3-480F-9BF1-2C5391051FC2}"/>
    <cellStyle name="Normal 5 2 6 3 6" xfId="10083" xr:uid="{45210FA9-0E13-4B53-A626-2F974C722596}"/>
    <cellStyle name="Normal 5 2 6 3 6 2" xfId="30426" xr:uid="{CEA8D1A2-8346-4380-B030-85EFF482836A}"/>
    <cellStyle name="Normal 5 2 6 3 7" xfId="26932" xr:uid="{477B577A-ED97-4765-A0BC-B0ECD0C93EE3}"/>
    <cellStyle name="Normal 5 2 6 4" xfId="7748" xr:uid="{4A1FFF8B-FC4F-4D46-81D1-D2AD2249BB19}"/>
    <cellStyle name="Normal 5 2 6 4 2" xfId="18033" xr:uid="{5328EA58-EBBD-4C09-8169-36797EC49C4B}"/>
    <cellStyle name="Normal 5 2 6 4 2 2" xfId="38373" xr:uid="{E6921609-5A45-469E-B975-8344FE25765D}"/>
    <cellStyle name="Normal 5 2 6 4 3" xfId="21535" xr:uid="{2E8B6B17-35E9-4846-AC8D-47010A5A0A5E}"/>
    <cellStyle name="Normal 5 2 6 4 3 2" xfId="41874" xr:uid="{DED64353-AE69-47D0-8D79-A0A1FAC69984}"/>
    <cellStyle name="Normal 5 2 6 4 4" xfId="24790" xr:uid="{48D9AD40-C085-4CF3-8C17-54A498986060}"/>
    <cellStyle name="Normal 5 2 6 4 4 2" xfId="45125" xr:uid="{E565C887-6ADB-45AC-B210-3B4B1447A857}"/>
    <cellStyle name="Normal 5 2 6 4 5" xfId="15125" xr:uid="{610E89A2-A256-41D0-BB15-CA532A95EB17}"/>
    <cellStyle name="Normal 5 2 6 4 5 2" xfId="35465" xr:uid="{2C4962B2-6B96-4899-B8F4-BC546BC29833}"/>
    <cellStyle name="Normal 5 2 6 4 6" xfId="11246" xr:uid="{F06C0E5F-0886-4B05-9798-19CC5DA88590}"/>
    <cellStyle name="Normal 5 2 6 4 6 2" xfId="31589" xr:uid="{128F450B-7148-4869-ABD3-15A8BABF45BE}"/>
    <cellStyle name="Normal 5 2 6 4 7" xfId="28095" xr:uid="{32716986-6B28-4B2D-B88F-FA44C774EFAE}"/>
    <cellStyle name="Normal 5 2 6 5" xfId="12815" xr:uid="{94046325-AF3A-4B9F-A56D-BA46BEDD7654}"/>
    <cellStyle name="Normal 5 2 6 5 2" xfId="33156" xr:uid="{8F64DD86-9BCA-4278-A7EB-694A03975175}"/>
    <cellStyle name="Normal 5 2 6 6" xfId="15712" xr:uid="{C61F6EDB-DA50-466E-8694-0455BE7A2223}"/>
    <cellStyle name="Normal 5 2 6 6 2" xfId="36052" xr:uid="{0CDDAA9D-BD07-4B19-B1EC-BDF06D09AA6E}"/>
    <cellStyle name="Normal 5 2 6 7" xfId="18626" xr:uid="{FC08E684-A228-419C-852D-FCF092619CAD}"/>
    <cellStyle name="Normal 5 2 6 7 2" xfId="38966" xr:uid="{C39D0973-AD6C-4320-86A4-E7614BE3F182}"/>
    <cellStyle name="Normal 5 2 6 8" xfId="19214" xr:uid="{A6A1B2EE-CAC4-4CF5-B964-5849FCE2E26F}"/>
    <cellStyle name="Normal 5 2 6 8 2" xfId="39553" xr:uid="{C4F4186B-14F9-4BC6-AFBB-EFBDFB184F11}"/>
    <cellStyle name="Normal 5 2 6 9" xfId="22469" xr:uid="{737525C4-183F-412F-945A-66B3FF60E4FC}"/>
    <cellStyle name="Normal 5 2 6 9 2" xfId="42804" xr:uid="{7907F981-95F5-4178-9A20-64D8ECDFC826}"/>
    <cellStyle name="Normal 5 2 7" xfId="5493" xr:uid="{16DB7EB2-530C-4E86-B13F-E897CBCE593A}"/>
    <cellStyle name="Normal 5 2 7 10" xfId="12244" xr:uid="{53B1FCB9-DFCC-4B10-872B-9D00CB8FFCEE}"/>
    <cellStyle name="Normal 5 2 7 10 2" xfId="32585" xr:uid="{012E47EC-18BD-4E9A-BA6B-FE8010C95A11}"/>
    <cellStyle name="Normal 5 2 7 11" xfId="8983" xr:uid="{2EBA56AE-50C7-48EE-B5BB-91512909FAE4}"/>
    <cellStyle name="Normal 5 2 7 11 2" xfId="29326" xr:uid="{471507EA-F384-445D-9AA2-FA445DD4E2F5}"/>
    <cellStyle name="Normal 5 2 7 12" xfId="25832" xr:uid="{D8ADB57F-4458-434F-8816-B70CE3703B98}"/>
    <cellStyle name="Normal 5 2 7 2" xfId="6065" xr:uid="{88FAD799-D2DE-4F32-B104-93E6AD302162}"/>
    <cellStyle name="Normal 5 2 7 2 2" xfId="7223" xr:uid="{D3BA3179-8918-4CC3-8682-1B3BCEF4893E}"/>
    <cellStyle name="Normal 5 2 7 2 2 2" xfId="17509" xr:uid="{74A14621-32BA-4219-B07C-FB7A04782336}"/>
    <cellStyle name="Normal 5 2 7 2 2 2 2" xfId="37849" xr:uid="{23DF8FEA-25B1-4A39-A528-5368EA2726F5}"/>
    <cellStyle name="Normal 5 2 7 2 2 3" xfId="21011" xr:uid="{CCFA32D8-BF0D-4F5B-8337-1DFF3F3BCC73}"/>
    <cellStyle name="Normal 5 2 7 2 2 3 2" xfId="41350" xr:uid="{4E6CB53B-E432-409D-A1E4-7FF712D1A124}"/>
    <cellStyle name="Normal 5 2 7 2 2 4" xfId="24266" xr:uid="{E75AA4D1-2F10-4E91-9F0C-9BA4F27F639D}"/>
    <cellStyle name="Normal 5 2 7 2 2 4 2" xfId="44601" xr:uid="{EB4BED9D-ACAC-4CBB-B031-F2A11E5BC75F}"/>
    <cellStyle name="Normal 5 2 7 2 2 5" xfId="14600" xr:uid="{B1EEC4A0-C91F-4812-9C73-6D7921AE0F6C}"/>
    <cellStyle name="Normal 5 2 7 2 2 5 2" xfId="34941" xr:uid="{D52546C4-38ED-411E-AC40-7D7B5CE9FC3D}"/>
    <cellStyle name="Normal 5 2 7 2 2 6" xfId="10722" xr:uid="{A249234C-1204-4DBA-9F8C-DFD6F7D00893}"/>
    <cellStyle name="Normal 5 2 7 2 2 6 2" xfId="31065" xr:uid="{7E598CDC-A191-4170-9B8F-E5B416D9C727}"/>
    <cellStyle name="Normal 5 2 7 2 2 7" xfId="27571" xr:uid="{E00A841E-E727-4EDB-ADCC-AE232626A735}"/>
    <cellStyle name="Normal 5 2 7 2 3" xfId="16351" xr:uid="{2925C815-3833-4015-8134-96D63D35149C}"/>
    <cellStyle name="Normal 5 2 7 2 3 2" xfId="36691" xr:uid="{03ADAB55-E531-46C3-8409-89D0AA416890}"/>
    <cellStyle name="Normal 5 2 7 2 4" xfId="19853" xr:uid="{C4AE2237-2E98-40EE-88C8-69B800A807C7}"/>
    <cellStyle name="Normal 5 2 7 2 4 2" xfId="40192" xr:uid="{4869EB84-976D-4046-B0E0-B4B4244AF283}"/>
    <cellStyle name="Normal 5 2 7 2 5" xfId="23108" xr:uid="{0EE45F74-AE83-42C6-91E2-E95C180AF987}"/>
    <cellStyle name="Normal 5 2 7 2 5 2" xfId="43443" xr:uid="{5D012C21-C656-4C9C-9E7E-46718EC5CABA}"/>
    <cellStyle name="Normal 5 2 7 2 6" xfId="13442" xr:uid="{248BAD21-83AA-4CF3-B9C1-38637AE3000E}"/>
    <cellStyle name="Normal 5 2 7 2 6 2" xfId="33783" xr:uid="{D07EB827-0D54-478B-9109-BAC558C7ACAF}"/>
    <cellStyle name="Normal 5 2 7 2 7" xfId="9564" xr:uid="{BF5658B0-818D-470D-9F54-D4FC0CBD657C}"/>
    <cellStyle name="Normal 5 2 7 2 7 2" xfId="29907" xr:uid="{082A4591-D3E9-4BF6-9772-92D155CAD1EA}"/>
    <cellStyle name="Normal 5 2 7 2 8" xfId="26413" xr:uid="{774FD2C1-9314-4217-8090-E397DBEB2B63}"/>
    <cellStyle name="Normal 5 2 7 3" xfId="6642" xr:uid="{F97DA8AA-5E81-4252-BC26-5770347111BF}"/>
    <cellStyle name="Normal 5 2 7 3 2" xfId="16928" xr:uid="{19B8E9F5-0CFC-449A-9533-E2E2C4EDBBAA}"/>
    <cellStyle name="Normal 5 2 7 3 2 2" xfId="37268" xr:uid="{7F9510E2-9847-4F41-9113-9E333A018A93}"/>
    <cellStyle name="Normal 5 2 7 3 3" xfId="20430" xr:uid="{05FEE01D-7082-48B7-87A8-B34394B5F36E}"/>
    <cellStyle name="Normal 5 2 7 3 3 2" xfId="40769" xr:uid="{8A0EC388-7D3A-4BD0-A438-38AB93921748}"/>
    <cellStyle name="Normal 5 2 7 3 4" xfId="23685" xr:uid="{6B0D5216-D28E-44A5-BE8D-2DF7A430FEDD}"/>
    <cellStyle name="Normal 5 2 7 3 4 2" xfId="44020" xr:uid="{B58726D2-16AE-4556-B24A-80E40A55F127}"/>
    <cellStyle name="Normal 5 2 7 3 5" xfId="14019" xr:uid="{DE87A840-F757-4880-AB15-24D5496B4896}"/>
    <cellStyle name="Normal 5 2 7 3 5 2" xfId="34360" xr:uid="{3BE1F401-E95A-4529-9746-2C80C3DFA00B}"/>
    <cellStyle name="Normal 5 2 7 3 6" xfId="10141" xr:uid="{981C652D-E1A4-4067-B0D7-CF254F931D7F}"/>
    <cellStyle name="Normal 5 2 7 3 6 2" xfId="30484" xr:uid="{91FF7D0E-6941-4549-A73A-57016CAB8609}"/>
    <cellStyle name="Normal 5 2 7 3 7" xfId="26990" xr:uid="{34F8C9E5-E5CF-4BF2-9FD7-ACC237C24D7B}"/>
    <cellStyle name="Normal 5 2 7 4" xfId="7806" xr:uid="{1B3288A7-5843-405D-9929-BEEADF7AB1D2}"/>
    <cellStyle name="Normal 5 2 7 4 2" xfId="18091" xr:uid="{BAB45623-C9A6-4241-A5BE-9BA8DD912B36}"/>
    <cellStyle name="Normal 5 2 7 4 2 2" xfId="38431" xr:uid="{688892B8-CE44-4F4A-8221-5A475E151ACA}"/>
    <cellStyle name="Normal 5 2 7 4 3" xfId="21593" xr:uid="{D748686B-572D-4EE8-B545-8D4C27F45F7E}"/>
    <cellStyle name="Normal 5 2 7 4 3 2" xfId="41932" xr:uid="{66A2E501-3F3A-4F18-B2F9-FE33A6AEDBD6}"/>
    <cellStyle name="Normal 5 2 7 4 4" xfId="24848" xr:uid="{01BE88F9-0A92-4A53-B313-7C61CABCF877}"/>
    <cellStyle name="Normal 5 2 7 4 4 2" xfId="45183" xr:uid="{59FA210A-0E9C-4BB0-A5A4-79CAD32C4532}"/>
    <cellStyle name="Normal 5 2 7 4 5" xfId="15183" xr:uid="{F712442B-1533-42F4-A1FB-4B63F2382166}"/>
    <cellStyle name="Normal 5 2 7 4 5 2" xfId="35523" xr:uid="{29ACBA25-08E4-487C-AC4B-643EAD8F3EF9}"/>
    <cellStyle name="Normal 5 2 7 4 6" xfId="11304" xr:uid="{88CC90DE-3CD7-4B76-9F0F-4434833007FD}"/>
    <cellStyle name="Normal 5 2 7 4 6 2" xfId="31647" xr:uid="{8988FB2C-062C-42B3-9392-EFEA8306DA99}"/>
    <cellStyle name="Normal 5 2 7 4 7" xfId="28153" xr:uid="{3E56C982-80D7-4641-B402-C94619C83046}"/>
    <cellStyle name="Normal 5 2 7 5" xfId="12873" xr:uid="{D0FE1E30-CB55-41C6-B3CA-D627A021AEBF}"/>
    <cellStyle name="Normal 5 2 7 5 2" xfId="33214" xr:uid="{D82C46B7-04D7-48E4-9CC1-C5F1BA9FDA25}"/>
    <cellStyle name="Normal 5 2 7 6" xfId="15770" xr:uid="{D18B68D1-9E1F-464A-8D1D-9C74470E6B66}"/>
    <cellStyle name="Normal 5 2 7 6 2" xfId="36110" xr:uid="{BF1DF86A-BDB7-4A7C-93E0-5AA836A4F6AB}"/>
    <cellStyle name="Normal 5 2 7 7" xfId="18684" xr:uid="{A138A745-E8BF-405A-BCCA-BCB5EDE060A9}"/>
    <cellStyle name="Normal 5 2 7 7 2" xfId="39024" xr:uid="{0A887464-5BDA-4B4D-B496-BE2B3240A60A}"/>
    <cellStyle name="Normal 5 2 7 8" xfId="19272" xr:uid="{795F033F-C2EF-4831-A38F-A33F0CD80731}"/>
    <cellStyle name="Normal 5 2 7 8 2" xfId="39611" xr:uid="{CF52E100-2570-4A86-979F-9986B6FF53EC}"/>
    <cellStyle name="Normal 5 2 7 9" xfId="22527" xr:uid="{238628F5-DF47-465C-A11C-2078939FE8DC}"/>
    <cellStyle name="Normal 5 2 7 9 2" xfId="42862" xr:uid="{E36EC1F1-2AE9-4562-AA9F-D88497C7E0C5}"/>
    <cellStyle name="Normal 5 2 8" xfId="5539" xr:uid="{1F9E8AE6-658B-439A-8721-81F42DB3E06D}"/>
    <cellStyle name="Normal 5 2 8 10" xfId="12290" xr:uid="{C4702080-6AAE-4237-AE59-734689971975}"/>
    <cellStyle name="Normal 5 2 8 10 2" xfId="32631" xr:uid="{AA11A1D2-A9FE-4DF9-8C32-9E5BB9CF6169}"/>
    <cellStyle name="Normal 5 2 8 11" xfId="9029" xr:uid="{41A46C6C-0486-402E-846D-BD8D852EF5F8}"/>
    <cellStyle name="Normal 5 2 8 11 2" xfId="29372" xr:uid="{1D03A91C-47E1-4601-A7F4-E0E17B5F7966}"/>
    <cellStyle name="Normal 5 2 8 12" xfId="25878" xr:uid="{0DAF4A0D-B614-48B2-8D53-21578FDF6BC2}"/>
    <cellStyle name="Normal 5 2 8 2" xfId="6111" xr:uid="{9D487E53-6D4F-4E4C-9B04-2E60BD3B92E4}"/>
    <cellStyle name="Normal 5 2 8 2 2" xfId="7269" xr:uid="{7B236DCB-9F20-4F3A-879F-C40792C73FEA}"/>
    <cellStyle name="Normal 5 2 8 2 2 2" xfId="17555" xr:uid="{22D8E3A2-B9EF-4E97-A14F-329E6275E99A}"/>
    <cellStyle name="Normal 5 2 8 2 2 2 2" xfId="37895" xr:uid="{D9C92F23-A0AE-41EB-8E3E-AEB5EEEE1381}"/>
    <cellStyle name="Normal 5 2 8 2 2 3" xfId="21057" xr:uid="{83CFAFF2-70EC-4BE2-BB68-26AFFBBFD4F6}"/>
    <cellStyle name="Normal 5 2 8 2 2 3 2" xfId="41396" xr:uid="{1098D597-FC97-4B0C-9686-D0B0876CC356}"/>
    <cellStyle name="Normal 5 2 8 2 2 4" xfId="24312" xr:uid="{14E7AF9A-E59D-48E5-B539-577261457819}"/>
    <cellStyle name="Normal 5 2 8 2 2 4 2" xfId="44647" xr:uid="{AE3A3672-9C94-4EBD-9F17-771FF33899D5}"/>
    <cellStyle name="Normal 5 2 8 2 2 5" xfId="14646" xr:uid="{00077763-58CE-42F3-8A9D-6C7CDDAECDBE}"/>
    <cellStyle name="Normal 5 2 8 2 2 5 2" xfId="34987" xr:uid="{D63FEC8E-DCD5-40FD-9AF7-E046C3EE5379}"/>
    <cellStyle name="Normal 5 2 8 2 2 6" xfId="10768" xr:uid="{BFC14F83-7DC4-435F-9390-3601D46D4CBB}"/>
    <cellStyle name="Normal 5 2 8 2 2 6 2" xfId="31111" xr:uid="{824E13F9-19C9-4B1F-94E2-5607D572E03C}"/>
    <cellStyle name="Normal 5 2 8 2 2 7" xfId="27617" xr:uid="{3527CD0D-DE3F-4093-8548-92A4080FA0F7}"/>
    <cellStyle name="Normal 5 2 8 2 3" xfId="16397" xr:uid="{27FCBF2B-4F2D-49DF-A7B5-09BD1B1A39E3}"/>
    <cellStyle name="Normal 5 2 8 2 3 2" xfId="36737" xr:uid="{BCDE9FF7-FCA0-463C-B003-04D96D9952A2}"/>
    <cellStyle name="Normal 5 2 8 2 4" xfId="19899" xr:uid="{2611B66A-7C7B-45B2-B039-08F1D8FF1A53}"/>
    <cellStyle name="Normal 5 2 8 2 4 2" xfId="40238" xr:uid="{046EF0C7-61DE-40E2-84DC-DC7DE2A515E4}"/>
    <cellStyle name="Normal 5 2 8 2 5" xfId="23154" xr:uid="{13782BBE-39D6-4BEA-9426-B78783771441}"/>
    <cellStyle name="Normal 5 2 8 2 5 2" xfId="43489" xr:uid="{45DAA596-E3D7-48FB-BFEE-1EE29FFA0343}"/>
    <cellStyle name="Normal 5 2 8 2 6" xfId="13488" xr:uid="{43EECE0F-7DAA-4854-8CF9-02780788E792}"/>
    <cellStyle name="Normal 5 2 8 2 6 2" xfId="33829" xr:uid="{B97A8C97-E5A2-4D76-B742-8230D4C495EE}"/>
    <cellStyle name="Normal 5 2 8 2 7" xfId="9610" xr:uid="{C1111FDA-E0A4-44E9-9714-ADD065BB449A}"/>
    <cellStyle name="Normal 5 2 8 2 7 2" xfId="29953" xr:uid="{19956839-5A66-4787-9F81-F70078944EC9}"/>
    <cellStyle name="Normal 5 2 8 2 8" xfId="26459" xr:uid="{03FC55B4-C800-417C-BDCB-D9A5BBAAD210}"/>
    <cellStyle name="Normal 5 2 8 3" xfId="6688" xr:uid="{37FF1F73-50D5-4D45-8F19-ABA8EFE91414}"/>
    <cellStyle name="Normal 5 2 8 3 2" xfId="16974" xr:uid="{8990021D-EFB2-4D6C-B86C-5DAF3455B9BF}"/>
    <cellStyle name="Normal 5 2 8 3 2 2" xfId="37314" xr:uid="{5BB77503-E9D1-47DA-9D23-92045E9D9E4E}"/>
    <cellStyle name="Normal 5 2 8 3 3" xfId="20476" xr:uid="{EB755345-7EB8-4B42-BA1B-51EB5FF5DCF7}"/>
    <cellStyle name="Normal 5 2 8 3 3 2" xfId="40815" xr:uid="{A2438A5C-112C-4664-B8DC-1AEBE670A168}"/>
    <cellStyle name="Normal 5 2 8 3 4" xfId="23731" xr:uid="{0F57CFB1-DA6F-4EC5-9764-C5657E594E1E}"/>
    <cellStyle name="Normal 5 2 8 3 4 2" xfId="44066" xr:uid="{57FC1D87-4E13-4E16-9E76-C4E4AF0BF455}"/>
    <cellStyle name="Normal 5 2 8 3 5" xfId="14065" xr:uid="{D1EAF4CF-22FC-4473-BA9D-4318084C76C9}"/>
    <cellStyle name="Normal 5 2 8 3 5 2" xfId="34406" xr:uid="{7149C0D4-F219-4735-A046-02040684300E}"/>
    <cellStyle name="Normal 5 2 8 3 6" xfId="10187" xr:uid="{D25021E0-7A65-46E1-B860-BF368A8B56D4}"/>
    <cellStyle name="Normal 5 2 8 3 6 2" xfId="30530" xr:uid="{0C01B655-6BF9-465B-B0A5-1211DB302055}"/>
    <cellStyle name="Normal 5 2 8 3 7" xfId="27036" xr:uid="{3DD1E255-2619-4F36-BFF6-4F913C7C8D55}"/>
    <cellStyle name="Normal 5 2 8 4" xfId="7852" xr:uid="{468ADBEC-E119-43F0-BC6C-D15D911C4489}"/>
    <cellStyle name="Normal 5 2 8 4 2" xfId="18137" xr:uid="{CFFF6049-E11D-4B12-9655-13810F7B5053}"/>
    <cellStyle name="Normal 5 2 8 4 2 2" xfId="38477" xr:uid="{5A1B5896-A6CD-4606-9A47-0787D0620DE6}"/>
    <cellStyle name="Normal 5 2 8 4 3" xfId="21639" xr:uid="{1416F9BF-D691-483F-A39E-7482AD979000}"/>
    <cellStyle name="Normal 5 2 8 4 3 2" xfId="41978" xr:uid="{D20C1B86-EB82-4B3B-8139-6CDE503E3DAF}"/>
    <cellStyle name="Normal 5 2 8 4 4" xfId="24894" xr:uid="{7C5CA641-CA92-48A2-9C85-D81DABD64C7C}"/>
    <cellStyle name="Normal 5 2 8 4 4 2" xfId="45229" xr:uid="{D855B4B9-DBE1-4781-A9EB-94D540044BFD}"/>
    <cellStyle name="Normal 5 2 8 4 5" xfId="15229" xr:uid="{2D64DADF-79B8-43E6-95C8-59BC5B366F95}"/>
    <cellStyle name="Normal 5 2 8 4 5 2" xfId="35569" xr:uid="{8445433C-42B3-4749-BF60-86510B543B1B}"/>
    <cellStyle name="Normal 5 2 8 4 6" xfId="11350" xr:uid="{DF2F0277-9690-4983-A5CD-BE2431469643}"/>
    <cellStyle name="Normal 5 2 8 4 6 2" xfId="31693" xr:uid="{B98EF59F-3B83-4E68-9DBF-608D1817E6A6}"/>
    <cellStyle name="Normal 5 2 8 4 7" xfId="28199" xr:uid="{A9377867-1D73-4E1D-9103-777434769F71}"/>
    <cellStyle name="Normal 5 2 8 5" xfId="12919" xr:uid="{39D7D75A-B6E2-48CF-9544-75F0CD3A9026}"/>
    <cellStyle name="Normal 5 2 8 5 2" xfId="33260" xr:uid="{3DB61365-888F-4B81-AE46-E23AB9A6B301}"/>
    <cellStyle name="Normal 5 2 8 6" xfId="15816" xr:uid="{2AE58B58-2830-442F-A891-86FF85682679}"/>
    <cellStyle name="Normal 5 2 8 6 2" xfId="36156" xr:uid="{61C12E73-B18B-4605-9712-40E5463C9858}"/>
    <cellStyle name="Normal 5 2 8 7" xfId="18730" xr:uid="{AB478FAA-8C54-4B4C-B9DC-F7184FDEAC19}"/>
    <cellStyle name="Normal 5 2 8 7 2" xfId="39070" xr:uid="{54CB69BD-6CD2-4CF6-81C9-23A8C4E93B2C}"/>
    <cellStyle name="Normal 5 2 8 8" xfId="19318" xr:uid="{13301E7A-2A73-4DF1-B7B9-A005FD14173E}"/>
    <cellStyle name="Normal 5 2 8 8 2" xfId="39657" xr:uid="{A18C90C9-4B3A-44F7-B88D-D4C38056C55D}"/>
    <cellStyle name="Normal 5 2 8 9" xfId="22573" xr:uid="{F2477E95-F1E3-4B46-BA14-F500A2AB8BCA}"/>
    <cellStyle name="Normal 5 2 8 9 2" xfId="42908" xr:uid="{1BD4F02B-4C8F-4E97-A7F0-1A530D80A7AC}"/>
    <cellStyle name="Normal 5 2 9" xfId="5666" xr:uid="{C11B8FCD-EDE6-43DA-A3EC-C6F997D26AD3}"/>
    <cellStyle name="Normal 5 2 9 10" xfId="12417" xr:uid="{22424BA2-532E-444B-98B6-B3AA756E554C}"/>
    <cellStyle name="Normal 5 2 9 10 2" xfId="32758" xr:uid="{F0A716B2-C11F-4156-91E2-7B4BDC5BAA12}"/>
    <cellStyle name="Normal 5 2 9 11" xfId="9156" xr:uid="{64E464C2-8B65-48C6-9A3C-7231A0C95589}"/>
    <cellStyle name="Normal 5 2 9 11 2" xfId="29499" xr:uid="{661622DC-1969-4099-8AED-0186E65EE831}"/>
    <cellStyle name="Normal 5 2 9 12" xfId="26005" xr:uid="{7338A34C-76DC-4C25-BADB-E83DF67082AD}"/>
    <cellStyle name="Normal 5 2 9 2" xfId="6238" xr:uid="{E57A8E68-F4C2-4A2D-9608-0E0F6269D832}"/>
    <cellStyle name="Normal 5 2 9 2 2" xfId="7396" xr:uid="{9E59EC8A-47CF-464A-9339-9A4D3A0A8AC0}"/>
    <cellStyle name="Normal 5 2 9 2 2 2" xfId="17682" xr:uid="{BC44D93A-5BBA-45B6-898E-F071A1D71246}"/>
    <cellStyle name="Normal 5 2 9 2 2 2 2" xfId="38022" xr:uid="{7741EF23-D3CD-4353-90DD-B8BCDF14F286}"/>
    <cellStyle name="Normal 5 2 9 2 2 3" xfId="21184" xr:uid="{A7E88DDC-6BDE-41DB-B06F-74A5CD075CBC}"/>
    <cellStyle name="Normal 5 2 9 2 2 3 2" xfId="41523" xr:uid="{7275C6D6-923C-493F-B7FB-2CAE0B35660C}"/>
    <cellStyle name="Normal 5 2 9 2 2 4" xfId="24439" xr:uid="{F500C166-BB0F-4CE1-AAEE-1B6151798F5F}"/>
    <cellStyle name="Normal 5 2 9 2 2 4 2" xfId="44774" xr:uid="{081959B2-1FE7-4061-971A-AED2DEBAD247}"/>
    <cellStyle name="Normal 5 2 9 2 2 5" xfId="14773" xr:uid="{D708D723-B5B5-4168-850D-31A9AF16B4D8}"/>
    <cellStyle name="Normal 5 2 9 2 2 5 2" xfId="35114" xr:uid="{BD7AB2A2-4AFC-474D-86B1-BFBE3351DF3F}"/>
    <cellStyle name="Normal 5 2 9 2 2 6" xfId="10895" xr:uid="{CA129A06-B76D-48BC-94F6-32DAB5D5E4F2}"/>
    <cellStyle name="Normal 5 2 9 2 2 6 2" xfId="31238" xr:uid="{23D16888-DE61-466A-879D-B4616DD138AC}"/>
    <cellStyle name="Normal 5 2 9 2 2 7" xfId="27744" xr:uid="{A0D4A1B8-E3E8-45EC-BCE2-60A85E578B72}"/>
    <cellStyle name="Normal 5 2 9 2 3" xfId="16524" xr:uid="{91A03D71-2220-40C7-897C-723866FDF30D}"/>
    <cellStyle name="Normal 5 2 9 2 3 2" xfId="36864" xr:uid="{584DD6B8-C05D-4FE2-B4BC-2EFA13279EDF}"/>
    <cellStyle name="Normal 5 2 9 2 4" xfId="20026" xr:uid="{445FC7B4-FDAA-4347-A1B0-16AD7416AC2C}"/>
    <cellStyle name="Normal 5 2 9 2 4 2" xfId="40365" xr:uid="{26A07F0D-8A0D-4E6E-A1C3-2C90DEFCD6A2}"/>
    <cellStyle name="Normal 5 2 9 2 5" xfId="23281" xr:uid="{F31DD86A-6FD5-41B2-8298-B040002AE9F3}"/>
    <cellStyle name="Normal 5 2 9 2 5 2" xfId="43616" xr:uid="{DB688A2F-9D15-4667-AC5B-4AA619EC6A48}"/>
    <cellStyle name="Normal 5 2 9 2 6" xfId="13615" xr:uid="{9938AF7B-3D10-41F2-B670-EBB226D36F71}"/>
    <cellStyle name="Normal 5 2 9 2 6 2" xfId="33956" xr:uid="{44EA93D0-8F41-453A-8027-528A7D504F60}"/>
    <cellStyle name="Normal 5 2 9 2 7" xfId="9737" xr:uid="{F06E7244-B3B4-4A6F-BE15-9ADE7C86E89B}"/>
    <cellStyle name="Normal 5 2 9 2 7 2" xfId="30080" xr:uid="{5A88037D-168F-4EF6-A9A7-7CCC4087FCBF}"/>
    <cellStyle name="Normal 5 2 9 2 8" xfId="26586" xr:uid="{6F16499F-6C8A-49EE-9029-87CEF89D73A0}"/>
    <cellStyle name="Normal 5 2 9 3" xfId="6815" xr:uid="{6DC73FED-2784-4693-9155-15430E47D8B4}"/>
    <cellStyle name="Normal 5 2 9 3 2" xfId="17101" xr:uid="{D48470AE-C1B3-4E35-B529-E7E516DEE149}"/>
    <cellStyle name="Normal 5 2 9 3 2 2" xfId="37441" xr:uid="{33E8B6E9-6C4C-4119-8C46-3A52B2505093}"/>
    <cellStyle name="Normal 5 2 9 3 3" xfId="20603" xr:uid="{25ADC950-1C3A-4056-819C-F04BA20D735E}"/>
    <cellStyle name="Normal 5 2 9 3 3 2" xfId="40942" xr:uid="{49E1B620-B03A-4196-924F-A8FC6FDC3CD6}"/>
    <cellStyle name="Normal 5 2 9 3 4" xfId="23858" xr:uid="{26094210-9DA2-4AB5-8F9A-F4C7F71B2CBF}"/>
    <cellStyle name="Normal 5 2 9 3 4 2" xfId="44193" xr:uid="{3CEC8CB8-105D-4E4B-982C-1E4A97606412}"/>
    <cellStyle name="Normal 5 2 9 3 5" xfId="14192" xr:uid="{99381E00-76D9-448F-B883-DE5B80A7973F}"/>
    <cellStyle name="Normal 5 2 9 3 5 2" xfId="34533" xr:uid="{B90FAD52-2939-419F-A41B-EF98BB2CD215}"/>
    <cellStyle name="Normal 5 2 9 3 6" xfId="10314" xr:uid="{E9A983BD-8FD5-44C3-A0A2-CBF48B4C7916}"/>
    <cellStyle name="Normal 5 2 9 3 6 2" xfId="30657" xr:uid="{CA897C51-8F4C-4C51-BADD-35C4AD75AE46}"/>
    <cellStyle name="Normal 5 2 9 3 7" xfId="27163" xr:uid="{C400CB8E-7F05-4E1E-8BE9-7E9DD32C70C5}"/>
    <cellStyle name="Normal 5 2 9 4" xfId="7979" xr:uid="{DB20B809-C4B3-4540-BFE0-4041AA778982}"/>
    <cellStyle name="Normal 5 2 9 4 2" xfId="18264" xr:uid="{13FE6358-E96E-4EFA-A416-857B0DC77CD4}"/>
    <cellStyle name="Normal 5 2 9 4 2 2" xfId="38604" xr:uid="{A2E4C579-3082-4D94-BCF1-292D2C92D3D2}"/>
    <cellStyle name="Normal 5 2 9 4 3" xfId="21766" xr:uid="{6FCC6297-E8D9-4B66-8933-AC68DF4A780E}"/>
    <cellStyle name="Normal 5 2 9 4 3 2" xfId="42105" xr:uid="{EC6D21B9-1834-46BD-B4F2-0DA504A27A7E}"/>
    <cellStyle name="Normal 5 2 9 4 4" xfId="25021" xr:uid="{6D01AB38-9BF2-4700-8305-F55FD241BFF6}"/>
    <cellStyle name="Normal 5 2 9 4 4 2" xfId="45356" xr:uid="{6EBB5183-1F8A-47AD-B5A8-CBB88D769FBA}"/>
    <cellStyle name="Normal 5 2 9 4 5" xfId="15356" xr:uid="{9C0A43D9-A279-4730-9228-68B670C6364B}"/>
    <cellStyle name="Normal 5 2 9 4 5 2" xfId="35696" xr:uid="{5C54054A-D8B7-458A-9CD4-56657524060E}"/>
    <cellStyle name="Normal 5 2 9 4 6" xfId="11477" xr:uid="{AEE4A3A5-17D8-4386-904C-0B5AECCD3141}"/>
    <cellStyle name="Normal 5 2 9 4 6 2" xfId="31820" xr:uid="{577DA37A-BB14-49F5-AFAA-B38E5A304C1A}"/>
    <cellStyle name="Normal 5 2 9 4 7" xfId="28326" xr:uid="{13F93F03-2E13-4C62-AF03-ABCFA4CEE231}"/>
    <cellStyle name="Normal 5 2 9 5" xfId="13046" xr:uid="{F5C356C9-DD3E-4B39-8CDA-BDF7C2508730}"/>
    <cellStyle name="Normal 5 2 9 5 2" xfId="33387" xr:uid="{74DB9DEC-6C71-4E13-AA3F-99C20339D13A}"/>
    <cellStyle name="Normal 5 2 9 6" xfId="15943" xr:uid="{57734139-589B-45D4-BE62-D946088ED4CB}"/>
    <cellStyle name="Normal 5 2 9 6 2" xfId="36283" xr:uid="{8CC5B16D-B72D-413D-92A2-684BCB88239B}"/>
    <cellStyle name="Normal 5 2 9 7" xfId="18857" xr:uid="{2F454756-A11A-42F0-BF80-8FC96777D278}"/>
    <cellStyle name="Normal 5 2 9 7 2" xfId="39197" xr:uid="{10C70035-1377-4000-8F53-D63476E322C9}"/>
    <cellStyle name="Normal 5 2 9 8" xfId="19445" xr:uid="{8AEC2D9C-D717-4CA0-992C-43D3E3B53B51}"/>
    <cellStyle name="Normal 5 2 9 8 2" xfId="39784" xr:uid="{AC59609E-6C11-4F80-98B8-FD98174097EF}"/>
    <cellStyle name="Normal 5 2 9 9" xfId="22700" xr:uid="{9F0FD94F-DB9A-448E-BE0D-8362F8A5473B}"/>
    <cellStyle name="Normal 5 2 9 9 2" xfId="43035" xr:uid="{3C945831-6DCD-42C6-95AD-508E8A386671}"/>
    <cellStyle name="Normal 5 20" xfId="8678" xr:uid="{26F83375-8E53-47CD-A44D-7F423286A02B}"/>
    <cellStyle name="Normal 5 20 2" xfId="29021" xr:uid="{9912BC64-5851-47CB-9EE3-F38EBD8B1618}"/>
    <cellStyle name="Normal 5 21" xfId="25523" xr:uid="{71BAA99E-BD4B-4744-AC0A-B2E299F37233}"/>
    <cellStyle name="Normal 5 22" xfId="45814" xr:uid="{AD064EAB-C564-4404-B2E8-998CB6C30BE7}"/>
    <cellStyle name="Normal 5 23" xfId="46300" xr:uid="{2D831B6D-DB1E-43AA-BF41-E89771312C0A}"/>
    <cellStyle name="Normal 5 24" xfId="46792" xr:uid="{595ACB3F-1D05-46EE-ADB6-18E1F8A400F3}"/>
    <cellStyle name="Normal 5 25" xfId="49959" xr:uid="{1640023E-9D5B-41D4-80B0-FC6D57780F91}"/>
    <cellStyle name="Normal 5 3" xfId="4814" xr:uid="{A4E0B740-6554-428B-95C1-5E5F45BB1C1F}"/>
    <cellStyle name="Normal 5 3 10" xfId="8115" xr:uid="{532AB246-4C41-46C2-967C-EC8FC5EBE5A7}"/>
    <cellStyle name="Normal 5 3 10 2" xfId="21902" xr:uid="{F0645F60-4DED-426D-B445-608422FC9555}"/>
    <cellStyle name="Normal 5 3 10 2 2" xfId="42238" xr:uid="{F3256359-3E72-407D-A5D0-DFCCF0C4CD03}"/>
    <cellStyle name="Normal 5 3 10 3" xfId="25154" xr:uid="{D6D41DC5-98CD-4A18-A0CB-338871A3B688}"/>
    <cellStyle name="Normal 5 3 10 3 2" xfId="45489" xr:uid="{DF8D49B3-E613-4DA8-A335-C31614B57CBB}"/>
    <cellStyle name="Normal 5 3 10 4" xfId="12624" xr:uid="{F8440F21-06E2-4E76-8016-97E5828DBC8F}"/>
    <cellStyle name="Normal 5 3 10 4 2" xfId="32965" xr:uid="{1F3B7143-5365-41E8-8868-7C629CD18891}"/>
    <cellStyle name="Normal 5 3 10 5" xfId="11611" xr:uid="{10D7796C-95EA-4675-85F6-BC1F22993313}"/>
    <cellStyle name="Normal 5 3 10 5 2" xfId="31953" xr:uid="{34589A75-7BAD-4A30-9A1F-BB3256E4B6CE}"/>
    <cellStyle name="Normal 5 3 10 6" xfId="28459" xr:uid="{2C399B30-B5C0-435A-9AEA-7875602EDC49}"/>
    <cellStyle name="Normal 5 3 11" xfId="8467" xr:uid="{E9D31BB8-32FB-44D0-8E7D-DC2BC78FA582}"/>
    <cellStyle name="Normal 5 3 11 2" xfId="15516" xr:uid="{A5BB93F5-D172-488D-B91E-34BD0E51A6D3}"/>
    <cellStyle name="Normal 5 3 11 2 2" xfId="35856" xr:uid="{6EF59945-4EEB-452C-9741-6B66A48ECDAA}"/>
    <cellStyle name="Normal 5 3 11 3" xfId="28810" xr:uid="{A5CA301D-4FE1-40EE-8F7B-9964E781708A}"/>
    <cellStyle name="Normal 5 3 12" xfId="18430" xr:uid="{0DC104B4-AF6B-4416-8555-106AA0D41BCA}"/>
    <cellStyle name="Normal 5 3 12 2" xfId="38770" xr:uid="{3C0A664D-723D-4679-BCE9-A01DBF574A4B}"/>
    <cellStyle name="Normal 5 3 13" xfId="19018" xr:uid="{A7542F28-8CB1-46D0-9817-D89CB5051242}"/>
    <cellStyle name="Normal 5 3 13 2" xfId="39357" xr:uid="{CE3C0AF2-E48F-41BF-BE9A-21B59D2BE7F3}"/>
    <cellStyle name="Normal 5 3 14" xfId="22273" xr:uid="{16805CAA-9036-40DF-BE1B-681D48A3A9BC}"/>
    <cellStyle name="Normal 5 3 14 2" xfId="42608" xr:uid="{1577C0E9-FD45-490B-90D5-9F5C162B5A1A}"/>
    <cellStyle name="Normal 5 3 15" xfId="11990" xr:uid="{4F32827B-DB0D-4609-95B1-719E584007DD}"/>
    <cellStyle name="Normal 5 3 15 2" xfId="32331" xr:uid="{CA88B85B-BAD6-44AC-B7AF-6E30387425FE}"/>
    <cellStyle name="Normal 5 3 16" xfId="8729" xr:uid="{7802FE25-6CBE-4A50-8036-6885B57989AA}"/>
    <cellStyle name="Normal 5 3 16 2" xfId="29072" xr:uid="{2830C4A5-D3B1-4B2E-87FF-646487588615}"/>
    <cellStyle name="Normal 5 3 17" xfId="25574" xr:uid="{2508B076-B107-4319-9D98-1324B06E1518}"/>
    <cellStyle name="Normal 5 3 18" xfId="45842" xr:uid="{E442F213-903C-4188-A0F1-B523A78AC3AF}"/>
    <cellStyle name="Normal 5 3 19" xfId="46328" xr:uid="{074BC6ED-7C35-4320-8102-6F3D513C4463}"/>
    <cellStyle name="Normal 5 3 2" xfId="4844" xr:uid="{55D5D83D-E33E-4F5A-A88A-72AD3A0F6A47}"/>
    <cellStyle name="Normal 5 3 2 10" xfId="22388" xr:uid="{43BBFE1F-D148-4B9F-90B1-E220BE81E60A}"/>
    <cellStyle name="Normal 5 3 2 10 2" xfId="42723" xr:uid="{E8C53A9F-66E6-4B33-B583-0E98FFA90B41}"/>
    <cellStyle name="Normal 5 3 2 11" xfId="12105" xr:uid="{A560AC00-4513-4BA7-A451-0F4CF00BCE85}"/>
    <cellStyle name="Normal 5 3 2 11 2" xfId="32446" xr:uid="{FC459CC5-B660-4194-B077-835F2448C461}"/>
    <cellStyle name="Normal 5 3 2 12" xfId="8844" xr:uid="{46B18616-8725-4051-BD9F-CAD1E3D4EC38}"/>
    <cellStyle name="Normal 5 3 2 12 2" xfId="29187" xr:uid="{A380B27E-ACBD-40EC-8D74-14397AD054EB}"/>
    <cellStyle name="Normal 5 3 2 13" xfId="25693" xr:uid="{A5609752-E728-4660-BEDD-329F5C283B87}"/>
    <cellStyle name="Normal 5 3 2 14" xfId="45902" xr:uid="{DD493B6D-87C5-47BD-9A8D-D25EAC2C0EA3}"/>
    <cellStyle name="Normal 5 3 2 15" xfId="46388" xr:uid="{473A084C-DB34-49A5-9F67-26EBB1D13A9A}"/>
    <cellStyle name="Normal 5 3 2 16" xfId="46880" xr:uid="{B9EED2C0-C6A7-4FB1-8794-B14219D19EC6}"/>
    <cellStyle name="Normal 5 3 2 2" xfId="5057" xr:uid="{9AF7E80A-303F-4487-81DA-31E7E531A66A}"/>
    <cellStyle name="Normal 5 3 2 2 10" xfId="12492" xr:uid="{2DCFD170-4409-44BC-93DC-82A2E19970A4}"/>
    <cellStyle name="Normal 5 3 2 2 10 2" xfId="32833" xr:uid="{9DFC2C5C-771E-464D-850A-0DCE422D88C4}"/>
    <cellStyle name="Normal 5 3 2 2 11" xfId="9231" xr:uid="{48A03A2A-836F-48D0-BF6F-712A8ECE91D2}"/>
    <cellStyle name="Normal 5 3 2 2 11 2" xfId="29574" xr:uid="{C3432F5D-7C30-4A57-823C-924B0790A3BB}"/>
    <cellStyle name="Normal 5 3 2 2 12" xfId="26080" xr:uid="{C0C1B000-E214-4A22-89F1-76108AF46FC9}"/>
    <cellStyle name="Normal 5 3 2 2 13" xfId="45939" xr:uid="{88ADDF6F-6430-406D-8648-BCBD810C02BE}"/>
    <cellStyle name="Normal 5 3 2 2 14" xfId="46425" xr:uid="{6BE92770-057B-474B-9241-1F04A051327D}"/>
    <cellStyle name="Normal 5 3 2 2 15" xfId="46917" xr:uid="{A4CED047-391B-40D6-A9AD-02E8D0F872D7}"/>
    <cellStyle name="Normal 5 3 2 2 2" xfId="6313" xr:uid="{8C25A7E3-96BC-4070-875D-FC44FA7196AC}"/>
    <cellStyle name="Normal 5 3 2 2 2 10" xfId="46668" xr:uid="{0289640B-F7D3-4723-9138-838E4FE15E98}"/>
    <cellStyle name="Normal 5 3 2 2 2 11" xfId="47160" xr:uid="{57EB627A-D17A-474F-B0EF-8FACA2EB30BD}"/>
    <cellStyle name="Normal 5 3 2 2 2 2" xfId="7471" xr:uid="{E1AFAA5A-2346-4B48-AC90-5F843E8A47A4}"/>
    <cellStyle name="Normal 5 3 2 2 2 2 2" xfId="17757" xr:uid="{1661E8A1-80EE-499C-9F98-1E1A149A5BBB}"/>
    <cellStyle name="Normal 5 3 2 2 2 2 2 2" xfId="38097" xr:uid="{4295ACCE-8922-4FF8-8DA5-C5C52BFAC562}"/>
    <cellStyle name="Normal 5 3 2 2 2 2 3" xfId="21259" xr:uid="{A09AFD42-F70C-46F2-8FBB-20F49973935A}"/>
    <cellStyle name="Normal 5 3 2 2 2 2 3 2" xfId="41598" xr:uid="{F2514A5D-5C3F-4851-9F87-9B267E73E93D}"/>
    <cellStyle name="Normal 5 3 2 2 2 2 4" xfId="24514" xr:uid="{B5B8891D-1F8E-4BCF-A31F-3D26F6F33522}"/>
    <cellStyle name="Normal 5 3 2 2 2 2 4 2" xfId="44849" xr:uid="{71FD6D4B-F8DD-4513-A328-95782572694D}"/>
    <cellStyle name="Normal 5 3 2 2 2 2 5" xfId="14848" xr:uid="{9A85F22B-D6D8-4881-B54D-C3F274E0D07B}"/>
    <cellStyle name="Normal 5 3 2 2 2 2 5 2" xfId="35189" xr:uid="{A691ECED-ABE0-4853-BF1D-3E1844350C8C}"/>
    <cellStyle name="Normal 5 3 2 2 2 2 6" xfId="10970" xr:uid="{ABEF2631-A5E0-41C2-93C3-264921D1C9A2}"/>
    <cellStyle name="Normal 5 3 2 2 2 2 6 2" xfId="31313" xr:uid="{D704FA5A-3663-4EEA-8981-1791F9EF6149}"/>
    <cellStyle name="Normal 5 3 2 2 2 2 7" xfId="27819" xr:uid="{E7D69B68-EA80-4A9B-9946-D37DAEB25E17}"/>
    <cellStyle name="Normal 5 3 2 2 2 3" xfId="16599" xr:uid="{D918B574-1C36-4519-ACD3-1DF3F50B5F79}"/>
    <cellStyle name="Normal 5 3 2 2 2 3 2" xfId="36939" xr:uid="{577E0DCE-F655-44D3-B54E-8290EF373E17}"/>
    <cellStyle name="Normal 5 3 2 2 2 4" xfId="20101" xr:uid="{4C4E8DD6-2B59-489E-9A35-4BD166468605}"/>
    <cellStyle name="Normal 5 3 2 2 2 4 2" xfId="40440" xr:uid="{565CC3A2-5CDC-4DE6-B373-07788B078479}"/>
    <cellStyle name="Normal 5 3 2 2 2 5" xfId="23356" xr:uid="{9658C077-8029-4E20-87D4-70D3BFC1EB79}"/>
    <cellStyle name="Normal 5 3 2 2 2 5 2" xfId="43691" xr:uid="{5683EA64-133C-4C24-8091-D97392049568}"/>
    <cellStyle name="Normal 5 3 2 2 2 6" xfId="13690" xr:uid="{4DE0272C-63B5-427C-8248-14B08E2D1EC9}"/>
    <cellStyle name="Normal 5 3 2 2 2 6 2" xfId="34031" xr:uid="{94D0ECEA-E2FE-4725-8770-B6EA06A50994}"/>
    <cellStyle name="Normal 5 3 2 2 2 7" xfId="9812" xr:uid="{BAF01462-8241-46F9-946A-6777A6F0095B}"/>
    <cellStyle name="Normal 5 3 2 2 2 7 2" xfId="30155" xr:uid="{C3D509D1-6B78-42C3-B484-8C2D54015993}"/>
    <cellStyle name="Normal 5 3 2 2 2 8" xfId="26661" xr:uid="{9E0E4EFA-97BD-4F70-BEC4-084505B49246}"/>
    <cellStyle name="Normal 5 3 2 2 2 9" xfId="46182" xr:uid="{46340B0A-89B9-434D-AFAA-0BCC673059E5}"/>
    <cellStyle name="Normal 5 3 2 2 3" xfId="6890" xr:uid="{CB65CC46-10B6-4AF9-BDB9-E7CDD872A9A4}"/>
    <cellStyle name="Normal 5 3 2 2 3 2" xfId="17176" xr:uid="{804677D9-C165-41FF-A7A3-EE5D83D0DF74}"/>
    <cellStyle name="Normal 5 3 2 2 3 2 2" xfId="37516" xr:uid="{33912A7B-262F-4C90-B5FB-B899260D0BF0}"/>
    <cellStyle name="Normal 5 3 2 2 3 3" xfId="20678" xr:uid="{CB4A6826-ABBF-4254-AFBB-A08499FB2AD5}"/>
    <cellStyle name="Normal 5 3 2 2 3 3 2" xfId="41017" xr:uid="{AA3962C3-E044-4E82-82B4-629F3CDC36E0}"/>
    <cellStyle name="Normal 5 3 2 2 3 4" xfId="23933" xr:uid="{DEE64D0D-4A7C-42B8-85BC-B75AA73F6327}"/>
    <cellStyle name="Normal 5 3 2 2 3 4 2" xfId="44268" xr:uid="{0BC9A867-9444-4AD1-A565-2999FF25BCFC}"/>
    <cellStyle name="Normal 5 3 2 2 3 5" xfId="14267" xr:uid="{384EDE36-77BA-423C-80D2-E8A786E6178F}"/>
    <cellStyle name="Normal 5 3 2 2 3 5 2" xfId="34608" xr:uid="{17BC9703-6249-4E0C-9857-2478BC1715DB}"/>
    <cellStyle name="Normal 5 3 2 2 3 6" xfId="10389" xr:uid="{75FEB40E-40FF-48DE-B23B-48CD9E781F84}"/>
    <cellStyle name="Normal 5 3 2 2 3 6 2" xfId="30732" xr:uid="{6652B72F-9D0B-41A5-8102-0C3D30EF3AB2}"/>
    <cellStyle name="Normal 5 3 2 2 3 7" xfId="27238" xr:uid="{F22DF4DC-40D7-4B47-9B70-4568A6B1D1CE}"/>
    <cellStyle name="Normal 5 3 2 2 4" xfId="8054" xr:uid="{7776F6F1-6CAF-41DF-AD34-8D97AB7904BD}"/>
    <cellStyle name="Normal 5 3 2 2 4 2" xfId="18339" xr:uid="{AF2A39AB-7077-4870-8A00-D312F9232E9E}"/>
    <cellStyle name="Normal 5 3 2 2 4 2 2" xfId="38679" xr:uid="{4C6D4FE9-A240-4ECC-A884-DAFC12DAC05E}"/>
    <cellStyle name="Normal 5 3 2 2 4 3" xfId="21841" xr:uid="{374017DB-F1ED-4AD9-BB62-45A300EF90B3}"/>
    <cellStyle name="Normal 5 3 2 2 4 3 2" xfId="42180" xr:uid="{34F9B5FF-FC75-4E8E-9004-84ED2A3A6417}"/>
    <cellStyle name="Normal 5 3 2 2 4 4" xfId="25096" xr:uid="{9DD63E34-B30B-4810-80C8-7BE264F1766E}"/>
    <cellStyle name="Normal 5 3 2 2 4 4 2" xfId="45431" xr:uid="{BF356786-EA10-4239-A7EA-C9E6B11BF444}"/>
    <cellStyle name="Normal 5 3 2 2 4 5" xfId="15431" xr:uid="{E3E192F3-D98F-4533-981C-D96BC220D677}"/>
    <cellStyle name="Normal 5 3 2 2 4 5 2" xfId="35771" xr:uid="{23577959-9BDE-42AC-8D3F-9D8A9FF985FF}"/>
    <cellStyle name="Normal 5 3 2 2 4 6" xfId="11552" xr:uid="{73B20681-1E8B-4D9F-A5B8-7C72659CF487}"/>
    <cellStyle name="Normal 5 3 2 2 4 6 2" xfId="31895" xr:uid="{3959B7CD-ABE2-4C3C-B628-D2048DEBA01E}"/>
    <cellStyle name="Normal 5 3 2 2 4 7" xfId="28401" xr:uid="{AFCF8D29-3179-4132-9A9F-12B0A11F4708}"/>
    <cellStyle name="Normal 5 3 2 2 5" xfId="8117" xr:uid="{CFB2E643-CB54-4823-B097-39B8D274E270}"/>
    <cellStyle name="Normal 5 3 2 2 5 2" xfId="21904" xr:uid="{24107332-0DCE-4E34-85EF-0F5146313F54}"/>
    <cellStyle name="Normal 5 3 2 2 5 2 2" xfId="42240" xr:uid="{922C2112-6D9B-487B-918F-B0FCAF517AEC}"/>
    <cellStyle name="Normal 5 3 2 2 5 3" xfId="25156" xr:uid="{A9A30256-69D7-4369-B547-FCFF2A0BC45A}"/>
    <cellStyle name="Normal 5 3 2 2 5 3 2" xfId="45491" xr:uid="{1A062775-2F86-4E28-81BE-2CCB1FEA97AB}"/>
    <cellStyle name="Normal 5 3 2 2 5 4" xfId="13121" xr:uid="{46B85056-919D-4E7B-B793-2B051258AA55}"/>
    <cellStyle name="Normal 5 3 2 2 5 4 2" xfId="33462" xr:uid="{7EEDA59B-84FD-4135-BA62-E9D28411BDDF}"/>
    <cellStyle name="Normal 5 3 2 2 5 5" xfId="11613" xr:uid="{01190B42-1DD3-4F26-873D-34595A901068}"/>
    <cellStyle name="Normal 5 3 2 2 5 5 2" xfId="31955" xr:uid="{0A697EF0-15F7-418F-B60D-AC00661FC366}"/>
    <cellStyle name="Normal 5 3 2 2 5 6" xfId="28461" xr:uid="{DB0B466A-FCB9-4143-A157-3ED97A7052E4}"/>
    <cellStyle name="Normal 5 3 2 2 6" xfId="8564" xr:uid="{6DD12308-3A6D-41B8-B93B-A4A3ACC84100}"/>
    <cellStyle name="Normal 5 3 2 2 6 2" xfId="16018" xr:uid="{DECB4666-E7FC-4D8C-86EB-FFDA3B362D7A}"/>
    <cellStyle name="Normal 5 3 2 2 6 2 2" xfId="36358" xr:uid="{E4A54A4B-CD22-40E9-9D25-E5CA69DCC9A3}"/>
    <cellStyle name="Normal 5 3 2 2 6 3" xfId="28907" xr:uid="{CD9A5F50-3641-4D22-BB2B-975C320773AB}"/>
    <cellStyle name="Normal 5 3 2 2 7" xfId="18932" xr:uid="{520D9FB0-BEBE-48AB-AD2B-DD349AAF4B38}"/>
    <cellStyle name="Normal 5 3 2 2 7 2" xfId="39272" xr:uid="{10559649-01BA-4B54-8F65-7D200BAD0FEB}"/>
    <cellStyle name="Normal 5 3 2 2 8" xfId="19520" xr:uid="{27A9452B-6C8B-4873-83C9-32EA527AF27D}"/>
    <cellStyle name="Normal 5 3 2 2 8 2" xfId="39859" xr:uid="{F184ABAB-9253-452A-9D90-E7DAC7DC7196}"/>
    <cellStyle name="Normal 5 3 2 2 9" xfId="22775" xr:uid="{F73A2DF0-AF0F-4F30-84B6-8C27C00AB35F}"/>
    <cellStyle name="Normal 5 3 2 2 9 2" xfId="43110" xr:uid="{986DBD13-E22B-487F-8CEC-74E4E48B4ED3}"/>
    <cellStyle name="Normal 5 3 2 3" xfId="5926" xr:uid="{A21E4255-5107-48BD-939F-4BC91CA5A5E4}"/>
    <cellStyle name="Normal 5 3 2 3 10" xfId="46631" xr:uid="{2A5B9578-EDC4-4AFA-9615-4A0D1A8BC34C}"/>
    <cellStyle name="Normal 5 3 2 3 11" xfId="47123" xr:uid="{AD726AE4-888B-4945-85ED-BFB21C8F709E}"/>
    <cellStyle name="Normal 5 3 2 3 2" xfId="7084" xr:uid="{5B062331-9D2B-4262-8188-B2DF3206F8B3}"/>
    <cellStyle name="Normal 5 3 2 3 2 2" xfId="17370" xr:uid="{F6C81CCA-50AE-4F72-90C9-67C9261D5B7F}"/>
    <cellStyle name="Normal 5 3 2 3 2 2 2" xfId="37710" xr:uid="{D3607FD2-0335-4B12-B866-2F8BFC3FE81B}"/>
    <cellStyle name="Normal 5 3 2 3 2 3" xfId="20872" xr:uid="{49185371-B4C3-455F-85F5-79FE14F4BAAA}"/>
    <cellStyle name="Normal 5 3 2 3 2 3 2" xfId="41211" xr:uid="{E591C0F2-2D34-4E07-B5A8-512533EF7AB7}"/>
    <cellStyle name="Normal 5 3 2 3 2 4" xfId="24127" xr:uid="{A4554752-3D68-4B1D-9CCD-C63072C96904}"/>
    <cellStyle name="Normal 5 3 2 3 2 4 2" xfId="44462" xr:uid="{69BD8F0E-DA99-4BB6-951E-8CEB2A005B58}"/>
    <cellStyle name="Normal 5 3 2 3 2 5" xfId="14461" xr:uid="{16FED8CD-8909-4FB7-B1EE-8094152DC4D1}"/>
    <cellStyle name="Normal 5 3 2 3 2 5 2" xfId="34802" xr:uid="{9B787972-4948-41D6-A951-AD031C884AAC}"/>
    <cellStyle name="Normal 5 3 2 3 2 6" xfId="10583" xr:uid="{93266234-FAD8-40DC-85EA-FD758A50D93D}"/>
    <cellStyle name="Normal 5 3 2 3 2 6 2" xfId="30926" xr:uid="{7816BBB9-161D-4670-AE48-67A33829FEC9}"/>
    <cellStyle name="Normal 5 3 2 3 2 7" xfId="27432" xr:uid="{8A463C9C-EC48-4098-A3FD-18B12CE3F8D8}"/>
    <cellStyle name="Normal 5 3 2 3 3" xfId="16212" xr:uid="{4FAB8FEE-F479-43E4-8307-F808E6CE636B}"/>
    <cellStyle name="Normal 5 3 2 3 3 2" xfId="36552" xr:uid="{A4725063-46DE-4481-AEA1-6DBDE52750B1}"/>
    <cellStyle name="Normal 5 3 2 3 4" xfId="19714" xr:uid="{88DA2BC8-54D5-4683-B57A-42BF5BF9E256}"/>
    <cellStyle name="Normal 5 3 2 3 4 2" xfId="40053" xr:uid="{84C6B12D-8DB7-4971-9EBC-3FB1F415216F}"/>
    <cellStyle name="Normal 5 3 2 3 5" xfId="22969" xr:uid="{745AC5F4-952A-49C4-9E49-1A84FAA0A59F}"/>
    <cellStyle name="Normal 5 3 2 3 5 2" xfId="43304" xr:uid="{113D81CB-A198-41F1-BC92-3D0F92157F38}"/>
    <cellStyle name="Normal 5 3 2 3 6" xfId="13304" xr:uid="{3AA9FABF-C8A1-48E3-9353-86E24F2F5E74}"/>
    <cellStyle name="Normal 5 3 2 3 6 2" xfId="33645" xr:uid="{AA6A1C23-86FB-4AE0-B428-94538D58F482}"/>
    <cellStyle name="Normal 5 3 2 3 7" xfId="9425" xr:uid="{48D7CC01-DC04-46E1-8592-6AFD35912406}"/>
    <cellStyle name="Normal 5 3 2 3 7 2" xfId="29768" xr:uid="{F176FAA2-C367-4E98-AE36-BCBEA993AADE}"/>
    <cellStyle name="Normal 5 3 2 3 8" xfId="26274" xr:uid="{3605A917-FC70-4FD8-A111-17F4D62F826D}"/>
    <cellStyle name="Normal 5 3 2 3 9" xfId="46145" xr:uid="{10E97992-5430-4F67-AEF4-BFF9DA6A8118}"/>
    <cellStyle name="Normal 5 3 2 4" xfId="6503" xr:uid="{38EDC6AF-8EAA-4C6C-825E-AA6DE331B8D4}"/>
    <cellStyle name="Normal 5 3 2 4 2" xfId="16789" xr:uid="{16FB7DBC-5635-478C-A8EF-7F7AAB1FD907}"/>
    <cellStyle name="Normal 5 3 2 4 2 2" xfId="37129" xr:uid="{00CEC339-B615-4E04-9606-C1427C09B8D5}"/>
    <cellStyle name="Normal 5 3 2 4 3" xfId="20291" xr:uid="{7D63291B-47C8-449F-9244-87FA7DFEFC8F}"/>
    <cellStyle name="Normal 5 3 2 4 3 2" xfId="40630" xr:uid="{39B56DA2-044B-4F03-A24D-30A674DDB3AC}"/>
    <cellStyle name="Normal 5 3 2 4 4" xfId="23546" xr:uid="{C2C80457-6D51-4A43-B845-F127870A2F37}"/>
    <cellStyle name="Normal 5 3 2 4 4 2" xfId="43881" xr:uid="{01E391FE-04E6-427D-B2CF-3E6BC38F131E}"/>
    <cellStyle name="Normal 5 3 2 4 5" xfId="13880" xr:uid="{D5424C91-ADDC-455E-940D-D67514CD2344}"/>
    <cellStyle name="Normal 5 3 2 4 5 2" xfId="34221" xr:uid="{D40A6348-BB0E-4966-8391-6BB0BD880684}"/>
    <cellStyle name="Normal 5 3 2 4 6" xfId="10002" xr:uid="{A61C4BF2-3A42-4837-8F5A-3E9E78DC5478}"/>
    <cellStyle name="Normal 5 3 2 4 6 2" xfId="30345" xr:uid="{4945945B-D31E-4E4F-BD7A-EBCC75DF6A31}"/>
    <cellStyle name="Normal 5 3 2 4 7" xfId="26851" xr:uid="{99251875-2855-42A1-BA23-85DAC6A83534}"/>
    <cellStyle name="Normal 5 3 2 5" xfId="7667" xr:uid="{A7F569D8-8E91-458B-B598-582A1B64F615}"/>
    <cellStyle name="Normal 5 3 2 5 2" xfId="17952" xr:uid="{871DC1BD-EF64-4FDE-B309-D271D82D67F6}"/>
    <cellStyle name="Normal 5 3 2 5 2 2" xfId="38292" xr:uid="{B2214966-4E6C-41A7-BEC8-BBB6AF7A99E4}"/>
    <cellStyle name="Normal 5 3 2 5 3" xfId="21454" xr:uid="{65CE71F8-8D5B-404A-8737-94AC49A73D90}"/>
    <cellStyle name="Normal 5 3 2 5 3 2" xfId="41793" xr:uid="{82631D21-524A-42B6-9032-F41A731E71F3}"/>
    <cellStyle name="Normal 5 3 2 5 4" xfId="24709" xr:uid="{ADBC15B9-D356-40D3-A4E5-05104EC60C40}"/>
    <cellStyle name="Normal 5 3 2 5 4 2" xfId="45044" xr:uid="{5E4664B2-0E99-4DB8-A5D0-02B138E71AE0}"/>
    <cellStyle name="Normal 5 3 2 5 5" xfId="15044" xr:uid="{96C78426-2401-4400-B6C6-1486C326565C}"/>
    <cellStyle name="Normal 5 3 2 5 5 2" xfId="35384" xr:uid="{CF2FA0E4-72F6-4C70-9B1D-09D6A0963F18}"/>
    <cellStyle name="Normal 5 3 2 5 6" xfId="11165" xr:uid="{446B9DF0-E22F-45FF-8F87-CA36334A4D6A}"/>
    <cellStyle name="Normal 5 3 2 5 6 2" xfId="31508" xr:uid="{23C127CD-E2FA-4915-A044-A39AE1576811}"/>
    <cellStyle name="Normal 5 3 2 5 7" xfId="28014" xr:uid="{637D2781-95F0-48A0-8435-4ED377152EB3}"/>
    <cellStyle name="Normal 5 3 2 6" xfId="8116" xr:uid="{057D9C49-7002-426C-B000-E53860E36C43}"/>
    <cellStyle name="Normal 5 3 2 6 2" xfId="21903" xr:uid="{2E6EA1AA-F24A-412F-A5F8-261A3181BDD1}"/>
    <cellStyle name="Normal 5 3 2 6 2 2" xfId="42239" xr:uid="{B7667C1D-4BF1-4326-8805-25ED8B40248E}"/>
    <cellStyle name="Normal 5 3 2 6 3" xfId="25155" xr:uid="{DCBDF8B4-17A0-4EB8-BECD-99653A65304B}"/>
    <cellStyle name="Normal 5 3 2 6 3 2" xfId="45490" xr:uid="{D505E2E7-988A-45AB-B8AB-CED460965479}"/>
    <cellStyle name="Normal 5 3 2 6 4" xfId="12735" xr:uid="{C60A7BFE-E5D6-40A3-BD54-391E07A66066}"/>
    <cellStyle name="Normal 5 3 2 6 4 2" xfId="33076" xr:uid="{A3FAC2B8-B947-4267-A70D-7679A418D42D}"/>
    <cellStyle name="Normal 5 3 2 6 5" xfId="11612" xr:uid="{DA7B793D-EA3C-48BC-923B-484F5A194A5D}"/>
    <cellStyle name="Normal 5 3 2 6 5 2" xfId="31954" xr:uid="{B0B16ACC-127F-4F2D-B9CD-4BD5FEFD0990}"/>
    <cellStyle name="Normal 5 3 2 6 6" xfId="28460" xr:uid="{1B8996A8-77F2-44E8-908E-681E1955A007}"/>
    <cellStyle name="Normal 5 3 2 7" xfId="8527" xr:uid="{4FDF508E-65AD-47E5-AA28-AA32FB5FEC34}"/>
    <cellStyle name="Normal 5 3 2 7 2" xfId="15631" xr:uid="{AF15A79C-E9C7-498F-8EB3-60E9CE5D0BF1}"/>
    <cellStyle name="Normal 5 3 2 7 2 2" xfId="35971" xr:uid="{894C5AEA-D6AB-49BC-BF52-BC5CD81748D1}"/>
    <cellStyle name="Normal 5 3 2 7 3" xfId="28870" xr:uid="{5235B409-E9E0-4D51-A0E9-C587A9B1A9E3}"/>
    <cellStyle name="Normal 5 3 2 8" xfId="18545" xr:uid="{2DD44D9B-687E-452D-9BF1-4D9A42BDE78A}"/>
    <cellStyle name="Normal 5 3 2 8 2" xfId="38885" xr:uid="{5EA3D097-D068-4F5E-BDA6-A763F5ED1BB9}"/>
    <cellStyle name="Normal 5 3 2 9" xfId="19133" xr:uid="{59C57F70-EB74-4933-B86B-66563E741940}"/>
    <cellStyle name="Normal 5 3 2 9 2" xfId="39472" xr:uid="{8F7576B1-AE45-4F81-825A-E5E02C27BF75}"/>
    <cellStyle name="Normal 5 3 20" xfId="46820" xr:uid="{0384D4BB-C82F-4F06-B619-8267D3AAA8EB}"/>
    <cellStyle name="Normal 5 3 3" xfId="5056" xr:uid="{7A5F5E27-8A4F-44AD-8C02-CBFEAD2A0DA6}"/>
    <cellStyle name="Normal 5 3 3 10" xfId="12201" xr:uid="{541D4847-0EBE-4E87-8F28-57BE1ABEDC3A}"/>
    <cellStyle name="Normal 5 3 3 10 2" xfId="32542" xr:uid="{AC138324-C7C9-4725-8AFC-8910A027CD94}"/>
    <cellStyle name="Normal 5 3 3 11" xfId="8940" xr:uid="{357BF9D2-EE6E-4974-AAF3-490B21E134DA}"/>
    <cellStyle name="Normal 5 3 3 11 2" xfId="29283" xr:uid="{0E8285BE-0AAB-4B72-AC6E-2B86ACB51893}"/>
    <cellStyle name="Normal 5 3 3 12" xfId="25789" xr:uid="{F395D61A-A61A-4D4C-8CE4-108AA287B50F}"/>
    <cellStyle name="Normal 5 3 3 13" xfId="45938" xr:uid="{232B027C-3F6E-40B3-82D3-FDA85B72CE6A}"/>
    <cellStyle name="Normal 5 3 3 14" xfId="46424" xr:uid="{5F61B4E9-346C-4C92-BDA3-FCA4A8EA2397}"/>
    <cellStyle name="Normal 5 3 3 15" xfId="46916" xr:uid="{B37C5689-F069-416A-B97D-3C30DFD260F6}"/>
    <cellStyle name="Normal 5 3 3 2" xfId="6022" xr:uid="{948D87C1-D0CD-4060-9E94-4A164AD4D2A7}"/>
    <cellStyle name="Normal 5 3 3 2 10" xfId="46667" xr:uid="{4C0AAACA-93EE-47D9-82A1-84399B1183D0}"/>
    <cellStyle name="Normal 5 3 3 2 11" xfId="47159" xr:uid="{0204469C-51AE-43CD-B877-5418AE3CFF0D}"/>
    <cellStyle name="Normal 5 3 3 2 2" xfId="7180" xr:uid="{881EA0BD-D369-4FAC-BF2A-5514EBE2A8F9}"/>
    <cellStyle name="Normal 5 3 3 2 2 2" xfId="17466" xr:uid="{0678F2D0-DCFD-4CD2-BF80-B5CF2298AB58}"/>
    <cellStyle name="Normal 5 3 3 2 2 2 2" xfId="37806" xr:uid="{3432C78B-CD0D-4406-A35C-F7A13D42145C}"/>
    <cellStyle name="Normal 5 3 3 2 2 3" xfId="20968" xr:uid="{E19C83AC-F471-4A20-B5CE-382774046567}"/>
    <cellStyle name="Normal 5 3 3 2 2 3 2" xfId="41307" xr:uid="{B781C2E7-3DB8-4BA3-B340-A88E1411D611}"/>
    <cellStyle name="Normal 5 3 3 2 2 4" xfId="24223" xr:uid="{A781006D-104B-4B5D-820B-3D4ED5ABD4B1}"/>
    <cellStyle name="Normal 5 3 3 2 2 4 2" xfId="44558" xr:uid="{09FB0D99-B123-4F08-813D-AA570D38C7A2}"/>
    <cellStyle name="Normal 5 3 3 2 2 5" xfId="14557" xr:uid="{6ADB872B-7EDF-4A4C-9458-4D1D7CD4B09E}"/>
    <cellStyle name="Normal 5 3 3 2 2 5 2" xfId="34898" xr:uid="{8360E709-45E6-48C2-AAD2-4911FA433B6C}"/>
    <cellStyle name="Normal 5 3 3 2 2 6" xfId="10679" xr:uid="{C06AB33D-AF76-4A4E-B382-127138F6C7B4}"/>
    <cellStyle name="Normal 5 3 3 2 2 6 2" xfId="31022" xr:uid="{8AD6BB99-3DE5-4742-BC20-A03EAF95E837}"/>
    <cellStyle name="Normal 5 3 3 2 2 7" xfId="27528" xr:uid="{CCA6802D-17F0-4157-A09B-3BD61EBB72DD}"/>
    <cellStyle name="Normal 5 3 3 2 3" xfId="16308" xr:uid="{C5AD7D04-14B2-48C7-BE79-C29A19FEA920}"/>
    <cellStyle name="Normal 5 3 3 2 3 2" xfId="36648" xr:uid="{BC0829E6-0627-40D3-ABD1-1A517D3517D8}"/>
    <cellStyle name="Normal 5 3 3 2 4" xfId="19810" xr:uid="{CDD91738-252F-4C36-8658-0A86EEA7E3D0}"/>
    <cellStyle name="Normal 5 3 3 2 4 2" xfId="40149" xr:uid="{33487BED-169B-481F-A28B-415102B6552F}"/>
    <cellStyle name="Normal 5 3 3 2 5" xfId="23065" xr:uid="{55A1F3DB-E858-49AF-A3FD-467FF3698EF0}"/>
    <cellStyle name="Normal 5 3 3 2 5 2" xfId="43400" xr:uid="{1DBAF973-74FC-4369-A772-7E8A0403F7D5}"/>
    <cellStyle name="Normal 5 3 3 2 6" xfId="13399" xr:uid="{26783527-4803-419D-8535-9A41E347204F}"/>
    <cellStyle name="Normal 5 3 3 2 6 2" xfId="33740" xr:uid="{FA463873-9509-4286-BFB7-52785D66DD41}"/>
    <cellStyle name="Normal 5 3 3 2 7" xfId="9521" xr:uid="{802339C7-68B5-46FC-AC52-7689DA0AF94E}"/>
    <cellStyle name="Normal 5 3 3 2 7 2" xfId="29864" xr:uid="{1B323E28-CC15-4E66-9770-4FBF68D77C22}"/>
    <cellStyle name="Normal 5 3 3 2 8" xfId="26370" xr:uid="{9962EEF1-BC72-4A62-B5C6-DBDFB149A879}"/>
    <cellStyle name="Normal 5 3 3 2 9" xfId="46181" xr:uid="{7DCE752A-E432-4DA6-8A48-CF3A04B2466C}"/>
    <cellStyle name="Normal 5 3 3 3" xfId="6599" xr:uid="{94953D2B-8189-4A42-A92F-4EBF4179F921}"/>
    <cellStyle name="Normal 5 3 3 3 2" xfId="16885" xr:uid="{8B9734CC-096A-44AE-94D3-464606B8F3E8}"/>
    <cellStyle name="Normal 5 3 3 3 2 2" xfId="37225" xr:uid="{8F148E3C-89AB-4268-8BA9-130C8D1ED4F5}"/>
    <cellStyle name="Normal 5 3 3 3 3" xfId="20387" xr:uid="{2C7C096C-2320-4D39-9256-091A8D504BBC}"/>
    <cellStyle name="Normal 5 3 3 3 3 2" xfId="40726" xr:uid="{A219B766-0C64-4D62-AE20-C063B16751A8}"/>
    <cellStyle name="Normal 5 3 3 3 4" xfId="23642" xr:uid="{246EC5F6-FB14-479E-9A32-01333033B444}"/>
    <cellStyle name="Normal 5 3 3 3 4 2" xfId="43977" xr:uid="{2057392A-1BE0-41AD-A1B2-1C3C6FC89367}"/>
    <cellStyle name="Normal 5 3 3 3 5" xfId="13976" xr:uid="{A7A734C0-F3FB-4694-B389-CDEF72BBB5B8}"/>
    <cellStyle name="Normal 5 3 3 3 5 2" xfId="34317" xr:uid="{ED0099AC-D0D5-438A-8CAA-27D75495A723}"/>
    <cellStyle name="Normal 5 3 3 3 6" xfId="10098" xr:uid="{B760C2E2-927E-41DA-BDFA-A84E0147CA64}"/>
    <cellStyle name="Normal 5 3 3 3 6 2" xfId="30441" xr:uid="{A5CB5AF4-17DB-4F8B-978C-D20564F6E713}"/>
    <cellStyle name="Normal 5 3 3 3 7" xfId="26947" xr:uid="{D602E424-22C4-4D29-8A43-6791F10C69DD}"/>
    <cellStyle name="Normal 5 3 3 4" xfId="7763" xr:uid="{FACD2B0D-9EF7-4389-AAE4-FE2953C76DDA}"/>
    <cellStyle name="Normal 5 3 3 4 2" xfId="18048" xr:uid="{88E81FE6-B046-45A2-98BF-716BFDB88952}"/>
    <cellStyle name="Normal 5 3 3 4 2 2" xfId="38388" xr:uid="{9E35CE75-EA49-4BB8-9BA2-4F56903001F0}"/>
    <cellStyle name="Normal 5 3 3 4 3" xfId="21550" xr:uid="{BCBC44BC-7FF9-4D41-AECB-1B9AA240B4E9}"/>
    <cellStyle name="Normal 5 3 3 4 3 2" xfId="41889" xr:uid="{8C5110CA-EA0C-4A42-B819-677FC69E4BEA}"/>
    <cellStyle name="Normal 5 3 3 4 4" xfId="24805" xr:uid="{E137F8BF-6381-46E2-BA67-B9629D19BED2}"/>
    <cellStyle name="Normal 5 3 3 4 4 2" xfId="45140" xr:uid="{45B6CF8D-3A72-4DB7-BAA7-1A1FF5745D94}"/>
    <cellStyle name="Normal 5 3 3 4 5" xfId="15140" xr:uid="{BEF0F48B-7F55-4C0F-B990-2A976E6D6DC6}"/>
    <cellStyle name="Normal 5 3 3 4 5 2" xfId="35480" xr:uid="{29D34518-73DF-42B5-AD69-75DACA2F7A22}"/>
    <cellStyle name="Normal 5 3 3 4 6" xfId="11261" xr:uid="{8A14A13B-8B21-45DA-B614-394FB9E6165B}"/>
    <cellStyle name="Normal 5 3 3 4 6 2" xfId="31604" xr:uid="{BFAA2937-7FB2-4170-A2CD-09EBE297FB86}"/>
    <cellStyle name="Normal 5 3 3 4 7" xfId="28110" xr:uid="{843393D1-6C16-40E8-8679-9B39801720BB}"/>
    <cellStyle name="Normal 5 3 3 5" xfId="8118" xr:uid="{207CA65C-AE3E-4AEE-91E5-343AC6B7F2CC}"/>
    <cellStyle name="Normal 5 3 3 5 2" xfId="21905" xr:uid="{7E361BDE-96D4-4907-85FE-6CC0DD5D13A6}"/>
    <cellStyle name="Normal 5 3 3 5 2 2" xfId="42241" xr:uid="{A941AFEB-5312-40E3-999F-B7F04E1BB90D}"/>
    <cellStyle name="Normal 5 3 3 5 3" xfId="25157" xr:uid="{3CB3FF89-E14B-45F9-A0E0-84347D234735}"/>
    <cellStyle name="Normal 5 3 3 5 3 2" xfId="45492" xr:uid="{B3FAD2CC-D1B4-470E-BBC2-94A2C4365452}"/>
    <cellStyle name="Normal 5 3 3 5 4" xfId="12830" xr:uid="{27545E90-5250-4C3A-9069-C11A01423BE5}"/>
    <cellStyle name="Normal 5 3 3 5 4 2" xfId="33171" xr:uid="{C2963511-DF32-4993-BACD-3F43EE6866A5}"/>
    <cellStyle name="Normal 5 3 3 5 5" xfId="11614" xr:uid="{B7382C65-CEF3-4113-92CF-16DF51935652}"/>
    <cellStyle name="Normal 5 3 3 5 5 2" xfId="31956" xr:uid="{82999CC7-DDE1-4D03-AB44-3CACDD285068}"/>
    <cellStyle name="Normal 5 3 3 5 6" xfId="28462" xr:uid="{198D5445-AC39-4D63-88DC-318671677F15}"/>
    <cellStyle name="Normal 5 3 3 6" xfId="8563" xr:uid="{05D5ACFF-FCA6-4036-B054-42EB382541C2}"/>
    <cellStyle name="Normal 5 3 3 6 2" xfId="15727" xr:uid="{F746236C-2A94-448C-A17B-D56F1D3E1379}"/>
    <cellStyle name="Normal 5 3 3 6 2 2" xfId="36067" xr:uid="{45A8012F-5710-4BF4-AF6C-E09688004099}"/>
    <cellStyle name="Normal 5 3 3 6 3" xfId="28906" xr:uid="{B96FCF2F-1E43-48A9-AB98-B306F100D48F}"/>
    <cellStyle name="Normal 5 3 3 7" xfId="18641" xr:uid="{5D75D2CB-F9F3-4617-A409-99C1104E0109}"/>
    <cellStyle name="Normal 5 3 3 7 2" xfId="38981" xr:uid="{1338804E-416C-47EB-BB4E-72BC23117F75}"/>
    <cellStyle name="Normal 5 3 3 8" xfId="19229" xr:uid="{56C85B6E-189E-47C9-B6AB-60C7AA6EAF5B}"/>
    <cellStyle name="Normal 5 3 3 8 2" xfId="39568" xr:uid="{67C4EB77-33AC-4048-A0B1-44309F824D5E}"/>
    <cellStyle name="Normal 5 3 3 9" xfId="22484" xr:uid="{25365FC8-9F50-4890-9894-77EC397CE710}"/>
    <cellStyle name="Normal 5 3 3 9 2" xfId="42819" xr:uid="{E0887921-CE9E-42F0-8307-6B47E0118AA0}"/>
    <cellStyle name="Normal 5 3 4" xfId="5508" xr:uid="{290F79C8-D29F-4504-938F-002276E5661E}"/>
    <cellStyle name="Normal 5 3 4 10" xfId="12259" xr:uid="{EBB42FE6-1E23-4DD2-8D71-49227E184440}"/>
    <cellStyle name="Normal 5 3 4 10 2" xfId="32600" xr:uid="{D933858B-F71A-455A-BFC6-49BCDB725194}"/>
    <cellStyle name="Normal 5 3 4 11" xfId="8998" xr:uid="{97EDCF21-AC5F-4F9F-A328-9D044E44DA3D}"/>
    <cellStyle name="Normal 5 3 4 11 2" xfId="29341" xr:uid="{373007EB-0420-4564-ACED-0F070C0A73D9}"/>
    <cellStyle name="Normal 5 3 4 12" xfId="25847" xr:uid="{568A952E-C337-4D87-92D3-B95AFD3F1E6C}"/>
    <cellStyle name="Normal 5 3 4 13" xfId="46085" xr:uid="{47394914-3FC8-4E29-8819-8D43366D4214}"/>
    <cellStyle name="Normal 5 3 4 14" xfId="46571" xr:uid="{AE6EA538-108F-42BE-B13E-3705A6135074}"/>
    <cellStyle name="Normal 5 3 4 15" xfId="47063" xr:uid="{19CFD519-BEFA-477A-AB35-E0CCD9E5717D}"/>
    <cellStyle name="Normal 5 3 4 2" xfId="6080" xr:uid="{DA0F7448-FC3E-45CC-BC10-10F50E963F12}"/>
    <cellStyle name="Normal 5 3 4 2 2" xfId="7238" xr:uid="{7DF4D458-4C49-44EB-9809-662EAB82F01F}"/>
    <cellStyle name="Normal 5 3 4 2 2 2" xfId="17524" xr:uid="{5B7BB52E-FB22-40D2-8559-4A492F96C5A3}"/>
    <cellStyle name="Normal 5 3 4 2 2 2 2" xfId="37864" xr:uid="{68E38B4A-C33E-4523-ADFD-48D8130FD1FF}"/>
    <cellStyle name="Normal 5 3 4 2 2 3" xfId="21026" xr:uid="{1EC6CD73-A0F6-4A70-9C9A-6FAE24ECDD1A}"/>
    <cellStyle name="Normal 5 3 4 2 2 3 2" xfId="41365" xr:uid="{4710FF63-73CC-475B-AD95-F5D262BC583F}"/>
    <cellStyle name="Normal 5 3 4 2 2 4" xfId="24281" xr:uid="{51C4582F-DFCA-4C37-9E5F-24BDAE5F0344}"/>
    <cellStyle name="Normal 5 3 4 2 2 4 2" xfId="44616" xr:uid="{4C65A12A-E3BC-4AC1-9454-43DFDC1F1BD7}"/>
    <cellStyle name="Normal 5 3 4 2 2 5" xfId="14615" xr:uid="{A8FE8EC3-B457-4A4A-89EB-AED9F5664851}"/>
    <cellStyle name="Normal 5 3 4 2 2 5 2" xfId="34956" xr:uid="{B8DD2D25-3742-4AC1-80F4-50271173D385}"/>
    <cellStyle name="Normal 5 3 4 2 2 6" xfId="10737" xr:uid="{82DAA05A-E2CC-4F1F-BED2-F84214FD5A6F}"/>
    <cellStyle name="Normal 5 3 4 2 2 6 2" xfId="31080" xr:uid="{ACFDECAE-518F-413B-80BA-C8D11538C2ED}"/>
    <cellStyle name="Normal 5 3 4 2 2 7" xfId="27586" xr:uid="{B3194EB5-573E-47F3-B5DB-859B7DCE6249}"/>
    <cellStyle name="Normal 5 3 4 2 3" xfId="16366" xr:uid="{3A5A979D-472C-4772-A9B5-B9E79A306017}"/>
    <cellStyle name="Normal 5 3 4 2 3 2" xfId="36706" xr:uid="{51DD2FD2-827D-4986-AF2B-10C0D3BDE2C1}"/>
    <cellStyle name="Normal 5 3 4 2 4" xfId="19868" xr:uid="{45AB72ED-DB82-4495-AC79-96D588D85608}"/>
    <cellStyle name="Normal 5 3 4 2 4 2" xfId="40207" xr:uid="{F248F118-4F0F-4B7D-88D0-AB1F34019198}"/>
    <cellStyle name="Normal 5 3 4 2 5" xfId="23123" xr:uid="{13E4AE71-65C6-45F0-8525-52BBE09F4488}"/>
    <cellStyle name="Normal 5 3 4 2 5 2" xfId="43458" xr:uid="{B56151B5-7D17-468D-ABC2-053ADE782616}"/>
    <cellStyle name="Normal 5 3 4 2 6" xfId="13457" xr:uid="{8ABFBE26-2B93-4E26-9BCF-E7707F8C590B}"/>
    <cellStyle name="Normal 5 3 4 2 6 2" xfId="33798" xr:uid="{2DA4E743-BE50-40B4-956D-05CC468829BB}"/>
    <cellStyle name="Normal 5 3 4 2 7" xfId="9579" xr:uid="{4A7631D5-6A9C-4724-9115-3CA2D7BED80A}"/>
    <cellStyle name="Normal 5 3 4 2 7 2" xfId="29922" xr:uid="{7225EE0B-9B0D-47B8-B5E1-4A919200EC44}"/>
    <cellStyle name="Normal 5 3 4 2 8" xfId="26428" xr:uid="{CC6A94B2-F553-4F5D-974F-9B4A31B6F218}"/>
    <cellStyle name="Normal 5 3 4 3" xfId="6657" xr:uid="{8452CE44-319A-4A3C-ADE5-C14F9B484BD4}"/>
    <cellStyle name="Normal 5 3 4 3 2" xfId="16943" xr:uid="{C5E9D039-F79B-4539-A934-BA9A8F90BE21}"/>
    <cellStyle name="Normal 5 3 4 3 2 2" xfId="37283" xr:uid="{4A2A859E-37A5-415B-9529-5324FE2FDC4C}"/>
    <cellStyle name="Normal 5 3 4 3 3" xfId="20445" xr:uid="{D0F8C3D2-444A-4610-A46D-426911B4A690}"/>
    <cellStyle name="Normal 5 3 4 3 3 2" xfId="40784" xr:uid="{D048CC91-5C12-43DA-855E-3FC0C750D449}"/>
    <cellStyle name="Normal 5 3 4 3 4" xfId="23700" xr:uid="{4AEB2A4F-9CC2-4CB9-B381-C7FB4E2BFDC0}"/>
    <cellStyle name="Normal 5 3 4 3 4 2" xfId="44035" xr:uid="{C38B2F9B-7BBF-414F-AA35-D3444086FED4}"/>
    <cellStyle name="Normal 5 3 4 3 5" xfId="14034" xr:uid="{29CDCAB2-9983-4410-BB8B-B2A011E3383A}"/>
    <cellStyle name="Normal 5 3 4 3 5 2" xfId="34375" xr:uid="{06337D59-6C75-431F-BCBF-009DBF8EA4A9}"/>
    <cellStyle name="Normal 5 3 4 3 6" xfId="10156" xr:uid="{7E8ECE0B-9FA2-45C3-AFF5-DF5B9CB7C949}"/>
    <cellStyle name="Normal 5 3 4 3 6 2" xfId="30499" xr:uid="{5B946BB9-B5EE-4253-9746-0A10545AD1D7}"/>
    <cellStyle name="Normal 5 3 4 3 7" xfId="27005" xr:uid="{6E7BA147-BE79-4222-82E2-72CD3F82AB34}"/>
    <cellStyle name="Normal 5 3 4 4" xfId="7821" xr:uid="{CE37EF28-ECE9-4F08-ACFD-818160490F68}"/>
    <cellStyle name="Normal 5 3 4 4 2" xfId="18106" xr:uid="{9CC21A7C-BCA0-40B7-8D43-0EF68D9C50A8}"/>
    <cellStyle name="Normal 5 3 4 4 2 2" xfId="38446" xr:uid="{BA058A56-3E73-44FC-ADB7-5711D04F65C1}"/>
    <cellStyle name="Normal 5 3 4 4 3" xfId="21608" xr:uid="{EBDAC2AC-789D-451A-9700-C557E1330132}"/>
    <cellStyle name="Normal 5 3 4 4 3 2" xfId="41947" xr:uid="{3EB5C89C-6FD4-417A-9279-B1674DFED014}"/>
    <cellStyle name="Normal 5 3 4 4 4" xfId="24863" xr:uid="{53E7EBAD-6A95-4F1A-A170-76A39972B6CE}"/>
    <cellStyle name="Normal 5 3 4 4 4 2" xfId="45198" xr:uid="{6FD890A1-907A-42E6-8973-81BF986CA8D0}"/>
    <cellStyle name="Normal 5 3 4 4 5" xfId="15198" xr:uid="{30D4D1AE-812B-4FEE-9A5A-1D1E0018F6D3}"/>
    <cellStyle name="Normal 5 3 4 4 5 2" xfId="35538" xr:uid="{7A4F69B9-AB77-48B2-8586-0EC708E28F48}"/>
    <cellStyle name="Normal 5 3 4 4 6" xfId="11319" xr:uid="{D534B0BF-4F79-448E-BA47-6A36EECB7951}"/>
    <cellStyle name="Normal 5 3 4 4 6 2" xfId="31662" xr:uid="{91186EF1-97FC-48A5-AC7B-A2DEAFDC176E}"/>
    <cellStyle name="Normal 5 3 4 4 7" xfId="28168" xr:uid="{E93D8550-F56C-4093-9923-D16D364C079A}"/>
    <cellStyle name="Normal 5 3 4 5" xfId="12888" xr:uid="{9F7EB118-C6B8-49BB-A623-ADDC79B774FF}"/>
    <cellStyle name="Normal 5 3 4 5 2" xfId="33229" xr:uid="{56192C06-2EB5-458C-B347-097F39BDEE75}"/>
    <cellStyle name="Normal 5 3 4 6" xfId="15785" xr:uid="{AE8A9014-8099-4351-8B03-9BE277863ABE}"/>
    <cellStyle name="Normal 5 3 4 6 2" xfId="36125" xr:uid="{FCF7C048-6B6F-412D-B439-24841B7402CA}"/>
    <cellStyle name="Normal 5 3 4 7" xfId="18699" xr:uid="{B89C52F2-1A56-4679-9539-484CA39535A1}"/>
    <cellStyle name="Normal 5 3 4 7 2" xfId="39039" xr:uid="{C9DC36FB-119C-42BA-BD2F-C9B8BDB1FA3C}"/>
    <cellStyle name="Normal 5 3 4 8" xfId="19287" xr:uid="{DD829C62-773C-45F1-AE07-0FA472A562D1}"/>
    <cellStyle name="Normal 5 3 4 8 2" xfId="39626" xr:uid="{D4F10347-3570-447E-8693-9812F72B4960}"/>
    <cellStyle name="Normal 5 3 4 9" xfId="22542" xr:uid="{06ACA849-9450-4C7F-969E-74B6336CA9AE}"/>
    <cellStyle name="Normal 5 3 4 9 2" xfId="42877" xr:uid="{59A2059B-05C7-48DA-AD65-C04154D04FB5}"/>
    <cellStyle name="Normal 5 3 5" xfId="5583" xr:uid="{B8CFB766-75A8-47F2-9D6C-E688683ECFCD}"/>
    <cellStyle name="Normal 5 3 5 10" xfId="12334" xr:uid="{647AB2E8-C575-4A6D-A996-4F8EE6E354FC}"/>
    <cellStyle name="Normal 5 3 5 10 2" xfId="32675" xr:uid="{7DDA17DF-591F-4463-ABA5-AC306019CBB4}"/>
    <cellStyle name="Normal 5 3 5 11" xfId="9073" xr:uid="{FF843622-1840-4B93-A60C-21B4992A5ECD}"/>
    <cellStyle name="Normal 5 3 5 11 2" xfId="29416" xr:uid="{61EF8193-5347-4508-9ADC-ABDFBB3D2BD3}"/>
    <cellStyle name="Normal 5 3 5 12" xfId="25922" xr:uid="{E4E6BA2A-3F31-4521-B6D4-DA793473F790}"/>
    <cellStyle name="Normal 5 3 5 2" xfId="6155" xr:uid="{0A3A9EB8-D924-468B-85F6-6EA34EB85DFC}"/>
    <cellStyle name="Normal 5 3 5 2 2" xfId="7313" xr:uid="{C95517D7-B61D-40CA-B12E-5FFF02D2EE92}"/>
    <cellStyle name="Normal 5 3 5 2 2 2" xfId="17599" xr:uid="{D39BD81B-10C5-4E9E-A3A3-142CB818DE56}"/>
    <cellStyle name="Normal 5 3 5 2 2 2 2" xfId="37939" xr:uid="{A67BFE16-F818-4CFC-863F-F7AB03486E71}"/>
    <cellStyle name="Normal 5 3 5 2 2 3" xfId="21101" xr:uid="{EA774E13-FA5A-4D00-AC58-3AE7830A1527}"/>
    <cellStyle name="Normal 5 3 5 2 2 3 2" xfId="41440" xr:uid="{5BD4638C-DF49-418D-848C-56CA9F8CF5CE}"/>
    <cellStyle name="Normal 5 3 5 2 2 4" xfId="24356" xr:uid="{70E63D0E-7264-492E-851B-040E41DF0488}"/>
    <cellStyle name="Normal 5 3 5 2 2 4 2" xfId="44691" xr:uid="{9ED86D8C-2F85-4667-AD84-9A30A7908B0C}"/>
    <cellStyle name="Normal 5 3 5 2 2 5" xfId="14690" xr:uid="{0AA06042-92D7-4C94-BBE4-27CB9771877A}"/>
    <cellStyle name="Normal 5 3 5 2 2 5 2" xfId="35031" xr:uid="{1C690081-65BB-4A5E-8BAF-24D3465A30DA}"/>
    <cellStyle name="Normal 5 3 5 2 2 6" xfId="10812" xr:uid="{47093ECA-DC77-4226-B9BB-353DD7314033}"/>
    <cellStyle name="Normal 5 3 5 2 2 6 2" xfId="31155" xr:uid="{8EC10C71-0575-4B41-9836-0F58A27346D6}"/>
    <cellStyle name="Normal 5 3 5 2 2 7" xfId="27661" xr:uid="{2147107D-95A0-45D0-BCEC-96F937FC36A5}"/>
    <cellStyle name="Normal 5 3 5 2 3" xfId="16441" xr:uid="{8A827BC2-2B5E-473E-980C-3C8E781BA927}"/>
    <cellStyle name="Normal 5 3 5 2 3 2" xfId="36781" xr:uid="{67CBFB9F-D8F9-45AE-AD1D-83745D15648B}"/>
    <cellStyle name="Normal 5 3 5 2 4" xfId="19943" xr:uid="{B9CF925A-1D73-4344-906C-ABF4AF2E039E}"/>
    <cellStyle name="Normal 5 3 5 2 4 2" xfId="40282" xr:uid="{AC7197E3-3EBB-43E5-8ADB-2EBAE36536F2}"/>
    <cellStyle name="Normal 5 3 5 2 5" xfId="23198" xr:uid="{7777C0D3-00E1-4AF6-A549-108E4999B9A4}"/>
    <cellStyle name="Normal 5 3 5 2 5 2" xfId="43533" xr:uid="{8DBFF88C-45B4-42FC-8B5F-8A4DBE8DEEFA}"/>
    <cellStyle name="Normal 5 3 5 2 6" xfId="13532" xr:uid="{7A95C659-56DA-42B1-A471-BD20CD7CC976}"/>
    <cellStyle name="Normal 5 3 5 2 6 2" xfId="33873" xr:uid="{051D2324-4180-41E4-9489-0DCA98068251}"/>
    <cellStyle name="Normal 5 3 5 2 7" xfId="9654" xr:uid="{936E6C14-BF55-45C0-8EC0-172069704FFE}"/>
    <cellStyle name="Normal 5 3 5 2 7 2" xfId="29997" xr:uid="{D734CA99-00A9-4754-AF13-B721A3D7AB3E}"/>
    <cellStyle name="Normal 5 3 5 2 8" xfId="26503" xr:uid="{8FCA8697-72A1-43C8-A056-1BF1DD39F84D}"/>
    <cellStyle name="Normal 5 3 5 3" xfId="6732" xr:uid="{1C05C75E-DAC2-4D7C-BE9C-1DCAD16EED3A}"/>
    <cellStyle name="Normal 5 3 5 3 2" xfId="17018" xr:uid="{997C1C3C-3762-4A2F-AD90-F8CC77A0392F}"/>
    <cellStyle name="Normal 5 3 5 3 2 2" xfId="37358" xr:uid="{662B1BB5-E487-4734-B3F3-FB297E603FF7}"/>
    <cellStyle name="Normal 5 3 5 3 3" xfId="20520" xr:uid="{1283AD92-46D8-41D8-8602-742B18B87762}"/>
    <cellStyle name="Normal 5 3 5 3 3 2" xfId="40859" xr:uid="{7BAF07E9-C01C-497C-9D5B-53C9C33D33E2}"/>
    <cellStyle name="Normal 5 3 5 3 4" xfId="23775" xr:uid="{77FDF1E0-47F7-40CF-8B1A-C85DC61171C9}"/>
    <cellStyle name="Normal 5 3 5 3 4 2" xfId="44110" xr:uid="{B8C0DC9E-EB83-478C-93FD-9E0B83D203A5}"/>
    <cellStyle name="Normal 5 3 5 3 5" xfId="14109" xr:uid="{E5DD2436-A269-4E5D-B5D7-61F512997BFC}"/>
    <cellStyle name="Normal 5 3 5 3 5 2" xfId="34450" xr:uid="{51FB6202-D4BC-44EA-AC11-E292ED50A59A}"/>
    <cellStyle name="Normal 5 3 5 3 6" xfId="10231" xr:uid="{AE19EC27-9D9E-4C34-88FE-6C062ABD9608}"/>
    <cellStyle name="Normal 5 3 5 3 6 2" xfId="30574" xr:uid="{E48904C1-B317-4759-A939-A6F472A68083}"/>
    <cellStyle name="Normal 5 3 5 3 7" xfId="27080" xr:uid="{7C48C489-E049-4EA7-B014-F82674C9D3F7}"/>
    <cellStyle name="Normal 5 3 5 4" xfId="7896" xr:uid="{4996AD16-A6A0-4CA3-90B0-E4960AF27DEE}"/>
    <cellStyle name="Normal 5 3 5 4 2" xfId="18181" xr:uid="{567C547B-7DB8-424A-9CF5-8D7BA8D8E67F}"/>
    <cellStyle name="Normal 5 3 5 4 2 2" xfId="38521" xr:uid="{53B7CC5E-5794-4949-A742-37662A9F4C86}"/>
    <cellStyle name="Normal 5 3 5 4 3" xfId="21683" xr:uid="{474A3E90-2569-4918-8194-1C9A196BD80D}"/>
    <cellStyle name="Normal 5 3 5 4 3 2" xfId="42022" xr:uid="{79B504BF-C275-475C-97A7-CA7D80244067}"/>
    <cellStyle name="Normal 5 3 5 4 4" xfId="24938" xr:uid="{6FA5E65F-62B1-4A65-9CB7-3C0DBCB64A5C}"/>
    <cellStyle name="Normal 5 3 5 4 4 2" xfId="45273" xr:uid="{54C8A98A-3E4E-480E-8A67-0618DCC1B1EA}"/>
    <cellStyle name="Normal 5 3 5 4 5" xfId="15273" xr:uid="{9D414274-9CE7-4B9B-99C5-5E4B62562B8E}"/>
    <cellStyle name="Normal 5 3 5 4 5 2" xfId="35613" xr:uid="{215AAC06-8651-4B56-82F6-402CB06EF6B1}"/>
    <cellStyle name="Normal 5 3 5 4 6" xfId="11394" xr:uid="{C30EC0BF-E8A6-4176-B4D7-954A95BF2928}"/>
    <cellStyle name="Normal 5 3 5 4 6 2" xfId="31737" xr:uid="{D82F48C4-E5D1-46B4-B6F7-EE55640A3A23}"/>
    <cellStyle name="Normal 5 3 5 4 7" xfId="28243" xr:uid="{A9F0AA4F-EAFA-476F-BD60-AE81C3BA5DBE}"/>
    <cellStyle name="Normal 5 3 5 5" xfId="12963" xr:uid="{AED57B6B-27CD-4750-9C4C-A7612FCF5DB2}"/>
    <cellStyle name="Normal 5 3 5 5 2" xfId="33304" xr:uid="{3AFAA707-CD1D-4F4B-888D-1C4AD5D28923}"/>
    <cellStyle name="Normal 5 3 5 6" xfId="15860" xr:uid="{5C2ECDEC-4ABD-49A2-B31F-40A7A8E6BBE5}"/>
    <cellStyle name="Normal 5 3 5 6 2" xfId="36200" xr:uid="{123DDF61-162B-440C-B443-CC9A75330BFA}"/>
    <cellStyle name="Normal 5 3 5 7" xfId="18774" xr:uid="{097B87B2-0B8C-436B-988B-60F6E7EC16CD}"/>
    <cellStyle name="Normal 5 3 5 7 2" xfId="39114" xr:uid="{153A9D18-725A-4D4D-9F82-2D9C8DF9C294}"/>
    <cellStyle name="Normal 5 3 5 8" xfId="19362" xr:uid="{C50F293D-0CA7-4885-B84C-9B2CEC0ED1B9}"/>
    <cellStyle name="Normal 5 3 5 8 2" xfId="39701" xr:uid="{D2316B24-E9B9-44C3-B7AD-1AA5E553D758}"/>
    <cellStyle name="Normal 5 3 5 9" xfId="22617" xr:uid="{11D03B20-AA61-4B3B-8EE5-9D26E3092FB4}"/>
    <cellStyle name="Normal 5 3 5 9 2" xfId="42952" xr:uid="{B5FD1CE0-6230-402C-B9BF-CABB90A23B8A}"/>
    <cellStyle name="Normal 5 3 6" xfId="5681" xr:uid="{9D27A128-9A4D-4243-982D-FADC0D43AC24}"/>
    <cellStyle name="Normal 5 3 6 10" xfId="12432" xr:uid="{E0AAFA29-537A-4B98-BC0E-6B07B50C36A0}"/>
    <cellStyle name="Normal 5 3 6 10 2" xfId="32773" xr:uid="{9AC5BEA8-72FB-4B74-ACE5-D1C2273C787A}"/>
    <cellStyle name="Normal 5 3 6 11" xfId="9171" xr:uid="{9DAE88E2-F2EE-4CD9-BB4D-AD3910FA48E4}"/>
    <cellStyle name="Normal 5 3 6 11 2" xfId="29514" xr:uid="{400FF279-39E8-4477-B7BC-B555E47C2CF0}"/>
    <cellStyle name="Normal 5 3 6 12" xfId="26020" xr:uid="{F89189A7-BA96-4E3D-9E9B-26855FF43C65}"/>
    <cellStyle name="Normal 5 3 6 2" xfId="6253" xr:uid="{20CF9752-F102-4136-814F-12F5FB7F7E2A}"/>
    <cellStyle name="Normal 5 3 6 2 2" xfId="7411" xr:uid="{E9CBF020-3E19-4C6F-BF24-F4BD9AAF44EE}"/>
    <cellStyle name="Normal 5 3 6 2 2 2" xfId="17697" xr:uid="{6E0197D1-EE57-4676-A3E4-01BD083DB80F}"/>
    <cellStyle name="Normal 5 3 6 2 2 2 2" xfId="38037" xr:uid="{11AE3A24-2887-4AB5-BE85-211EABB9CCD0}"/>
    <cellStyle name="Normal 5 3 6 2 2 3" xfId="21199" xr:uid="{54821228-7044-416C-9AAE-3500F737C5E4}"/>
    <cellStyle name="Normal 5 3 6 2 2 3 2" xfId="41538" xr:uid="{30B43ABB-5837-49CC-9928-483BCBCB000B}"/>
    <cellStyle name="Normal 5 3 6 2 2 4" xfId="24454" xr:uid="{E697F6AD-34FD-484A-9D9A-2F257B4F22BA}"/>
    <cellStyle name="Normal 5 3 6 2 2 4 2" xfId="44789" xr:uid="{22C5E09B-9BEE-4B28-A307-D82D6E370BE6}"/>
    <cellStyle name="Normal 5 3 6 2 2 5" xfId="14788" xr:uid="{7AF1BAF5-2871-495C-8F4B-4B6A8333189B}"/>
    <cellStyle name="Normal 5 3 6 2 2 5 2" xfId="35129" xr:uid="{6E00EF76-5102-4B08-A7EE-7282D483FE27}"/>
    <cellStyle name="Normal 5 3 6 2 2 6" xfId="10910" xr:uid="{B5FC3FB8-7E2F-4EED-8E57-85F494570D7C}"/>
    <cellStyle name="Normal 5 3 6 2 2 6 2" xfId="31253" xr:uid="{CEAEC5F0-3AF3-4875-BA0B-A8DC657F1001}"/>
    <cellStyle name="Normal 5 3 6 2 2 7" xfId="27759" xr:uid="{30108DCA-75D1-4880-97F9-D5DCC884B1F6}"/>
    <cellStyle name="Normal 5 3 6 2 3" xfId="16539" xr:uid="{3CF864F7-9936-425F-B7E1-C272082A0A86}"/>
    <cellStyle name="Normal 5 3 6 2 3 2" xfId="36879" xr:uid="{5AB793AA-DDD6-4A31-BF78-19DA924A4101}"/>
    <cellStyle name="Normal 5 3 6 2 4" xfId="20041" xr:uid="{04C2DE35-6105-4E7D-899A-1218438DD69C}"/>
    <cellStyle name="Normal 5 3 6 2 4 2" xfId="40380" xr:uid="{797B1D4C-F6BB-4278-A73C-26F22CA7B482}"/>
    <cellStyle name="Normal 5 3 6 2 5" xfId="23296" xr:uid="{EBC04834-9867-47CD-B1F1-5DED722527C4}"/>
    <cellStyle name="Normal 5 3 6 2 5 2" xfId="43631" xr:uid="{45F5A823-16D3-4C1B-BDEC-D5AC9A4FBD9C}"/>
    <cellStyle name="Normal 5 3 6 2 6" xfId="13630" xr:uid="{2C58611E-50F5-4850-A3AF-C952C1047C62}"/>
    <cellStyle name="Normal 5 3 6 2 6 2" xfId="33971" xr:uid="{B691A320-3091-4725-A61B-B3E57C7E3F47}"/>
    <cellStyle name="Normal 5 3 6 2 7" xfId="9752" xr:uid="{EA998EDC-F94C-409C-BA39-D879CDBE45A5}"/>
    <cellStyle name="Normal 5 3 6 2 7 2" xfId="30095" xr:uid="{B4CA4A63-362F-49B3-A321-DEC522E945A8}"/>
    <cellStyle name="Normal 5 3 6 2 8" xfId="26601" xr:uid="{144A8FED-F4A2-4230-B54E-C2A4E2720FB5}"/>
    <cellStyle name="Normal 5 3 6 3" xfId="6830" xr:uid="{E6FF21B1-378A-423C-8DB9-F05907BAFF81}"/>
    <cellStyle name="Normal 5 3 6 3 2" xfId="17116" xr:uid="{D9192711-EA92-48F7-9818-659A1AC7D6D5}"/>
    <cellStyle name="Normal 5 3 6 3 2 2" xfId="37456" xr:uid="{62870A8F-99A3-42E0-B87B-A8F3CF29DECF}"/>
    <cellStyle name="Normal 5 3 6 3 3" xfId="20618" xr:uid="{5C66AE7A-840F-455A-B213-E6226A32A803}"/>
    <cellStyle name="Normal 5 3 6 3 3 2" xfId="40957" xr:uid="{D0E03DC7-3266-4845-95D3-064E6D65F23E}"/>
    <cellStyle name="Normal 5 3 6 3 4" xfId="23873" xr:uid="{3E055D47-F72B-4B4A-9A74-F5A7BE97765E}"/>
    <cellStyle name="Normal 5 3 6 3 4 2" xfId="44208" xr:uid="{5B68F059-00E2-4D1C-9A72-766A744FFF7A}"/>
    <cellStyle name="Normal 5 3 6 3 5" xfId="14207" xr:uid="{75AFB749-1BD3-4112-A0B5-2812FDE4839A}"/>
    <cellStyle name="Normal 5 3 6 3 5 2" xfId="34548" xr:uid="{63878D49-5A3B-45E1-A55D-6F98E810F296}"/>
    <cellStyle name="Normal 5 3 6 3 6" xfId="10329" xr:uid="{FC254E9E-BE93-4AA4-AA76-C87625ADE102}"/>
    <cellStyle name="Normal 5 3 6 3 6 2" xfId="30672" xr:uid="{E2E5ACD7-E54F-4894-BD88-D248366D5B54}"/>
    <cellStyle name="Normal 5 3 6 3 7" xfId="27178" xr:uid="{96E73D1A-4E9B-47DA-A0E5-5BC64A06E917}"/>
    <cellStyle name="Normal 5 3 6 4" xfId="7994" xr:uid="{CF449922-2A61-4ED5-80EF-006B2BAD54BB}"/>
    <cellStyle name="Normal 5 3 6 4 2" xfId="18279" xr:uid="{EDBE6C1B-00E9-40E7-B70F-EB8B8C7CD7EE}"/>
    <cellStyle name="Normal 5 3 6 4 2 2" xfId="38619" xr:uid="{2FF929B8-96F2-4FB6-87DD-5F91AB108827}"/>
    <cellStyle name="Normal 5 3 6 4 3" xfId="21781" xr:uid="{3C79115D-B111-4AEF-8455-ED156F64C812}"/>
    <cellStyle name="Normal 5 3 6 4 3 2" xfId="42120" xr:uid="{566D79E2-E6DB-4E76-8537-1B4E62D2488A}"/>
    <cellStyle name="Normal 5 3 6 4 4" xfId="25036" xr:uid="{817A8C3E-638B-45C8-9BEE-77A36C3C16FF}"/>
    <cellStyle name="Normal 5 3 6 4 4 2" xfId="45371" xr:uid="{51A40C8B-9E72-4BE1-A9F5-F7B5D1D79504}"/>
    <cellStyle name="Normal 5 3 6 4 5" xfId="15371" xr:uid="{7F58B209-76F9-42B5-90EA-D6E38FE675BB}"/>
    <cellStyle name="Normal 5 3 6 4 5 2" xfId="35711" xr:uid="{EC5D7A0C-2905-4D02-AB44-645635CE8A65}"/>
    <cellStyle name="Normal 5 3 6 4 6" xfId="11492" xr:uid="{3F841CFF-784A-40C6-8E5E-5DC32E6B46B6}"/>
    <cellStyle name="Normal 5 3 6 4 6 2" xfId="31835" xr:uid="{A8C71B6C-D6EE-40C4-B4D0-88D9EE9A73F2}"/>
    <cellStyle name="Normal 5 3 6 4 7" xfId="28341" xr:uid="{A47F9BF6-8D90-46E0-AECB-91457BD9F237}"/>
    <cellStyle name="Normal 5 3 6 5" xfId="13061" xr:uid="{2F13CCD3-9740-4CBF-8981-CDBB13A27120}"/>
    <cellStyle name="Normal 5 3 6 5 2" xfId="33402" xr:uid="{12A03B2A-DF2F-4EFE-8121-A1B7F344654C}"/>
    <cellStyle name="Normal 5 3 6 6" xfId="15958" xr:uid="{7BBF176E-037F-4107-90EB-D7083077BF0A}"/>
    <cellStyle name="Normal 5 3 6 6 2" xfId="36298" xr:uid="{02A99C02-74C2-4FB5-97AA-353A9F1D18AB}"/>
    <cellStyle name="Normal 5 3 6 7" xfId="18872" xr:uid="{3DA8B0FA-A2CA-415A-BFE6-7E48F17B0D40}"/>
    <cellStyle name="Normal 5 3 6 7 2" xfId="39212" xr:uid="{121E7E50-ABE1-4894-96B4-B267C31503A4}"/>
    <cellStyle name="Normal 5 3 6 8" xfId="19460" xr:uid="{2FE2C7B9-941B-4D31-BA2A-210426F61420}"/>
    <cellStyle name="Normal 5 3 6 8 2" xfId="39799" xr:uid="{440A853D-6F60-41B6-9A7D-BDFF92AF35DC}"/>
    <cellStyle name="Normal 5 3 6 9" xfId="22715" xr:uid="{755EDF86-BDB7-43FD-A366-32C600538A75}"/>
    <cellStyle name="Normal 5 3 6 9 2" xfId="43050" xr:uid="{328AD091-6C6C-482B-88C7-1560105D3217}"/>
    <cellStyle name="Normal 5 3 7" xfId="5811" xr:uid="{4F05072F-6EA7-4525-B7D6-62D4DFE256B5}"/>
    <cellStyle name="Normal 5 3 7 2" xfId="6969" xr:uid="{F53305CA-CC6E-417F-A7B5-55B96A6797FD}"/>
    <cellStyle name="Normal 5 3 7 2 2" xfId="17255" xr:uid="{B42A1F29-5A82-45D0-9EED-EA54434B9B41}"/>
    <cellStyle name="Normal 5 3 7 2 2 2" xfId="37595" xr:uid="{54AB0619-EB2A-4CCC-B32B-BA5E68DAD993}"/>
    <cellStyle name="Normal 5 3 7 2 3" xfId="20757" xr:uid="{A7B94FC2-6239-4C0E-95E7-B317C946ADF5}"/>
    <cellStyle name="Normal 5 3 7 2 3 2" xfId="41096" xr:uid="{47A23F5D-2A39-4FE1-9FB0-054FBBDED31B}"/>
    <cellStyle name="Normal 5 3 7 2 4" xfId="24012" xr:uid="{286017B6-4D6A-4DE4-8CD0-79B45402DE78}"/>
    <cellStyle name="Normal 5 3 7 2 4 2" xfId="44347" xr:uid="{AC456509-C415-4AD3-BBC4-68822EBBE079}"/>
    <cellStyle name="Normal 5 3 7 2 5" xfId="14346" xr:uid="{627909E0-16AE-4FD0-A80F-C764D638D62D}"/>
    <cellStyle name="Normal 5 3 7 2 5 2" xfId="34687" xr:uid="{7BB3AC1D-7D29-4B89-A756-94ABBD30757B}"/>
    <cellStyle name="Normal 5 3 7 2 6" xfId="10468" xr:uid="{EF468076-3CE1-40EA-8E03-F1771284BA75}"/>
    <cellStyle name="Normal 5 3 7 2 6 2" xfId="30811" xr:uid="{FAD4E7EB-7597-4871-9793-4BC393F3F434}"/>
    <cellStyle name="Normal 5 3 7 2 7" xfId="27317" xr:uid="{628E74F1-F3C0-40D6-97BD-0DC3377AFFA7}"/>
    <cellStyle name="Normal 5 3 7 3" xfId="16097" xr:uid="{9A9A400E-8C4F-4B99-857C-07D7E00E54E7}"/>
    <cellStyle name="Normal 5 3 7 3 2" xfId="36437" xr:uid="{14E8D73A-8D9E-430E-B363-7FFFC689E6F1}"/>
    <cellStyle name="Normal 5 3 7 4" xfId="19599" xr:uid="{E76A9161-8C01-4A27-BD8A-978C0BB04929}"/>
    <cellStyle name="Normal 5 3 7 4 2" xfId="39938" xr:uid="{AD5FD8B4-8AE7-4809-9D7B-03474124699D}"/>
    <cellStyle name="Normal 5 3 7 5" xfId="22854" xr:uid="{806414D9-F8DA-4D41-856C-D2BA0DD73A10}"/>
    <cellStyle name="Normal 5 3 7 5 2" xfId="43189" xr:uid="{709A0066-B35B-4A56-BBF4-F2CEABE923C0}"/>
    <cellStyle name="Normal 5 3 7 6" xfId="13193" xr:uid="{ADC31224-7123-44AC-ACA7-1FD06E498EB1}"/>
    <cellStyle name="Normal 5 3 7 6 2" xfId="33534" xr:uid="{91CB40FF-3755-40DF-9828-8ADB42EC3038}"/>
    <cellStyle name="Normal 5 3 7 7" xfId="9310" xr:uid="{E35F4AE5-EDA2-412D-B9EC-DB2032EE8A06}"/>
    <cellStyle name="Normal 5 3 7 7 2" xfId="29653" xr:uid="{0C9F740E-F52A-4D89-A7EB-340672D549E6}"/>
    <cellStyle name="Normal 5 3 7 8" xfId="26159" xr:uid="{8E397717-B238-4D8D-BFEF-F2531FCA2897}"/>
    <cellStyle name="Normal 5 3 8" xfId="6388" xr:uid="{C952010C-531F-44EE-BAA3-0E8B530160F7}"/>
    <cellStyle name="Normal 5 3 8 2" xfId="16674" xr:uid="{804BFB4E-2172-4926-99C6-2A1102DD998A}"/>
    <cellStyle name="Normal 5 3 8 2 2" xfId="37014" xr:uid="{7DAA716B-12C9-4EA2-84A7-C946FBF5254B}"/>
    <cellStyle name="Normal 5 3 8 3" xfId="20176" xr:uid="{D9CF5D86-8C02-490A-AFFA-1871774C00CF}"/>
    <cellStyle name="Normal 5 3 8 3 2" xfId="40515" xr:uid="{B07DA8AD-5AFB-466E-8D57-97A35C71481F}"/>
    <cellStyle name="Normal 5 3 8 4" xfId="23431" xr:uid="{F6F0BC4C-DECC-4E6E-A81B-575A467424C0}"/>
    <cellStyle name="Normal 5 3 8 4 2" xfId="43766" xr:uid="{235B79BE-09DB-452C-8D1F-95033F25D1A6}"/>
    <cellStyle name="Normal 5 3 8 5" xfId="13765" xr:uid="{FEA2035C-3B7E-42C3-8BF7-2026384949FF}"/>
    <cellStyle name="Normal 5 3 8 5 2" xfId="34106" xr:uid="{B0070E2E-3861-45E7-B429-C83538D09C32}"/>
    <cellStyle name="Normal 5 3 8 6" xfId="9887" xr:uid="{8A407F89-7A29-43AE-94A1-C7CC8501E4CF}"/>
    <cellStyle name="Normal 5 3 8 6 2" xfId="30230" xr:uid="{8CD5CAA8-8DCD-41B3-B1D1-1707AA368A93}"/>
    <cellStyle name="Normal 5 3 8 7" xfId="26736" xr:uid="{296D8405-8A23-4842-B2E2-B2256EDD5082}"/>
    <cellStyle name="Normal 5 3 9" xfId="7552" xr:uid="{910B0585-DF41-4A40-9672-D7E46DCB47CE}"/>
    <cellStyle name="Normal 5 3 9 2" xfId="17837" xr:uid="{9534F8B5-C2A8-43D3-8E88-B7308D3D6728}"/>
    <cellStyle name="Normal 5 3 9 2 2" xfId="38177" xr:uid="{040A609B-23B8-4F15-953A-9340D8F33A3E}"/>
    <cellStyle name="Normal 5 3 9 3" xfId="21339" xr:uid="{5F17B320-3213-411B-91AB-9D721D918583}"/>
    <cellStyle name="Normal 5 3 9 3 2" xfId="41678" xr:uid="{E68AB911-7676-4E80-8191-A911A099BD15}"/>
    <cellStyle name="Normal 5 3 9 4" xfId="24594" xr:uid="{A021B555-DDDB-4D15-9BBD-AFC7D7DDDACF}"/>
    <cellStyle name="Normal 5 3 9 4 2" xfId="44929" xr:uid="{8EB9389F-805C-4F87-A8BA-99F27B6C6861}"/>
    <cellStyle name="Normal 5 3 9 5" xfId="14929" xr:uid="{3191DB54-8F8B-4E39-8E13-ECEB8E74FFBC}"/>
    <cellStyle name="Normal 5 3 9 5 2" xfId="35269" xr:uid="{70563BCC-28DF-4E9A-83C8-8F48A349285E}"/>
    <cellStyle name="Normal 5 3 9 6" xfId="11050" xr:uid="{213024BE-C9EE-4EFA-89EE-FBD011603219}"/>
    <cellStyle name="Normal 5 3 9 6 2" xfId="31393" xr:uid="{7FB3F7F6-B94B-48E6-AA63-1F434E413E4C}"/>
    <cellStyle name="Normal 5 3 9 7" xfId="27899" xr:uid="{0CC84B96-B265-41D4-834A-5DBF03452E9B}"/>
    <cellStyle name="Normal 5 4" xfId="4845" xr:uid="{DA3B6899-EC41-493C-9887-CC846664602F}"/>
    <cellStyle name="Normal 5 4 10" xfId="18402" xr:uid="{BBC7D347-7841-4F4F-BAE8-92903921AD5C}"/>
    <cellStyle name="Normal 5 4 10 2" xfId="38742" xr:uid="{359EFC31-4CEA-43F1-8E9F-F9BC8F1A899C}"/>
    <cellStyle name="Normal 5 4 11" xfId="18990" xr:uid="{7D2103A2-B7E5-4221-95BF-F5FCFF5AFDD0}"/>
    <cellStyle name="Normal 5 4 11 2" xfId="39329" xr:uid="{7DFC5FA1-622C-405E-BCE3-AE982FF5417D}"/>
    <cellStyle name="Normal 5 4 12" xfId="22245" xr:uid="{7756F965-E06B-4100-A45E-A30A67189445}"/>
    <cellStyle name="Normal 5 4 12 2" xfId="42580" xr:uid="{AB941D1B-56C2-446C-89A0-E2DD7A0B932A}"/>
    <cellStyle name="Normal 5 4 13" xfId="11962" xr:uid="{239E7C29-07A7-47FA-8E82-9629B9E14458}"/>
    <cellStyle name="Normal 5 4 13 2" xfId="32303" xr:uid="{24ADE089-A110-4AA0-9EF4-038806A02550}"/>
    <cellStyle name="Normal 5 4 14" xfId="8701" xr:uid="{478BA980-565E-495E-BD93-CD4BDD5F9517}"/>
    <cellStyle name="Normal 5 4 14 2" xfId="29044" xr:uid="{D1EBC9BB-E958-4F01-871C-033DEC5C57FC}"/>
    <cellStyle name="Normal 5 4 15" xfId="25546" xr:uid="{55920FF8-338B-4F25-8B36-753013B20120}"/>
    <cellStyle name="Normal 5 4 16" xfId="45874" xr:uid="{14CB36A4-A826-471C-B357-3738C76C68B6}"/>
    <cellStyle name="Normal 5 4 17" xfId="46360" xr:uid="{9DA0C503-7759-46E8-B63E-D7E2D636798F}"/>
    <cellStyle name="Normal 5 4 18" xfId="46852" xr:uid="{3FC872C3-E7C0-43FF-AA02-7FFBD559532B}"/>
    <cellStyle name="Normal 5 4 2" xfId="5058" xr:uid="{86454F11-4D37-488C-BA43-2E5645EB245B}"/>
    <cellStyle name="Normal 5 4 2 10" xfId="12077" xr:uid="{7C787848-2F07-482E-ABFC-7B14FEA71FBD}"/>
    <cellStyle name="Normal 5 4 2 10 2" xfId="32418" xr:uid="{F982329C-56DF-4FCB-8E39-4901E6A0C033}"/>
    <cellStyle name="Normal 5 4 2 11" xfId="8816" xr:uid="{599D8100-5E8F-482F-AFC7-4E0F104FC677}"/>
    <cellStyle name="Normal 5 4 2 11 2" xfId="29159" xr:uid="{7DA34669-37A8-4708-8C60-3B1C3BF2527C}"/>
    <cellStyle name="Normal 5 4 2 12" xfId="25665" xr:uid="{E899D27D-2464-40CF-A75D-76D3843E0E0A}"/>
    <cellStyle name="Normal 5 4 2 13" xfId="45940" xr:uid="{3F061898-C39D-4A83-8215-213370314FE0}"/>
    <cellStyle name="Normal 5 4 2 14" xfId="46426" xr:uid="{9397DC5C-DCE8-47F6-AC63-DE0A1C8058C4}"/>
    <cellStyle name="Normal 5 4 2 15" xfId="46918" xr:uid="{4FF2FA16-924C-4EC5-8797-DEAD02631DB5}"/>
    <cellStyle name="Normal 5 4 2 2" xfId="5898" xr:uid="{8C30CA4A-0F37-45C5-BFB8-FA5C535149AD}"/>
    <cellStyle name="Normal 5 4 2 2 10" xfId="46669" xr:uid="{1A23980B-5476-4773-9A6B-93DFFA5E6D85}"/>
    <cellStyle name="Normal 5 4 2 2 11" xfId="47161" xr:uid="{924BE446-C534-48CA-B2C2-97048382BD9F}"/>
    <cellStyle name="Normal 5 4 2 2 2" xfId="7056" xr:uid="{9F804721-538D-4DC1-9CA0-A1580A6F14FA}"/>
    <cellStyle name="Normal 5 4 2 2 2 2" xfId="17342" xr:uid="{13DE0308-A8E2-480E-899D-1DA4BABF2F78}"/>
    <cellStyle name="Normal 5 4 2 2 2 2 2" xfId="37682" xr:uid="{54DAFE6A-7A69-4D74-BD7C-A2E36E515988}"/>
    <cellStyle name="Normal 5 4 2 2 2 3" xfId="20844" xr:uid="{0D2573B1-68A2-4770-BCFB-A10C1E2B7E56}"/>
    <cellStyle name="Normal 5 4 2 2 2 3 2" xfId="41183" xr:uid="{56C0B83C-63FD-48D0-8376-6241A2B67F13}"/>
    <cellStyle name="Normal 5 4 2 2 2 4" xfId="24099" xr:uid="{FB899D45-EB22-49B3-B0BA-01BFFD2B74D3}"/>
    <cellStyle name="Normal 5 4 2 2 2 4 2" xfId="44434" xr:uid="{25B40CD5-E217-4CA7-AA5E-24BE2B22C3F5}"/>
    <cellStyle name="Normal 5 4 2 2 2 5" xfId="14433" xr:uid="{FC6EA83E-CEB7-488A-89C6-A391F8C44EEC}"/>
    <cellStyle name="Normal 5 4 2 2 2 5 2" xfId="34774" xr:uid="{AFC14087-A73C-40F7-8DCB-866361AD84A4}"/>
    <cellStyle name="Normal 5 4 2 2 2 6" xfId="10555" xr:uid="{68DFBC6E-C9C0-472C-8716-E7A034BD3D9C}"/>
    <cellStyle name="Normal 5 4 2 2 2 6 2" xfId="30898" xr:uid="{777FF043-5862-48BB-9D97-96CB39CB813B}"/>
    <cellStyle name="Normal 5 4 2 2 2 7" xfId="27404" xr:uid="{0B4D677D-177B-43BE-94C1-816C05DA1CA5}"/>
    <cellStyle name="Normal 5 4 2 2 3" xfId="16184" xr:uid="{E0FF2883-9C1B-4F12-B0A1-E5B4293DBE44}"/>
    <cellStyle name="Normal 5 4 2 2 3 2" xfId="36524" xr:uid="{5E3ED1CC-B98A-4ECC-BD1D-407975802D2A}"/>
    <cellStyle name="Normal 5 4 2 2 4" xfId="19686" xr:uid="{AD04C88B-1605-412C-A4FB-3FE409E875B1}"/>
    <cellStyle name="Normal 5 4 2 2 4 2" xfId="40025" xr:uid="{4953E7C1-D4FB-446C-9342-B16BA672710A}"/>
    <cellStyle name="Normal 5 4 2 2 5" xfId="22941" xr:uid="{1A0EB430-8141-417C-BE6A-F7BF9AC1D141}"/>
    <cellStyle name="Normal 5 4 2 2 5 2" xfId="43276" xr:uid="{5EA42373-2817-4CA8-91D4-7651A7D615A3}"/>
    <cellStyle name="Normal 5 4 2 2 6" xfId="13277" xr:uid="{DEFF61A1-D7D1-40A0-B9C0-C4227EB051CC}"/>
    <cellStyle name="Normal 5 4 2 2 6 2" xfId="33618" xr:uid="{E3E83C7A-E9B6-487C-B95D-279C2D570711}"/>
    <cellStyle name="Normal 5 4 2 2 7" xfId="9397" xr:uid="{C6ED7699-AB1C-4B0B-A7DB-AAB5001E336C}"/>
    <cellStyle name="Normal 5 4 2 2 7 2" xfId="29740" xr:uid="{41EEC745-100E-49A2-A897-DB8712F03668}"/>
    <cellStyle name="Normal 5 4 2 2 8" xfId="26246" xr:uid="{02FDEC64-4122-4AC5-9404-E26D98802338}"/>
    <cellStyle name="Normal 5 4 2 2 9" xfId="46183" xr:uid="{6474FF24-BE29-41E3-A153-919BCAC30117}"/>
    <cellStyle name="Normal 5 4 2 3" xfId="6475" xr:uid="{B8D91731-73E3-40D4-A218-3C490837243D}"/>
    <cellStyle name="Normal 5 4 2 3 2" xfId="16761" xr:uid="{1F7F4E86-BCFB-427C-A0F3-870F0890426B}"/>
    <cellStyle name="Normal 5 4 2 3 2 2" xfId="37101" xr:uid="{2CF5D0F2-6513-4A95-AD68-9B576C4C7D67}"/>
    <cellStyle name="Normal 5 4 2 3 3" xfId="20263" xr:uid="{D0624BE2-D5DA-44D1-80F7-5BE56AF33F4B}"/>
    <cellStyle name="Normal 5 4 2 3 3 2" xfId="40602" xr:uid="{EA872C4C-3BC3-4B68-A726-C6545684646A}"/>
    <cellStyle name="Normal 5 4 2 3 4" xfId="23518" xr:uid="{AC21D861-0547-4AED-A495-CC756893C73D}"/>
    <cellStyle name="Normal 5 4 2 3 4 2" xfId="43853" xr:uid="{71DF83FA-5FD0-4B0F-A2F0-944C6749C362}"/>
    <cellStyle name="Normal 5 4 2 3 5" xfId="13852" xr:uid="{F046BC1D-0CC2-4C5E-9F53-5E0CB2302BC5}"/>
    <cellStyle name="Normal 5 4 2 3 5 2" xfId="34193" xr:uid="{007FE237-B552-4EBC-A2DB-7B5F31F7FE48}"/>
    <cellStyle name="Normal 5 4 2 3 6" xfId="9974" xr:uid="{1D3DDF65-0DEF-4601-B86B-F39106A42F5A}"/>
    <cellStyle name="Normal 5 4 2 3 6 2" xfId="30317" xr:uid="{48897B2A-C8C0-4C45-BC4C-2A4A36CA559A}"/>
    <cellStyle name="Normal 5 4 2 3 7" xfId="26823" xr:uid="{F56B602B-282A-4900-9C69-A8BAB39657BB}"/>
    <cellStyle name="Normal 5 4 2 4" xfId="7639" xr:uid="{F66CEAE6-BA9F-452B-8B02-010CA529A3DD}"/>
    <cellStyle name="Normal 5 4 2 4 2" xfId="17924" xr:uid="{D2D6886F-7F7B-47DA-959C-3B64D33E8511}"/>
    <cellStyle name="Normal 5 4 2 4 2 2" xfId="38264" xr:uid="{C9E6E03E-0A87-46D2-A874-CD6543056062}"/>
    <cellStyle name="Normal 5 4 2 4 3" xfId="21426" xr:uid="{F8788576-C577-46D1-8D35-51F2CA0337FD}"/>
    <cellStyle name="Normal 5 4 2 4 3 2" xfId="41765" xr:uid="{7303175C-48D9-47C5-AAFB-EA9A0DC62D21}"/>
    <cellStyle name="Normal 5 4 2 4 4" xfId="24681" xr:uid="{66ED0E55-F3EF-4C59-B994-944352B5D4F1}"/>
    <cellStyle name="Normal 5 4 2 4 4 2" xfId="45016" xr:uid="{B78403FD-B754-4821-92AB-FF01B827455A}"/>
    <cellStyle name="Normal 5 4 2 4 5" xfId="15016" xr:uid="{9D22F00F-CA3D-456D-9987-91FEE5AC74AD}"/>
    <cellStyle name="Normal 5 4 2 4 5 2" xfId="35356" xr:uid="{05C26FE9-BF18-4D06-A94A-6CCD2DA4CB20}"/>
    <cellStyle name="Normal 5 4 2 4 6" xfId="11137" xr:uid="{6DFF8C0E-9DC6-4250-971E-5560CB129197}"/>
    <cellStyle name="Normal 5 4 2 4 6 2" xfId="31480" xr:uid="{F951F287-282F-4D18-BD3C-DC20B8A0CEAE}"/>
    <cellStyle name="Normal 5 4 2 4 7" xfId="27986" xr:uid="{C270F19B-7054-4C69-B4AA-1786F7C7214C}"/>
    <cellStyle name="Normal 5 4 2 5" xfId="8120" xr:uid="{3DC42435-A682-4F32-A85B-7F1ED21DEA59}"/>
    <cellStyle name="Normal 5 4 2 5 2" xfId="21907" xr:uid="{C4A96840-92E6-4A63-BF23-24E1C815255D}"/>
    <cellStyle name="Normal 5 4 2 5 2 2" xfId="42243" xr:uid="{3B9FF88E-AEC5-464E-A2E1-18E3AE3D2D48}"/>
    <cellStyle name="Normal 5 4 2 5 3" xfId="25159" xr:uid="{2D532BDF-FDF7-498D-BCEB-21096FD62B04}"/>
    <cellStyle name="Normal 5 4 2 5 3 2" xfId="45494" xr:uid="{9679D700-FAD5-4931-8768-E222BF610AF1}"/>
    <cellStyle name="Normal 5 4 2 5 4" xfId="12708" xr:uid="{2B70127C-0DAF-4808-996C-03EE17967521}"/>
    <cellStyle name="Normal 5 4 2 5 4 2" xfId="33049" xr:uid="{2AD10B8E-4A21-4705-B520-E908455BA228}"/>
    <cellStyle name="Normal 5 4 2 5 5" xfId="11616" xr:uid="{8B6C2D00-1F7E-41C0-935B-E7C9B9D61C3B}"/>
    <cellStyle name="Normal 5 4 2 5 5 2" xfId="31958" xr:uid="{96DB7CA0-D927-4C17-9160-3A084A649308}"/>
    <cellStyle name="Normal 5 4 2 5 6" xfId="28464" xr:uid="{75030279-47ED-4D02-88C7-A24FEB39EC76}"/>
    <cellStyle name="Normal 5 4 2 6" xfId="8565" xr:uid="{6E759083-B526-4CA9-A9D9-C2239812913C}"/>
    <cellStyle name="Normal 5 4 2 6 2" xfId="15603" xr:uid="{406272FC-8E58-4666-92D5-DD10F05E80E3}"/>
    <cellStyle name="Normal 5 4 2 6 2 2" xfId="35943" xr:uid="{B3B2EFE3-8D0B-4902-AD9D-FF5E0E57FEAC}"/>
    <cellStyle name="Normal 5 4 2 6 3" xfId="28908" xr:uid="{93CE0DF6-722D-428F-A52A-56A24D528686}"/>
    <cellStyle name="Normal 5 4 2 7" xfId="18517" xr:uid="{523E471D-43D7-4421-80FD-157810BB7B01}"/>
    <cellStyle name="Normal 5 4 2 7 2" xfId="38857" xr:uid="{A981C60B-2854-45F6-B41F-93A1438D3364}"/>
    <cellStyle name="Normal 5 4 2 8" xfId="19105" xr:uid="{411AD7B8-DE5B-408D-941E-E3E51A085756}"/>
    <cellStyle name="Normal 5 4 2 8 2" xfId="39444" xr:uid="{711F358D-8709-4D28-A752-C4B1B2DCBAE2}"/>
    <cellStyle name="Normal 5 4 2 9" xfId="22360" xr:uid="{89C78806-BFE5-4D9E-AC49-6FF849992AF6}"/>
    <cellStyle name="Normal 5 4 2 9 2" xfId="42695" xr:uid="{2CC9A2FD-1920-44D5-860A-B41C216A430F}"/>
    <cellStyle name="Normal 5 4 3" xfId="5555" xr:uid="{E4F0232B-5B8D-4E56-B51E-5E951540A5B1}"/>
    <cellStyle name="Normal 5 4 3 10" xfId="12306" xr:uid="{0A0747E1-8C52-4084-8A5F-909C7E01FE9C}"/>
    <cellStyle name="Normal 5 4 3 10 2" xfId="32647" xr:uid="{299FE67D-ACD4-4561-9849-22BB5F4F8335}"/>
    <cellStyle name="Normal 5 4 3 11" xfId="9045" xr:uid="{9BBDF255-CE20-46E7-8D03-B888003AD91E}"/>
    <cellStyle name="Normal 5 4 3 11 2" xfId="29388" xr:uid="{A3609442-3A68-4E07-AF21-B30C2977D30C}"/>
    <cellStyle name="Normal 5 4 3 12" xfId="25894" xr:uid="{D55A3F8C-E7CC-4F71-82D4-4F9137493000}"/>
    <cellStyle name="Normal 5 4 3 13" xfId="46117" xr:uid="{AC8AFEBE-AD15-4B9F-8340-50A3C2833DE4}"/>
    <cellStyle name="Normal 5 4 3 14" xfId="46603" xr:uid="{4EDA4FB1-F40F-4CFC-8E06-65F6FD6938B6}"/>
    <cellStyle name="Normal 5 4 3 15" xfId="47095" xr:uid="{35672E8B-4103-4F9E-B67F-386BB4EFBFF1}"/>
    <cellStyle name="Normal 5 4 3 2" xfId="6127" xr:uid="{C81C1111-FC96-4E1B-A984-8713FE21117C}"/>
    <cellStyle name="Normal 5 4 3 2 2" xfId="7285" xr:uid="{A7A588E6-318C-4E23-9866-F011FFCC1442}"/>
    <cellStyle name="Normal 5 4 3 2 2 2" xfId="17571" xr:uid="{EE80937A-18E1-41AE-A697-2670637A1F3A}"/>
    <cellStyle name="Normal 5 4 3 2 2 2 2" xfId="37911" xr:uid="{E087A26D-8D57-453F-9C12-671201305E35}"/>
    <cellStyle name="Normal 5 4 3 2 2 3" xfId="21073" xr:uid="{6724EC6D-0301-400E-A821-B640B9F442BD}"/>
    <cellStyle name="Normal 5 4 3 2 2 3 2" xfId="41412" xr:uid="{B233EEB4-3B05-45ED-BDF4-2FB98E3F73CA}"/>
    <cellStyle name="Normal 5 4 3 2 2 4" xfId="24328" xr:uid="{728AD33B-20F9-4E01-A5B2-73B5329647CA}"/>
    <cellStyle name="Normal 5 4 3 2 2 4 2" xfId="44663" xr:uid="{E90F1C24-A165-4CC0-9111-3982818E7039}"/>
    <cellStyle name="Normal 5 4 3 2 2 5" xfId="14662" xr:uid="{7C76E379-A5A6-4209-A8E4-17780490E263}"/>
    <cellStyle name="Normal 5 4 3 2 2 5 2" xfId="35003" xr:uid="{1DBC5344-2715-4C01-B235-32A227E9EBCD}"/>
    <cellStyle name="Normal 5 4 3 2 2 6" xfId="10784" xr:uid="{6B44F5E4-6B53-476D-A89A-76568A7C85FC}"/>
    <cellStyle name="Normal 5 4 3 2 2 6 2" xfId="31127" xr:uid="{D14647C9-C493-4802-AC90-D5145AFA6897}"/>
    <cellStyle name="Normal 5 4 3 2 2 7" xfId="27633" xr:uid="{CFC32DF1-8498-44FB-A62A-C44677DB8C90}"/>
    <cellStyle name="Normal 5 4 3 2 3" xfId="16413" xr:uid="{B4A94B2E-BAFC-4D3D-AD49-6441877728F3}"/>
    <cellStyle name="Normal 5 4 3 2 3 2" xfId="36753" xr:uid="{ADD9CA1F-776A-4519-B2F8-2FDED26BD7A9}"/>
    <cellStyle name="Normal 5 4 3 2 4" xfId="19915" xr:uid="{A1730D82-D688-4CBC-B9D3-5EFE465B38F8}"/>
    <cellStyle name="Normal 5 4 3 2 4 2" xfId="40254" xr:uid="{57F593FF-AAAE-42BD-94CB-B1787F126F39}"/>
    <cellStyle name="Normal 5 4 3 2 5" xfId="23170" xr:uid="{797B2C46-73D2-4803-82C5-8A2651F2C746}"/>
    <cellStyle name="Normal 5 4 3 2 5 2" xfId="43505" xr:uid="{7A9254E9-3739-4020-9B6A-981690A22EEA}"/>
    <cellStyle name="Normal 5 4 3 2 6" xfId="13504" xr:uid="{53F40B19-050C-40FF-A820-512E9A898368}"/>
    <cellStyle name="Normal 5 4 3 2 6 2" xfId="33845" xr:uid="{D55ACFF8-FD84-4B43-A3B4-AE0A51D5BC56}"/>
    <cellStyle name="Normal 5 4 3 2 7" xfId="9626" xr:uid="{D8C9BB5D-C599-4D94-8272-460A2A70E23F}"/>
    <cellStyle name="Normal 5 4 3 2 7 2" xfId="29969" xr:uid="{A9505153-1761-432F-9DD9-7584547B496C}"/>
    <cellStyle name="Normal 5 4 3 2 8" xfId="26475" xr:uid="{47EFCE7E-016C-44AC-81D3-0D4C54DC4F17}"/>
    <cellStyle name="Normal 5 4 3 3" xfId="6704" xr:uid="{057CBD68-D2B0-4CAA-9AE6-EC82C807D0D6}"/>
    <cellStyle name="Normal 5 4 3 3 2" xfId="16990" xr:uid="{D14E4221-C998-43C9-8767-C3B5EE115BC0}"/>
    <cellStyle name="Normal 5 4 3 3 2 2" xfId="37330" xr:uid="{778ACD8C-F1F2-4CD5-B3E7-FEFCF0C2DC54}"/>
    <cellStyle name="Normal 5 4 3 3 3" xfId="20492" xr:uid="{025FBC64-4476-4B07-A083-3082324EFC3C}"/>
    <cellStyle name="Normal 5 4 3 3 3 2" xfId="40831" xr:uid="{F86E3408-090D-455E-B1F4-8EC1F7C1DB14}"/>
    <cellStyle name="Normal 5 4 3 3 4" xfId="23747" xr:uid="{99704E49-9C6A-41B2-B325-3A8AF26637B9}"/>
    <cellStyle name="Normal 5 4 3 3 4 2" xfId="44082" xr:uid="{B5748F9E-750D-410B-B282-94AC6562C3AF}"/>
    <cellStyle name="Normal 5 4 3 3 5" xfId="14081" xr:uid="{1F5C8448-8C08-45A7-B92F-1D1DDDD82D2A}"/>
    <cellStyle name="Normal 5 4 3 3 5 2" xfId="34422" xr:uid="{073B63AB-9BE8-4891-ABED-DB1FFE05E865}"/>
    <cellStyle name="Normal 5 4 3 3 6" xfId="10203" xr:uid="{2EB12B5A-1244-4C8C-818A-E3B19C099983}"/>
    <cellStyle name="Normal 5 4 3 3 6 2" xfId="30546" xr:uid="{B77810AE-FA7E-4CF7-AD21-4ECD56936B91}"/>
    <cellStyle name="Normal 5 4 3 3 7" xfId="27052" xr:uid="{8DC8E396-6ABF-42C7-8335-976161DAD23F}"/>
    <cellStyle name="Normal 5 4 3 4" xfId="7868" xr:uid="{97C1F0E4-8CE6-4644-A83F-14099E504ED9}"/>
    <cellStyle name="Normal 5 4 3 4 2" xfId="18153" xr:uid="{EEB52484-3CCC-4B4D-B1C1-0B0BF61A336E}"/>
    <cellStyle name="Normal 5 4 3 4 2 2" xfId="38493" xr:uid="{E895DC48-4D7C-4ED4-81AB-A8665C27A376}"/>
    <cellStyle name="Normal 5 4 3 4 3" xfId="21655" xr:uid="{01AE7E5C-0E76-45BA-9342-F551F5A985FC}"/>
    <cellStyle name="Normal 5 4 3 4 3 2" xfId="41994" xr:uid="{EBB70147-2741-4003-A53F-EEB9A857FCDE}"/>
    <cellStyle name="Normal 5 4 3 4 4" xfId="24910" xr:uid="{4967C1E1-5D26-4E6C-B660-A0B2FCE571C8}"/>
    <cellStyle name="Normal 5 4 3 4 4 2" xfId="45245" xr:uid="{87E312D3-D6FA-4B6E-A3E6-C3DA1B1423B0}"/>
    <cellStyle name="Normal 5 4 3 4 5" xfId="15245" xr:uid="{A7AAE5C2-3F87-41A5-9481-0A1514C53ABA}"/>
    <cellStyle name="Normal 5 4 3 4 5 2" xfId="35585" xr:uid="{2377F709-F07D-40DD-B8ED-AF154726DD8E}"/>
    <cellStyle name="Normal 5 4 3 4 6" xfId="11366" xr:uid="{8A93ECFA-7E92-47F3-BE70-8B2C71E19284}"/>
    <cellStyle name="Normal 5 4 3 4 6 2" xfId="31709" xr:uid="{E441A6BB-FB48-4537-8738-161373377159}"/>
    <cellStyle name="Normal 5 4 3 4 7" xfId="28215" xr:uid="{C40DEFF5-C45E-4F5A-B77F-ADADB168E3B4}"/>
    <cellStyle name="Normal 5 4 3 5" xfId="12935" xr:uid="{E10A0BD4-5FEC-444D-8AD6-AD412EE1F0C3}"/>
    <cellStyle name="Normal 5 4 3 5 2" xfId="33276" xr:uid="{2187843E-2086-4A09-9162-EED82A91C62A}"/>
    <cellStyle name="Normal 5 4 3 6" xfId="15832" xr:uid="{347BC2DD-16BD-4AB6-97CC-97A734C85E22}"/>
    <cellStyle name="Normal 5 4 3 6 2" xfId="36172" xr:uid="{FE9949E8-87E2-40B0-80AC-A30AE1E6DF7A}"/>
    <cellStyle name="Normal 5 4 3 7" xfId="18746" xr:uid="{E0755E15-5C40-4F44-8CCF-D1C58A711704}"/>
    <cellStyle name="Normal 5 4 3 7 2" xfId="39086" xr:uid="{9CF05E8C-304C-48DD-8DF9-6055AFA3D036}"/>
    <cellStyle name="Normal 5 4 3 8" xfId="19334" xr:uid="{E9365729-55DC-4CE6-B932-C075D187CBD5}"/>
    <cellStyle name="Normal 5 4 3 8 2" xfId="39673" xr:uid="{B1B5129C-94F5-4772-AB4D-5C6A85B36CDC}"/>
    <cellStyle name="Normal 5 4 3 9" xfId="22589" xr:uid="{B4C7B021-A625-410C-9D99-5B720D7A0F61}"/>
    <cellStyle name="Normal 5 4 3 9 2" xfId="42924" xr:uid="{E4355BA3-96BB-4175-B9E6-487D871A7025}"/>
    <cellStyle name="Normal 5 4 4" xfId="5713" xr:uid="{A20B5AC3-C5E3-4FD0-BE1F-2B4A335AD081}"/>
    <cellStyle name="Normal 5 4 4 10" xfId="12464" xr:uid="{2EF9BE91-A3D2-4FAF-8CF1-696A3A573BFF}"/>
    <cellStyle name="Normal 5 4 4 10 2" xfId="32805" xr:uid="{A44DBED1-4B15-402A-91CD-19D08D076FFF}"/>
    <cellStyle name="Normal 5 4 4 11" xfId="9203" xr:uid="{ABA8FCD0-DC52-49EC-B8E7-C1142697C9DC}"/>
    <cellStyle name="Normal 5 4 4 11 2" xfId="29546" xr:uid="{3A1DF67C-A297-4C4E-9049-E741623686F3}"/>
    <cellStyle name="Normal 5 4 4 12" xfId="26052" xr:uid="{9F2A1BED-C100-499B-9F76-471CC7BE1206}"/>
    <cellStyle name="Normal 5 4 4 2" xfId="6285" xr:uid="{0A4E74E2-FD61-40E2-A877-FA5F9D3CDC48}"/>
    <cellStyle name="Normal 5 4 4 2 2" xfId="7443" xr:uid="{26E73AF3-B91B-4D2C-9EB9-7EC37AB79D12}"/>
    <cellStyle name="Normal 5 4 4 2 2 2" xfId="17729" xr:uid="{DE0ED6C6-240A-453D-AA4D-9FD7B4E39556}"/>
    <cellStyle name="Normal 5 4 4 2 2 2 2" xfId="38069" xr:uid="{8578FB8C-6815-48A7-8855-F162B058ABEA}"/>
    <cellStyle name="Normal 5 4 4 2 2 3" xfId="21231" xr:uid="{55FA26B1-681C-40D4-930A-EA12EC9D1A82}"/>
    <cellStyle name="Normal 5 4 4 2 2 3 2" xfId="41570" xr:uid="{9AE66861-16AF-4F59-99A2-A7044B2D03CE}"/>
    <cellStyle name="Normal 5 4 4 2 2 4" xfId="24486" xr:uid="{0B0D5347-9A3D-42E6-8364-53BC89F512EA}"/>
    <cellStyle name="Normal 5 4 4 2 2 4 2" xfId="44821" xr:uid="{9E901772-2D5C-4361-91A9-A9EE35395560}"/>
    <cellStyle name="Normal 5 4 4 2 2 5" xfId="14820" xr:uid="{37C68C51-4C63-49A9-AD78-C947E3B831C7}"/>
    <cellStyle name="Normal 5 4 4 2 2 5 2" xfId="35161" xr:uid="{2E8B2273-9C9D-4110-985F-11CA0EA12D84}"/>
    <cellStyle name="Normal 5 4 4 2 2 6" xfId="10942" xr:uid="{D2752F68-2824-430B-A94D-6CEE02DC514F}"/>
    <cellStyle name="Normal 5 4 4 2 2 6 2" xfId="31285" xr:uid="{61578793-2DAA-41AC-98E9-6B3A46457589}"/>
    <cellStyle name="Normal 5 4 4 2 2 7" xfId="27791" xr:uid="{26FEE065-291C-4DBC-A3F9-ABEC52DD9A9E}"/>
    <cellStyle name="Normal 5 4 4 2 3" xfId="16571" xr:uid="{4FE9B78E-510D-45B5-BC12-23669F8BCF87}"/>
    <cellStyle name="Normal 5 4 4 2 3 2" xfId="36911" xr:uid="{7A3EB15B-FB4C-46B4-A974-DCDB4DF84579}"/>
    <cellStyle name="Normal 5 4 4 2 4" xfId="20073" xr:uid="{82DE6445-AE72-4CFE-8814-0C4E55367A8D}"/>
    <cellStyle name="Normal 5 4 4 2 4 2" xfId="40412" xr:uid="{10E9C02E-B9EE-4091-8572-692807D8F74C}"/>
    <cellStyle name="Normal 5 4 4 2 5" xfId="23328" xr:uid="{DB054E13-1460-43A0-9C6C-3647C2073682}"/>
    <cellStyle name="Normal 5 4 4 2 5 2" xfId="43663" xr:uid="{1FB296E7-CA59-4A1A-9551-C440020BE2BD}"/>
    <cellStyle name="Normal 5 4 4 2 6" xfId="13662" xr:uid="{10EF62DE-6285-4B59-9678-892AA1C806D3}"/>
    <cellStyle name="Normal 5 4 4 2 6 2" xfId="34003" xr:uid="{46A33AC6-7DE5-4D12-89A2-F62768789888}"/>
    <cellStyle name="Normal 5 4 4 2 7" xfId="9784" xr:uid="{7C8AC154-0F45-42A3-B7B5-5E7986E2777C}"/>
    <cellStyle name="Normal 5 4 4 2 7 2" xfId="30127" xr:uid="{C5936AE6-0F1E-4248-9A6C-22B6C2B8817D}"/>
    <cellStyle name="Normal 5 4 4 2 8" xfId="26633" xr:uid="{C9A19D8A-7124-4201-BD10-5577FF6D30F3}"/>
    <cellStyle name="Normal 5 4 4 3" xfId="6862" xr:uid="{6C703E9B-5994-49D5-9B81-99A349EA0B0A}"/>
    <cellStyle name="Normal 5 4 4 3 2" xfId="17148" xr:uid="{68720D7A-993D-4F6A-9E4F-8E6D17DB5290}"/>
    <cellStyle name="Normal 5 4 4 3 2 2" xfId="37488" xr:uid="{6E06BF69-5EB2-4756-90EB-1CFDA7D0CA63}"/>
    <cellStyle name="Normal 5 4 4 3 3" xfId="20650" xr:uid="{B2A1F9F5-C1D3-4055-8373-510ECEE1BB4F}"/>
    <cellStyle name="Normal 5 4 4 3 3 2" xfId="40989" xr:uid="{66EC3C56-491C-46B2-8C32-43474DF94ACC}"/>
    <cellStyle name="Normal 5 4 4 3 4" xfId="23905" xr:uid="{7CD4EAA0-A788-499E-9BEB-0D905C4CC510}"/>
    <cellStyle name="Normal 5 4 4 3 4 2" xfId="44240" xr:uid="{E0C7B1D4-36D4-4BB5-ABF3-F0DD0FD428BF}"/>
    <cellStyle name="Normal 5 4 4 3 5" xfId="14239" xr:uid="{71954023-DF0D-437D-A901-22BFA56A14F3}"/>
    <cellStyle name="Normal 5 4 4 3 5 2" xfId="34580" xr:uid="{EF2C734B-7538-4362-A049-2ABFBD29D2EB}"/>
    <cellStyle name="Normal 5 4 4 3 6" xfId="10361" xr:uid="{8B5F9345-1836-48F2-9DAA-16C0486F44FB}"/>
    <cellStyle name="Normal 5 4 4 3 6 2" xfId="30704" xr:uid="{42A93FA3-F8CB-4BC4-8918-A0BCC73E2FA0}"/>
    <cellStyle name="Normal 5 4 4 3 7" xfId="27210" xr:uid="{805B9BD3-311D-4E15-B813-74D5C1C2CABB}"/>
    <cellStyle name="Normal 5 4 4 4" xfId="8026" xr:uid="{0EA1F0E9-16C6-496B-8E64-B008EF167FB7}"/>
    <cellStyle name="Normal 5 4 4 4 2" xfId="18311" xr:uid="{F3835633-45F6-4E12-A591-F0C9363ADA59}"/>
    <cellStyle name="Normal 5 4 4 4 2 2" xfId="38651" xr:uid="{7E68CFEE-9747-47FB-B2CE-0CEEE7189C8A}"/>
    <cellStyle name="Normal 5 4 4 4 3" xfId="21813" xr:uid="{D202F6C0-2BD0-4218-8B0D-11930189B271}"/>
    <cellStyle name="Normal 5 4 4 4 3 2" xfId="42152" xr:uid="{A91BF481-0AA1-41E9-95D5-6591FC335766}"/>
    <cellStyle name="Normal 5 4 4 4 4" xfId="25068" xr:uid="{7B53291D-25D0-47DF-A7A7-0F9C8B77E95B}"/>
    <cellStyle name="Normal 5 4 4 4 4 2" xfId="45403" xr:uid="{50896122-BB02-4519-9462-AA168A522AB7}"/>
    <cellStyle name="Normal 5 4 4 4 5" xfId="15403" xr:uid="{EC1A4D8C-A32E-457A-B589-CF314F84BA96}"/>
    <cellStyle name="Normal 5 4 4 4 5 2" xfId="35743" xr:uid="{3CA31AEA-C665-49FC-B512-E1EEFB2876D8}"/>
    <cellStyle name="Normal 5 4 4 4 6" xfId="11524" xr:uid="{580A2ECA-2D77-4E4B-B8FE-37B96B20D6B0}"/>
    <cellStyle name="Normal 5 4 4 4 6 2" xfId="31867" xr:uid="{7553C48B-9222-483E-BF81-AE0063D71BC0}"/>
    <cellStyle name="Normal 5 4 4 4 7" xfId="28373" xr:uid="{CB9ACD6D-2640-4CF7-94D8-09B66FB03432}"/>
    <cellStyle name="Normal 5 4 4 5" xfId="13093" xr:uid="{2B8B77E4-81F5-4F5D-B370-9A554524DB78}"/>
    <cellStyle name="Normal 5 4 4 5 2" xfId="33434" xr:uid="{066969B0-EEEC-4CAE-8EE3-9BCEB93343DB}"/>
    <cellStyle name="Normal 5 4 4 6" xfId="15990" xr:uid="{5CD92301-C10E-44DD-A7B3-7495066B44FB}"/>
    <cellStyle name="Normal 5 4 4 6 2" xfId="36330" xr:uid="{41E13CDD-4C15-416B-91D9-91C996A0201D}"/>
    <cellStyle name="Normal 5 4 4 7" xfId="18904" xr:uid="{443DD3FE-465E-44DB-A0C4-F7EA88CAA1C3}"/>
    <cellStyle name="Normal 5 4 4 7 2" xfId="39244" xr:uid="{E36DDAFC-D39A-4244-A5D5-05629C1ACFAD}"/>
    <cellStyle name="Normal 5 4 4 8" xfId="19492" xr:uid="{89262C61-5471-4ECA-83A9-F99BE00056BD}"/>
    <cellStyle name="Normal 5 4 4 8 2" xfId="39831" xr:uid="{13EF8B64-D7FC-4C63-AA21-E07A13A88625}"/>
    <cellStyle name="Normal 5 4 4 9" xfId="22747" xr:uid="{71B7F46C-64D5-4F66-998C-4E3082FBB294}"/>
    <cellStyle name="Normal 5 4 4 9 2" xfId="43082" xr:uid="{4C78EFF9-5D36-44A3-89FB-F15E8B718511}"/>
    <cellStyle name="Normal 5 4 5" xfId="5783" xr:uid="{2764E5B2-DD82-4E6E-A116-D239F50AB3C2}"/>
    <cellStyle name="Normal 5 4 5 2" xfId="6941" xr:uid="{7A84293E-C32E-4302-9885-95C2264E97C1}"/>
    <cellStyle name="Normal 5 4 5 2 2" xfId="17227" xr:uid="{F22BED5F-46F1-4BFB-BBD4-2A1958AD9AEE}"/>
    <cellStyle name="Normal 5 4 5 2 2 2" xfId="37567" xr:uid="{E3D3EFF7-2BB7-4CFD-9C18-CCCAD9F284B0}"/>
    <cellStyle name="Normal 5 4 5 2 3" xfId="20729" xr:uid="{D3777E38-C934-4C92-AE69-198D705B055C}"/>
    <cellStyle name="Normal 5 4 5 2 3 2" xfId="41068" xr:uid="{3DE5BB6A-606C-4453-98D2-1E2872C32216}"/>
    <cellStyle name="Normal 5 4 5 2 4" xfId="23984" xr:uid="{C233EC41-D0B4-4870-B76F-9F0DDF9467A1}"/>
    <cellStyle name="Normal 5 4 5 2 4 2" xfId="44319" xr:uid="{8B4C62F4-769C-405B-9594-83280C5D769C}"/>
    <cellStyle name="Normal 5 4 5 2 5" xfId="14318" xr:uid="{1C7BCEC4-DF70-427B-B4D6-3242C41D8972}"/>
    <cellStyle name="Normal 5 4 5 2 5 2" xfId="34659" xr:uid="{5A61C26C-0216-41B5-94B6-E6D3EB0B0EEC}"/>
    <cellStyle name="Normal 5 4 5 2 6" xfId="10440" xr:uid="{3299F2E2-CFCC-47AF-8754-566FD65022B9}"/>
    <cellStyle name="Normal 5 4 5 2 6 2" xfId="30783" xr:uid="{1FB89CE4-8E76-4151-81AB-471070D2D78D}"/>
    <cellStyle name="Normal 5 4 5 2 7" xfId="27289" xr:uid="{5271EC03-50CE-47D4-B67D-6A6BAADEC8C5}"/>
    <cellStyle name="Normal 5 4 5 3" xfId="16069" xr:uid="{F9D9B7BB-12DE-4F5C-987A-172CEE452B4D}"/>
    <cellStyle name="Normal 5 4 5 3 2" xfId="36409" xr:uid="{27292FAF-3F1D-470C-86B9-3A5B859B8758}"/>
    <cellStyle name="Normal 5 4 5 4" xfId="19571" xr:uid="{634E22D8-21CE-47A9-B813-9BE31CB4F08E}"/>
    <cellStyle name="Normal 5 4 5 4 2" xfId="39910" xr:uid="{3F3A45A9-794B-4C58-B466-01BAE4B5D1EC}"/>
    <cellStyle name="Normal 5 4 5 5" xfId="22826" xr:uid="{5E014B0B-580B-4CF4-954A-7C3CAA7E771D}"/>
    <cellStyle name="Normal 5 4 5 5 2" xfId="43161" xr:uid="{EFFBF004-3F67-4BBC-90DE-B6A502F7AAF2}"/>
    <cellStyle name="Normal 5 4 5 6" xfId="13170" xr:uid="{BC5204C6-F6FE-40A9-84A3-14B38EC4A2FA}"/>
    <cellStyle name="Normal 5 4 5 6 2" xfId="33511" xr:uid="{0C7E87B7-93F4-4162-B25D-77B9BA197C04}"/>
    <cellStyle name="Normal 5 4 5 7" xfId="9282" xr:uid="{30BC39B0-5FD5-4874-8C04-F3FCAD9BDABD}"/>
    <cellStyle name="Normal 5 4 5 7 2" xfId="29625" xr:uid="{1EB872C3-963C-4935-AADB-2415EE575D4A}"/>
    <cellStyle name="Normal 5 4 5 8" xfId="26131" xr:uid="{99A0191B-C5BC-46C8-9750-0C47BD58AA7B}"/>
    <cellStyle name="Normal 5 4 6" xfId="6360" xr:uid="{3AB86044-5BDA-416E-93F5-4D9AB030CD4A}"/>
    <cellStyle name="Normal 5 4 6 2" xfId="16646" xr:uid="{F9C9A802-AA81-4D27-985F-D33CCA82079B}"/>
    <cellStyle name="Normal 5 4 6 2 2" xfId="36986" xr:uid="{50C3B968-EE68-4958-A9C3-B010794C2BF5}"/>
    <cellStyle name="Normal 5 4 6 3" xfId="20148" xr:uid="{EFA52893-6EB9-45F9-BD6A-DF5C13EB9562}"/>
    <cellStyle name="Normal 5 4 6 3 2" xfId="40487" xr:uid="{5B3DEA11-8AEE-4CF5-A8C2-C94B533D9854}"/>
    <cellStyle name="Normal 5 4 6 4" xfId="23403" xr:uid="{5B7AE9FE-2348-45A8-A9EA-32A73DA73417}"/>
    <cellStyle name="Normal 5 4 6 4 2" xfId="43738" xr:uid="{8F2DEFA8-56D3-4D60-9BAE-386BFC312ACC}"/>
    <cellStyle name="Normal 5 4 6 5" xfId="13737" xr:uid="{12C8D511-EFF0-485F-93E0-5B17D753101D}"/>
    <cellStyle name="Normal 5 4 6 5 2" xfId="34078" xr:uid="{309A8AE6-E011-4538-9247-5872EBE8EE62}"/>
    <cellStyle name="Normal 5 4 6 6" xfId="9859" xr:uid="{758896ED-93E1-493F-BBB8-70098487CF7F}"/>
    <cellStyle name="Normal 5 4 6 6 2" xfId="30202" xr:uid="{70E6A9F0-24AE-4105-AC1D-375D6F9AE82B}"/>
    <cellStyle name="Normal 5 4 6 7" xfId="26708" xr:uid="{A67937E2-7A91-4A0D-9ACE-08154DEF2274}"/>
    <cellStyle name="Normal 5 4 7" xfId="7524" xr:uid="{472F7A49-8C1F-4845-AE64-91E1CE128E17}"/>
    <cellStyle name="Normal 5 4 7 2" xfId="17809" xr:uid="{FC89DADA-7170-49F7-A26B-38AE45EDBA75}"/>
    <cellStyle name="Normal 5 4 7 2 2" xfId="38149" xr:uid="{795FBCAE-FB9A-403C-A8A6-A23D0106934D}"/>
    <cellStyle name="Normal 5 4 7 3" xfId="21311" xr:uid="{59F63DB1-5640-44ED-87AB-855CF23D26A0}"/>
    <cellStyle name="Normal 5 4 7 3 2" xfId="41650" xr:uid="{EB38E085-6D1D-4399-864A-F0A2E91AD81D}"/>
    <cellStyle name="Normal 5 4 7 4" xfId="24566" xr:uid="{11A30B62-967E-438B-8735-F058DBA211D7}"/>
    <cellStyle name="Normal 5 4 7 4 2" xfId="44901" xr:uid="{2CED8316-5127-4B9B-AF1B-FE077DC51127}"/>
    <cellStyle name="Normal 5 4 7 5" xfId="14901" xr:uid="{9F01EAB4-65AB-4F5A-8F96-0E01BDF35290}"/>
    <cellStyle name="Normal 5 4 7 5 2" xfId="35241" xr:uid="{0B680C69-63F9-4506-9900-2E0DC0F50C15}"/>
    <cellStyle name="Normal 5 4 7 6" xfId="11022" xr:uid="{BA554C52-0C3A-4696-9B04-A3F729467956}"/>
    <cellStyle name="Normal 5 4 7 6 2" xfId="31365" xr:uid="{32DC6712-712E-4EE4-ACCD-F09F55296457}"/>
    <cellStyle name="Normal 5 4 7 7" xfId="27871" xr:uid="{BE76A2D3-30D4-4596-99C6-C294D25E809A}"/>
    <cellStyle name="Normal 5 4 8" xfId="8119" xr:uid="{EFED6EB1-38BD-42C0-AD63-468203965712}"/>
    <cellStyle name="Normal 5 4 8 2" xfId="21906" xr:uid="{DB192AA5-26CB-4111-B467-3ADA6B80EE7F}"/>
    <cellStyle name="Normal 5 4 8 2 2" xfId="42242" xr:uid="{1DD8430E-DB96-45AC-A194-D69AE82B84D1}"/>
    <cellStyle name="Normal 5 4 8 3" xfId="25158" xr:uid="{C660C5B2-3CF1-49F1-81F3-EA8C5410585F}"/>
    <cellStyle name="Normal 5 4 8 3 2" xfId="45493" xr:uid="{7B097536-FF18-4149-8C9E-600423C43238}"/>
    <cellStyle name="Normal 5 4 8 4" xfId="12601" xr:uid="{7D027009-5A63-488F-9009-B3699CB0FD08}"/>
    <cellStyle name="Normal 5 4 8 4 2" xfId="32942" xr:uid="{843ED263-BCA0-4B03-B814-75537623A6CA}"/>
    <cellStyle name="Normal 5 4 8 5" xfId="11615" xr:uid="{EA5DB904-D485-4C96-8A1D-17D7444253CE}"/>
    <cellStyle name="Normal 5 4 8 5 2" xfId="31957" xr:uid="{B89782D7-407A-4F07-97AB-7131F65ED32F}"/>
    <cellStyle name="Normal 5 4 8 6" xfId="28463" xr:uid="{BBEB744D-3909-4115-9F71-9E6928A606BE}"/>
    <cellStyle name="Normal 5 4 9" xfId="8499" xr:uid="{5736B7DF-5B7E-4EC3-A14B-1414BD068652}"/>
    <cellStyle name="Normal 5 4 9 2" xfId="15488" xr:uid="{A90F1631-587E-4164-8DF0-63578EDD7742}"/>
    <cellStyle name="Normal 5 4 9 2 2" xfId="35828" xr:uid="{1C63D3D6-B330-46AD-91EE-B3FAAA718DCF}"/>
    <cellStyle name="Normal 5 4 9 3" xfId="28842" xr:uid="{486E83D7-C0F8-4330-841A-95C25467EFE1}"/>
    <cellStyle name="Normal 5 5" xfId="5051" xr:uid="{2BDBADAB-8ED9-47A8-991D-FD9FE207D6C9}"/>
    <cellStyle name="Normal 5 5 10" xfId="19042" xr:uid="{A8E0CC40-8D3F-4507-9C7F-EFAD0EA404DF}"/>
    <cellStyle name="Normal 5 5 10 2" xfId="39381" xr:uid="{6D8AA2AA-62C3-4AC0-97FA-2654046EAF66}"/>
    <cellStyle name="Normal 5 5 11" xfId="22297" xr:uid="{11AF69C6-6DD9-4C45-87C5-7A0804BD0EBE}"/>
    <cellStyle name="Normal 5 5 11 2" xfId="42632" xr:uid="{9F46B02A-6C93-47F0-B629-226E0D785868}"/>
    <cellStyle name="Normal 5 5 12" xfId="12014" xr:uid="{83495791-0AEA-44CE-BF72-FE71834EE309}"/>
    <cellStyle name="Normal 5 5 12 2" xfId="32355" xr:uid="{ACFD803D-E1A2-4571-BDFC-6AA9355066BD}"/>
    <cellStyle name="Normal 5 5 13" xfId="8753" xr:uid="{328C5679-6C46-4E99-8799-63C965EF48F8}"/>
    <cellStyle name="Normal 5 5 13 2" xfId="29096" xr:uid="{623DA289-CB69-449F-A9AA-A437EFBD33CB}"/>
    <cellStyle name="Normal 5 5 14" xfId="25598" xr:uid="{B3A2F4CD-AF20-489C-85AC-68755CB65631}"/>
    <cellStyle name="Normal 5 5 15" xfId="45933" xr:uid="{4F7B4A4D-5387-48F9-B1E8-43F4C5618137}"/>
    <cellStyle name="Normal 5 5 16" xfId="46419" xr:uid="{F8F6FBE1-2D07-418B-ADDF-C9D137CD1ABE}"/>
    <cellStyle name="Normal 5 5 17" xfId="46911" xr:uid="{35260BA1-EC86-400B-AF27-C24823504297}"/>
    <cellStyle name="Normal 5 5 2" xfId="5386" xr:uid="{0A1B6BB0-7CB3-4E60-8C7B-895D6621515A}"/>
    <cellStyle name="Normal 5 5 2 10" xfId="12129" xr:uid="{290313C1-F131-4AB1-AFD0-A38D2CE54CCB}"/>
    <cellStyle name="Normal 5 5 2 10 2" xfId="32470" xr:uid="{5077AF27-BEDC-4F08-96FD-73E51788BCC6}"/>
    <cellStyle name="Normal 5 5 2 11" xfId="8868" xr:uid="{47C0E03D-53D6-45E5-A96C-61A14DE5406C}"/>
    <cellStyle name="Normal 5 5 2 11 2" xfId="29211" xr:uid="{8A105C9A-0165-43F9-A095-486820DABA19}"/>
    <cellStyle name="Normal 5 5 2 12" xfId="25717" xr:uid="{DCC60BEE-07E0-42CB-A433-F240CC4AAE5E}"/>
    <cellStyle name="Normal 5 5 2 13" xfId="46176" xr:uid="{F9C8EE35-3F78-4642-8EA5-2619CB4C8522}"/>
    <cellStyle name="Normal 5 5 2 14" xfId="46662" xr:uid="{6551AC78-3703-48CA-8B40-3DCFA35455CF}"/>
    <cellStyle name="Normal 5 5 2 15" xfId="47154" xr:uid="{D97E1944-D7A6-4F2F-B1B4-C9E05E7B8F4B}"/>
    <cellStyle name="Normal 5 5 2 2" xfId="5950" xr:uid="{C5FE6ADF-3F33-4C13-84FB-BD796A4D27D2}"/>
    <cellStyle name="Normal 5 5 2 2 2" xfId="7108" xr:uid="{E5A46F49-7580-455A-8428-125B4E796BE2}"/>
    <cellStyle name="Normal 5 5 2 2 2 2" xfId="17394" xr:uid="{9CDB1716-3297-45F3-B1F0-880B571E9D75}"/>
    <cellStyle name="Normal 5 5 2 2 2 2 2" xfId="37734" xr:uid="{2D66B33B-838D-4C75-9EBC-CE309125AB54}"/>
    <cellStyle name="Normal 5 5 2 2 2 3" xfId="20896" xr:uid="{B8A44FF2-F975-41BF-92EB-2ABFDAD76A35}"/>
    <cellStyle name="Normal 5 5 2 2 2 3 2" xfId="41235" xr:uid="{842A1649-8FFD-4DF7-A2F4-9B538F32E280}"/>
    <cellStyle name="Normal 5 5 2 2 2 4" xfId="24151" xr:uid="{71FBE10C-33FB-47DE-B55F-3107C989C282}"/>
    <cellStyle name="Normal 5 5 2 2 2 4 2" xfId="44486" xr:uid="{CD960917-EA37-4244-8122-3AB35FE8B870}"/>
    <cellStyle name="Normal 5 5 2 2 2 5" xfId="14485" xr:uid="{12532FD6-E5EF-4BEB-B644-F380DB1B3ACA}"/>
    <cellStyle name="Normal 5 5 2 2 2 5 2" xfId="34826" xr:uid="{4D11062B-46C8-4202-B87B-3E44C76ABAE5}"/>
    <cellStyle name="Normal 5 5 2 2 2 6" xfId="10607" xr:uid="{51B282AB-2CC6-4A66-B189-74776D0C75F2}"/>
    <cellStyle name="Normal 5 5 2 2 2 6 2" xfId="30950" xr:uid="{81CF4FD7-82A0-441F-B086-ACFD28AFFD55}"/>
    <cellStyle name="Normal 5 5 2 2 2 7" xfId="27456" xr:uid="{ADBD05C2-C5E1-494A-955A-2FA649069D1E}"/>
    <cellStyle name="Normal 5 5 2 2 3" xfId="16236" xr:uid="{40BC4AF8-0103-4C23-B868-3E13BE4A5DC0}"/>
    <cellStyle name="Normal 5 5 2 2 3 2" xfId="36576" xr:uid="{0908F28C-393D-4092-B74F-7353276EB55B}"/>
    <cellStyle name="Normal 5 5 2 2 4" xfId="19738" xr:uid="{6FA8DADB-D729-47D1-B901-7164385B4454}"/>
    <cellStyle name="Normal 5 5 2 2 4 2" xfId="40077" xr:uid="{FD53EFC1-3036-48BC-8A3E-C51DF1A0ADE7}"/>
    <cellStyle name="Normal 5 5 2 2 5" xfId="22993" xr:uid="{98A07790-978A-4B67-8AE8-ACCA8F9A098C}"/>
    <cellStyle name="Normal 5 5 2 2 5 2" xfId="43328" xr:uid="{FF44D104-D048-4FC7-9192-3764430504E8}"/>
    <cellStyle name="Normal 5 5 2 2 6" xfId="13327" xr:uid="{9ACF14DA-5144-4F0A-83B6-414709407198}"/>
    <cellStyle name="Normal 5 5 2 2 6 2" xfId="33668" xr:uid="{ADDAA0A0-307A-4A80-9737-48A27F4511BC}"/>
    <cellStyle name="Normal 5 5 2 2 7" xfId="9449" xr:uid="{9F1EEA2F-ACC2-4249-BF56-861C6A3B2518}"/>
    <cellStyle name="Normal 5 5 2 2 7 2" xfId="29792" xr:uid="{BD63D2EB-D220-422C-BBBD-2DAA152514AA}"/>
    <cellStyle name="Normal 5 5 2 2 8" xfId="26298" xr:uid="{1A64A406-C709-4948-B6AB-EC2267CBDCA3}"/>
    <cellStyle name="Normal 5 5 2 3" xfId="6527" xr:uid="{43F1B55D-6057-491E-9C4E-63A395D58D05}"/>
    <cellStyle name="Normal 5 5 2 3 2" xfId="16813" xr:uid="{0548E4BF-0D16-4E69-965E-8F005A177755}"/>
    <cellStyle name="Normal 5 5 2 3 2 2" xfId="37153" xr:uid="{DD041F15-012F-43C4-BABD-F8EF88EBC9E7}"/>
    <cellStyle name="Normal 5 5 2 3 3" xfId="20315" xr:uid="{B3082F20-0EAE-4E26-AC23-60A2AC915B54}"/>
    <cellStyle name="Normal 5 5 2 3 3 2" xfId="40654" xr:uid="{20579A22-01A7-417B-9B28-BD88EC386F7F}"/>
    <cellStyle name="Normal 5 5 2 3 4" xfId="23570" xr:uid="{7ED6297C-15AF-4A16-BE24-33E4AE38BD0E}"/>
    <cellStyle name="Normal 5 5 2 3 4 2" xfId="43905" xr:uid="{C0384F23-B304-4B40-991B-1EB34722FE97}"/>
    <cellStyle name="Normal 5 5 2 3 5" xfId="13904" xr:uid="{C2E746AB-9C2D-4A7E-BA35-17EE91E29973}"/>
    <cellStyle name="Normal 5 5 2 3 5 2" xfId="34245" xr:uid="{D377C34A-F666-4BAD-B785-A7FB29082477}"/>
    <cellStyle name="Normal 5 5 2 3 6" xfId="10026" xr:uid="{75D5213A-4FB1-4D60-B27C-CB4FBC306D8C}"/>
    <cellStyle name="Normal 5 5 2 3 6 2" xfId="30369" xr:uid="{B4A51DF4-6DCF-4644-A516-DFA6683D9A60}"/>
    <cellStyle name="Normal 5 5 2 3 7" xfId="26875" xr:uid="{2755DD2B-E738-4D0E-ACAC-CFFF375A197A}"/>
    <cellStyle name="Normal 5 5 2 4" xfId="7691" xr:uid="{EA4F9745-C0EB-46CE-9670-5B08CA1C575B}"/>
    <cellStyle name="Normal 5 5 2 4 2" xfId="17976" xr:uid="{EA301EFB-FB4F-417A-A166-72041BCF6667}"/>
    <cellStyle name="Normal 5 5 2 4 2 2" xfId="38316" xr:uid="{C2111A66-F497-494A-87A8-B22673D9E926}"/>
    <cellStyle name="Normal 5 5 2 4 3" xfId="21478" xr:uid="{D93BEBE3-79D5-4180-99FD-D71E60C66040}"/>
    <cellStyle name="Normal 5 5 2 4 3 2" xfId="41817" xr:uid="{C4E8B9F6-77C0-4892-826A-6B56467B413A}"/>
    <cellStyle name="Normal 5 5 2 4 4" xfId="24733" xr:uid="{17B6E44A-5743-469D-9C2E-ECE59B12FA5C}"/>
    <cellStyle name="Normal 5 5 2 4 4 2" xfId="45068" xr:uid="{5DFBCC09-130D-4A9A-943D-995FF8AFEB10}"/>
    <cellStyle name="Normal 5 5 2 4 5" xfId="15068" xr:uid="{5EAA804F-6774-4982-9975-50B8C73AC671}"/>
    <cellStyle name="Normal 5 5 2 4 5 2" xfId="35408" xr:uid="{FB99CE98-FD62-424C-93D8-1616D3772CF7}"/>
    <cellStyle name="Normal 5 5 2 4 6" xfId="11189" xr:uid="{5798A766-7608-483E-9611-0562E87CDF21}"/>
    <cellStyle name="Normal 5 5 2 4 6 2" xfId="31532" xr:uid="{8E28FC45-F2C5-4B75-B4A7-1C38831568C4}"/>
    <cellStyle name="Normal 5 5 2 4 7" xfId="28038" xr:uid="{DB986994-E5D9-4A38-95A5-9CF62E69E598}"/>
    <cellStyle name="Normal 5 5 2 5" xfId="12758" xr:uid="{8E19B803-BC79-460E-81B1-8D5171B22356}"/>
    <cellStyle name="Normal 5 5 2 5 2" xfId="33099" xr:uid="{AADB8015-7DE8-478C-B25E-A025215752A0}"/>
    <cellStyle name="Normal 5 5 2 6" xfId="15655" xr:uid="{058166C3-F7FF-4324-BCBF-9D7233A7E347}"/>
    <cellStyle name="Normal 5 5 2 6 2" xfId="35995" xr:uid="{B44DBF38-FFB5-47D7-AA6B-7641B5554E3D}"/>
    <cellStyle name="Normal 5 5 2 7" xfId="18569" xr:uid="{5050EA30-EFF6-4CD9-A499-6C09E86D1BA5}"/>
    <cellStyle name="Normal 5 5 2 7 2" xfId="38909" xr:uid="{AFD3B38D-456F-4CCA-87A5-E48ACC1A6668}"/>
    <cellStyle name="Normal 5 5 2 8" xfId="19157" xr:uid="{D261C8DE-4747-4FCB-AAF8-B59EAB92724E}"/>
    <cellStyle name="Normal 5 5 2 8 2" xfId="39496" xr:uid="{56A5E198-7D64-42E5-ABD8-4BD75E4F005F}"/>
    <cellStyle name="Normal 5 5 2 9" xfId="22412" xr:uid="{DC5AE1F9-6D89-42F2-9396-77392C8B4D95}"/>
    <cellStyle name="Normal 5 5 2 9 2" xfId="42747" xr:uid="{26FE8B33-3DD6-4635-8FC4-546AB54870CC}"/>
    <cellStyle name="Normal 5 5 3" xfId="5607" xr:uid="{C07948A4-75DF-49B2-B386-3F648EEB8CCD}"/>
    <cellStyle name="Normal 5 5 3 10" xfId="12358" xr:uid="{9BC94DB1-5570-414D-B7EF-D60746C2140F}"/>
    <cellStyle name="Normal 5 5 3 10 2" xfId="32699" xr:uid="{389141FD-19C7-4744-BB64-FDD3A9025F17}"/>
    <cellStyle name="Normal 5 5 3 11" xfId="9097" xr:uid="{64C5EC20-73D2-42C8-A565-5B818B43A4FC}"/>
    <cellStyle name="Normal 5 5 3 11 2" xfId="29440" xr:uid="{4A5220A2-E7EC-47AE-87F4-FFF8CDC3223D}"/>
    <cellStyle name="Normal 5 5 3 12" xfId="25946" xr:uid="{DD6FB0D5-2642-4C7C-BB9F-3B18314CE3B9}"/>
    <cellStyle name="Normal 5 5 3 2" xfId="6179" xr:uid="{D6476459-5552-44D5-814A-9AD470D2290B}"/>
    <cellStyle name="Normal 5 5 3 2 2" xfId="7337" xr:uid="{1E55A815-A122-44B3-829F-50CB69E85DA3}"/>
    <cellStyle name="Normal 5 5 3 2 2 2" xfId="17623" xr:uid="{38FF897F-0873-41B8-81CB-FE05B7A0710E}"/>
    <cellStyle name="Normal 5 5 3 2 2 2 2" xfId="37963" xr:uid="{A7CE7242-0112-4402-A2E5-CBA304098A8F}"/>
    <cellStyle name="Normal 5 5 3 2 2 3" xfId="21125" xr:uid="{184308D2-804D-45FD-A42F-72B00C75ECF2}"/>
    <cellStyle name="Normal 5 5 3 2 2 3 2" xfId="41464" xr:uid="{7A9CBE34-5A06-4CF6-A8F9-AF323795214D}"/>
    <cellStyle name="Normal 5 5 3 2 2 4" xfId="24380" xr:uid="{FF9F4EEC-0FCE-48C0-9CE0-283781841B6F}"/>
    <cellStyle name="Normal 5 5 3 2 2 4 2" xfId="44715" xr:uid="{F6080432-9130-4934-AC40-DEE815144B91}"/>
    <cellStyle name="Normal 5 5 3 2 2 5" xfId="14714" xr:uid="{A46CC560-773B-4857-9F2D-AD5B91F6D156}"/>
    <cellStyle name="Normal 5 5 3 2 2 5 2" xfId="35055" xr:uid="{AB2BBC9B-252A-4D47-98AA-DA49BB33FF25}"/>
    <cellStyle name="Normal 5 5 3 2 2 6" xfId="10836" xr:uid="{A473CD0C-27D5-4C2E-BED1-1A2062B477F8}"/>
    <cellStyle name="Normal 5 5 3 2 2 6 2" xfId="31179" xr:uid="{4477BE40-A0F8-403F-8E59-7CBB495A46CB}"/>
    <cellStyle name="Normal 5 5 3 2 2 7" xfId="27685" xr:uid="{92E46FEB-7CBE-4C22-AB34-DC467D156D1F}"/>
    <cellStyle name="Normal 5 5 3 2 3" xfId="16465" xr:uid="{8342E62C-C648-4BB7-B3AB-844FC449C386}"/>
    <cellStyle name="Normal 5 5 3 2 3 2" xfId="36805" xr:uid="{B8ACD3C5-8AAD-4B25-91C0-9DF994828853}"/>
    <cellStyle name="Normal 5 5 3 2 4" xfId="19967" xr:uid="{243753C8-BB93-4E40-A5FB-0474C8FE6594}"/>
    <cellStyle name="Normal 5 5 3 2 4 2" xfId="40306" xr:uid="{808DF0AD-DA92-4B85-81AF-E68EF338EF88}"/>
    <cellStyle name="Normal 5 5 3 2 5" xfId="23222" xr:uid="{7FFF6A96-739F-4BB7-8DFF-4B13EBAED0EB}"/>
    <cellStyle name="Normal 5 5 3 2 5 2" xfId="43557" xr:uid="{56ABAE5F-2FB1-4414-869B-83308AAC725A}"/>
    <cellStyle name="Normal 5 5 3 2 6" xfId="13556" xr:uid="{C26AFF4D-9A42-4648-BAA3-B81DE68E8A35}"/>
    <cellStyle name="Normal 5 5 3 2 6 2" xfId="33897" xr:uid="{B4C5C9E5-8419-49C9-A933-2BDE50922CBA}"/>
    <cellStyle name="Normal 5 5 3 2 7" xfId="9678" xr:uid="{3133FA85-1254-44BA-9481-831F20E93B5B}"/>
    <cellStyle name="Normal 5 5 3 2 7 2" xfId="30021" xr:uid="{20EB1270-6C03-4E65-8ECC-27E8D6DC57D3}"/>
    <cellStyle name="Normal 5 5 3 2 8" xfId="26527" xr:uid="{74E12C32-240C-49BE-93D9-3C003183A869}"/>
    <cellStyle name="Normal 5 5 3 3" xfId="6756" xr:uid="{B9A8DBCC-1F7A-4126-A79B-B49E61167FB9}"/>
    <cellStyle name="Normal 5 5 3 3 2" xfId="17042" xr:uid="{EC412D1F-3993-4CBF-8926-974D6222310D}"/>
    <cellStyle name="Normal 5 5 3 3 2 2" xfId="37382" xr:uid="{41023460-A31D-47C9-A5F9-671AA149FF3F}"/>
    <cellStyle name="Normal 5 5 3 3 3" xfId="20544" xr:uid="{CAEBE514-2C95-4213-8AF5-845C5B5A83CA}"/>
    <cellStyle name="Normal 5 5 3 3 3 2" xfId="40883" xr:uid="{C4B8EAC3-6960-4458-A28B-B004609B61D7}"/>
    <cellStyle name="Normal 5 5 3 3 4" xfId="23799" xr:uid="{15A3EA36-E368-4CD8-9816-E218676F949B}"/>
    <cellStyle name="Normal 5 5 3 3 4 2" xfId="44134" xr:uid="{B8E36BF3-1AFB-4A58-A237-851DC2B5DDE6}"/>
    <cellStyle name="Normal 5 5 3 3 5" xfId="14133" xr:uid="{7D579EFD-4561-4363-A891-75E72A6902B2}"/>
    <cellStyle name="Normal 5 5 3 3 5 2" xfId="34474" xr:uid="{86520C9E-30AC-42D5-8B2B-2223AF15CD14}"/>
    <cellStyle name="Normal 5 5 3 3 6" xfId="10255" xr:uid="{62D9D23A-BC5C-41BA-B9C9-E2DB62EAFD7D}"/>
    <cellStyle name="Normal 5 5 3 3 6 2" xfId="30598" xr:uid="{AFADE00B-D55D-455B-9450-D5514070B369}"/>
    <cellStyle name="Normal 5 5 3 3 7" xfId="27104" xr:uid="{62A9952B-F098-4474-AF63-75342D625A03}"/>
    <cellStyle name="Normal 5 5 3 4" xfId="7920" xr:uid="{71308684-A7A1-4906-8F73-3D32F886899A}"/>
    <cellStyle name="Normal 5 5 3 4 2" xfId="18205" xr:uid="{757D92D2-F701-4E9E-AA16-62B90422A984}"/>
    <cellStyle name="Normal 5 5 3 4 2 2" xfId="38545" xr:uid="{45066A6E-1D2F-402B-AB28-78D7EE861E1A}"/>
    <cellStyle name="Normal 5 5 3 4 3" xfId="21707" xr:uid="{A76EA881-F9E8-41D2-8606-1AD13489291E}"/>
    <cellStyle name="Normal 5 5 3 4 3 2" xfId="42046" xr:uid="{136BA510-01B3-4668-9D94-FC12A684BB00}"/>
    <cellStyle name="Normal 5 5 3 4 4" xfId="24962" xr:uid="{89E0A8F0-5CE6-4CBC-8002-44E788CB8455}"/>
    <cellStyle name="Normal 5 5 3 4 4 2" xfId="45297" xr:uid="{65CAA2C9-A442-49BB-BF5D-C6CF466EDA4C}"/>
    <cellStyle name="Normal 5 5 3 4 5" xfId="15297" xr:uid="{D513F1C6-0242-4F8C-9B73-D91D770BF893}"/>
    <cellStyle name="Normal 5 5 3 4 5 2" xfId="35637" xr:uid="{E1EBC190-B49F-493E-92B3-DE48BD173AB6}"/>
    <cellStyle name="Normal 5 5 3 4 6" xfId="11418" xr:uid="{441E7F68-814A-4545-940F-905BBBBE5EEF}"/>
    <cellStyle name="Normal 5 5 3 4 6 2" xfId="31761" xr:uid="{A7DF2898-C648-4F97-96A8-E0B8ED5BE20B}"/>
    <cellStyle name="Normal 5 5 3 4 7" xfId="28267" xr:uid="{61ECBDCB-254A-4BFC-8605-8B07B7993ED5}"/>
    <cellStyle name="Normal 5 5 3 5" xfId="12987" xr:uid="{14B7C3DE-3BA3-4FB5-A7C5-EAA857CF7392}"/>
    <cellStyle name="Normal 5 5 3 5 2" xfId="33328" xr:uid="{83624BAB-1F90-4CDE-BB3B-85FF0F3BEA96}"/>
    <cellStyle name="Normal 5 5 3 6" xfId="15884" xr:uid="{3A07CBF4-7CA9-4A5A-AC25-83FA241C7DAE}"/>
    <cellStyle name="Normal 5 5 3 6 2" xfId="36224" xr:uid="{43B24F14-178B-4ACB-BC21-BEB5DD986076}"/>
    <cellStyle name="Normal 5 5 3 7" xfId="18798" xr:uid="{90E58E88-0738-4691-98C8-9D7084F87175}"/>
    <cellStyle name="Normal 5 5 3 7 2" xfId="39138" xr:uid="{5C77D2E2-8B43-420B-8174-58C56FADBF13}"/>
    <cellStyle name="Normal 5 5 3 8" xfId="19386" xr:uid="{E280D371-BA24-4D23-AA50-86940FD5A560}"/>
    <cellStyle name="Normal 5 5 3 8 2" xfId="39725" xr:uid="{05D63C60-9F6A-436B-BCB8-C32ACC717831}"/>
    <cellStyle name="Normal 5 5 3 9" xfId="22641" xr:uid="{D85BCD64-BF15-46A4-96DF-6A8673A90268}"/>
    <cellStyle name="Normal 5 5 3 9 2" xfId="42976" xr:uid="{88D3C426-7AA9-42C8-B1C1-2D3954C3BF75}"/>
    <cellStyle name="Normal 5 5 4" xfId="5835" xr:uid="{79729771-2F3D-4ABF-A4CC-51478729CDE2}"/>
    <cellStyle name="Normal 5 5 4 2" xfId="6993" xr:uid="{F667A7F8-DF97-4554-B697-86D9717ECE6F}"/>
    <cellStyle name="Normal 5 5 4 2 2" xfId="17279" xr:uid="{06351AB9-A888-4585-AE3D-B02E11137A8C}"/>
    <cellStyle name="Normal 5 5 4 2 2 2" xfId="37619" xr:uid="{C4D0E903-FA20-478B-B0AF-783F8CCFE42B}"/>
    <cellStyle name="Normal 5 5 4 2 3" xfId="20781" xr:uid="{F432BEFD-6A32-43C8-856C-66B3B4F4DE36}"/>
    <cellStyle name="Normal 5 5 4 2 3 2" xfId="41120" xr:uid="{0F97F201-3F87-42CB-8BBA-79EE71A40D56}"/>
    <cellStyle name="Normal 5 5 4 2 4" xfId="24036" xr:uid="{E6E0CC26-82BD-420E-A62B-FA3C3CF77B49}"/>
    <cellStyle name="Normal 5 5 4 2 4 2" xfId="44371" xr:uid="{BF3AFDEB-B66D-49F3-B62F-4B9101ABE9A6}"/>
    <cellStyle name="Normal 5 5 4 2 5" xfId="14370" xr:uid="{98C38B40-F4A3-41C1-9C59-9627A92FB68B}"/>
    <cellStyle name="Normal 5 5 4 2 5 2" xfId="34711" xr:uid="{E1A2D0F3-34B4-4B56-8F8C-C6E3273B93A1}"/>
    <cellStyle name="Normal 5 5 4 2 6" xfId="10492" xr:uid="{F76CC9AC-0387-4C38-956C-E46BEBF65788}"/>
    <cellStyle name="Normal 5 5 4 2 6 2" xfId="30835" xr:uid="{1AAF9B1D-80B1-4EEE-BE34-E880F7BD61D6}"/>
    <cellStyle name="Normal 5 5 4 2 7" xfId="27341" xr:uid="{369121C7-7C9F-4711-8B82-2F4AD376B9EB}"/>
    <cellStyle name="Normal 5 5 4 3" xfId="16121" xr:uid="{3684E88E-B85F-4853-BBF4-2758AD744BE8}"/>
    <cellStyle name="Normal 5 5 4 3 2" xfId="36461" xr:uid="{10847D25-DE0A-4016-AFD7-988B5FE5CFD6}"/>
    <cellStyle name="Normal 5 5 4 4" xfId="19623" xr:uid="{954765CC-4AD7-4750-8851-9C0727711917}"/>
    <cellStyle name="Normal 5 5 4 4 2" xfId="39962" xr:uid="{C80545CC-21F3-4599-8C87-E137C15099F2}"/>
    <cellStyle name="Normal 5 5 4 5" xfId="22878" xr:uid="{D2A4CB7A-F6AB-4B01-B55B-04EA860CD967}"/>
    <cellStyle name="Normal 5 5 4 5 2" xfId="43213" xr:uid="{870610AA-70D3-471E-A7D5-71E336F7BD83}"/>
    <cellStyle name="Normal 5 5 4 6" xfId="13214" xr:uid="{27B2C35D-BFC9-4579-88CE-7B1F23D8042A}"/>
    <cellStyle name="Normal 5 5 4 6 2" xfId="33555" xr:uid="{D2207ACC-F6BD-4330-B8F0-E13B3D354603}"/>
    <cellStyle name="Normal 5 5 4 7" xfId="9334" xr:uid="{E8A188DE-157B-4104-A066-F7D34DAA67F7}"/>
    <cellStyle name="Normal 5 5 4 7 2" xfId="29677" xr:uid="{5BDD5D54-2EEB-4311-8E31-8C0535DCAF5C}"/>
    <cellStyle name="Normal 5 5 4 8" xfId="26183" xr:uid="{1EA2EF4D-BF01-4735-AF04-01AAD1CF1339}"/>
    <cellStyle name="Normal 5 5 5" xfId="6412" xr:uid="{E3B17457-0703-4175-B125-EE97BB7089BA}"/>
    <cellStyle name="Normal 5 5 5 2" xfId="16698" xr:uid="{0FC5141C-FF92-4A48-9F72-5952D134E74E}"/>
    <cellStyle name="Normal 5 5 5 2 2" xfId="37038" xr:uid="{DD8BFD92-FEB9-439D-A086-0C190153CBE9}"/>
    <cellStyle name="Normal 5 5 5 3" xfId="20200" xr:uid="{9FE77851-4042-4759-A87B-DB2675F7CF56}"/>
    <cellStyle name="Normal 5 5 5 3 2" xfId="40539" xr:uid="{B741F90B-BE61-47B5-9C44-E5AD82D5E467}"/>
    <cellStyle name="Normal 5 5 5 4" xfId="23455" xr:uid="{1D843B00-7380-43D1-BECE-68EEA30FA82B}"/>
    <cellStyle name="Normal 5 5 5 4 2" xfId="43790" xr:uid="{A79E2AA1-4E26-46FD-90B0-E1116BC8A239}"/>
    <cellStyle name="Normal 5 5 5 5" xfId="13789" xr:uid="{89EBAE59-FF3F-43F7-B0D5-2F21C41EC296}"/>
    <cellStyle name="Normal 5 5 5 5 2" xfId="34130" xr:uid="{14147FFF-A6FE-4623-B655-F6D77D17FD46}"/>
    <cellStyle name="Normal 5 5 5 6" xfId="9911" xr:uid="{0125D8C5-2AA4-4181-BCBE-9E7F2784A377}"/>
    <cellStyle name="Normal 5 5 5 6 2" xfId="30254" xr:uid="{71CB8E3E-8A73-4CD3-B9C9-DB2ABC58F131}"/>
    <cellStyle name="Normal 5 5 5 7" xfId="26760" xr:uid="{75AD96F1-0FB2-4E76-9639-FBDC92C7CE78}"/>
    <cellStyle name="Normal 5 5 6" xfId="7576" xr:uid="{269EEB77-0CE6-4108-A2C8-7E1F512B5F62}"/>
    <cellStyle name="Normal 5 5 6 2" xfId="17861" xr:uid="{6A9C87E6-1CB8-457A-9FEF-79B24525BE74}"/>
    <cellStyle name="Normal 5 5 6 2 2" xfId="38201" xr:uid="{FCF3D2F5-9BC4-40FC-80DB-041EB1E5BCBB}"/>
    <cellStyle name="Normal 5 5 6 3" xfId="21363" xr:uid="{BC1D9ABF-CC37-4D4E-A8D0-2E40E47DD58C}"/>
    <cellStyle name="Normal 5 5 6 3 2" xfId="41702" xr:uid="{FF420C02-5CD4-4358-B434-B56C7A372A56}"/>
    <cellStyle name="Normal 5 5 6 4" xfId="24618" xr:uid="{D14BE432-31B7-4BDE-89CE-93C4683C9D09}"/>
    <cellStyle name="Normal 5 5 6 4 2" xfId="44953" xr:uid="{B7DDBC6F-0AA9-432F-9047-C21B0129B98F}"/>
    <cellStyle name="Normal 5 5 6 5" xfId="14953" xr:uid="{4E139332-8946-43DA-9A16-09682247A5C4}"/>
    <cellStyle name="Normal 5 5 6 5 2" xfId="35293" xr:uid="{CE2E331E-F5B7-4DF0-9C97-06B7E95C8D2D}"/>
    <cellStyle name="Normal 5 5 6 6" xfId="11074" xr:uid="{AFFF2005-51FF-461F-8509-77C0FEA64689}"/>
    <cellStyle name="Normal 5 5 6 6 2" xfId="31417" xr:uid="{1410B580-08A7-4CB3-91F7-8D063F437DDE}"/>
    <cellStyle name="Normal 5 5 6 7" xfId="27923" xr:uid="{CB6BADA7-A96C-4BA3-9A51-9A4FD324F993}"/>
    <cellStyle name="Normal 5 5 7" xfId="8121" xr:uid="{7E2CE60C-C8B5-475D-B337-854DDAB7EEC5}"/>
    <cellStyle name="Normal 5 5 7 2" xfId="21908" xr:uid="{62E810C4-2C0B-48C3-B27A-ADE07CC80B99}"/>
    <cellStyle name="Normal 5 5 7 2 2" xfId="42244" xr:uid="{63DCAA22-9AE2-4615-A2B5-6FC58E38CD85}"/>
    <cellStyle name="Normal 5 5 7 3" xfId="25160" xr:uid="{B713D386-4B97-47B4-9ECD-6B9C80FDB430}"/>
    <cellStyle name="Normal 5 5 7 3 2" xfId="45495" xr:uid="{9AD5C456-D0AE-4C54-B1ED-1ABAC5045AE0}"/>
    <cellStyle name="Normal 5 5 7 4" xfId="12645" xr:uid="{5B148955-2EDA-4DB7-99F6-8AD5173131D1}"/>
    <cellStyle name="Normal 5 5 7 4 2" xfId="32986" xr:uid="{A580D10B-BB51-4D86-808E-3D992E24116B}"/>
    <cellStyle name="Normal 5 5 7 5" xfId="11617" xr:uid="{8961C854-D0E8-4FF1-B574-F117FEDFF032}"/>
    <cellStyle name="Normal 5 5 7 5 2" xfId="31959" xr:uid="{FA04D3A0-F502-42C6-BE56-E111386DEE4E}"/>
    <cellStyle name="Normal 5 5 7 6" xfId="28465" xr:uid="{4F0F8BED-50BD-4BCD-87BB-1B88387FCD53}"/>
    <cellStyle name="Normal 5 5 8" xfId="8558" xr:uid="{A5A9822C-CCDF-441F-BB7C-B9F7102D7510}"/>
    <cellStyle name="Normal 5 5 8 2" xfId="15540" xr:uid="{7CD6D75E-69FF-4DED-8A1A-083DCBEC40A5}"/>
    <cellStyle name="Normal 5 5 8 2 2" xfId="35880" xr:uid="{72719C72-E194-46C6-9CB1-58A9FA4A9DDF}"/>
    <cellStyle name="Normal 5 5 8 3" xfId="28901" xr:uid="{FAE7054C-C1D6-4DCA-9CD6-5582B949C300}"/>
    <cellStyle name="Normal 5 5 9" xfId="18454" xr:uid="{A6485A95-1DE1-4A48-BBBE-DF3471A09B7B}"/>
    <cellStyle name="Normal 5 5 9 2" xfId="38794" xr:uid="{B5A1868F-ECD6-49AF-ACFE-A99CEEA4B3FD}"/>
    <cellStyle name="Normal 5 6" xfId="5324" xr:uid="{B2440346-92C9-4E9F-A7AC-1C51E65F72C7}"/>
    <cellStyle name="Normal 5 6 10" xfId="12054" xr:uid="{44DA56A4-D990-46EE-BC5D-DE5B50410A8B}"/>
    <cellStyle name="Normal 5 6 10 2" xfId="32395" xr:uid="{3AD17ED2-C0C9-4E7C-B5B8-F6D4C3D22AAD}"/>
    <cellStyle name="Normal 5 6 11" xfId="8793" xr:uid="{76F33E7E-3824-4664-9477-D7A4F4DBDB07}"/>
    <cellStyle name="Normal 5 6 11 2" xfId="29136" xr:uid="{B729A91F-DF8A-4E6F-BE37-EBAFEA5ACE6C}"/>
    <cellStyle name="Normal 5 6 12" xfId="25642" xr:uid="{16B09CCF-901E-478D-95B4-ED1F8055DF0A}"/>
    <cellStyle name="Normal 5 6 13" xfId="46057" xr:uid="{A3D4DFF1-B82B-4471-8E44-E4D545B6F6EF}"/>
    <cellStyle name="Normal 5 6 14" xfId="46543" xr:uid="{C70ECB21-92C5-45A9-9E4C-A25D1E26EC4B}"/>
    <cellStyle name="Normal 5 6 15" xfId="47035" xr:uid="{0D5C4125-CFE8-4141-9A03-2A36D5E089DA}"/>
    <cellStyle name="Normal 5 6 2" xfId="5875" xr:uid="{0D0F4CBE-FC11-4DEB-8A5C-B7CEFFB29DFB}"/>
    <cellStyle name="Normal 5 6 2 2" xfId="7033" xr:uid="{39F5A771-B30A-4696-AAD0-F3B09154B8C4}"/>
    <cellStyle name="Normal 5 6 2 2 2" xfId="17319" xr:uid="{F2F9BA89-545B-4D7E-95AC-C41BB81C9EF6}"/>
    <cellStyle name="Normal 5 6 2 2 2 2" xfId="37659" xr:uid="{3AFF7E28-2092-4615-9950-88BB356A3E45}"/>
    <cellStyle name="Normal 5 6 2 2 3" xfId="20821" xr:uid="{2A45AE51-37C0-46C6-B6C6-901F085D340D}"/>
    <cellStyle name="Normal 5 6 2 2 3 2" xfId="41160" xr:uid="{F5B6B5B7-4B93-4638-B7CC-3C2571088E82}"/>
    <cellStyle name="Normal 5 6 2 2 4" xfId="24076" xr:uid="{CF00B23E-65EF-4C94-ADEF-0A15A46B7540}"/>
    <cellStyle name="Normal 5 6 2 2 4 2" xfId="44411" xr:uid="{9776FBCF-D07D-4786-96D6-977C274E31E7}"/>
    <cellStyle name="Normal 5 6 2 2 5" xfId="14410" xr:uid="{A5310D1E-C9BC-4EAF-8901-0D6FAC5FAE37}"/>
    <cellStyle name="Normal 5 6 2 2 5 2" xfId="34751" xr:uid="{827E61FD-2B7B-43A3-8C03-40377B09EB16}"/>
    <cellStyle name="Normal 5 6 2 2 6" xfId="10532" xr:uid="{D3FCA268-CD48-4E81-AAB6-BD36EE24F6D0}"/>
    <cellStyle name="Normal 5 6 2 2 6 2" xfId="30875" xr:uid="{06CB420E-F24E-4376-AF44-EDDCE759D1E0}"/>
    <cellStyle name="Normal 5 6 2 2 7" xfId="27381" xr:uid="{36EC6D8A-C56B-42AA-AA6C-D0F80E73AFA6}"/>
    <cellStyle name="Normal 5 6 2 3" xfId="16161" xr:uid="{C4C54F41-3B58-486B-B497-E0E3E2D24C47}"/>
    <cellStyle name="Normal 5 6 2 3 2" xfId="36501" xr:uid="{B19395B9-B54C-40C0-8853-31A54D2216DE}"/>
    <cellStyle name="Normal 5 6 2 4" xfId="19663" xr:uid="{326C9081-ED44-4165-825B-4893639C0674}"/>
    <cellStyle name="Normal 5 6 2 4 2" xfId="40002" xr:uid="{1D23A207-7360-41F7-A839-28394C5F41FE}"/>
    <cellStyle name="Normal 5 6 2 5" xfId="22918" xr:uid="{449CD67C-6736-4D72-A6B7-BD737513F53E}"/>
    <cellStyle name="Normal 5 6 2 5 2" xfId="43253" xr:uid="{D25B1449-2022-4C9A-AB69-D3D7B2F56A29}"/>
    <cellStyle name="Normal 5 6 2 6" xfId="13254" xr:uid="{AC18AD34-E5E4-41C9-840C-351F6BF98CD9}"/>
    <cellStyle name="Normal 5 6 2 6 2" xfId="33595" xr:uid="{AED9D4E8-4C87-44CC-912A-94ED8CFA054A}"/>
    <cellStyle name="Normal 5 6 2 7" xfId="9374" xr:uid="{30B336C3-F04E-4839-B447-70E6A0055584}"/>
    <cellStyle name="Normal 5 6 2 7 2" xfId="29717" xr:uid="{54132797-0309-4FDE-BDA2-3D5DDDC6C4DB}"/>
    <cellStyle name="Normal 5 6 2 8" xfId="26223" xr:uid="{238BA367-666F-4975-824A-91B88EE479E1}"/>
    <cellStyle name="Normal 5 6 3" xfId="6452" xr:uid="{E71D146F-0C4D-4299-B819-38CB83E7C9C0}"/>
    <cellStyle name="Normal 5 6 3 2" xfId="16738" xr:uid="{51630D4B-DB79-46FE-86D0-4A37344F2FA8}"/>
    <cellStyle name="Normal 5 6 3 2 2" xfId="37078" xr:uid="{424928EC-2E32-470F-9DD8-21F9FA137324}"/>
    <cellStyle name="Normal 5 6 3 3" xfId="20240" xr:uid="{6B50B7BB-EB6D-4647-B29D-4FC6D3A7AB4E}"/>
    <cellStyle name="Normal 5 6 3 3 2" xfId="40579" xr:uid="{927859EE-43DC-4AE5-A7AE-588F50BBCCA3}"/>
    <cellStyle name="Normal 5 6 3 4" xfId="23495" xr:uid="{8D21A7DE-9C88-4A79-B8E2-0444FEDD4274}"/>
    <cellStyle name="Normal 5 6 3 4 2" xfId="43830" xr:uid="{80ED8CA4-B3C9-4D05-A35E-BC2332548B00}"/>
    <cellStyle name="Normal 5 6 3 5" xfId="13829" xr:uid="{F4CC8C37-8D54-473C-B30B-902D16BC3EE9}"/>
    <cellStyle name="Normal 5 6 3 5 2" xfId="34170" xr:uid="{A3FF39DE-DB31-4978-B19C-D6367C7767F9}"/>
    <cellStyle name="Normal 5 6 3 6" xfId="9951" xr:uid="{6F6641E3-862A-4DC7-833F-9F4AFD91EBD8}"/>
    <cellStyle name="Normal 5 6 3 6 2" xfId="30294" xr:uid="{271AF2F8-9E4E-415D-B5F1-25EE758EC7EF}"/>
    <cellStyle name="Normal 5 6 3 7" xfId="26800" xr:uid="{75DCA404-1FEB-4F86-AED1-8686780DE2FA}"/>
    <cellStyle name="Normal 5 6 4" xfId="7616" xr:uid="{117DA471-98F6-47C0-82D7-88C225F4D8E7}"/>
    <cellStyle name="Normal 5 6 4 2" xfId="17901" xr:uid="{73139D11-2E41-4CC8-8D5C-3AD0007C6149}"/>
    <cellStyle name="Normal 5 6 4 2 2" xfId="38241" xr:uid="{2E80D15E-31C4-4162-9EA8-8EA9CE0480AF}"/>
    <cellStyle name="Normal 5 6 4 3" xfId="21403" xr:uid="{80EA8183-C5BB-4935-BE2E-4584A7CF7E58}"/>
    <cellStyle name="Normal 5 6 4 3 2" xfId="41742" xr:uid="{5F14A6CC-FA5D-41D2-8C5F-B6F63F774B86}"/>
    <cellStyle name="Normal 5 6 4 4" xfId="24658" xr:uid="{95F3615A-4405-4712-A875-7E7ACBA9C72B}"/>
    <cellStyle name="Normal 5 6 4 4 2" xfId="44993" xr:uid="{07A1F007-D8BD-43D1-A649-41486A97EE74}"/>
    <cellStyle name="Normal 5 6 4 5" xfId="14993" xr:uid="{63F467D4-C06E-4916-8A77-F28ECAD57203}"/>
    <cellStyle name="Normal 5 6 4 5 2" xfId="35333" xr:uid="{184F251D-5274-432A-A49A-940D78F9B1FA}"/>
    <cellStyle name="Normal 5 6 4 6" xfId="11114" xr:uid="{53898703-279B-4414-8AA5-7B20CEDD20ED}"/>
    <cellStyle name="Normal 5 6 4 6 2" xfId="31457" xr:uid="{90511C65-1A5A-4EAD-A46C-DE51AAF14FE3}"/>
    <cellStyle name="Normal 5 6 4 7" xfId="27963" xr:uid="{65F24533-9875-446F-8EF9-D77A99B4C6A2}"/>
    <cellStyle name="Normal 5 6 5" xfId="12685" xr:uid="{C436E6BF-ED1D-4AA4-BEBA-05082CDDA706}"/>
    <cellStyle name="Normal 5 6 5 2" xfId="33026" xr:uid="{91682B02-05D9-461A-94DB-ED54B39B9631}"/>
    <cellStyle name="Normal 5 6 6" xfId="15580" xr:uid="{144755CB-9A9C-4CD7-B3EC-C7B82FBDC9CC}"/>
    <cellStyle name="Normal 5 6 6 2" xfId="35920" xr:uid="{1802163D-20C6-4D00-9914-25DFAC624DD4}"/>
    <cellStyle name="Normal 5 6 7" xfId="18494" xr:uid="{0BCE8D28-1975-46F7-9031-9B7E243502E5}"/>
    <cellStyle name="Normal 5 6 7 2" xfId="38834" xr:uid="{EFCA0C58-9A20-4059-8584-80E54CCD49FA}"/>
    <cellStyle name="Normal 5 6 8" xfId="19082" xr:uid="{5434D39B-DD37-4CAB-91DB-FC10AD71FAD8}"/>
    <cellStyle name="Normal 5 6 8 2" xfId="39421" xr:uid="{043AB478-84CE-4929-9BAF-13B9FC5FC725}"/>
    <cellStyle name="Normal 5 6 9" xfId="22337" xr:uid="{5FBD990E-65B3-42C5-99F6-5C3ECC53DC76}"/>
    <cellStyle name="Normal 5 6 9 2" xfId="42672" xr:uid="{F35B98A5-CEA6-4FED-81F5-65AB5F23DE3D}"/>
    <cellStyle name="Normal 5 7" xfId="5430" xr:uid="{AA9B62DA-F595-43F3-888B-640C4BAA9B7D}"/>
    <cellStyle name="Normal 5 7 10" xfId="12173" xr:uid="{06CD381D-8C58-4208-A244-6AB2AEFB95A0}"/>
    <cellStyle name="Normal 5 7 10 2" xfId="32514" xr:uid="{B6A9AAB9-9369-4084-9A94-9F5AA8830C3F}"/>
    <cellStyle name="Normal 5 7 11" xfId="8912" xr:uid="{73F9426C-220B-4C5F-9E80-9FCAC9F7DC31}"/>
    <cellStyle name="Normal 5 7 11 2" xfId="29255" xr:uid="{443119C6-382F-47B4-8778-2FBAEEEFC9DB}"/>
    <cellStyle name="Normal 5 7 12" xfId="25761" xr:uid="{E1DD9F37-AA13-429B-93A2-1B3FBB85966D}"/>
    <cellStyle name="Normal 5 7 2" xfId="5994" xr:uid="{010CA495-7943-4FD7-B802-E75E9DF603AF}"/>
    <cellStyle name="Normal 5 7 2 2" xfId="7152" xr:uid="{5542C1A0-553A-46D1-B8C5-7EBF210EA89E}"/>
    <cellStyle name="Normal 5 7 2 2 2" xfId="17438" xr:uid="{39A9D7A3-56BD-49FC-80C0-2FEE53CE0DE7}"/>
    <cellStyle name="Normal 5 7 2 2 2 2" xfId="37778" xr:uid="{CC67A5CC-AAE1-4926-B8F2-E08B34ECA531}"/>
    <cellStyle name="Normal 5 7 2 2 3" xfId="20940" xr:uid="{EAF89F52-5BB1-4447-BF99-098ADFFE5949}"/>
    <cellStyle name="Normal 5 7 2 2 3 2" xfId="41279" xr:uid="{AD40B53E-5D60-4B36-B5BD-EDEE8F1616EF}"/>
    <cellStyle name="Normal 5 7 2 2 4" xfId="24195" xr:uid="{DC816DAB-BA29-40A9-9FB0-6F5743263E1B}"/>
    <cellStyle name="Normal 5 7 2 2 4 2" xfId="44530" xr:uid="{5BC0D3CE-7C18-43D6-BBB5-33A95A17B239}"/>
    <cellStyle name="Normal 5 7 2 2 5" xfId="14529" xr:uid="{88C03E87-366E-405C-A2C4-EF515EF876E6}"/>
    <cellStyle name="Normal 5 7 2 2 5 2" xfId="34870" xr:uid="{450C8DB7-712A-4C6F-A29C-6F25345F920D}"/>
    <cellStyle name="Normal 5 7 2 2 6" xfId="10651" xr:uid="{7AD32761-3430-4AD2-A8B6-119424CE010E}"/>
    <cellStyle name="Normal 5 7 2 2 6 2" xfId="30994" xr:uid="{39240F37-05DF-4DB7-B952-20EC63D97640}"/>
    <cellStyle name="Normal 5 7 2 2 7" xfId="27500" xr:uid="{23A2609B-682B-4D6C-8B5A-529D410272D7}"/>
    <cellStyle name="Normal 5 7 2 3" xfId="16280" xr:uid="{7D4212C3-2C91-4147-BB5E-F1E5BA860306}"/>
    <cellStyle name="Normal 5 7 2 3 2" xfId="36620" xr:uid="{54A19FFB-7160-4DF2-A3F7-01C92F184190}"/>
    <cellStyle name="Normal 5 7 2 4" xfId="19782" xr:uid="{F37096DD-56B4-4877-AFA1-CBC3CC82493A}"/>
    <cellStyle name="Normal 5 7 2 4 2" xfId="40121" xr:uid="{75962390-487F-481A-99D1-8EFF2AC2A727}"/>
    <cellStyle name="Normal 5 7 2 5" xfId="23037" xr:uid="{87263A83-B426-4073-8793-A13ECCFD257F}"/>
    <cellStyle name="Normal 5 7 2 5 2" xfId="43372" xr:uid="{989D0717-5C1E-4726-9CB7-409DEEEC5CFC}"/>
    <cellStyle name="Normal 5 7 2 6" xfId="13371" xr:uid="{34197AAD-843A-48F6-BFB4-B5A5246669B2}"/>
    <cellStyle name="Normal 5 7 2 6 2" xfId="33712" xr:uid="{7F72B6F1-CBBB-438E-BF6E-AF4C3C5F8C8A}"/>
    <cellStyle name="Normal 5 7 2 7" xfId="9493" xr:uid="{1F434443-9BD2-4F0E-9D08-9F027707F13E}"/>
    <cellStyle name="Normal 5 7 2 7 2" xfId="29836" xr:uid="{65F01B53-5EDE-4E40-8105-157E43148991}"/>
    <cellStyle name="Normal 5 7 2 8" xfId="26342" xr:uid="{E188D920-3774-4F56-A78C-1A26FB45805E}"/>
    <cellStyle name="Normal 5 7 3" xfId="6571" xr:uid="{002E7F0E-A96F-4B38-9C6A-79F2A7F8D4CD}"/>
    <cellStyle name="Normal 5 7 3 2" xfId="16857" xr:uid="{B7E48CB7-5EFE-42DB-9979-71A999276430}"/>
    <cellStyle name="Normal 5 7 3 2 2" xfId="37197" xr:uid="{E17980F5-2624-47A7-BCC9-1D2292F0B477}"/>
    <cellStyle name="Normal 5 7 3 3" xfId="20359" xr:uid="{2BC4B5C5-9B2C-41BD-8C06-04EDD3666129}"/>
    <cellStyle name="Normal 5 7 3 3 2" xfId="40698" xr:uid="{A6C5415F-2FAB-45EA-9674-58510EB836F6}"/>
    <cellStyle name="Normal 5 7 3 4" xfId="23614" xr:uid="{18BDFB57-6B99-4F26-A1F7-B6AFB7951560}"/>
    <cellStyle name="Normal 5 7 3 4 2" xfId="43949" xr:uid="{CD9DFDB4-E22B-406F-A127-A2B6B4EDE7C1}"/>
    <cellStyle name="Normal 5 7 3 5" xfId="13948" xr:uid="{316DFA5A-C49D-4B6A-B52D-DCD456B43405}"/>
    <cellStyle name="Normal 5 7 3 5 2" xfId="34289" xr:uid="{A48285C5-578F-4411-BB73-B0F3136F5064}"/>
    <cellStyle name="Normal 5 7 3 6" xfId="10070" xr:uid="{73DEA6F7-A411-4932-89F8-08053C03BAAD}"/>
    <cellStyle name="Normal 5 7 3 6 2" xfId="30413" xr:uid="{A18DF151-B138-41CB-82FA-B0AE94C4A179}"/>
    <cellStyle name="Normal 5 7 3 7" xfId="26919" xr:uid="{ABC47B47-03F9-4159-8502-B693CE540668}"/>
    <cellStyle name="Normal 5 7 4" xfId="7735" xr:uid="{4A16540D-C8C0-482A-A7DF-D30BE25C2383}"/>
    <cellStyle name="Normal 5 7 4 2" xfId="18020" xr:uid="{5A46C374-7071-4312-BB9A-17204F3241D1}"/>
    <cellStyle name="Normal 5 7 4 2 2" xfId="38360" xr:uid="{44E54231-9A42-4449-BE1C-B02510E80081}"/>
    <cellStyle name="Normal 5 7 4 3" xfId="21522" xr:uid="{BCE2FC22-0182-4630-91E2-7AD099849B40}"/>
    <cellStyle name="Normal 5 7 4 3 2" xfId="41861" xr:uid="{C02AD097-794E-49E2-86FD-0566038FFAE9}"/>
    <cellStyle name="Normal 5 7 4 4" xfId="24777" xr:uid="{94EED12B-6C74-4B70-A67D-CBDAAAF4B5CD}"/>
    <cellStyle name="Normal 5 7 4 4 2" xfId="45112" xr:uid="{FBD9D604-1079-485B-8444-125CC42CC1B1}"/>
    <cellStyle name="Normal 5 7 4 5" xfId="15112" xr:uid="{F7D1C5F1-04D6-474C-A3B6-B03C6A484981}"/>
    <cellStyle name="Normal 5 7 4 5 2" xfId="35452" xr:uid="{C790A8F1-74E8-430A-89D9-A9B0B925A0B7}"/>
    <cellStyle name="Normal 5 7 4 6" xfId="11233" xr:uid="{B0B860EE-3E3B-4BBD-95EB-DEDE2B42B63B}"/>
    <cellStyle name="Normal 5 7 4 6 2" xfId="31576" xr:uid="{FD99BFE9-D0BE-4DCB-8BC2-D4C5009B8A3E}"/>
    <cellStyle name="Normal 5 7 4 7" xfId="28082" xr:uid="{44E06E8F-2D95-4FE1-9BCA-9788004A8808}"/>
    <cellStyle name="Normal 5 7 5" xfId="12802" xr:uid="{5CF80878-7BE3-4BA3-AAEE-D8F12F557C48}"/>
    <cellStyle name="Normal 5 7 5 2" xfId="33143" xr:uid="{785517BA-FC8A-4A83-A81B-B9197858EE3F}"/>
    <cellStyle name="Normal 5 7 6" xfId="15699" xr:uid="{2ACBCA5A-250B-4CF8-B424-3FB0882B1E21}"/>
    <cellStyle name="Normal 5 7 6 2" xfId="36039" xr:uid="{31F48134-6C1E-4716-9A9F-D3EEBD395F83}"/>
    <cellStyle name="Normal 5 7 7" xfId="18613" xr:uid="{285D7228-5970-4A89-8655-7EE1C530BD87}"/>
    <cellStyle name="Normal 5 7 7 2" xfId="38953" xr:uid="{6DDC7450-0767-4D0D-BD1E-8D550E53A5FA}"/>
    <cellStyle name="Normal 5 7 8" xfId="19201" xr:uid="{D5F27663-0B5C-4442-BD90-69C817021766}"/>
    <cellStyle name="Normal 5 7 8 2" xfId="39540" xr:uid="{370BF7F6-F584-4DC4-932D-E446FCC91A0A}"/>
    <cellStyle name="Normal 5 7 9" xfId="22456" xr:uid="{97D1BCE3-B910-4DDD-B525-0C3CB1350D68}"/>
    <cellStyle name="Normal 5 7 9 2" xfId="42791" xr:uid="{F15F7F19-90AA-4337-A1AC-2C4690AAF7C6}"/>
    <cellStyle name="Normal 5 8" xfId="5480" xr:uid="{01554264-5FB2-43B5-AA28-E7A89901EF9C}"/>
    <cellStyle name="Normal 5 8 10" xfId="12231" xr:uid="{D2C528B5-A14B-4D80-A7D0-0262D34745A5}"/>
    <cellStyle name="Normal 5 8 10 2" xfId="32572" xr:uid="{9154FC71-1C23-49A2-83BC-A0CB076139AB}"/>
    <cellStyle name="Normal 5 8 11" xfId="8970" xr:uid="{E3EC15F6-4760-4D31-995B-1FFCE00C1844}"/>
    <cellStyle name="Normal 5 8 11 2" xfId="29313" xr:uid="{02B624BD-49CB-4834-A77C-ABF78565748E}"/>
    <cellStyle name="Normal 5 8 12" xfId="25819" xr:uid="{49AFA1C8-D122-40BC-8300-0DA1955A6113}"/>
    <cellStyle name="Normal 5 8 2" xfId="6052" xr:uid="{0F456913-440A-476A-8274-6A85D1C581B2}"/>
    <cellStyle name="Normal 5 8 2 2" xfId="7210" xr:uid="{2BBC6AD1-B962-4F73-AD42-BDDD7A626132}"/>
    <cellStyle name="Normal 5 8 2 2 2" xfId="17496" xr:uid="{FB7A2344-372A-477A-AE62-0506076AC450}"/>
    <cellStyle name="Normal 5 8 2 2 2 2" xfId="37836" xr:uid="{EF458E2A-75DF-4688-95C2-D4A4110D2FE8}"/>
    <cellStyle name="Normal 5 8 2 2 3" xfId="20998" xr:uid="{0A8C4A4E-4D99-4344-A8CD-1DF015BAC273}"/>
    <cellStyle name="Normal 5 8 2 2 3 2" xfId="41337" xr:uid="{CEC7141E-3721-4551-949C-978A1A91F1D2}"/>
    <cellStyle name="Normal 5 8 2 2 4" xfId="24253" xr:uid="{D6C23368-8291-4FE7-920F-AA0F4E896AFE}"/>
    <cellStyle name="Normal 5 8 2 2 4 2" xfId="44588" xr:uid="{A9722F9A-C366-476E-BF9C-246A3C8F32C1}"/>
    <cellStyle name="Normal 5 8 2 2 5" xfId="14587" xr:uid="{DA4CC53F-771E-452E-8D64-E3B36A7A3692}"/>
    <cellStyle name="Normal 5 8 2 2 5 2" xfId="34928" xr:uid="{D671E412-0A42-4FB7-A41A-0633C78D5A1B}"/>
    <cellStyle name="Normal 5 8 2 2 6" xfId="10709" xr:uid="{0D62FC1C-BC72-4967-97CD-4410EDC1520F}"/>
    <cellStyle name="Normal 5 8 2 2 6 2" xfId="31052" xr:uid="{3CD577FD-4A13-466C-9C78-AA8E887A0430}"/>
    <cellStyle name="Normal 5 8 2 2 7" xfId="27558" xr:uid="{0F4DEE0F-1A50-41B6-B3CE-BE3116ADA365}"/>
    <cellStyle name="Normal 5 8 2 3" xfId="16338" xr:uid="{9F1FB11B-CEEB-48FF-9A78-A8AE008437B5}"/>
    <cellStyle name="Normal 5 8 2 3 2" xfId="36678" xr:uid="{CE7375AF-1282-4060-BA59-DFE6B5AE48F9}"/>
    <cellStyle name="Normal 5 8 2 4" xfId="19840" xr:uid="{F3D7D567-C2CB-494F-A349-87470896F3BF}"/>
    <cellStyle name="Normal 5 8 2 4 2" xfId="40179" xr:uid="{E3CB0C90-D137-4174-9985-F82CEC9FAC3B}"/>
    <cellStyle name="Normal 5 8 2 5" xfId="23095" xr:uid="{87EEF3CE-DB22-4CE6-91C4-1A7752DF3D9F}"/>
    <cellStyle name="Normal 5 8 2 5 2" xfId="43430" xr:uid="{6E357324-61FC-402D-868C-D83128B5B36C}"/>
    <cellStyle name="Normal 5 8 2 6" xfId="13429" xr:uid="{D6AC755A-31A2-4AC8-A5EB-15BE963B5C7C}"/>
    <cellStyle name="Normal 5 8 2 6 2" xfId="33770" xr:uid="{063EA5AC-4C97-4D0A-92BE-85595A1B2991}"/>
    <cellStyle name="Normal 5 8 2 7" xfId="9551" xr:uid="{EF91145C-C35A-4247-9A60-D7FF74668038}"/>
    <cellStyle name="Normal 5 8 2 7 2" xfId="29894" xr:uid="{B12757B5-1E3D-46B1-8B15-E8E8749907C6}"/>
    <cellStyle name="Normal 5 8 2 8" xfId="26400" xr:uid="{1B39E542-3DB3-4D88-B8B1-EDB695FF697D}"/>
    <cellStyle name="Normal 5 8 3" xfId="6629" xr:uid="{42E8AAB9-1A22-4A47-B5B6-98CBF16EB7F7}"/>
    <cellStyle name="Normal 5 8 3 2" xfId="16915" xr:uid="{29B2804A-7C8E-4D01-B0F2-0AAFE08FCB25}"/>
    <cellStyle name="Normal 5 8 3 2 2" xfId="37255" xr:uid="{BC3DACA4-0BB4-42FD-B88B-C5E985422577}"/>
    <cellStyle name="Normal 5 8 3 3" xfId="20417" xr:uid="{03D13208-4B23-4EF5-B8EC-540903177992}"/>
    <cellStyle name="Normal 5 8 3 3 2" xfId="40756" xr:uid="{D443E9A0-84D6-4674-BDCE-BDD501B6E432}"/>
    <cellStyle name="Normal 5 8 3 4" xfId="23672" xr:uid="{F85CF794-1328-4274-A77A-9CC5CC5BA1B8}"/>
    <cellStyle name="Normal 5 8 3 4 2" xfId="44007" xr:uid="{4CE863A1-0858-47C2-A8F3-1DA7780949CF}"/>
    <cellStyle name="Normal 5 8 3 5" xfId="14006" xr:uid="{F9775DE2-7D3B-40A9-A09F-56626A37D9B5}"/>
    <cellStyle name="Normal 5 8 3 5 2" xfId="34347" xr:uid="{99FAF99E-C707-4975-91F2-2BD2AB8980D9}"/>
    <cellStyle name="Normal 5 8 3 6" xfId="10128" xr:uid="{893B84EF-88CB-4E5F-AD58-1398F9887773}"/>
    <cellStyle name="Normal 5 8 3 6 2" xfId="30471" xr:uid="{7987CEE4-215D-46ED-9AF9-364725840CEB}"/>
    <cellStyle name="Normal 5 8 3 7" xfId="26977" xr:uid="{54C9E6F4-A611-4956-B6E9-9D0E0AADCEDD}"/>
    <cellStyle name="Normal 5 8 4" xfId="7793" xr:uid="{E2D5F3A0-22E9-4FB1-8413-EB455ACB2EBF}"/>
    <cellStyle name="Normal 5 8 4 2" xfId="18078" xr:uid="{AFE5C141-A4F3-44DB-9A26-5AD1DAF8E90B}"/>
    <cellStyle name="Normal 5 8 4 2 2" xfId="38418" xr:uid="{DF68BCD9-9655-4434-98C5-995A08259C44}"/>
    <cellStyle name="Normal 5 8 4 3" xfId="21580" xr:uid="{93619C60-E558-4A54-B157-DD0DA569DA51}"/>
    <cellStyle name="Normal 5 8 4 3 2" xfId="41919" xr:uid="{CB24AE8D-213C-4997-8F56-F4DDBE1883BD}"/>
    <cellStyle name="Normal 5 8 4 4" xfId="24835" xr:uid="{2D6799A6-FF5E-43BE-94BC-9F54F04ED42F}"/>
    <cellStyle name="Normal 5 8 4 4 2" xfId="45170" xr:uid="{1F3672D6-98A6-4F29-9166-9F5003205D69}"/>
    <cellStyle name="Normal 5 8 4 5" xfId="15170" xr:uid="{56543494-35DB-4462-B43B-795B3082D6BB}"/>
    <cellStyle name="Normal 5 8 4 5 2" xfId="35510" xr:uid="{348A87DC-5FFA-44FE-8AA1-E623FCFE9424}"/>
    <cellStyle name="Normal 5 8 4 6" xfId="11291" xr:uid="{EFA37D40-A9C6-4515-BE6A-21A0F6AC0D01}"/>
    <cellStyle name="Normal 5 8 4 6 2" xfId="31634" xr:uid="{D451F27A-DD25-4C2F-85F2-A7136D981AF6}"/>
    <cellStyle name="Normal 5 8 4 7" xfId="28140" xr:uid="{EB715FF3-F64C-4D75-AC2A-7E6E081D6956}"/>
    <cellStyle name="Normal 5 8 5" xfId="12860" xr:uid="{554A76F7-CB8A-443A-8D93-FF49EA6AD166}"/>
    <cellStyle name="Normal 5 8 5 2" xfId="33201" xr:uid="{7CE4ADDF-BFD3-4483-A8C1-42C5F7FE3CF5}"/>
    <cellStyle name="Normal 5 8 6" xfId="15757" xr:uid="{2D9E0A32-84D1-4112-93D6-51C5EAEED50B}"/>
    <cellStyle name="Normal 5 8 6 2" xfId="36097" xr:uid="{05B77790-A223-42A1-B2FF-C1A524B163DB}"/>
    <cellStyle name="Normal 5 8 7" xfId="18671" xr:uid="{8BFD78A6-68D0-495A-AFD3-071EBD890FB6}"/>
    <cellStyle name="Normal 5 8 7 2" xfId="39011" xr:uid="{0D2739D0-2FD1-4E03-A642-56231180E689}"/>
    <cellStyle name="Normal 5 8 8" xfId="19259" xr:uid="{9B14C2AB-2FA3-4FF0-976E-14D46369D22C}"/>
    <cellStyle name="Normal 5 8 8 2" xfId="39598" xr:uid="{E6BC81C5-8BEF-4177-AC11-6B79B86EF89A}"/>
    <cellStyle name="Normal 5 8 9" xfId="22514" xr:uid="{99D4B922-3E64-48D3-A64B-F00DCD5A76CC}"/>
    <cellStyle name="Normal 5 8 9 2" xfId="42849" xr:uid="{681EAB0A-80DF-4C4D-8066-9DE6F5D59BA9}"/>
    <cellStyle name="Normal 5 9" xfId="5532" xr:uid="{9916F690-B1FF-40A1-A889-CAA9C7E3C5A2}"/>
    <cellStyle name="Normal 5 9 10" xfId="12283" xr:uid="{F26C077D-093B-4E14-8FD1-65E49757FB7E}"/>
    <cellStyle name="Normal 5 9 10 2" xfId="32624" xr:uid="{9F28213D-0D77-4F3E-AF3A-51C53937D2E8}"/>
    <cellStyle name="Normal 5 9 11" xfId="9022" xr:uid="{A050448C-0AF1-419C-852B-7FE5A468ED9A}"/>
    <cellStyle name="Normal 5 9 11 2" xfId="29365" xr:uid="{1E4EEC5B-540A-4BC1-B1F0-CD5B0E2B84C5}"/>
    <cellStyle name="Normal 5 9 12" xfId="25871" xr:uid="{9EF6223D-9756-4CDE-AA5B-BC6966E5B01A}"/>
    <cellStyle name="Normal 5 9 2" xfId="6104" xr:uid="{A8E287F2-039A-4D5D-BFC0-9129B7134DE3}"/>
    <cellStyle name="Normal 5 9 2 2" xfId="7262" xr:uid="{20B416B5-6E54-4E18-BAF2-328FD4EF1039}"/>
    <cellStyle name="Normal 5 9 2 2 2" xfId="17548" xr:uid="{BBDA6C76-7B88-4600-B245-DA8B052E16C3}"/>
    <cellStyle name="Normal 5 9 2 2 2 2" xfId="37888" xr:uid="{89A0D736-AC72-4EB7-882C-2ED56D9B20EE}"/>
    <cellStyle name="Normal 5 9 2 2 3" xfId="21050" xr:uid="{7CF63D10-61C5-44E8-B708-C8FE6D6D4EE4}"/>
    <cellStyle name="Normal 5 9 2 2 3 2" xfId="41389" xr:uid="{41904BD8-81C2-4757-80EF-F0B62A4B7A43}"/>
    <cellStyle name="Normal 5 9 2 2 4" xfId="24305" xr:uid="{B1D575DA-C6E8-47CF-9BAE-341A73FF580E}"/>
    <cellStyle name="Normal 5 9 2 2 4 2" xfId="44640" xr:uid="{D02E304D-E7BC-4CFE-AEAD-CC843A0DE0DB}"/>
    <cellStyle name="Normal 5 9 2 2 5" xfId="14639" xr:uid="{DA8F405E-5D85-48BF-9CEE-2D90D1B5535C}"/>
    <cellStyle name="Normal 5 9 2 2 5 2" xfId="34980" xr:uid="{8547D436-7002-4F3F-93CF-9413641109EA}"/>
    <cellStyle name="Normal 5 9 2 2 6" xfId="10761" xr:uid="{BB082D15-5C2A-4EED-89E5-7DFE371C0FF5}"/>
    <cellStyle name="Normal 5 9 2 2 6 2" xfId="31104" xr:uid="{90155922-F830-4272-926B-F1206422EB79}"/>
    <cellStyle name="Normal 5 9 2 2 7" xfId="27610" xr:uid="{292AE259-9E01-4D3E-970F-4385C345DB76}"/>
    <cellStyle name="Normal 5 9 2 3" xfId="16390" xr:uid="{93B019ED-4180-43E0-BB04-B73DAABA6B41}"/>
    <cellStyle name="Normal 5 9 2 3 2" xfId="36730" xr:uid="{8BF6EBDD-137E-4419-8B70-9D4C729AD992}"/>
    <cellStyle name="Normal 5 9 2 4" xfId="19892" xr:uid="{7CE04DAE-58D0-4978-8701-D70727709B02}"/>
    <cellStyle name="Normal 5 9 2 4 2" xfId="40231" xr:uid="{632AA697-EF49-4922-BD30-931630A83914}"/>
    <cellStyle name="Normal 5 9 2 5" xfId="23147" xr:uid="{A8C1535F-834F-4AEB-A8BA-4B16F5C3A392}"/>
    <cellStyle name="Normal 5 9 2 5 2" xfId="43482" xr:uid="{58FCBB20-A6A7-4A8E-A7EA-8F1FACE7283D}"/>
    <cellStyle name="Normal 5 9 2 6" xfId="13481" xr:uid="{513F9F31-F53E-4E0C-BD88-0A3BFF6D3174}"/>
    <cellStyle name="Normal 5 9 2 6 2" xfId="33822" xr:uid="{35F71BAD-B740-4196-97CA-59E8C1B696C8}"/>
    <cellStyle name="Normal 5 9 2 7" xfId="9603" xr:uid="{55E9BDA8-034E-43AA-878C-2B2CEB4AB21D}"/>
    <cellStyle name="Normal 5 9 2 7 2" xfId="29946" xr:uid="{E4942DF4-3BFC-48FE-BDEF-65A15B48C47C}"/>
    <cellStyle name="Normal 5 9 2 8" xfId="26452" xr:uid="{1FBDC7B0-C91B-4147-89A6-C96CE5690A84}"/>
    <cellStyle name="Normal 5 9 3" xfId="6681" xr:uid="{23306FE3-0E63-4D08-9E5B-3633018B3261}"/>
    <cellStyle name="Normal 5 9 3 2" xfId="16967" xr:uid="{4600B59D-0E4C-4167-AD3B-56AEEBE29F66}"/>
    <cellStyle name="Normal 5 9 3 2 2" xfId="37307" xr:uid="{77312F95-7E00-471E-8280-CD71142D5769}"/>
    <cellStyle name="Normal 5 9 3 3" xfId="20469" xr:uid="{12E519EB-902C-4739-ABB9-98D9F9E4AB7B}"/>
    <cellStyle name="Normal 5 9 3 3 2" xfId="40808" xr:uid="{35CD96F7-B91B-4BC1-85D5-35671FDC1BDB}"/>
    <cellStyle name="Normal 5 9 3 4" xfId="23724" xr:uid="{0EE89274-C122-4319-A471-F4D06A33F757}"/>
    <cellStyle name="Normal 5 9 3 4 2" xfId="44059" xr:uid="{8FB0E4C9-C553-47E1-8DDB-B753471ABBAE}"/>
    <cellStyle name="Normal 5 9 3 5" xfId="14058" xr:uid="{1713DD31-938F-4E7A-8A6D-EDD7C0434367}"/>
    <cellStyle name="Normal 5 9 3 5 2" xfId="34399" xr:uid="{0578D66D-4966-4599-8529-21B50F37C139}"/>
    <cellStyle name="Normal 5 9 3 6" xfId="10180" xr:uid="{208AA403-F77F-4739-8EB5-F9B15050D92B}"/>
    <cellStyle name="Normal 5 9 3 6 2" xfId="30523" xr:uid="{BD8EB614-A9EA-4B41-9D40-10DFCB71CD24}"/>
    <cellStyle name="Normal 5 9 3 7" xfId="27029" xr:uid="{B0E8934E-846C-4827-9A99-66D7BFE0662E}"/>
    <cellStyle name="Normal 5 9 4" xfId="7845" xr:uid="{CE84D122-4E63-4368-BC42-E987A2D541E4}"/>
    <cellStyle name="Normal 5 9 4 2" xfId="18130" xr:uid="{962039C0-CFED-4C83-8973-8A5C804876EF}"/>
    <cellStyle name="Normal 5 9 4 2 2" xfId="38470" xr:uid="{F3733FF5-E107-4C79-8ECA-00F107D7D3C0}"/>
    <cellStyle name="Normal 5 9 4 3" xfId="21632" xr:uid="{EAA5154E-41E7-4940-ACA3-F414A263FDC6}"/>
    <cellStyle name="Normal 5 9 4 3 2" xfId="41971" xr:uid="{331DB1B5-5DA1-4056-92A7-9204AEB6F8E7}"/>
    <cellStyle name="Normal 5 9 4 4" xfId="24887" xr:uid="{D42CEE34-5D54-445F-A355-B1B4F9CDB926}"/>
    <cellStyle name="Normal 5 9 4 4 2" xfId="45222" xr:uid="{25735817-EFDC-421A-8CA2-D05B0A50E64D}"/>
    <cellStyle name="Normal 5 9 4 5" xfId="15222" xr:uid="{3D4FA902-0DCE-4EC3-88E1-7A1940C97B3E}"/>
    <cellStyle name="Normal 5 9 4 5 2" xfId="35562" xr:uid="{78F18410-2E16-401E-AE10-329D66AB2D32}"/>
    <cellStyle name="Normal 5 9 4 6" xfId="11343" xr:uid="{52C99CBB-0B71-4EED-8ADE-648F1DB85766}"/>
    <cellStyle name="Normal 5 9 4 6 2" xfId="31686" xr:uid="{6BBE7445-AC1D-4381-93C9-EF8AA54CEB30}"/>
    <cellStyle name="Normal 5 9 4 7" xfId="28192" xr:uid="{58A094A0-3007-46BB-BFE2-05A3796AA3C3}"/>
    <cellStyle name="Normal 5 9 5" xfId="12912" xr:uid="{12797B28-B74C-4A87-8E04-ABD56B893FE6}"/>
    <cellStyle name="Normal 5 9 5 2" xfId="33253" xr:uid="{10419E09-C8D1-437C-A9AA-142E52849C3F}"/>
    <cellStyle name="Normal 5 9 6" xfId="15809" xr:uid="{803FC8FC-8A0B-4591-86F9-9D98D97910BF}"/>
    <cellStyle name="Normal 5 9 6 2" xfId="36149" xr:uid="{70006F67-2F97-4B07-83EE-5073DD097F73}"/>
    <cellStyle name="Normal 5 9 7" xfId="18723" xr:uid="{9AB55A27-1B20-4266-9A30-7C1B33F10991}"/>
    <cellStyle name="Normal 5 9 7 2" xfId="39063" xr:uid="{03D4B0E0-4E39-44B2-8B22-7A5599319D6C}"/>
    <cellStyle name="Normal 5 9 8" xfId="19311" xr:uid="{7CD1A61E-1AFE-46F4-8E16-FC41DDFD15AF}"/>
    <cellStyle name="Normal 5 9 8 2" xfId="39650" xr:uid="{FADEBD57-D04D-40E3-B3A4-D7254A69B3EA}"/>
    <cellStyle name="Normal 5 9 9" xfId="22566" xr:uid="{1AB8DB19-AF91-4931-829C-968DA86A91F9}"/>
    <cellStyle name="Normal 5 9 9 2" xfId="42901" xr:uid="{A9D3C821-986D-4C72-A5C1-A95D261A6E3D}"/>
    <cellStyle name="Normal 50" xfId="47542" xr:uid="{739EF4EF-D85A-47DF-BF94-8FED86269E7B}"/>
    <cellStyle name="Normal 51" xfId="47668" xr:uid="{EA3543BD-BF79-452D-B92C-C930ED91C0E8}"/>
    <cellStyle name="Normal 52" xfId="47672" xr:uid="{ED8E58C0-50FF-4BC2-8045-57E2484E3C76}"/>
    <cellStyle name="Normal 53" xfId="47676" xr:uid="{9E0A90C1-8572-4717-82AE-144B579B34E0}"/>
    <cellStyle name="Normal 54" xfId="47679" xr:uid="{57C539FE-C760-4ADE-BD1B-802434DC751A}"/>
    <cellStyle name="Normal 55" xfId="47684" xr:uid="{090852C8-C3E1-40F3-A672-907962232C48}"/>
    <cellStyle name="Normal 56" xfId="47689" xr:uid="{1D58B54E-83A0-4569-929C-CF977C4381DF}"/>
    <cellStyle name="Normal 57" xfId="47693" xr:uid="{60FD4BC8-D71E-4F4D-9DE5-896BA303A8E1}"/>
    <cellStyle name="Normal 58" xfId="47694" xr:uid="{38EE3F18-B554-4CB8-8F77-C20166A62F0C}"/>
    <cellStyle name="Normal 59" xfId="47696" xr:uid="{9CC6B28F-BB81-4701-BAD8-1932C3080B41}"/>
    <cellStyle name="Normal 6" xfId="4791" xr:uid="{D187E476-1C1F-4C23-970F-3597B0B3741B}"/>
    <cellStyle name="Normal 6 10" xfId="45816" xr:uid="{5727B9A9-6F77-49C4-B9C7-EC349C3D3A91}"/>
    <cellStyle name="Normal 6 11" xfId="46302" xr:uid="{D66968F1-B359-4B29-8108-ACBDA066BA87}"/>
    <cellStyle name="Normal 6 12" xfId="46794" xr:uid="{6B8A618A-177E-4E00-9E22-B3132D31993B}"/>
    <cellStyle name="Normal 6 13" xfId="5205" xr:uid="{D7C6960F-42F0-4E56-B1AB-BF9F1FDAB0FC}"/>
    <cellStyle name="Normal 6 2" xfId="4802" xr:uid="{2986F681-E693-4B78-99A5-CB9B0FDF1D23}"/>
    <cellStyle name="Normal 6 2 10" xfId="7539" xr:uid="{4B0F99CC-B22C-497D-B009-93A221D32F83}"/>
    <cellStyle name="Normal 6 2 10 2" xfId="17824" xr:uid="{F4F56DE0-D697-4270-A9EE-542CE755B16E}"/>
    <cellStyle name="Normal 6 2 10 2 2" xfId="38164" xr:uid="{FBDA273C-58F2-42E3-95F6-2DD3344902D8}"/>
    <cellStyle name="Normal 6 2 10 3" xfId="21326" xr:uid="{3AA7E4BE-6DA4-4BF7-8D87-369941B62EE0}"/>
    <cellStyle name="Normal 6 2 10 3 2" xfId="41665" xr:uid="{BAD69565-16C0-4E3E-8D22-973F7FFC0D4C}"/>
    <cellStyle name="Normal 6 2 10 4" xfId="24581" xr:uid="{68031F0D-6226-412A-9571-794FAB399B81}"/>
    <cellStyle name="Normal 6 2 10 4 2" xfId="44916" xr:uid="{E1DC41E4-C9EE-4607-8BA2-5BBC87DD0E19}"/>
    <cellStyle name="Normal 6 2 10 5" xfId="14916" xr:uid="{770167F2-34C4-4E8E-B68A-A5AE1CD95354}"/>
    <cellStyle name="Normal 6 2 10 5 2" xfId="35256" xr:uid="{3D8002D2-AB82-4101-8EFE-84F2E4D50279}"/>
    <cellStyle name="Normal 6 2 10 6" xfId="11037" xr:uid="{B131E293-EB6E-4DAC-98DF-31B7E81BD824}"/>
    <cellStyle name="Normal 6 2 10 6 2" xfId="31380" xr:uid="{DBB7B148-5C44-4FBA-AF50-E01D57D02985}"/>
    <cellStyle name="Normal 6 2 10 7" xfId="27886" xr:uid="{0668C5EE-31F6-41E0-95E8-7173D680913A}"/>
    <cellStyle name="Normal 6 2 11" xfId="8123" xr:uid="{4904E8FE-CF5D-4636-8F9A-59B82A453078}"/>
    <cellStyle name="Normal 6 2 11 2" xfId="21910" xr:uid="{2EC657EB-A8FA-4031-B1DB-7C40B3F74B5E}"/>
    <cellStyle name="Normal 6 2 11 2 2" xfId="42246" xr:uid="{5439F53D-EC25-41D7-A740-466E29F96498}"/>
    <cellStyle name="Normal 6 2 11 3" xfId="25162" xr:uid="{36FBBD8C-DD60-4218-BD78-251F74C0AA4F}"/>
    <cellStyle name="Normal 6 2 11 3 2" xfId="45497" xr:uid="{68C48A36-1AD0-4486-AAB1-7D39900AC31B}"/>
    <cellStyle name="Normal 6 2 11 4" xfId="12614" xr:uid="{27E852BB-E3A9-4BAB-A56F-FDA83693837E}"/>
    <cellStyle name="Normal 6 2 11 4 2" xfId="32955" xr:uid="{7401383E-D622-4AA1-8189-295B4C5A827E}"/>
    <cellStyle name="Normal 6 2 11 5" xfId="11619" xr:uid="{8604860C-95CF-4804-B67C-A2450F48DDE1}"/>
    <cellStyle name="Normal 6 2 11 5 2" xfId="31961" xr:uid="{0E008545-C5F8-4B85-8A0F-7ABBF5E9A877}"/>
    <cellStyle name="Normal 6 2 11 6" xfId="28467" xr:uid="{7F2AAB9D-74EB-4ADD-BCD6-339E694579C8}"/>
    <cellStyle name="Normal 6 2 12" xfId="8454" xr:uid="{200A9960-1618-495B-911B-40324F9F2897}"/>
    <cellStyle name="Normal 6 2 12 2" xfId="15503" xr:uid="{1B9DED61-3A2D-4BBD-8573-8509D70B0102}"/>
    <cellStyle name="Normal 6 2 12 2 2" xfId="35843" xr:uid="{4B9EA859-7187-464C-AC90-0CC8CE430A65}"/>
    <cellStyle name="Normal 6 2 12 3" xfId="28797" xr:uid="{3C94786A-F9AE-4A74-9635-87856824658F}"/>
    <cellStyle name="Normal 6 2 13" xfId="18417" xr:uid="{58A7018E-6DF6-4FC5-AA18-C1CD6A95E9C3}"/>
    <cellStyle name="Normal 6 2 13 2" xfId="38757" xr:uid="{8B263884-F0E0-479D-8F79-DC2173C0DD82}"/>
    <cellStyle name="Normal 6 2 14" xfId="19005" xr:uid="{F03AF57C-2C72-4FFC-9064-4B70A1D3E50B}"/>
    <cellStyle name="Normal 6 2 14 2" xfId="39344" xr:uid="{EA044743-C22A-441A-B0EC-AC6D42410A70}"/>
    <cellStyle name="Normal 6 2 15" xfId="22260" xr:uid="{8E94CF21-5090-4B81-BF87-323EB711FD81}"/>
    <cellStyle name="Normal 6 2 15 2" xfId="42595" xr:uid="{9F286A62-EFA6-4BB3-AEF8-FAE8B0CEE81F}"/>
    <cellStyle name="Normal 6 2 16" xfId="11977" xr:uid="{9FBCF1C1-CB53-4096-A57D-D4F710EA45B9}"/>
    <cellStyle name="Normal 6 2 16 2" xfId="32318" xr:uid="{238F8198-A941-476C-A26C-F00F45CAD9BE}"/>
    <cellStyle name="Normal 6 2 17" xfId="8716" xr:uid="{2BD7749F-C40F-4E25-ABC7-0FCE1D380167}"/>
    <cellStyle name="Normal 6 2 17 2" xfId="29059" xr:uid="{385F5304-E83E-4E6F-B05F-18D9327AB0F9}"/>
    <cellStyle name="Normal 6 2 18" xfId="25561" xr:uid="{90BDBA29-8CF1-41ED-BF95-64B30DB13084}"/>
    <cellStyle name="Normal 6 2 19" xfId="45829" xr:uid="{22D448CF-9427-4275-926F-98DBE8CECAC3}"/>
    <cellStyle name="Normal 6 2 2" xfId="4829" xr:uid="{FF34A1FD-34F4-49A5-A543-B17BA6B625BD}"/>
    <cellStyle name="Normal 6 2 2 10" xfId="8124" xr:uid="{DF1EB1E6-D4DB-4819-A9CB-8F79646ABB2A}"/>
    <cellStyle name="Normal 6 2 2 10 2" xfId="21911" xr:uid="{955E1603-F04D-4378-929B-1DB53EDAFBFD}"/>
    <cellStyle name="Normal 6 2 2 10 2 2" xfId="42247" xr:uid="{9E130A11-9163-4678-B616-4DEA2690ADA7}"/>
    <cellStyle name="Normal 6 2 2 10 3" xfId="25163" xr:uid="{FB5712F1-6AB4-422B-8507-C7C0457B276D}"/>
    <cellStyle name="Normal 6 2 2 10 3 2" xfId="45498" xr:uid="{597507EB-6C6D-43C8-8210-E8A565E4D0B9}"/>
    <cellStyle name="Normal 6 2 2 10 4" xfId="12637" xr:uid="{5C4B47B7-3197-4CA9-8D25-3C9D0F7756B4}"/>
    <cellStyle name="Normal 6 2 2 10 4 2" xfId="32978" xr:uid="{97DA8C69-5C65-4D75-B0DA-7F59A2F4798F}"/>
    <cellStyle name="Normal 6 2 2 10 5" xfId="11620" xr:uid="{311F225E-E807-43BB-90A6-77C8402A4C4A}"/>
    <cellStyle name="Normal 6 2 2 10 5 2" xfId="31962" xr:uid="{9724C95A-AC39-4048-8EF0-CFF2C1403F96}"/>
    <cellStyle name="Normal 6 2 2 10 6" xfId="28468" xr:uid="{5BA7DB05-5BD5-4901-A981-21D0C9D9F8A2}"/>
    <cellStyle name="Normal 6 2 2 11" xfId="8482" xr:uid="{E8FF16BE-1548-438F-A500-9022091EE739}"/>
    <cellStyle name="Normal 6 2 2 11 2" xfId="15531" xr:uid="{0AC985E7-0329-4291-AB75-B79319CEBD4F}"/>
    <cellStyle name="Normal 6 2 2 11 2 2" xfId="35871" xr:uid="{42AD9335-7482-4DB4-B09A-DE1B3055FE97}"/>
    <cellStyle name="Normal 6 2 2 11 3" xfId="28825" xr:uid="{7A089DB6-E1F9-411C-8CE7-8D6154780743}"/>
    <cellStyle name="Normal 6 2 2 12" xfId="18445" xr:uid="{6330F091-4490-452C-931A-29B705CA9A58}"/>
    <cellStyle name="Normal 6 2 2 12 2" xfId="38785" xr:uid="{78C31F5F-A473-457E-B0D2-9389CC976BA8}"/>
    <cellStyle name="Normal 6 2 2 13" xfId="19033" xr:uid="{619CD199-2E82-4FE8-A710-3F82E6926B3F}"/>
    <cellStyle name="Normal 6 2 2 13 2" xfId="39372" xr:uid="{E52706D1-EA0E-47D1-9066-1CD375573253}"/>
    <cellStyle name="Normal 6 2 2 14" xfId="22288" xr:uid="{9D82F016-AB39-41EC-922D-52B238531F89}"/>
    <cellStyle name="Normal 6 2 2 14 2" xfId="42623" xr:uid="{489B6EE6-8D50-4E43-A6A2-1529C98E483F}"/>
    <cellStyle name="Normal 6 2 2 15" xfId="12005" xr:uid="{15E29ADC-8ED4-4124-9932-DE8C193104D6}"/>
    <cellStyle name="Normal 6 2 2 15 2" xfId="32346" xr:uid="{53826908-0037-49B1-B94C-6D548F68E422}"/>
    <cellStyle name="Normal 6 2 2 16" xfId="8744" xr:uid="{98E4F10C-2A95-468A-AF75-138EF9937A19}"/>
    <cellStyle name="Normal 6 2 2 16 2" xfId="29087" xr:uid="{EDAA89CD-692D-4875-94FA-FA1270566BF0}"/>
    <cellStyle name="Normal 6 2 2 17" xfId="25589" xr:uid="{34432829-C440-4FCE-8240-5C7C6ECC4980}"/>
    <cellStyle name="Normal 6 2 2 18" xfId="45857" xr:uid="{7DF2A2F1-C08F-49E5-A47A-263E53BC8E2A}"/>
    <cellStyle name="Normal 6 2 2 19" xfId="46343" xr:uid="{7D31535B-F9D3-4067-8F0C-010FCE95C769}"/>
    <cellStyle name="Normal 6 2 2 2" xfId="4846" xr:uid="{E38930E0-9D63-40DF-855A-401FD868BDB8}"/>
    <cellStyle name="Normal 6 2 2 2 10" xfId="22403" xr:uid="{50EC237A-F527-49EA-989D-54E1D8A2EB16}"/>
    <cellStyle name="Normal 6 2 2 2 10 2" xfId="42738" xr:uid="{E9B23C59-586C-439A-8CD8-62F8419F2B62}"/>
    <cellStyle name="Normal 6 2 2 2 11" xfId="12120" xr:uid="{45621C90-EBDF-42D6-BCC3-E9E213AE7316}"/>
    <cellStyle name="Normal 6 2 2 2 11 2" xfId="32461" xr:uid="{BE61B412-706C-4BF5-9A0B-60AD24AC0CFF}"/>
    <cellStyle name="Normal 6 2 2 2 12" xfId="8859" xr:uid="{96656902-0B02-4CEE-8FFF-81C87E8C6351}"/>
    <cellStyle name="Normal 6 2 2 2 12 2" xfId="29202" xr:uid="{6FC9C5B4-1175-4B57-9734-CF15B7A65728}"/>
    <cellStyle name="Normal 6 2 2 2 13" xfId="25708" xr:uid="{554A8A20-7957-4F88-9516-B6640B917ECA}"/>
    <cellStyle name="Normal 6 2 2 2 14" xfId="45917" xr:uid="{88A18EB8-F00A-4350-A7CD-3B0D5AF32C96}"/>
    <cellStyle name="Normal 6 2 2 2 15" xfId="46403" xr:uid="{B2495CE3-662A-4427-A6A0-7BADC9B3E5E5}"/>
    <cellStyle name="Normal 6 2 2 2 16" xfId="46895" xr:uid="{381E9DB4-A306-40E1-AA36-DA9BF90B1434}"/>
    <cellStyle name="Normal 6 2 2 2 2" xfId="5062" xr:uid="{21732B6C-ED54-46F6-8817-08DCDAAABC05}"/>
    <cellStyle name="Normal 6 2 2 2 2 10" xfId="12507" xr:uid="{DAEC8F06-66A8-46D2-9417-2A96A53F8ED1}"/>
    <cellStyle name="Normal 6 2 2 2 2 10 2" xfId="32848" xr:uid="{AE223C12-2A0B-446C-85E0-3882D282AC45}"/>
    <cellStyle name="Normal 6 2 2 2 2 11" xfId="9246" xr:uid="{A3A70CA6-F372-431C-AE02-3722293DE97A}"/>
    <cellStyle name="Normal 6 2 2 2 2 11 2" xfId="29589" xr:uid="{1A17691E-07F4-47F5-BB47-7CDC78EB14A0}"/>
    <cellStyle name="Normal 6 2 2 2 2 12" xfId="26095" xr:uid="{030D0714-9ACF-4E32-9C28-AF819236FE55}"/>
    <cellStyle name="Normal 6 2 2 2 2 13" xfId="45944" xr:uid="{51A643EE-2CBE-41C3-8C2F-CDF61EAF9265}"/>
    <cellStyle name="Normal 6 2 2 2 2 14" xfId="46430" xr:uid="{25E20EA1-AC4B-40C4-95EB-4A5EDE8FF81E}"/>
    <cellStyle name="Normal 6 2 2 2 2 15" xfId="46922" xr:uid="{32C7039C-BE4E-4EAC-94CA-CBCEC2D7203C}"/>
    <cellStyle name="Normal 6 2 2 2 2 2" xfId="6328" xr:uid="{F9556F27-1BDC-452F-9743-069E67B75E74}"/>
    <cellStyle name="Normal 6 2 2 2 2 2 10" xfId="46673" xr:uid="{99EF3BD7-8141-46E8-8C05-A75147754B7F}"/>
    <cellStyle name="Normal 6 2 2 2 2 2 11" xfId="47165" xr:uid="{CF7D23A2-25E4-4F61-BA0B-EF2EB3E7798F}"/>
    <cellStyle name="Normal 6 2 2 2 2 2 2" xfId="7486" xr:uid="{AB51BD26-BEE1-4ACF-862B-7885CF59C4C3}"/>
    <cellStyle name="Normal 6 2 2 2 2 2 2 2" xfId="17772" xr:uid="{C5AD6B3A-9881-4BEB-9D12-D7BD41FE7BDA}"/>
    <cellStyle name="Normal 6 2 2 2 2 2 2 2 2" xfId="38112" xr:uid="{3ECCBF61-A6EC-4FD8-91F9-50EB89A0BE38}"/>
    <cellStyle name="Normal 6 2 2 2 2 2 2 3" xfId="21274" xr:uid="{78E76A03-CCFA-46CE-9138-F7E8162A6AED}"/>
    <cellStyle name="Normal 6 2 2 2 2 2 2 3 2" xfId="41613" xr:uid="{3D972C89-3D4F-48EC-B6BE-A747F8E83D07}"/>
    <cellStyle name="Normal 6 2 2 2 2 2 2 4" xfId="24529" xr:uid="{881BE543-5F8F-48B0-AA6D-FAEBD276C979}"/>
    <cellStyle name="Normal 6 2 2 2 2 2 2 4 2" xfId="44864" xr:uid="{DA85B2E7-C6C8-4ABF-99A4-698BE8B50392}"/>
    <cellStyle name="Normal 6 2 2 2 2 2 2 5" xfId="14863" xr:uid="{14660F40-295A-4934-8154-54FCD6573FC2}"/>
    <cellStyle name="Normal 6 2 2 2 2 2 2 5 2" xfId="35204" xr:uid="{039E0005-0497-4BFE-951D-D537BB5D2DCB}"/>
    <cellStyle name="Normal 6 2 2 2 2 2 2 6" xfId="10985" xr:uid="{A6418670-355E-4DE9-BDD5-BFA763ABFE79}"/>
    <cellStyle name="Normal 6 2 2 2 2 2 2 6 2" xfId="31328" xr:uid="{BFDD20FD-784D-467B-AACF-9ACB703F22BF}"/>
    <cellStyle name="Normal 6 2 2 2 2 2 2 7" xfId="27834" xr:uid="{7EBC8E3F-4B92-435E-9D24-273D249EFB92}"/>
    <cellStyle name="Normal 6 2 2 2 2 2 3" xfId="16614" xr:uid="{03C35415-7C59-430A-8C82-FB14FA16D1AE}"/>
    <cellStyle name="Normal 6 2 2 2 2 2 3 2" xfId="36954" xr:uid="{20D9325D-87E9-469A-8485-4F4AFF1A3B1F}"/>
    <cellStyle name="Normal 6 2 2 2 2 2 4" xfId="20116" xr:uid="{2FDDFE0F-05E8-4CB1-8136-E8D54887E80B}"/>
    <cellStyle name="Normal 6 2 2 2 2 2 4 2" xfId="40455" xr:uid="{EF239B91-10CB-4097-8AEB-80B0E6F86815}"/>
    <cellStyle name="Normal 6 2 2 2 2 2 5" xfId="23371" xr:uid="{BDC0F2A1-F493-4C30-9B3D-9F05BEE1857D}"/>
    <cellStyle name="Normal 6 2 2 2 2 2 5 2" xfId="43706" xr:uid="{70B85750-6409-43CF-901E-CCAB08589B9D}"/>
    <cellStyle name="Normal 6 2 2 2 2 2 6" xfId="13705" xr:uid="{ED0FDE19-4AB4-4C6F-BCC4-C2D5307AFA6F}"/>
    <cellStyle name="Normal 6 2 2 2 2 2 6 2" xfId="34046" xr:uid="{D1155D78-7A3C-4268-AF0A-68238F14BA7D}"/>
    <cellStyle name="Normal 6 2 2 2 2 2 7" xfId="9827" xr:uid="{9FA9B5FF-C6A1-4DED-A87F-046A31BCEB43}"/>
    <cellStyle name="Normal 6 2 2 2 2 2 7 2" xfId="30170" xr:uid="{29A18885-B02F-4396-B914-A39AD2D246EE}"/>
    <cellStyle name="Normal 6 2 2 2 2 2 8" xfId="26676" xr:uid="{9968F863-F9DC-4BC2-8D67-16205BAC9E70}"/>
    <cellStyle name="Normal 6 2 2 2 2 2 9" xfId="46187" xr:uid="{A1B84D45-1C16-4518-84D5-EE5B8CCDDC2B}"/>
    <cellStyle name="Normal 6 2 2 2 2 3" xfId="6905" xr:uid="{62AAF30D-574D-495C-9711-465EEE42314E}"/>
    <cellStyle name="Normal 6 2 2 2 2 3 2" xfId="17191" xr:uid="{A42F3E5B-96A8-4EFD-B7EF-EEDFDBD742D7}"/>
    <cellStyle name="Normal 6 2 2 2 2 3 2 2" xfId="37531" xr:uid="{6EA1B65D-D1FB-4FC0-A234-5363A19542B3}"/>
    <cellStyle name="Normal 6 2 2 2 2 3 3" xfId="20693" xr:uid="{58C279CD-AF66-480C-85D6-FCB018B7E6C3}"/>
    <cellStyle name="Normal 6 2 2 2 2 3 3 2" xfId="41032" xr:uid="{48933E5E-6654-45C0-B03A-0CB769C39F67}"/>
    <cellStyle name="Normal 6 2 2 2 2 3 4" xfId="23948" xr:uid="{30B71C75-EBD0-498C-82AF-4CFFB9AD87EB}"/>
    <cellStyle name="Normal 6 2 2 2 2 3 4 2" xfId="44283" xr:uid="{8DD57E44-079B-487A-BAE3-DB48966BFE6D}"/>
    <cellStyle name="Normal 6 2 2 2 2 3 5" xfId="14282" xr:uid="{5F9493B0-B039-48D6-8457-920B71D082B5}"/>
    <cellStyle name="Normal 6 2 2 2 2 3 5 2" xfId="34623" xr:uid="{DEB91380-F907-4210-9DAE-5B28AAC2D770}"/>
    <cellStyle name="Normal 6 2 2 2 2 3 6" xfId="10404" xr:uid="{5499649B-3CAB-438B-A5F2-E7008AD6CCAA}"/>
    <cellStyle name="Normal 6 2 2 2 2 3 6 2" xfId="30747" xr:uid="{C4B91F16-24D2-4555-B1DF-A09A9D664993}"/>
    <cellStyle name="Normal 6 2 2 2 2 3 7" xfId="27253" xr:uid="{67E9C3C9-B06D-4681-B82D-89008A3A465C}"/>
    <cellStyle name="Normal 6 2 2 2 2 4" xfId="8069" xr:uid="{0AF4BB42-0769-4A13-8AE4-718680C6765A}"/>
    <cellStyle name="Normal 6 2 2 2 2 4 2" xfId="18354" xr:uid="{CE145082-F462-495F-9905-D89A92B82AD4}"/>
    <cellStyle name="Normal 6 2 2 2 2 4 2 2" xfId="38694" xr:uid="{F974728B-5FB5-4667-8B2F-F41C16BF8B40}"/>
    <cellStyle name="Normal 6 2 2 2 2 4 3" xfId="21856" xr:uid="{2184DE53-D681-47E6-AD52-5A6C35FABE86}"/>
    <cellStyle name="Normal 6 2 2 2 2 4 3 2" xfId="42195" xr:uid="{406DF878-3681-4672-944E-55B60099FC2D}"/>
    <cellStyle name="Normal 6 2 2 2 2 4 4" xfId="25111" xr:uid="{9F274959-CCDC-4B9A-ACA8-C6AC35644ABB}"/>
    <cellStyle name="Normal 6 2 2 2 2 4 4 2" xfId="45446" xr:uid="{B2DB1E6E-F0D8-4C0B-8330-4B3AC49CE08F}"/>
    <cellStyle name="Normal 6 2 2 2 2 4 5" xfId="15446" xr:uid="{4545C728-1FA6-4B4A-A472-6D60F0561451}"/>
    <cellStyle name="Normal 6 2 2 2 2 4 5 2" xfId="35786" xr:uid="{72FF9EC0-8A9D-4299-9060-3F079911D134}"/>
    <cellStyle name="Normal 6 2 2 2 2 4 6" xfId="11567" xr:uid="{12FCEA73-CCF5-41FA-8D6F-A9DFE2D06191}"/>
    <cellStyle name="Normal 6 2 2 2 2 4 6 2" xfId="31910" xr:uid="{F84610B3-E06B-4B81-96C0-5C21E142A5BA}"/>
    <cellStyle name="Normal 6 2 2 2 2 4 7" xfId="28416" xr:uid="{EECC305F-FB2E-4C80-B98E-7D3B03D4EAEC}"/>
    <cellStyle name="Normal 6 2 2 2 2 5" xfId="8126" xr:uid="{1D924832-F713-4253-8750-45B66EFB9154}"/>
    <cellStyle name="Normal 6 2 2 2 2 5 2" xfId="21913" xr:uid="{4D9E366D-E0D3-4A62-BB73-A1661E0D4384}"/>
    <cellStyle name="Normal 6 2 2 2 2 5 2 2" xfId="42249" xr:uid="{93ADE71B-3CD1-4914-A9D7-5CDE1213396F}"/>
    <cellStyle name="Normal 6 2 2 2 2 5 3" xfId="25165" xr:uid="{B4BAD2A1-93BA-4540-B135-E2CF0A35DA8B}"/>
    <cellStyle name="Normal 6 2 2 2 2 5 3 2" xfId="45500" xr:uid="{ADBBD148-AC15-4C11-9F2D-927877BC6344}"/>
    <cellStyle name="Normal 6 2 2 2 2 5 4" xfId="13136" xr:uid="{117BA058-CA97-4213-8E4D-33E91AB236AB}"/>
    <cellStyle name="Normal 6 2 2 2 2 5 4 2" xfId="33477" xr:uid="{F0D88F26-1787-4BA4-B9B8-B5D7C79DE7CD}"/>
    <cellStyle name="Normal 6 2 2 2 2 5 5" xfId="11622" xr:uid="{F135955F-5DA7-42BD-8491-DD6BE0F4654F}"/>
    <cellStyle name="Normal 6 2 2 2 2 5 5 2" xfId="31964" xr:uid="{50D920B1-E84C-4DCD-8866-D8E72EE28524}"/>
    <cellStyle name="Normal 6 2 2 2 2 5 6" xfId="28470" xr:uid="{9F062E0B-8A92-4555-A3E7-D22FDF92CB25}"/>
    <cellStyle name="Normal 6 2 2 2 2 6" xfId="8569" xr:uid="{E902EA16-AC72-45B7-AEC0-46A752E386C6}"/>
    <cellStyle name="Normal 6 2 2 2 2 6 2" xfId="16033" xr:uid="{A3B1C8AB-A233-4A19-B090-4CAB333C05B5}"/>
    <cellStyle name="Normal 6 2 2 2 2 6 2 2" xfId="36373" xr:uid="{629CE5E4-4914-4675-A962-6E7D0EFE506B}"/>
    <cellStyle name="Normal 6 2 2 2 2 6 3" xfId="28912" xr:uid="{99099BCB-E659-4D14-90DE-C6C68A17971D}"/>
    <cellStyle name="Normal 6 2 2 2 2 7" xfId="18947" xr:uid="{F01DEE1D-A317-4D9A-A24A-A416D31D63A1}"/>
    <cellStyle name="Normal 6 2 2 2 2 7 2" xfId="39287" xr:uid="{5929A79B-445F-4564-AD44-CD487BD815B1}"/>
    <cellStyle name="Normal 6 2 2 2 2 8" xfId="19535" xr:uid="{4A835288-06AA-45BC-8E7B-BB6C864F5EEB}"/>
    <cellStyle name="Normal 6 2 2 2 2 8 2" xfId="39874" xr:uid="{98408311-14ED-49FF-9123-6C29B4F7C123}"/>
    <cellStyle name="Normal 6 2 2 2 2 9" xfId="22790" xr:uid="{FFF57E08-EE69-4055-82BB-617CA7AFFF5B}"/>
    <cellStyle name="Normal 6 2 2 2 2 9 2" xfId="43125" xr:uid="{CCFF7DB5-7259-4A5E-8B87-1172D7065D9A}"/>
    <cellStyle name="Normal 6 2 2 2 3" xfId="5941" xr:uid="{6E626F40-4407-4B81-A670-759B1B9D5E67}"/>
    <cellStyle name="Normal 6 2 2 2 3 10" xfId="46646" xr:uid="{44F3E6FB-AD71-49CB-937C-F39E672FEF7B}"/>
    <cellStyle name="Normal 6 2 2 2 3 11" xfId="47138" xr:uid="{B21922D8-ED02-4B6F-88A0-8E752247A39C}"/>
    <cellStyle name="Normal 6 2 2 2 3 2" xfId="7099" xr:uid="{6C573C39-F648-47DD-96A9-824D306C1F92}"/>
    <cellStyle name="Normal 6 2 2 2 3 2 2" xfId="17385" xr:uid="{65501696-DCB6-4DCC-92D5-DC9BA5B563C7}"/>
    <cellStyle name="Normal 6 2 2 2 3 2 2 2" xfId="37725" xr:uid="{CBE25998-EB93-40FC-8A2B-F484BB5923EA}"/>
    <cellStyle name="Normal 6 2 2 2 3 2 3" xfId="20887" xr:uid="{7D44F66D-D1B6-493B-8817-917E15CD073A}"/>
    <cellStyle name="Normal 6 2 2 2 3 2 3 2" xfId="41226" xr:uid="{C08AB01A-7495-46AA-A036-2DD148479B2E}"/>
    <cellStyle name="Normal 6 2 2 2 3 2 4" xfId="24142" xr:uid="{C98EDACF-7025-4810-9C8B-BA38F5F169C0}"/>
    <cellStyle name="Normal 6 2 2 2 3 2 4 2" xfId="44477" xr:uid="{C959EF0E-BE5D-48E6-A001-A26B3F8437FA}"/>
    <cellStyle name="Normal 6 2 2 2 3 2 5" xfId="14476" xr:uid="{6EB27AC7-0311-4C63-8F0B-C5507454D533}"/>
    <cellStyle name="Normal 6 2 2 2 3 2 5 2" xfId="34817" xr:uid="{97A3FA73-FCD0-4F1B-AA5E-D2059A3616C3}"/>
    <cellStyle name="Normal 6 2 2 2 3 2 6" xfId="10598" xr:uid="{D42DFA80-14A3-44FE-9FB2-CDDA4E0F1839}"/>
    <cellStyle name="Normal 6 2 2 2 3 2 6 2" xfId="30941" xr:uid="{F0FB848A-4C87-4407-829A-D1D0A7A9E919}"/>
    <cellStyle name="Normal 6 2 2 2 3 2 7" xfId="27447" xr:uid="{A4E87945-5763-4B35-A1A0-54CB90C0FA34}"/>
    <cellStyle name="Normal 6 2 2 2 3 3" xfId="16227" xr:uid="{FB5A3D0E-6918-47F0-8991-5E5D4EE1C81F}"/>
    <cellStyle name="Normal 6 2 2 2 3 3 2" xfId="36567" xr:uid="{4361D334-267B-4D03-ACF9-A07D67FFD81F}"/>
    <cellStyle name="Normal 6 2 2 2 3 4" xfId="19729" xr:uid="{661D6A53-EE61-4232-B914-95671A5A4973}"/>
    <cellStyle name="Normal 6 2 2 2 3 4 2" xfId="40068" xr:uid="{047BA0F5-8D18-4807-A658-37A633E2AC7B}"/>
    <cellStyle name="Normal 6 2 2 2 3 5" xfId="22984" xr:uid="{36582FE4-52B9-42E0-B461-F8CF6CFA1A0A}"/>
    <cellStyle name="Normal 6 2 2 2 3 5 2" xfId="43319" xr:uid="{5AA7A20D-4835-4EC9-9FE3-3E9BA5DD71EB}"/>
    <cellStyle name="Normal 6 2 2 2 3 6" xfId="13318" xr:uid="{5247309F-848B-4381-91E9-4409A5567FBB}"/>
    <cellStyle name="Normal 6 2 2 2 3 6 2" xfId="33659" xr:uid="{379B2E77-2A3B-483E-B9D5-201ACFFE24C1}"/>
    <cellStyle name="Normal 6 2 2 2 3 7" xfId="9440" xr:uid="{407B842D-10EF-45FE-83AC-3FC7FBEE71B8}"/>
    <cellStyle name="Normal 6 2 2 2 3 7 2" xfId="29783" xr:uid="{66091704-BB38-4D2B-84E7-B708EE0C7735}"/>
    <cellStyle name="Normal 6 2 2 2 3 8" xfId="26289" xr:uid="{CC8DF6DF-DC7B-47E1-B6E9-BA9A196F9DCA}"/>
    <cellStyle name="Normal 6 2 2 2 3 9" xfId="46160" xr:uid="{DBF2E845-D00F-4570-B319-A97302A47C73}"/>
    <cellStyle name="Normal 6 2 2 2 4" xfId="6518" xr:uid="{4505AC6A-53D2-4EF9-B94A-D43A8730BA3B}"/>
    <cellStyle name="Normal 6 2 2 2 4 2" xfId="16804" xr:uid="{48384C35-2BBC-4594-980A-F16444AEF6CF}"/>
    <cellStyle name="Normal 6 2 2 2 4 2 2" xfId="37144" xr:uid="{0EF50CA5-797B-4E6B-85DC-494013475D0C}"/>
    <cellStyle name="Normal 6 2 2 2 4 3" xfId="20306" xr:uid="{78183428-4B1D-4A35-8423-14BDE2CE43C5}"/>
    <cellStyle name="Normal 6 2 2 2 4 3 2" xfId="40645" xr:uid="{7D2EEBAE-B186-4837-A16D-1303E4B717D0}"/>
    <cellStyle name="Normal 6 2 2 2 4 4" xfId="23561" xr:uid="{DA8C3754-424E-4594-9CC9-A9E99076CE69}"/>
    <cellStyle name="Normal 6 2 2 2 4 4 2" xfId="43896" xr:uid="{179DF22F-9766-495F-8243-431D8F22E2B4}"/>
    <cellStyle name="Normal 6 2 2 2 4 5" xfId="13895" xr:uid="{47831500-B682-4101-AAE0-09886EA61738}"/>
    <cellStyle name="Normal 6 2 2 2 4 5 2" xfId="34236" xr:uid="{84E5F9AB-5C50-44B2-A52B-4F736F805219}"/>
    <cellStyle name="Normal 6 2 2 2 4 6" xfId="10017" xr:uid="{41E0FD2E-98B4-4398-8742-6AF68A1434EE}"/>
    <cellStyle name="Normal 6 2 2 2 4 6 2" xfId="30360" xr:uid="{18FCA993-ACC9-4E3C-BC87-EB1C8B1F0EFB}"/>
    <cellStyle name="Normal 6 2 2 2 4 7" xfId="26866" xr:uid="{20063A27-F0F0-4D93-9BBB-EDEE4E547A45}"/>
    <cellStyle name="Normal 6 2 2 2 5" xfId="7682" xr:uid="{73947357-8641-4C5F-B9F5-EC3D61A275AE}"/>
    <cellStyle name="Normal 6 2 2 2 5 2" xfId="17967" xr:uid="{42D601F2-F4E4-4274-ACB0-2A0A4D44E179}"/>
    <cellStyle name="Normal 6 2 2 2 5 2 2" xfId="38307" xr:uid="{618EFE48-A6F3-4002-B1F9-EEC8ED776620}"/>
    <cellStyle name="Normal 6 2 2 2 5 3" xfId="21469" xr:uid="{3E1B57DD-8DF9-479E-8F8C-86EDDFA5C16C}"/>
    <cellStyle name="Normal 6 2 2 2 5 3 2" xfId="41808" xr:uid="{99BA8988-C112-48CE-858D-7394B1107D77}"/>
    <cellStyle name="Normal 6 2 2 2 5 4" xfId="24724" xr:uid="{25308774-5181-4D9F-9182-24BF6689A0D9}"/>
    <cellStyle name="Normal 6 2 2 2 5 4 2" xfId="45059" xr:uid="{CF12F423-2C07-4773-97BA-6807E99D2C25}"/>
    <cellStyle name="Normal 6 2 2 2 5 5" xfId="15059" xr:uid="{99FD1405-09A9-40EF-9F67-E10E2CC48D0B}"/>
    <cellStyle name="Normal 6 2 2 2 5 5 2" xfId="35399" xr:uid="{509D9C97-542D-473A-9C90-61FF22ED1797}"/>
    <cellStyle name="Normal 6 2 2 2 5 6" xfId="11180" xr:uid="{E4BF4638-E807-4144-9C6A-16AB4C361CCA}"/>
    <cellStyle name="Normal 6 2 2 2 5 6 2" xfId="31523" xr:uid="{56F96155-B7E7-4438-9DD2-D8AC33D0D43A}"/>
    <cellStyle name="Normal 6 2 2 2 5 7" xfId="28029" xr:uid="{E1003001-8AF0-4559-B274-BB248D2C6812}"/>
    <cellStyle name="Normal 6 2 2 2 6" xfId="8125" xr:uid="{0479CCDA-6C69-4366-A389-995DCE5DF330}"/>
    <cellStyle name="Normal 6 2 2 2 6 2" xfId="21912" xr:uid="{B7EF2F1B-E2F0-4D8A-9F04-8C5D5231EEE5}"/>
    <cellStyle name="Normal 6 2 2 2 6 2 2" xfId="42248" xr:uid="{14DB1ACA-8C44-483A-BE67-90C984631E22}"/>
    <cellStyle name="Normal 6 2 2 2 6 3" xfId="25164" xr:uid="{DDC3D6A7-A8FC-4D36-8B30-A8C959628423}"/>
    <cellStyle name="Normal 6 2 2 2 6 3 2" xfId="45499" xr:uid="{674B3C84-49B1-4024-AE56-4830850185E3}"/>
    <cellStyle name="Normal 6 2 2 2 6 4" xfId="12749" xr:uid="{5DDB6DA1-7DEA-41E6-8836-58746BAEEB68}"/>
    <cellStyle name="Normal 6 2 2 2 6 4 2" xfId="33090" xr:uid="{0C798CB6-850C-40A3-AF3D-4FCCEDF9FEDA}"/>
    <cellStyle name="Normal 6 2 2 2 6 5" xfId="11621" xr:uid="{3E213268-2BC3-4FB6-8DCE-72E6F1E9E2D3}"/>
    <cellStyle name="Normal 6 2 2 2 6 5 2" xfId="31963" xr:uid="{2FD548C5-9E83-456E-9FBD-723C24533BE6}"/>
    <cellStyle name="Normal 6 2 2 2 6 6" xfId="28469" xr:uid="{4BEDBAF0-1D4D-4E38-A2CE-9630CDCEBF64}"/>
    <cellStyle name="Normal 6 2 2 2 7" xfId="8542" xr:uid="{9AAE4B59-1CCD-41BB-92C9-E717D7330BF5}"/>
    <cellStyle name="Normal 6 2 2 2 7 2" xfId="15646" xr:uid="{D82CF225-185D-4296-A83A-2FD208B891F3}"/>
    <cellStyle name="Normal 6 2 2 2 7 2 2" xfId="35986" xr:uid="{2BBACA2A-50E0-4161-B3A3-083B81AF46EA}"/>
    <cellStyle name="Normal 6 2 2 2 7 3" xfId="28885" xr:uid="{6C9A6896-1819-41C9-B4CC-5EB6C029C872}"/>
    <cellStyle name="Normal 6 2 2 2 8" xfId="18560" xr:uid="{CDF4340B-463C-4037-BE1B-691F3B39AAF9}"/>
    <cellStyle name="Normal 6 2 2 2 8 2" xfId="38900" xr:uid="{438674C8-AA9B-426C-BC27-08BC1722F214}"/>
    <cellStyle name="Normal 6 2 2 2 9" xfId="19148" xr:uid="{5349CB61-2842-4D29-AD7A-DBA7AC0046D4}"/>
    <cellStyle name="Normal 6 2 2 2 9 2" xfId="39487" xr:uid="{02CDCDF7-C9A8-4CAF-9913-4C47B229A266}"/>
    <cellStyle name="Normal 6 2 2 20" xfId="46835" xr:uid="{130F04CB-D8EC-4A5B-B128-C39B5AB9BED7}"/>
    <cellStyle name="Normal 6 2 2 3" xfId="5061" xr:uid="{93E671C1-58DA-4301-936D-1A0BA9FF64E1}"/>
    <cellStyle name="Normal 6 2 2 3 10" xfId="12216" xr:uid="{07EED2EA-A50A-4155-AB55-B772A9744E8A}"/>
    <cellStyle name="Normal 6 2 2 3 10 2" xfId="32557" xr:uid="{1198757F-421A-48A1-88AC-42B87CDA5088}"/>
    <cellStyle name="Normal 6 2 2 3 11" xfId="8955" xr:uid="{5687377C-4470-45E7-B7F1-87692ADE6377}"/>
    <cellStyle name="Normal 6 2 2 3 11 2" xfId="29298" xr:uid="{49A8B6A7-EC8E-436D-B3A3-16DA74D1A27D}"/>
    <cellStyle name="Normal 6 2 2 3 12" xfId="25804" xr:uid="{D78BFBD6-ABC1-4F10-9D39-16EBC0FD7160}"/>
    <cellStyle name="Normal 6 2 2 3 13" xfId="45943" xr:uid="{D90A6AC7-8D73-49B8-BA31-3BAA8711F399}"/>
    <cellStyle name="Normal 6 2 2 3 14" xfId="46429" xr:uid="{EEF7023E-F660-45D5-BAC7-914887CFD0DD}"/>
    <cellStyle name="Normal 6 2 2 3 15" xfId="46921" xr:uid="{EB6BD9AB-76D8-4537-9F85-62CE171D8FE9}"/>
    <cellStyle name="Normal 6 2 2 3 2" xfId="6037" xr:uid="{5755F1CA-F359-432C-A19B-0FCD0981DCDD}"/>
    <cellStyle name="Normal 6 2 2 3 2 10" xfId="46672" xr:uid="{6A48F1C2-2E38-46E2-B836-2175526175F5}"/>
    <cellStyle name="Normal 6 2 2 3 2 11" xfId="47164" xr:uid="{A849357E-4BDB-476F-A87A-11E788F46DBD}"/>
    <cellStyle name="Normal 6 2 2 3 2 2" xfId="7195" xr:uid="{CED0CEFB-C31F-4947-AEDE-41229BB24974}"/>
    <cellStyle name="Normal 6 2 2 3 2 2 2" xfId="17481" xr:uid="{B68C9276-5A4D-41C4-9263-DE2596ECFD50}"/>
    <cellStyle name="Normal 6 2 2 3 2 2 2 2" xfId="37821" xr:uid="{48DA1E21-E424-4DF6-A135-D0D7BB7A1E56}"/>
    <cellStyle name="Normal 6 2 2 3 2 2 3" xfId="20983" xr:uid="{5C42626E-40EF-489D-9A77-D7FF3FBD1BCE}"/>
    <cellStyle name="Normal 6 2 2 3 2 2 3 2" xfId="41322" xr:uid="{A04AA528-ADB4-4ED5-A540-2161F96A0DBB}"/>
    <cellStyle name="Normal 6 2 2 3 2 2 4" xfId="24238" xr:uid="{4FA5EE03-CE08-4335-A816-4BA4DF6559DF}"/>
    <cellStyle name="Normal 6 2 2 3 2 2 4 2" xfId="44573" xr:uid="{8E8B6D87-40D7-4DA0-ADEE-EF25DACE3C72}"/>
    <cellStyle name="Normal 6 2 2 3 2 2 5" xfId="14572" xr:uid="{5A28A5FC-D716-46E6-B211-31B046CCD118}"/>
    <cellStyle name="Normal 6 2 2 3 2 2 5 2" xfId="34913" xr:uid="{9C6B243D-DAD7-4C16-B038-51EFB6D3BFAF}"/>
    <cellStyle name="Normal 6 2 2 3 2 2 6" xfId="10694" xr:uid="{22577F85-93A2-4160-B5A7-221FD72AFABF}"/>
    <cellStyle name="Normal 6 2 2 3 2 2 6 2" xfId="31037" xr:uid="{EAC11257-55DB-43FD-A70D-3D8169453762}"/>
    <cellStyle name="Normal 6 2 2 3 2 2 7" xfId="27543" xr:uid="{F2627D01-CA3E-4BE4-A18A-1E9CE66AF612}"/>
    <cellStyle name="Normal 6 2 2 3 2 3" xfId="16323" xr:uid="{C38DAB49-E1DF-4C5E-B7A5-2EF5AE4B4FDF}"/>
    <cellStyle name="Normal 6 2 2 3 2 3 2" xfId="36663" xr:uid="{BE7304D6-D982-4B79-96E1-CD2296C59260}"/>
    <cellStyle name="Normal 6 2 2 3 2 4" xfId="19825" xr:uid="{5B63177F-9D3F-4B4E-817A-B669E6453273}"/>
    <cellStyle name="Normal 6 2 2 3 2 4 2" xfId="40164" xr:uid="{51304098-4F95-4123-A9C6-FB99C02907B9}"/>
    <cellStyle name="Normal 6 2 2 3 2 5" xfId="23080" xr:uid="{CD24D8FC-6DB5-4FA2-94B9-AB78331C215B}"/>
    <cellStyle name="Normal 6 2 2 3 2 5 2" xfId="43415" xr:uid="{7018E257-24C9-4608-A43D-768AEF75A52A}"/>
    <cellStyle name="Normal 6 2 2 3 2 6" xfId="13414" xr:uid="{F29CE702-D1C6-468C-824C-A1E3EFC3C030}"/>
    <cellStyle name="Normal 6 2 2 3 2 6 2" xfId="33755" xr:uid="{C0280D08-F00E-4D39-A0F7-DDC39BEF874A}"/>
    <cellStyle name="Normal 6 2 2 3 2 7" xfId="9536" xr:uid="{A1F129A7-01F9-48B1-AEDF-C2C25D4EF995}"/>
    <cellStyle name="Normal 6 2 2 3 2 7 2" xfId="29879" xr:uid="{C5B5BC99-83E0-4803-BE38-9705623AA60C}"/>
    <cellStyle name="Normal 6 2 2 3 2 8" xfId="26385" xr:uid="{26181CEA-4748-4D83-88C5-3A0B9EEE91DE}"/>
    <cellStyle name="Normal 6 2 2 3 2 9" xfId="46186" xr:uid="{74FBA711-89E0-4DDA-9CED-0DBA6CA00F73}"/>
    <cellStyle name="Normal 6 2 2 3 3" xfId="6614" xr:uid="{6AEBF4E4-9862-4AA0-89B9-48444CCC0E7E}"/>
    <cellStyle name="Normal 6 2 2 3 3 2" xfId="16900" xr:uid="{7E7A621A-5ABE-49A3-A15C-11A9EC43AB4A}"/>
    <cellStyle name="Normal 6 2 2 3 3 2 2" xfId="37240" xr:uid="{C8E9DE1A-DD8C-43FF-962A-3015B3DAC4D6}"/>
    <cellStyle name="Normal 6 2 2 3 3 3" xfId="20402" xr:uid="{9497A4EF-BA8B-4C0B-BA54-440C19506971}"/>
    <cellStyle name="Normal 6 2 2 3 3 3 2" xfId="40741" xr:uid="{448EA9AD-3209-42B1-B117-5E1DC727C055}"/>
    <cellStyle name="Normal 6 2 2 3 3 4" xfId="23657" xr:uid="{5BC07483-9AF1-491E-9DBC-C2CAB734E2E1}"/>
    <cellStyle name="Normal 6 2 2 3 3 4 2" xfId="43992" xr:uid="{6313E42E-551C-4A75-A151-0A40BB3F51AD}"/>
    <cellStyle name="Normal 6 2 2 3 3 5" xfId="13991" xr:uid="{33364B27-4178-4386-A892-0DB23337DDFA}"/>
    <cellStyle name="Normal 6 2 2 3 3 5 2" xfId="34332" xr:uid="{29105131-B3DB-4852-B694-DC8BEF382248}"/>
    <cellStyle name="Normal 6 2 2 3 3 6" xfId="10113" xr:uid="{D0A42AED-A07B-41B9-AE81-2E78800B67A2}"/>
    <cellStyle name="Normal 6 2 2 3 3 6 2" xfId="30456" xr:uid="{11032B76-C5AA-4E07-A5A0-BC48148A2DD4}"/>
    <cellStyle name="Normal 6 2 2 3 3 7" xfId="26962" xr:uid="{01447F41-DA2A-45BD-9797-F158A5F5475D}"/>
    <cellStyle name="Normal 6 2 2 3 4" xfId="7778" xr:uid="{9BE40367-FB02-4F7D-81AB-4B2C78D18FFC}"/>
    <cellStyle name="Normal 6 2 2 3 4 2" xfId="18063" xr:uid="{26CDDE2C-C710-455B-801F-F68343E99CBD}"/>
    <cellStyle name="Normal 6 2 2 3 4 2 2" xfId="38403" xr:uid="{0B7DCABB-6675-41A3-8F27-3BF9932A84A7}"/>
    <cellStyle name="Normal 6 2 2 3 4 3" xfId="21565" xr:uid="{516B8A8E-6FC0-48E5-A086-2F3358FCAFF8}"/>
    <cellStyle name="Normal 6 2 2 3 4 3 2" xfId="41904" xr:uid="{23A02F38-77E2-4899-A95B-5A11F8535177}"/>
    <cellStyle name="Normal 6 2 2 3 4 4" xfId="24820" xr:uid="{C9A9078D-6379-477C-8082-E9C5F547AC75}"/>
    <cellStyle name="Normal 6 2 2 3 4 4 2" xfId="45155" xr:uid="{0BE33EED-03EA-434C-A786-61CD49D031DC}"/>
    <cellStyle name="Normal 6 2 2 3 4 5" xfId="15155" xr:uid="{523BAFAD-3733-47DA-9B33-7A50AE38232C}"/>
    <cellStyle name="Normal 6 2 2 3 4 5 2" xfId="35495" xr:uid="{0655BCCE-EE7F-4609-96F4-D7FD64CD5B7B}"/>
    <cellStyle name="Normal 6 2 2 3 4 6" xfId="11276" xr:uid="{3F264C9B-CFFB-4DC5-83FF-4EA0B61871F5}"/>
    <cellStyle name="Normal 6 2 2 3 4 6 2" xfId="31619" xr:uid="{FE67A053-E742-4F2A-A9A5-A4EBD8B2CBEA}"/>
    <cellStyle name="Normal 6 2 2 3 4 7" xfId="28125" xr:uid="{1B96A66E-F9B2-4C05-AC00-A303EF0C908F}"/>
    <cellStyle name="Normal 6 2 2 3 5" xfId="8127" xr:uid="{7F4668C8-8782-4089-B7E0-2BAEF0163B9C}"/>
    <cellStyle name="Normal 6 2 2 3 5 2" xfId="21914" xr:uid="{D0EB5C87-5D80-4635-AA6A-99C562D9D1A9}"/>
    <cellStyle name="Normal 6 2 2 3 5 2 2" xfId="42250" xr:uid="{85DAA9C4-1391-43A5-8CA8-0EC89E25002A}"/>
    <cellStyle name="Normal 6 2 2 3 5 3" xfId="25166" xr:uid="{D9CA8659-6EE6-4055-871D-E7F935DD82E7}"/>
    <cellStyle name="Normal 6 2 2 3 5 3 2" xfId="45501" xr:uid="{A54D9900-5E6C-4A89-A24E-743E41003BD8}"/>
    <cellStyle name="Normal 6 2 2 3 5 4" xfId="12845" xr:uid="{4915E7AB-FBFB-4B8C-B0EE-2962BDABBC69}"/>
    <cellStyle name="Normal 6 2 2 3 5 4 2" xfId="33186" xr:uid="{F7FE96AC-79D9-46DD-A3C7-A4BCD46664FE}"/>
    <cellStyle name="Normal 6 2 2 3 5 5" xfId="11623" xr:uid="{B2E6CF0C-C58F-4324-B965-13B2B3A63D7B}"/>
    <cellStyle name="Normal 6 2 2 3 5 5 2" xfId="31965" xr:uid="{1516FD4B-BD72-4047-872E-A0DA399BF80B}"/>
    <cellStyle name="Normal 6 2 2 3 5 6" xfId="28471" xr:uid="{514762C3-ED6E-49F9-B47B-D7B3BDB05A9C}"/>
    <cellStyle name="Normal 6 2 2 3 6" xfId="8568" xr:uid="{9A90476A-5C1D-4085-8E4B-D58ACA325869}"/>
    <cellStyle name="Normal 6 2 2 3 6 2" xfId="15742" xr:uid="{2057081F-6A1D-4303-B96F-542E5702A866}"/>
    <cellStyle name="Normal 6 2 2 3 6 2 2" xfId="36082" xr:uid="{84A4F2BB-42C4-4377-B8BD-61C7CDCBA23E}"/>
    <cellStyle name="Normal 6 2 2 3 6 3" xfId="28911" xr:uid="{0974F4CB-3E36-48B0-AD69-2978ABDE08CC}"/>
    <cellStyle name="Normal 6 2 2 3 7" xfId="18656" xr:uid="{2BF3A401-58D8-4CE4-8B29-0963BD6CF55F}"/>
    <cellStyle name="Normal 6 2 2 3 7 2" xfId="38996" xr:uid="{106F0A17-06B5-4A31-919E-F900DAD54659}"/>
    <cellStyle name="Normal 6 2 2 3 8" xfId="19244" xr:uid="{7683C2B1-9452-43E9-9DA1-06A7DED738E7}"/>
    <cellStyle name="Normal 6 2 2 3 8 2" xfId="39583" xr:uid="{734A9686-B74A-4393-8B60-7224FAC6A1D8}"/>
    <cellStyle name="Normal 6 2 2 3 9" xfId="22499" xr:uid="{684E1BCC-BA22-4430-A40A-C2380507C8E8}"/>
    <cellStyle name="Normal 6 2 2 3 9 2" xfId="42834" xr:uid="{128D5AB0-91A6-491A-934D-6EE84ED01E7F}"/>
    <cellStyle name="Normal 6 2 2 4" xfId="5523" xr:uid="{00EB5277-B223-4767-9800-E2224B16259B}"/>
    <cellStyle name="Normal 6 2 2 4 10" xfId="12274" xr:uid="{8D8D185D-676D-4E89-8562-F2FF47B7EFF3}"/>
    <cellStyle name="Normal 6 2 2 4 10 2" xfId="32615" xr:uid="{84AAD164-92CC-41F1-803C-D3E678E1F4D1}"/>
    <cellStyle name="Normal 6 2 2 4 11" xfId="9013" xr:uid="{1C0AD9F9-82C0-484E-BC3F-672F884E2BB4}"/>
    <cellStyle name="Normal 6 2 2 4 11 2" xfId="29356" xr:uid="{D6155EF4-0F61-4D63-A499-7E3F0FDEDBD8}"/>
    <cellStyle name="Normal 6 2 2 4 12" xfId="25862" xr:uid="{604F1619-C32D-402F-8B24-1969C8ABC767}"/>
    <cellStyle name="Normal 6 2 2 4 13" xfId="46100" xr:uid="{BF2C5453-D35F-495D-9DDD-0247CFE222B3}"/>
    <cellStyle name="Normal 6 2 2 4 14" xfId="46586" xr:uid="{E2AB1F0C-1FE0-47FB-BAB9-4453014D29CF}"/>
    <cellStyle name="Normal 6 2 2 4 15" xfId="47078" xr:uid="{7426A6FC-DE31-4B2F-B6FE-646FEFC75F23}"/>
    <cellStyle name="Normal 6 2 2 4 2" xfId="6095" xr:uid="{6E8270FD-7333-438C-A127-1B75E768A28E}"/>
    <cellStyle name="Normal 6 2 2 4 2 2" xfId="7253" xr:uid="{8CD7B15B-210E-416F-BC71-60341DB6E4AF}"/>
    <cellStyle name="Normal 6 2 2 4 2 2 2" xfId="17539" xr:uid="{50EBC6F0-2C5E-4C33-8783-9EFCF0C15312}"/>
    <cellStyle name="Normal 6 2 2 4 2 2 2 2" xfId="37879" xr:uid="{AE841DDF-1744-433F-8226-883F474F92B0}"/>
    <cellStyle name="Normal 6 2 2 4 2 2 3" xfId="21041" xr:uid="{1AD3493F-6C72-4F54-B900-C3EF0B14007F}"/>
    <cellStyle name="Normal 6 2 2 4 2 2 3 2" xfId="41380" xr:uid="{94201111-F61E-49C3-8FED-0BEBF527899B}"/>
    <cellStyle name="Normal 6 2 2 4 2 2 4" xfId="24296" xr:uid="{CB90FDDB-05E7-4595-BACF-F34B981FC6B7}"/>
    <cellStyle name="Normal 6 2 2 4 2 2 4 2" xfId="44631" xr:uid="{EA4EE138-554E-4BC4-891D-062ACD45F001}"/>
    <cellStyle name="Normal 6 2 2 4 2 2 5" xfId="14630" xr:uid="{1A6A4AEA-1579-4677-965B-D7F1023CE124}"/>
    <cellStyle name="Normal 6 2 2 4 2 2 5 2" xfId="34971" xr:uid="{3E2DF1ED-801C-4510-AF2B-7EB8413ABF89}"/>
    <cellStyle name="Normal 6 2 2 4 2 2 6" xfId="10752" xr:uid="{B47D75A8-E25C-4D08-B42E-BCEA1D81D0E1}"/>
    <cellStyle name="Normal 6 2 2 4 2 2 6 2" xfId="31095" xr:uid="{F7EDB658-7B07-40C3-8128-86AEA1AD424E}"/>
    <cellStyle name="Normal 6 2 2 4 2 2 7" xfId="27601" xr:uid="{88D2DF90-2175-4C84-8230-D5F28A767AB6}"/>
    <cellStyle name="Normal 6 2 2 4 2 3" xfId="16381" xr:uid="{A169B5CE-B622-4D07-AFBC-8B9D60E40E50}"/>
    <cellStyle name="Normal 6 2 2 4 2 3 2" xfId="36721" xr:uid="{148E3C70-E748-4F8D-B5B9-920C4ACAF17E}"/>
    <cellStyle name="Normal 6 2 2 4 2 4" xfId="19883" xr:uid="{BBE185B4-1BEC-44FB-9C6A-905E02F026EE}"/>
    <cellStyle name="Normal 6 2 2 4 2 4 2" xfId="40222" xr:uid="{A8063D03-8C73-48E0-8E7F-BD0C1079C6E9}"/>
    <cellStyle name="Normal 6 2 2 4 2 5" xfId="23138" xr:uid="{29222F49-2218-4A4F-B664-D4DDE9F02CF4}"/>
    <cellStyle name="Normal 6 2 2 4 2 5 2" xfId="43473" xr:uid="{15035A90-6E95-4DA9-B156-D1E77DBE2E13}"/>
    <cellStyle name="Normal 6 2 2 4 2 6" xfId="13472" xr:uid="{18D77636-3F38-45AF-BBAF-7F9677589C46}"/>
    <cellStyle name="Normal 6 2 2 4 2 6 2" xfId="33813" xr:uid="{8EFE044E-FB50-4F33-AF16-DF03B6D1493E}"/>
    <cellStyle name="Normal 6 2 2 4 2 7" xfId="9594" xr:uid="{41DF3192-FA91-44AD-9648-238477546303}"/>
    <cellStyle name="Normal 6 2 2 4 2 7 2" xfId="29937" xr:uid="{6BAD53D3-6ABF-4DE2-9D8A-6F01CC7FFE2D}"/>
    <cellStyle name="Normal 6 2 2 4 2 8" xfId="26443" xr:uid="{369D14EA-C178-4553-80B4-0CD74CBC5A02}"/>
    <cellStyle name="Normal 6 2 2 4 3" xfId="6672" xr:uid="{6221A1F5-948C-4639-A2A3-2E8E3130C7C1}"/>
    <cellStyle name="Normal 6 2 2 4 3 2" xfId="16958" xr:uid="{FEC8F98E-BA3C-4CF3-A6D4-B0321FFC606A}"/>
    <cellStyle name="Normal 6 2 2 4 3 2 2" xfId="37298" xr:uid="{A8DD95F1-26D6-4E8D-B409-A7EEF9778EC7}"/>
    <cellStyle name="Normal 6 2 2 4 3 3" xfId="20460" xr:uid="{17C4F8CA-E778-44CD-92DF-874140CB57BC}"/>
    <cellStyle name="Normal 6 2 2 4 3 3 2" xfId="40799" xr:uid="{7D250EF7-60E9-4FF7-8243-C93AD97A7F52}"/>
    <cellStyle name="Normal 6 2 2 4 3 4" xfId="23715" xr:uid="{8A46DFC2-2591-4FF7-99C6-0DB5BC2460D4}"/>
    <cellStyle name="Normal 6 2 2 4 3 4 2" xfId="44050" xr:uid="{6F7A18EF-54B1-4F41-9595-7595660D1B9D}"/>
    <cellStyle name="Normal 6 2 2 4 3 5" xfId="14049" xr:uid="{64C87EF8-B2DA-4EDD-B506-287FE4B9E1AA}"/>
    <cellStyle name="Normal 6 2 2 4 3 5 2" xfId="34390" xr:uid="{48F7BD0C-C9E0-4A83-9395-CE082C36BFE0}"/>
    <cellStyle name="Normal 6 2 2 4 3 6" xfId="10171" xr:uid="{67805D0D-E023-4C87-AF41-FD76DB6DC0D7}"/>
    <cellStyle name="Normal 6 2 2 4 3 6 2" xfId="30514" xr:uid="{06FD7772-0541-4633-B036-FFD1C9C0E003}"/>
    <cellStyle name="Normal 6 2 2 4 3 7" xfId="27020" xr:uid="{D0B13A48-2C4C-4A3A-AAEC-7DE678D77C96}"/>
    <cellStyle name="Normal 6 2 2 4 4" xfId="7836" xr:uid="{CBF502B5-2AF5-4A65-BC5B-3723625F882F}"/>
    <cellStyle name="Normal 6 2 2 4 4 2" xfId="18121" xr:uid="{5FACB1E9-E05F-4022-B9B9-166A31ED60AB}"/>
    <cellStyle name="Normal 6 2 2 4 4 2 2" xfId="38461" xr:uid="{ADA1831B-EC0E-40F6-BB0C-4B3D66FD0647}"/>
    <cellStyle name="Normal 6 2 2 4 4 3" xfId="21623" xr:uid="{2F128DD4-590B-467F-BC31-77683D269C7B}"/>
    <cellStyle name="Normal 6 2 2 4 4 3 2" xfId="41962" xr:uid="{1F638C84-70D6-40CD-8779-5021A5C7B47E}"/>
    <cellStyle name="Normal 6 2 2 4 4 4" xfId="24878" xr:uid="{2C26560A-C9A7-4BED-87C0-ED8EBD94E650}"/>
    <cellStyle name="Normal 6 2 2 4 4 4 2" xfId="45213" xr:uid="{FDA2269F-0652-4B32-B360-E669DE0B5999}"/>
    <cellStyle name="Normal 6 2 2 4 4 5" xfId="15213" xr:uid="{4B6ABE41-217E-49D4-940A-F95AD8B48133}"/>
    <cellStyle name="Normal 6 2 2 4 4 5 2" xfId="35553" xr:uid="{A81E83BF-D8A0-4B55-A09C-55F9D622FF1A}"/>
    <cellStyle name="Normal 6 2 2 4 4 6" xfId="11334" xr:uid="{7D046FFF-52D0-4CFC-8107-529D41C03B54}"/>
    <cellStyle name="Normal 6 2 2 4 4 6 2" xfId="31677" xr:uid="{22E52C19-133A-40CD-9D32-B0AE1F698690}"/>
    <cellStyle name="Normal 6 2 2 4 4 7" xfId="28183" xr:uid="{49CF0C7A-BF5B-4BDB-8C82-A7374BBAFE79}"/>
    <cellStyle name="Normal 6 2 2 4 5" xfId="12903" xr:uid="{6D28D084-85E3-41D0-BEF6-B65A7D8F9305}"/>
    <cellStyle name="Normal 6 2 2 4 5 2" xfId="33244" xr:uid="{5A6EBFDA-4223-4F3F-B18F-3DA5A2891393}"/>
    <cellStyle name="Normal 6 2 2 4 6" xfId="15800" xr:uid="{F4D4F53B-19F5-47F7-A5DA-ED8A4B7E91D7}"/>
    <cellStyle name="Normal 6 2 2 4 6 2" xfId="36140" xr:uid="{3295E00B-5484-4A21-9F88-67539E3A0810}"/>
    <cellStyle name="Normal 6 2 2 4 7" xfId="18714" xr:uid="{2DF8792E-2B19-4918-8A97-E0D6463E2F58}"/>
    <cellStyle name="Normal 6 2 2 4 7 2" xfId="39054" xr:uid="{1A0D7EA9-C37A-456A-9FFF-E85006B0A8E4}"/>
    <cellStyle name="Normal 6 2 2 4 8" xfId="19302" xr:uid="{04217E05-29CB-403D-8765-3611569CF806}"/>
    <cellStyle name="Normal 6 2 2 4 8 2" xfId="39641" xr:uid="{0BB2D973-ADEF-4FF3-B13C-23822A60193F}"/>
    <cellStyle name="Normal 6 2 2 4 9" xfId="22557" xr:uid="{981E73B1-7A56-4E75-AF97-A99A2392571E}"/>
    <cellStyle name="Normal 6 2 2 4 9 2" xfId="42892" xr:uid="{E291D5A9-98BF-4CB8-9949-B380EBA894DB}"/>
    <cellStyle name="Normal 6 2 2 5" xfId="5598" xr:uid="{5E5DFDBC-C662-4A23-BF02-2612CD808E6E}"/>
    <cellStyle name="Normal 6 2 2 5 10" xfId="12349" xr:uid="{65D64114-91E4-4EA9-99B3-F356A0B40FCA}"/>
    <cellStyle name="Normal 6 2 2 5 10 2" xfId="32690" xr:uid="{0C96FBB6-EF17-4AFD-AE06-D29066ABF847}"/>
    <cellStyle name="Normal 6 2 2 5 11" xfId="9088" xr:uid="{AA03CA23-C134-428B-AA8A-D2FAEB00810A}"/>
    <cellStyle name="Normal 6 2 2 5 11 2" xfId="29431" xr:uid="{7ECAE939-9A87-4AEB-8139-BF07D11DAB4B}"/>
    <cellStyle name="Normal 6 2 2 5 12" xfId="25937" xr:uid="{2952A652-8871-4CA9-A5BF-1F56A3F0D549}"/>
    <cellStyle name="Normal 6 2 2 5 2" xfId="6170" xr:uid="{758CFF6A-67B4-409D-971E-94A7F9E57BE5}"/>
    <cellStyle name="Normal 6 2 2 5 2 2" xfId="7328" xr:uid="{C7727915-B727-4C46-B3D1-C860BFF2246B}"/>
    <cellStyle name="Normal 6 2 2 5 2 2 2" xfId="17614" xr:uid="{142537A0-B668-426F-8FFC-E825BE6E1FCC}"/>
    <cellStyle name="Normal 6 2 2 5 2 2 2 2" xfId="37954" xr:uid="{B5727D52-71E0-47CC-8C03-73C6F5346E30}"/>
    <cellStyle name="Normal 6 2 2 5 2 2 3" xfId="21116" xr:uid="{23256532-2C7A-43DF-B2EF-3EEDA2596EAD}"/>
    <cellStyle name="Normal 6 2 2 5 2 2 3 2" xfId="41455" xr:uid="{56A4317F-DBFD-4B77-B571-93D6ACF7F421}"/>
    <cellStyle name="Normal 6 2 2 5 2 2 4" xfId="24371" xr:uid="{EC3EB36B-D341-40D0-B926-2F42104884D0}"/>
    <cellStyle name="Normal 6 2 2 5 2 2 4 2" xfId="44706" xr:uid="{D7EF6460-F8A6-40B9-A51A-4580813DE2EE}"/>
    <cellStyle name="Normal 6 2 2 5 2 2 5" xfId="14705" xr:uid="{BDDCDF82-8DAF-4E4B-B7BF-0829111003E9}"/>
    <cellStyle name="Normal 6 2 2 5 2 2 5 2" xfId="35046" xr:uid="{C71A82D4-E763-437D-8DFC-B292BB5F3E91}"/>
    <cellStyle name="Normal 6 2 2 5 2 2 6" xfId="10827" xr:uid="{6C28933F-1DF6-4E3B-A93A-D8BDFB4603F8}"/>
    <cellStyle name="Normal 6 2 2 5 2 2 6 2" xfId="31170" xr:uid="{138450C0-B270-4A4A-AF86-C469DDBEF477}"/>
    <cellStyle name="Normal 6 2 2 5 2 2 7" xfId="27676" xr:uid="{31B13606-4201-458B-8DEA-15CD81A2B45F}"/>
    <cellStyle name="Normal 6 2 2 5 2 3" xfId="16456" xr:uid="{1FE044AC-C8AD-4462-B132-288C655971AA}"/>
    <cellStyle name="Normal 6 2 2 5 2 3 2" xfId="36796" xr:uid="{5847AB44-B7D4-4453-9325-D65EBF9DD6DF}"/>
    <cellStyle name="Normal 6 2 2 5 2 4" xfId="19958" xr:uid="{11E3BC55-163A-4F1F-BECB-155D806B249E}"/>
    <cellStyle name="Normal 6 2 2 5 2 4 2" xfId="40297" xr:uid="{2F6313D2-82E7-4AF6-BA99-DF10AC91AD49}"/>
    <cellStyle name="Normal 6 2 2 5 2 5" xfId="23213" xr:uid="{B343085F-C1FC-4ACB-9447-BD4DC5BC3247}"/>
    <cellStyle name="Normal 6 2 2 5 2 5 2" xfId="43548" xr:uid="{0DFD79EE-26C9-4D16-96C2-AAF84845FCD6}"/>
    <cellStyle name="Normal 6 2 2 5 2 6" xfId="13547" xr:uid="{959C2977-C8E2-4AAD-9CBA-31CA91D770D9}"/>
    <cellStyle name="Normal 6 2 2 5 2 6 2" xfId="33888" xr:uid="{1FCC0D05-2DED-4195-8D29-E152105FA37B}"/>
    <cellStyle name="Normal 6 2 2 5 2 7" xfId="9669" xr:uid="{53FEF498-FD4C-44A2-958F-7C4A5161E510}"/>
    <cellStyle name="Normal 6 2 2 5 2 7 2" xfId="30012" xr:uid="{83494C0B-D327-4C4D-8FE0-C1497FB75468}"/>
    <cellStyle name="Normal 6 2 2 5 2 8" xfId="26518" xr:uid="{362C9D86-4531-4169-BFF2-038643583142}"/>
    <cellStyle name="Normal 6 2 2 5 3" xfId="6747" xr:uid="{668F7757-2BD3-49F5-93A2-82C9ABE8497F}"/>
    <cellStyle name="Normal 6 2 2 5 3 2" xfId="17033" xr:uid="{E544D231-B8D0-42A9-8D03-DC4B2335F449}"/>
    <cellStyle name="Normal 6 2 2 5 3 2 2" xfId="37373" xr:uid="{08931D23-B73C-4A07-AC0E-A1941F11E471}"/>
    <cellStyle name="Normal 6 2 2 5 3 3" xfId="20535" xr:uid="{91CFE2C8-8193-4263-9839-6E6369496711}"/>
    <cellStyle name="Normal 6 2 2 5 3 3 2" xfId="40874" xr:uid="{C16FA3FC-8992-46FE-AB57-DF50872967D3}"/>
    <cellStyle name="Normal 6 2 2 5 3 4" xfId="23790" xr:uid="{7509E9AE-9EA4-4E35-9341-C1FD5F03EDB0}"/>
    <cellStyle name="Normal 6 2 2 5 3 4 2" xfId="44125" xr:uid="{33869D12-4383-4E20-A4BE-A1C89354E6DF}"/>
    <cellStyle name="Normal 6 2 2 5 3 5" xfId="14124" xr:uid="{0B9CB67D-6DAC-4487-8B89-5CF31B5C7BE8}"/>
    <cellStyle name="Normal 6 2 2 5 3 5 2" xfId="34465" xr:uid="{FC5AFB7E-89ED-49C2-80C6-4355DA6B2CA8}"/>
    <cellStyle name="Normal 6 2 2 5 3 6" xfId="10246" xr:uid="{A192BB03-2664-4498-8486-043E82F9B233}"/>
    <cellStyle name="Normal 6 2 2 5 3 6 2" xfId="30589" xr:uid="{4606D0FA-7CAF-49B9-934C-4C2A1A1235E5}"/>
    <cellStyle name="Normal 6 2 2 5 3 7" xfId="27095" xr:uid="{37692137-F7A0-4CE5-A771-00CE08F0B902}"/>
    <cellStyle name="Normal 6 2 2 5 4" xfId="7911" xr:uid="{6F9ED934-7FD6-43A7-A342-67268979BE5B}"/>
    <cellStyle name="Normal 6 2 2 5 4 2" xfId="18196" xr:uid="{7591F902-EC4E-404A-BF56-A5C15E6E53B0}"/>
    <cellStyle name="Normal 6 2 2 5 4 2 2" xfId="38536" xr:uid="{D60B9AB5-741D-4799-88F0-21AA41332CF7}"/>
    <cellStyle name="Normal 6 2 2 5 4 3" xfId="21698" xr:uid="{F5B33C1F-63EA-440F-925F-9093E03A5899}"/>
    <cellStyle name="Normal 6 2 2 5 4 3 2" xfId="42037" xr:uid="{70CA70B1-CF23-4529-9470-30F230D9003B}"/>
    <cellStyle name="Normal 6 2 2 5 4 4" xfId="24953" xr:uid="{8C7CCE64-423B-433B-880D-15AF09E44FE3}"/>
    <cellStyle name="Normal 6 2 2 5 4 4 2" xfId="45288" xr:uid="{EB5E54E7-74DE-4B71-A620-7E4C0BDE754C}"/>
    <cellStyle name="Normal 6 2 2 5 4 5" xfId="15288" xr:uid="{CCE9D751-D926-4CFC-A8EB-419AF6415602}"/>
    <cellStyle name="Normal 6 2 2 5 4 5 2" xfId="35628" xr:uid="{88D54677-66BC-449F-A256-00155A165EB6}"/>
    <cellStyle name="Normal 6 2 2 5 4 6" xfId="11409" xr:uid="{7370F772-A392-4A78-8A18-03001D56040D}"/>
    <cellStyle name="Normal 6 2 2 5 4 6 2" xfId="31752" xr:uid="{2A5CB426-E9F1-44CA-BCF5-CFCBCC4936F1}"/>
    <cellStyle name="Normal 6 2 2 5 4 7" xfId="28258" xr:uid="{B670EAF5-B70F-457C-8363-D755CB95481A}"/>
    <cellStyle name="Normal 6 2 2 5 5" xfId="12978" xr:uid="{86E96F0A-77B4-42A2-B9FA-4E6FCB806EF1}"/>
    <cellStyle name="Normal 6 2 2 5 5 2" xfId="33319" xr:uid="{EB7CA75A-9F2B-4D5C-BFAA-3B13EA62CC7B}"/>
    <cellStyle name="Normal 6 2 2 5 6" xfId="15875" xr:uid="{951958E5-1432-4CA9-A914-C705012A1626}"/>
    <cellStyle name="Normal 6 2 2 5 6 2" xfId="36215" xr:uid="{9DB4EAF0-90D3-4112-B5FE-79B88AD06E26}"/>
    <cellStyle name="Normal 6 2 2 5 7" xfId="18789" xr:uid="{98B01BFD-2C14-437A-B737-71AFFC506E37}"/>
    <cellStyle name="Normal 6 2 2 5 7 2" xfId="39129" xr:uid="{D3FE3036-0A62-44A2-8E0C-C744D2B99CA1}"/>
    <cellStyle name="Normal 6 2 2 5 8" xfId="19377" xr:uid="{5C86E69D-E89D-4382-89B6-62348CF3C257}"/>
    <cellStyle name="Normal 6 2 2 5 8 2" xfId="39716" xr:uid="{51FED671-7982-44F0-A7AE-64029BD26DB8}"/>
    <cellStyle name="Normal 6 2 2 5 9" xfId="22632" xr:uid="{A2F9D4EE-7E3A-4332-9F8C-5C7A6B8E7555}"/>
    <cellStyle name="Normal 6 2 2 5 9 2" xfId="42967" xr:uid="{3CA0DEDE-2AF5-400C-98AD-47802AA3A358}"/>
    <cellStyle name="Normal 6 2 2 6" xfId="5696" xr:uid="{2290A25C-C101-47B1-82FE-D20E0CB2D4D6}"/>
    <cellStyle name="Normal 6 2 2 6 10" xfId="12447" xr:uid="{DB732FD6-997D-440C-AB24-1CF48DD55A2B}"/>
    <cellStyle name="Normal 6 2 2 6 10 2" xfId="32788" xr:uid="{A9FC3FBD-158D-4B77-8F10-7441806CB6C0}"/>
    <cellStyle name="Normal 6 2 2 6 11" xfId="9186" xr:uid="{E5F214CE-691F-4AB5-85D7-F46D29EBAEE3}"/>
    <cellStyle name="Normal 6 2 2 6 11 2" xfId="29529" xr:uid="{A85FB2C7-DF1E-4098-BAAC-8EE18FD7260B}"/>
    <cellStyle name="Normal 6 2 2 6 12" xfId="26035" xr:uid="{BC168404-F95D-4599-872E-878395ADD79B}"/>
    <cellStyle name="Normal 6 2 2 6 2" xfId="6268" xr:uid="{7E296942-BEE4-4C93-854B-69C7DE0B5F8F}"/>
    <cellStyle name="Normal 6 2 2 6 2 2" xfId="7426" xr:uid="{46CF49C5-DD99-466C-B40A-6CD78890F8B3}"/>
    <cellStyle name="Normal 6 2 2 6 2 2 2" xfId="17712" xr:uid="{724E4701-C5C0-4E5B-AB26-D37B00F4487F}"/>
    <cellStyle name="Normal 6 2 2 6 2 2 2 2" xfId="38052" xr:uid="{A60846FC-FF40-423F-9B21-35ABC80EE63A}"/>
    <cellStyle name="Normal 6 2 2 6 2 2 3" xfId="21214" xr:uid="{7E9F6009-AC3F-4E5D-BCD1-29D8E3D3618F}"/>
    <cellStyle name="Normal 6 2 2 6 2 2 3 2" xfId="41553" xr:uid="{1554B0F2-7E95-429B-85BA-CF44D5FAB673}"/>
    <cellStyle name="Normal 6 2 2 6 2 2 4" xfId="24469" xr:uid="{52EFA7DE-322B-443D-A40D-1AB37EACF5CF}"/>
    <cellStyle name="Normal 6 2 2 6 2 2 4 2" xfId="44804" xr:uid="{B1ED44E2-1658-46C6-89CB-C19F27F50F5F}"/>
    <cellStyle name="Normal 6 2 2 6 2 2 5" xfId="14803" xr:uid="{809A298A-3DFC-4A15-9782-7B78FF58885F}"/>
    <cellStyle name="Normal 6 2 2 6 2 2 5 2" xfId="35144" xr:uid="{85502F3D-7015-4709-A214-6ADC3F491A0D}"/>
    <cellStyle name="Normal 6 2 2 6 2 2 6" xfId="10925" xr:uid="{1DED64C9-8528-4B79-8841-2F0E16FF1AF0}"/>
    <cellStyle name="Normal 6 2 2 6 2 2 6 2" xfId="31268" xr:uid="{99BCD581-AE82-40F8-92A3-B3E148FE5065}"/>
    <cellStyle name="Normal 6 2 2 6 2 2 7" xfId="27774" xr:uid="{F6CAA381-E4EA-40DB-A18C-3604B7910B6A}"/>
    <cellStyle name="Normal 6 2 2 6 2 3" xfId="16554" xr:uid="{8665CEC4-6539-4921-83B4-371D57316928}"/>
    <cellStyle name="Normal 6 2 2 6 2 3 2" xfId="36894" xr:uid="{B39DB125-02D0-4A05-B7D6-4ABB084CA48F}"/>
    <cellStyle name="Normal 6 2 2 6 2 4" xfId="20056" xr:uid="{F6D80BB2-FA00-42D9-852C-4DF31B13732B}"/>
    <cellStyle name="Normal 6 2 2 6 2 4 2" xfId="40395" xr:uid="{5B2744C6-4BC3-4571-A2AA-380469C8EB1F}"/>
    <cellStyle name="Normal 6 2 2 6 2 5" xfId="23311" xr:uid="{5808209C-C90D-4104-A79A-6979BE6283C0}"/>
    <cellStyle name="Normal 6 2 2 6 2 5 2" xfId="43646" xr:uid="{5C3A7D5B-5253-45E0-832E-BCD742FE730F}"/>
    <cellStyle name="Normal 6 2 2 6 2 6" xfId="13645" xr:uid="{5A6B986E-BFE4-4BE4-ADAB-2B6BE5D66FDE}"/>
    <cellStyle name="Normal 6 2 2 6 2 6 2" xfId="33986" xr:uid="{F236B525-4B71-4049-AB93-D79C5A34740A}"/>
    <cellStyle name="Normal 6 2 2 6 2 7" xfId="9767" xr:uid="{7F0BC3ED-CE7C-4A15-B81E-D79A4EAB2972}"/>
    <cellStyle name="Normal 6 2 2 6 2 7 2" xfId="30110" xr:uid="{39912530-F4D9-46D1-9913-62C7D14F44D5}"/>
    <cellStyle name="Normal 6 2 2 6 2 8" xfId="26616" xr:uid="{D667F766-1B05-4CD5-8251-02FABA26C127}"/>
    <cellStyle name="Normal 6 2 2 6 3" xfId="6845" xr:uid="{25074CFD-3845-4EA2-B575-A1DEDDDB08C1}"/>
    <cellStyle name="Normal 6 2 2 6 3 2" xfId="17131" xr:uid="{E87EC1EF-1174-44FB-A647-DAC4F2DC8E1D}"/>
    <cellStyle name="Normal 6 2 2 6 3 2 2" xfId="37471" xr:uid="{8BBAC462-714A-40AD-BC31-8BFEBC914D6E}"/>
    <cellStyle name="Normal 6 2 2 6 3 3" xfId="20633" xr:uid="{0B6486B4-7E5B-4BF9-96A7-DD5707A13492}"/>
    <cellStyle name="Normal 6 2 2 6 3 3 2" xfId="40972" xr:uid="{A19F8A50-7800-48CF-B2CB-E779B11BFE9A}"/>
    <cellStyle name="Normal 6 2 2 6 3 4" xfId="23888" xr:uid="{DA9CA315-0BBE-464A-AEA6-421AC9CAA3D8}"/>
    <cellStyle name="Normal 6 2 2 6 3 4 2" xfId="44223" xr:uid="{F59A4B6C-F17D-474A-8956-9B111B999631}"/>
    <cellStyle name="Normal 6 2 2 6 3 5" xfId="14222" xr:uid="{60065153-365C-445E-86C8-6F6E07BBF23A}"/>
    <cellStyle name="Normal 6 2 2 6 3 5 2" xfId="34563" xr:uid="{57119C53-230B-44EE-AB81-5AD766284531}"/>
    <cellStyle name="Normal 6 2 2 6 3 6" xfId="10344" xr:uid="{C779477B-7AD1-4914-BCE7-B6BA022DBADF}"/>
    <cellStyle name="Normal 6 2 2 6 3 6 2" xfId="30687" xr:uid="{99D3D221-D1FE-4042-B602-0DD1BE0D4A99}"/>
    <cellStyle name="Normal 6 2 2 6 3 7" xfId="27193" xr:uid="{A40CBE65-FE9F-4154-8660-B3487F6F8A85}"/>
    <cellStyle name="Normal 6 2 2 6 4" xfId="8009" xr:uid="{5BF7AE43-B4F9-44E0-822C-8F17E6C3D1F1}"/>
    <cellStyle name="Normal 6 2 2 6 4 2" xfId="18294" xr:uid="{706BAECD-0046-4FC1-BDE1-F0F9C97CBD02}"/>
    <cellStyle name="Normal 6 2 2 6 4 2 2" xfId="38634" xr:uid="{F2CE68D6-EA06-4127-B3EF-0E9CF2934D9C}"/>
    <cellStyle name="Normal 6 2 2 6 4 3" xfId="21796" xr:uid="{6C89F657-47D0-471B-87A6-D423521D43EB}"/>
    <cellStyle name="Normal 6 2 2 6 4 3 2" xfId="42135" xr:uid="{529BEFE9-4921-4AA9-BA79-88C9B51E02E9}"/>
    <cellStyle name="Normal 6 2 2 6 4 4" xfId="25051" xr:uid="{BAE487EA-1917-4B03-8BBE-36C4DECB18FE}"/>
    <cellStyle name="Normal 6 2 2 6 4 4 2" xfId="45386" xr:uid="{2D2C3F85-9C11-4883-9571-BBF71F1A875E}"/>
    <cellStyle name="Normal 6 2 2 6 4 5" xfId="15386" xr:uid="{36F7F523-CBF3-4091-A897-3A4BA2C1E0C7}"/>
    <cellStyle name="Normal 6 2 2 6 4 5 2" xfId="35726" xr:uid="{3A515E8F-1728-43AF-A4F4-E295FB0BD793}"/>
    <cellStyle name="Normal 6 2 2 6 4 6" xfId="11507" xr:uid="{A58A3A03-9751-4EAE-90D9-CAA6C4D9258A}"/>
    <cellStyle name="Normal 6 2 2 6 4 6 2" xfId="31850" xr:uid="{59995BE6-BF23-43C6-8175-54F9A1A2B0EC}"/>
    <cellStyle name="Normal 6 2 2 6 4 7" xfId="28356" xr:uid="{157342FD-81BB-4341-8464-DA10D7385A59}"/>
    <cellStyle name="Normal 6 2 2 6 5" xfId="13076" xr:uid="{AE3E1011-EBE9-4122-9E5E-E714CEF2EC5C}"/>
    <cellStyle name="Normal 6 2 2 6 5 2" xfId="33417" xr:uid="{85EB76C0-07B0-42BD-B30B-B16C72CF4B4A}"/>
    <cellStyle name="Normal 6 2 2 6 6" xfId="15973" xr:uid="{53E64C52-6679-4FCD-BCE5-8F78F7F1BD53}"/>
    <cellStyle name="Normal 6 2 2 6 6 2" xfId="36313" xr:uid="{FBDC68D4-B8D2-41EC-9A0A-665B0DC654BA}"/>
    <cellStyle name="Normal 6 2 2 6 7" xfId="18887" xr:uid="{F8D602E9-7DEB-4BD2-8001-A1514CDBB153}"/>
    <cellStyle name="Normal 6 2 2 6 7 2" xfId="39227" xr:uid="{25DA5533-EA42-4BDF-B12A-4E9111BCC303}"/>
    <cellStyle name="Normal 6 2 2 6 8" xfId="19475" xr:uid="{C395F0BA-4278-46D9-9C11-C64851631EBC}"/>
    <cellStyle name="Normal 6 2 2 6 8 2" xfId="39814" xr:uid="{804C9473-FBDC-41C3-B4D0-83CF8810C4E0}"/>
    <cellStyle name="Normal 6 2 2 6 9" xfId="22730" xr:uid="{A02AB8B7-95B9-4358-AC21-8DCEAE816DBC}"/>
    <cellStyle name="Normal 6 2 2 6 9 2" xfId="43065" xr:uid="{D30E7BCE-ACC8-4269-8808-62E97DE36A7D}"/>
    <cellStyle name="Normal 6 2 2 7" xfId="5826" xr:uid="{31A50917-0DFF-4FD0-ABE1-7E741C47D70C}"/>
    <cellStyle name="Normal 6 2 2 7 2" xfId="6984" xr:uid="{96794DAB-D897-40E8-A437-6D82882E5414}"/>
    <cellStyle name="Normal 6 2 2 7 2 2" xfId="17270" xr:uid="{ADE6F043-365D-4BFC-923F-CF16BBE81B33}"/>
    <cellStyle name="Normal 6 2 2 7 2 2 2" xfId="37610" xr:uid="{3E3D4BA3-BCE1-454A-B129-0B4E77BF0AF8}"/>
    <cellStyle name="Normal 6 2 2 7 2 3" xfId="20772" xr:uid="{36B64130-379D-41BD-AA05-AEAF5F446B0C}"/>
    <cellStyle name="Normal 6 2 2 7 2 3 2" xfId="41111" xr:uid="{AC2AC164-4608-4A68-9C97-5DF019A08654}"/>
    <cellStyle name="Normal 6 2 2 7 2 4" xfId="24027" xr:uid="{0EE551F1-10FF-4081-B4AE-C4FFB5A22FCF}"/>
    <cellStyle name="Normal 6 2 2 7 2 4 2" xfId="44362" xr:uid="{313AD8E8-41CF-44B8-A7B1-D7995718E862}"/>
    <cellStyle name="Normal 6 2 2 7 2 5" xfId="14361" xr:uid="{3282962A-3E07-4E69-A8BE-07F7755FE4F9}"/>
    <cellStyle name="Normal 6 2 2 7 2 5 2" xfId="34702" xr:uid="{712B0143-AB2E-442B-AB32-B85EF3518A77}"/>
    <cellStyle name="Normal 6 2 2 7 2 6" xfId="10483" xr:uid="{B7B31C24-8859-4266-8ACE-CB0358B0F1C3}"/>
    <cellStyle name="Normal 6 2 2 7 2 6 2" xfId="30826" xr:uid="{01EDCC6E-A857-49BE-BF0B-872E653989F2}"/>
    <cellStyle name="Normal 6 2 2 7 2 7" xfId="27332" xr:uid="{56AA4388-C4A4-43CA-BE54-0757B52CF28F}"/>
    <cellStyle name="Normal 6 2 2 7 3" xfId="16112" xr:uid="{025ED55C-D34E-4EA4-A529-600899660EA2}"/>
    <cellStyle name="Normal 6 2 2 7 3 2" xfId="36452" xr:uid="{616EEB2E-D1F1-4E90-BDED-74284D3BC896}"/>
    <cellStyle name="Normal 6 2 2 7 4" xfId="19614" xr:uid="{F03A5A94-77C7-42AD-A910-3C8ABAA8E0F4}"/>
    <cellStyle name="Normal 6 2 2 7 4 2" xfId="39953" xr:uid="{6891AFFF-C149-4A66-BDB6-EE1EE3688AEC}"/>
    <cellStyle name="Normal 6 2 2 7 5" xfId="22869" xr:uid="{2A95DE0E-931F-41B8-9E6D-4436C948BA68}"/>
    <cellStyle name="Normal 6 2 2 7 5 2" xfId="43204" xr:uid="{3EBC1C4E-0572-4540-A927-FC8E95110115}"/>
    <cellStyle name="Normal 6 2 2 7 6" xfId="13206" xr:uid="{FFC7C4CC-1D55-4DBE-92A5-BAB1C156EEE9}"/>
    <cellStyle name="Normal 6 2 2 7 6 2" xfId="33547" xr:uid="{9BE8C5D2-9EC7-458B-BD22-80D86443A2B1}"/>
    <cellStyle name="Normal 6 2 2 7 7" xfId="9325" xr:uid="{2C5F386E-A2F1-4C9E-91EF-5972367273E0}"/>
    <cellStyle name="Normal 6 2 2 7 7 2" xfId="29668" xr:uid="{D00A6712-8A0C-45F1-9E6B-BE134C022EED}"/>
    <cellStyle name="Normal 6 2 2 7 8" xfId="26174" xr:uid="{A768B3F3-4694-4DA1-98E4-459FAE02FF49}"/>
    <cellStyle name="Normal 6 2 2 8" xfId="6403" xr:uid="{B2301F92-4B1A-4BA7-839B-4F012EB3F792}"/>
    <cellStyle name="Normal 6 2 2 8 2" xfId="16689" xr:uid="{290629A1-5A37-4956-8A1B-DEC3DEEF9B0C}"/>
    <cellStyle name="Normal 6 2 2 8 2 2" xfId="37029" xr:uid="{C7F6EC75-777E-4614-A9B2-A750815EDB30}"/>
    <cellStyle name="Normal 6 2 2 8 3" xfId="20191" xr:uid="{6D112B14-C8D7-4B12-81D6-F19E131BF20E}"/>
    <cellStyle name="Normal 6 2 2 8 3 2" xfId="40530" xr:uid="{C2DE8A65-9B87-4E3E-8DDD-E0F3899CD497}"/>
    <cellStyle name="Normal 6 2 2 8 4" xfId="23446" xr:uid="{8705BB2E-E97D-4031-9C39-8A2CF1751118}"/>
    <cellStyle name="Normal 6 2 2 8 4 2" xfId="43781" xr:uid="{A0CFA357-7FB2-439A-90FB-0E63DA23441D}"/>
    <cellStyle name="Normal 6 2 2 8 5" xfId="13780" xr:uid="{1338DE2A-2E92-4FED-852E-3D48C75032F8}"/>
    <cellStyle name="Normal 6 2 2 8 5 2" xfId="34121" xr:uid="{1D448623-C88D-4C81-A2E9-68D79E745843}"/>
    <cellStyle name="Normal 6 2 2 8 6" xfId="9902" xr:uid="{DEEA13E8-05F3-4C43-8E08-127C97D3C05B}"/>
    <cellStyle name="Normal 6 2 2 8 6 2" xfId="30245" xr:uid="{36BF1539-BEB7-4ABD-88ED-735A989511E5}"/>
    <cellStyle name="Normal 6 2 2 8 7" xfId="26751" xr:uid="{590721D8-EC76-4218-BC53-51B91F9D32FC}"/>
    <cellStyle name="Normal 6 2 2 9" xfId="7567" xr:uid="{9E9BBA97-6578-41F9-A157-5C83FF2D5CD9}"/>
    <cellStyle name="Normal 6 2 2 9 2" xfId="17852" xr:uid="{8A44179C-1124-4C77-889A-4A645D40975B}"/>
    <cellStyle name="Normal 6 2 2 9 2 2" xfId="38192" xr:uid="{8E59C340-41FB-4535-84DB-C47D450CB82B}"/>
    <cellStyle name="Normal 6 2 2 9 3" xfId="21354" xr:uid="{E7054FED-9DC7-4A66-9350-C7CDA19A8994}"/>
    <cellStyle name="Normal 6 2 2 9 3 2" xfId="41693" xr:uid="{EBAF3978-B314-4728-948F-1C73A350A161}"/>
    <cellStyle name="Normal 6 2 2 9 4" xfId="24609" xr:uid="{02986E18-787B-4D9C-B960-3E0565E3642F}"/>
    <cellStyle name="Normal 6 2 2 9 4 2" xfId="44944" xr:uid="{8778ECC5-9C94-463B-B7D2-6692EE91CEAD}"/>
    <cellStyle name="Normal 6 2 2 9 5" xfId="14944" xr:uid="{860A070B-731C-4827-90CB-71AC601BBAE6}"/>
    <cellStyle name="Normal 6 2 2 9 5 2" xfId="35284" xr:uid="{5A602152-9C85-46D6-8BB8-68F7485E7563}"/>
    <cellStyle name="Normal 6 2 2 9 6" xfId="11065" xr:uid="{7FF86F28-1055-495C-AF78-4BB4D771BB7C}"/>
    <cellStyle name="Normal 6 2 2 9 6 2" xfId="31408" xr:uid="{8ED93860-CA5F-4D94-A767-9E2C70586B17}"/>
    <cellStyle name="Normal 6 2 2 9 7" xfId="27914" xr:uid="{67B39F32-4D69-46B4-84FF-9AAB725138D6}"/>
    <cellStyle name="Normal 6 2 20" xfId="46315" xr:uid="{3344466D-978F-4F22-A750-C6999F788C88}"/>
    <cellStyle name="Normal 6 2 21" xfId="46807" xr:uid="{B58914E8-505C-4F83-8848-F96DCFB98084}"/>
    <cellStyle name="Normal 6 2 3" xfId="4847" xr:uid="{00FDFC1F-2107-4595-83C9-C4D9F1FA00F8}"/>
    <cellStyle name="Normal 6 2 3 10" xfId="22375" xr:uid="{FCAC3821-4284-4D4E-8803-C0628D945B34}"/>
    <cellStyle name="Normal 6 2 3 10 2" xfId="42710" xr:uid="{DFB08DDA-4611-4FD4-9D31-65F12B740526}"/>
    <cellStyle name="Normal 6 2 3 11" xfId="12092" xr:uid="{B225135E-96B9-4B13-9B76-7B8E8F21519A}"/>
    <cellStyle name="Normal 6 2 3 11 2" xfId="32433" xr:uid="{0A9F4F3A-B3B9-47D1-ABBA-AC1B99CAEF27}"/>
    <cellStyle name="Normal 6 2 3 12" xfId="8831" xr:uid="{BA2EE19D-6235-471C-887D-80F27AC73320}"/>
    <cellStyle name="Normal 6 2 3 12 2" xfId="29174" xr:uid="{AF2565F7-142D-46C7-BC72-0B3491696506}"/>
    <cellStyle name="Normal 6 2 3 13" xfId="25680" xr:uid="{47508D46-0E2A-47D8-9C57-BB9505E5E40F}"/>
    <cellStyle name="Normal 6 2 3 14" xfId="45889" xr:uid="{F2B50124-9D85-4836-B347-229CA832D170}"/>
    <cellStyle name="Normal 6 2 3 15" xfId="46375" xr:uid="{75F4F529-7521-4818-B20D-1B419FFC8406}"/>
    <cellStyle name="Normal 6 2 3 16" xfId="46867" xr:uid="{313C681F-F4D4-4813-9DDB-BD3830DDD1C6}"/>
    <cellStyle name="Normal 6 2 3 2" xfId="5063" xr:uid="{33186FC9-83CC-440C-9F9B-97F5318B5B23}"/>
    <cellStyle name="Normal 6 2 3 2 10" xfId="12479" xr:uid="{F87DA750-18E0-4A24-9E5C-E078C9EFB3E0}"/>
    <cellStyle name="Normal 6 2 3 2 10 2" xfId="32820" xr:uid="{1BDEA118-34FA-4157-B8C7-F389017341B5}"/>
    <cellStyle name="Normal 6 2 3 2 11" xfId="9218" xr:uid="{6F98CA3A-2401-4B0B-867C-4B4302904080}"/>
    <cellStyle name="Normal 6 2 3 2 11 2" xfId="29561" xr:uid="{35383300-5327-4835-8189-A557B7C381D3}"/>
    <cellStyle name="Normal 6 2 3 2 12" xfId="26067" xr:uid="{E12CEECA-5E0A-4D3A-BF47-A322DC00610D}"/>
    <cellStyle name="Normal 6 2 3 2 13" xfId="45945" xr:uid="{4B24D07B-9295-41B4-8B31-2F40B02E9F9B}"/>
    <cellStyle name="Normal 6 2 3 2 14" xfId="46431" xr:uid="{420184A6-D449-4E08-9C7D-7B68B57B9B9C}"/>
    <cellStyle name="Normal 6 2 3 2 15" xfId="46923" xr:uid="{93D2EE03-6606-427F-BFF9-1489BD35391A}"/>
    <cellStyle name="Normal 6 2 3 2 2" xfId="6300" xr:uid="{B9FBAB37-04A8-490F-9D9B-043E8EAE8775}"/>
    <cellStyle name="Normal 6 2 3 2 2 10" xfId="46674" xr:uid="{7EED101E-F7F9-4F16-A503-AD76BA99E92C}"/>
    <cellStyle name="Normal 6 2 3 2 2 11" xfId="47166" xr:uid="{5193A981-8B77-49EA-A82C-B09B947AC4B8}"/>
    <cellStyle name="Normal 6 2 3 2 2 2" xfId="7458" xr:uid="{FFAAE14E-9200-463A-877C-87DA636949C3}"/>
    <cellStyle name="Normal 6 2 3 2 2 2 2" xfId="17744" xr:uid="{FFBB066B-780E-4061-89D5-8FBFC651B9ED}"/>
    <cellStyle name="Normal 6 2 3 2 2 2 2 2" xfId="38084" xr:uid="{E7DF3F14-E972-491D-840D-D9DCF95B72AF}"/>
    <cellStyle name="Normal 6 2 3 2 2 2 3" xfId="21246" xr:uid="{35834507-EFB8-4935-8DBF-ED5C97D7C203}"/>
    <cellStyle name="Normal 6 2 3 2 2 2 3 2" xfId="41585" xr:uid="{0DF58F5F-1607-4059-9B5A-D293BB82A2C8}"/>
    <cellStyle name="Normal 6 2 3 2 2 2 4" xfId="24501" xr:uid="{F56CD70C-F8F4-4BEF-A135-0ECF5B28800B}"/>
    <cellStyle name="Normal 6 2 3 2 2 2 4 2" xfId="44836" xr:uid="{FCB0BBE4-D790-4678-AE3A-327B1BF096D0}"/>
    <cellStyle name="Normal 6 2 3 2 2 2 5" xfId="14835" xr:uid="{4DF6E7F4-62F1-476D-A2E2-8A1760BE19F0}"/>
    <cellStyle name="Normal 6 2 3 2 2 2 5 2" xfId="35176" xr:uid="{57D4F139-E127-49DB-9FA3-AD26D626BE60}"/>
    <cellStyle name="Normal 6 2 3 2 2 2 6" xfId="10957" xr:uid="{EFCEB030-7DEA-4047-8EA7-B72772EF227A}"/>
    <cellStyle name="Normal 6 2 3 2 2 2 6 2" xfId="31300" xr:uid="{DAC7355A-1AC9-4BF4-A4BE-7F8202F5CC25}"/>
    <cellStyle name="Normal 6 2 3 2 2 2 7" xfId="27806" xr:uid="{E0F600AE-A00B-4382-9A13-864232838C25}"/>
    <cellStyle name="Normal 6 2 3 2 2 3" xfId="16586" xr:uid="{AE20A9BD-8D48-4EAC-B5BC-8DBC81B9465E}"/>
    <cellStyle name="Normal 6 2 3 2 2 3 2" xfId="36926" xr:uid="{B918B871-4E41-492B-9B87-6A189C77CB65}"/>
    <cellStyle name="Normal 6 2 3 2 2 4" xfId="20088" xr:uid="{5771512F-5EFF-4E26-BB22-C1147361A153}"/>
    <cellStyle name="Normal 6 2 3 2 2 4 2" xfId="40427" xr:uid="{015197DE-D0E6-47F3-A33C-0507B36DA926}"/>
    <cellStyle name="Normal 6 2 3 2 2 5" xfId="23343" xr:uid="{9F82555B-DE24-4C71-A32B-4BBE7626013D}"/>
    <cellStyle name="Normal 6 2 3 2 2 5 2" xfId="43678" xr:uid="{69A498D8-11DD-4A40-A4DD-24E183F37FCA}"/>
    <cellStyle name="Normal 6 2 3 2 2 6" xfId="13677" xr:uid="{A4DFDEBE-B930-4654-8202-9D17B7633197}"/>
    <cellStyle name="Normal 6 2 3 2 2 6 2" xfId="34018" xr:uid="{F96B89E4-7B82-4548-BDD7-274F293ACCA1}"/>
    <cellStyle name="Normal 6 2 3 2 2 7" xfId="9799" xr:uid="{2C5EAC17-594A-4AFC-98BB-48BFDA26C32D}"/>
    <cellStyle name="Normal 6 2 3 2 2 7 2" xfId="30142" xr:uid="{B44D6E40-34BD-472A-AA44-23689A4BDA7A}"/>
    <cellStyle name="Normal 6 2 3 2 2 8" xfId="26648" xr:uid="{DB9DE2D4-A2E4-4873-98FF-D0BF616A76DF}"/>
    <cellStyle name="Normal 6 2 3 2 2 9" xfId="46188" xr:uid="{A2630C17-FE75-45E9-9851-5CC118529C1D}"/>
    <cellStyle name="Normal 6 2 3 2 3" xfId="6877" xr:uid="{04295C9A-0060-488B-93AE-D0BED934C92A}"/>
    <cellStyle name="Normal 6 2 3 2 3 2" xfId="17163" xr:uid="{B09AD3C9-003F-4C5D-9753-2649073C5A98}"/>
    <cellStyle name="Normal 6 2 3 2 3 2 2" xfId="37503" xr:uid="{50D8DDF8-27DA-418B-8AA9-529B6F6A22CD}"/>
    <cellStyle name="Normal 6 2 3 2 3 3" xfId="20665" xr:uid="{4B4BB152-DFD3-4AF6-A880-E113786ACC12}"/>
    <cellStyle name="Normal 6 2 3 2 3 3 2" xfId="41004" xr:uid="{E46D7362-448C-4355-B1C8-12C616CC9E9D}"/>
    <cellStyle name="Normal 6 2 3 2 3 4" xfId="23920" xr:uid="{CEF8F832-FF05-498C-A070-91874B900DE7}"/>
    <cellStyle name="Normal 6 2 3 2 3 4 2" xfId="44255" xr:uid="{FD501E02-409E-4289-8A04-8849B742F660}"/>
    <cellStyle name="Normal 6 2 3 2 3 5" xfId="14254" xr:uid="{313DBE0F-D069-4DC8-8E5B-84921EDFFFA1}"/>
    <cellStyle name="Normal 6 2 3 2 3 5 2" xfId="34595" xr:uid="{E688F426-B0D4-441F-833A-1BB54967301B}"/>
    <cellStyle name="Normal 6 2 3 2 3 6" xfId="10376" xr:uid="{FF887F24-5AD5-40C7-B3FB-91F91A321ABE}"/>
    <cellStyle name="Normal 6 2 3 2 3 6 2" xfId="30719" xr:uid="{2BA51368-AFC4-447B-BEB7-DC6C580BF68D}"/>
    <cellStyle name="Normal 6 2 3 2 3 7" xfId="27225" xr:uid="{262098A3-294E-47A6-A6E3-4B27958F771C}"/>
    <cellStyle name="Normal 6 2 3 2 4" xfId="8041" xr:uid="{21748FA5-BBDC-4871-80A4-FD7DCED16255}"/>
    <cellStyle name="Normal 6 2 3 2 4 2" xfId="18326" xr:uid="{DB78E448-7FBF-420C-849E-68D278CFEF5D}"/>
    <cellStyle name="Normal 6 2 3 2 4 2 2" xfId="38666" xr:uid="{601A024F-62A2-42FB-B052-9A775F86A25F}"/>
    <cellStyle name="Normal 6 2 3 2 4 3" xfId="21828" xr:uid="{FD6E6E8D-F371-4FEA-8717-F5F77E2964A2}"/>
    <cellStyle name="Normal 6 2 3 2 4 3 2" xfId="42167" xr:uid="{5AB0F264-6C9A-4027-9044-D297F5733238}"/>
    <cellStyle name="Normal 6 2 3 2 4 4" xfId="25083" xr:uid="{9D12CF30-2383-4FCA-8E3A-341DEC73F2D1}"/>
    <cellStyle name="Normal 6 2 3 2 4 4 2" xfId="45418" xr:uid="{C38BF2D7-C64B-4B59-8A5A-671A1EF4DAD4}"/>
    <cellStyle name="Normal 6 2 3 2 4 5" xfId="15418" xr:uid="{47A53859-BFD6-4D7F-9A47-AF3E4799B29C}"/>
    <cellStyle name="Normal 6 2 3 2 4 5 2" xfId="35758" xr:uid="{AFFA7427-C602-43DF-8CD8-23C761C4859F}"/>
    <cellStyle name="Normal 6 2 3 2 4 6" xfId="11539" xr:uid="{18FDD04A-011C-4E06-B790-171F724E5CAA}"/>
    <cellStyle name="Normal 6 2 3 2 4 6 2" xfId="31882" xr:uid="{10CF16D8-5502-4DDD-ABB5-1A72B31F327D}"/>
    <cellStyle name="Normal 6 2 3 2 4 7" xfId="28388" xr:uid="{8BAC5341-9072-4D89-9B9F-0BDEB6B15034}"/>
    <cellStyle name="Normal 6 2 3 2 5" xfId="8129" xr:uid="{9A6EE23A-3074-47EC-933E-AE1229D9DA0A}"/>
    <cellStyle name="Normal 6 2 3 2 5 2" xfId="21916" xr:uid="{A1B01E49-8470-46F5-BAE7-CBF2F79CF10D}"/>
    <cellStyle name="Normal 6 2 3 2 5 2 2" xfId="42252" xr:uid="{EE849410-4B35-4D6F-90D7-283132A15152}"/>
    <cellStyle name="Normal 6 2 3 2 5 3" xfId="25168" xr:uid="{F75BC502-5D08-457A-B334-A5E49EDC7224}"/>
    <cellStyle name="Normal 6 2 3 2 5 3 2" xfId="45503" xr:uid="{878547DF-C761-48B9-A48D-8C9E8C9F92FF}"/>
    <cellStyle name="Normal 6 2 3 2 5 4" xfId="13108" xr:uid="{47E0A92F-A8EF-41C8-9CEE-E9DE3137F42C}"/>
    <cellStyle name="Normal 6 2 3 2 5 4 2" xfId="33449" xr:uid="{2A6543F6-95F0-4FF4-92DB-09145111EE8E}"/>
    <cellStyle name="Normal 6 2 3 2 5 5" xfId="11625" xr:uid="{EB72A744-E764-4F23-9078-1BEF461E12A4}"/>
    <cellStyle name="Normal 6 2 3 2 5 5 2" xfId="31967" xr:uid="{2E157F55-4468-4818-B6AC-67C7948C9579}"/>
    <cellStyle name="Normal 6 2 3 2 5 6" xfId="28473" xr:uid="{52F2BBDB-BF1D-4825-BF45-B06908A1BDA0}"/>
    <cellStyle name="Normal 6 2 3 2 6" xfId="8570" xr:uid="{799F6C9B-9C0C-476C-A7CF-62AE23CE18C3}"/>
    <cellStyle name="Normal 6 2 3 2 6 2" xfId="16005" xr:uid="{1B8CC9A4-2D64-4E89-BCCE-FCFE30B9110D}"/>
    <cellStyle name="Normal 6 2 3 2 6 2 2" xfId="36345" xr:uid="{F7BAB705-6A6C-443E-8BD6-AC08BD2D623F}"/>
    <cellStyle name="Normal 6 2 3 2 6 3" xfId="28913" xr:uid="{FF815A1F-CBAD-4554-B7C8-2291674EE764}"/>
    <cellStyle name="Normal 6 2 3 2 7" xfId="18919" xr:uid="{631402BA-431B-424C-BF7D-CD5D410C1243}"/>
    <cellStyle name="Normal 6 2 3 2 7 2" xfId="39259" xr:uid="{B37FFE5D-8C68-4A5F-B2C9-6CF35D02800E}"/>
    <cellStyle name="Normal 6 2 3 2 8" xfId="19507" xr:uid="{A738F7C4-A706-47E0-A2DB-634B838C37A2}"/>
    <cellStyle name="Normal 6 2 3 2 8 2" xfId="39846" xr:uid="{55028511-919C-4FB1-ABB1-D6E1893F5E8C}"/>
    <cellStyle name="Normal 6 2 3 2 9" xfId="22762" xr:uid="{6903BDD0-39E7-4DF3-8FEB-EF914CB00872}"/>
    <cellStyle name="Normal 6 2 3 2 9 2" xfId="43097" xr:uid="{92B95EE4-CF73-4784-B5B4-8CD929A86653}"/>
    <cellStyle name="Normal 6 2 3 3" xfId="5913" xr:uid="{8B33C96A-3CB7-4978-BC87-A1E1FEA1BFB3}"/>
    <cellStyle name="Normal 6 2 3 3 10" xfId="46618" xr:uid="{A0B43DF4-792B-4E23-8C85-B28FAB235401}"/>
    <cellStyle name="Normal 6 2 3 3 11" xfId="47110" xr:uid="{51AF7851-42BE-4CEA-8643-1A71757BCCD3}"/>
    <cellStyle name="Normal 6 2 3 3 2" xfId="7071" xr:uid="{93CB4F6C-7E41-4D05-BC26-7F1DD7017B28}"/>
    <cellStyle name="Normal 6 2 3 3 2 2" xfId="17357" xr:uid="{DFDF7DE6-B008-4198-B4F7-2F320D14D6DB}"/>
    <cellStyle name="Normal 6 2 3 3 2 2 2" xfId="37697" xr:uid="{F65CB1AA-CFD6-4BBE-8D9A-323498202C8F}"/>
    <cellStyle name="Normal 6 2 3 3 2 3" xfId="20859" xr:uid="{ED6AF540-DE26-4F4C-9366-0564D8383426}"/>
    <cellStyle name="Normal 6 2 3 3 2 3 2" xfId="41198" xr:uid="{A96E2375-283A-4D1A-A8A7-326233AA2B71}"/>
    <cellStyle name="Normal 6 2 3 3 2 4" xfId="24114" xr:uid="{81B7A8C9-9424-4DE1-A988-3AF6FFEA2150}"/>
    <cellStyle name="Normal 6 2 3 3 2 4 2" xfId="44449" xr:uid="{8103B15D-5C3D-49E8-85B9-EA938ECEAB0D}"/>
    <cellStyle name="Normal 6 2 3 3 2 5" xfId="14448" xr:uid="{5A5ECCF5-2D84-4F7D-8ABE-FFB5240C48C1}"/>
    <cellStyle name="Normal 6 2 3 3 2 5 2" xfId="34789" xr:uid="{274E6CA3-8A75-4B89-A009-FA5776EF8D8A}"/>
    <cellStyle name="Normal 6 2 3 3 2 6" xfId="10570" xr:uid="{F10C2883-38CF-4737-A0E0-FE3C8332BEDB}"/>
    <cellStyle name="Normal 6 2 3 3 2 6 2" xfId="30913" xr:uid="{78BFA03E-14DB-4181-BBB1-EC9B3B1A1F52}"/>
    <cellStyle name="Normal 6 2 3 3 2 7" xfId="27419" xr:uid="{CF60FDF3-1C48-411B-A8FF-1D2EAE95565C}"/>
    <cellStyle name="Normal 6 2 3 3 3" xfId="16199" xr:uid="{3BFBDFF1-8A77-4317-9C00-9CE0F50C8184}"/>
    <cellStyle name="Normal 6 2 3 3 3 2" xfId="36539" xr:uid="{31DF420F-88A8-4518-9E37-AE1278992A6F}"/>
    <cellStyle name="Normal 6 2 3 3 4" xfId="19701" xr:uid="{CAA6184B-A616-47C4-9168-AD94C69B2231}"/>
    <cellStyle name="Normal 6 2 3 3 4 2" xfId="40040" xr:uid="{027BBB16-7C9B-4799-97A8-3BAF41371DA8}"/>
    <cellStyle name="Normal 6 2 3 3 5" xfId="22956" xr:uid="{4AD314CC-8739-4093-B559-BC377D6BD7D3}"/>
    <cellStyle name="Normal 6 2 3 3 5 2" xfId="43291" xr:uid="{2500A4FF-B1B6-452D-924A-7D9CD7A8438C}"/>
    <cellStyle name="Normal 6 2 3 3 6" xfId="13292" xr:uid="{66A23773-3E72-49A1-B828-20ECB4880A9E}"/>
    <cellStyle name="Normal 6 2 3 3 6 2" xfId="33633" xr:uid="{4B5BD1DF-96F0-45EC-9821-887D6702A150}"/>
    <cellStyle name="Normal 6 2 3 3 7" xfId="9412" xr:uid="{4D205844-6F3E-45F8-9431-8A1342FC6ABB}"/>
    <cellStyle name="Normal 6 2 3 3 7 2" xfId="29755" xr:uid="{8AA8727C-06AB-4C89-AE69-9EF53F7BB072}"/>
    <cellStyle name="Normal 6 2 3 3 8" xfId="26261" xr:uid="{9260A238-3BA6-45AE-8720-1F2C0A520EE3}"/>
    <cellStyle name="Normal 6 2 3 3 9" xfId="46132" xr:uid="{8F79CA71-837D-40D9-8CF2-E65030DAA7CB}"/>
    <cellStyle name="Normal 6 2 3 4" xfId="6490" xr:uid="{E2A60706-0174-4B5A-ACDA-8651241350F0}"/>
    <cellStyle name="Normal 6 2 3 4 2" xfId="16776" xr:uid="{24401405-EAB4-4699-B11D-FFC476FEBF4E}"/>
    <cellStyle name="Normal 6 2 3 4 2 2" xfId="37116" xr:uid="{93A86009-661A-46FD-8195-284CB37AE93A}"/>
    <cellStyle name="Normal 6 2 3 4 3" xfId="20278" xr:uid="{325073FA-7301-40BE-A31E-DBB92D986A4C}"/>
    <cellStyle name="Normal 6 2 3 4 3 2" xfId="40617" xr:uid="{6C52EB8D-3A5F-464C-8CF4-4DE35C75914C}"/>
    <cellStyle name="Normal 6 2 3 4 4" xfId="23533" xr:uid="{2CB824A6-131A-4376-8938-61ACFAFEBBEC}"/>
    <cellStyle name="Normal 6 2 3 4 4 2" xfId="43868" xr:uid="{8D767F1B-CA85-4930-823D-C181790206E9}"/>
    <cellStyle name="Normal 6 2 3 4 5" xfId="13867" xr:uid="{8C1D9217-D388-476B-9FF4-377FB5854C54}"/>
    <cellStyle name="Normal 6 2 3 4 5 2" xfId="34208" xr:uid="{01EE6668-7715-4FA9-B74C-911D9B0DA12B}"/>
    <cellStyle name="Normal 6 2 3 4 6" xfId="9989" xr:uid="{D457ABEE-ADF6-4BD5-83F5-D77838F02973}"/>
    <cellStyle name="Normal 6 2 3 4 6 2" xfId="30332" xr:uid="{8B26BD77-ED7B-4A14-B962-1A5AE5390C52}"/>
    <cellStyle name="Normal 6 2 3 4 7" xfId="26838" xr:uid="{1492C26B-F50C-4868-A447-F387ECB09C62}"/>
    <cellStyle name="Normal 6 2 3 5" xfId="7654" xr:uid="{AF01F0F1-087A-480E-8B8A-D29ED08CD66B}"/>
    <cellStyle name="Normal 6 2 3 5 2" xfId="17939" xr:uid="{D63C61B7-4D9E-4313-A40B-97D7824FCB3C}"/>
    <cellStyle name="Normal 6 2 3 5 2 2" xfId="38279" xr:uid="{F6C548A5-2D5A-484A-B3A4-F630B6EB26B4}"/>
    <cellStyle name="Normal 6 2 3 5 3" xfId="21441" xr:uid="{389EA045-45BC-4D15-801A-793203B36D6B}"/>
    <cellStyle name="Normal 6 2 3 5 3 2" xfId="41780" xr:uid="{D393C8CB-F500-4F3F-A915-2426680369E7}"/>
    <cellStyle name="Normal 6 2 3 5 4" xfId="24696" xr:uid="{5E48110B-2000-4F60-865F-D63F06F220D5}"/>
    <cellStyle name="Normal 6 2 3 5 4 2" xfId="45031" xr:uid="{02274762-E9E2-4634-B31D-CC11872CD579}"/>
    <cellStyle name="Normal 6 2 3 5 5" xfId="15031" xr:uid="{2A8C2953-1423-4DE6-A52B-B134F656DB56}"/>
    <cellStyle name="Normal 6 2 3 5 5 2" xfId="35371" xr:uid="{F514FF4E-67F3-4E89-9203-50C053EF0DC2}"/>
    <cellStyle name="Normal 6 2 3 5 6" xfId="11152" xr:uid="{368EC598-3A55-4C71-A9E3-922A4981ABD9}"/>
    <cellStyle name="Normal 6 2 3 5 6 2" xfId="31495" xr:uid="{D182B9C6-FBC9-4DE9-B0CF-7411EF82DB54}"/>
    <cellStyle name="Normal 6 2 3 5 7" xfId="28001" xr:uid="{D3B9A27F-9764-4C20-A5C8-DEBCAD948403}"/>
    <cellStyle name="Normal 6 2 3 6" xfId="8128" xr:uid="{BA51AB2C-2DCA-43C3-9E60-313922401AFB}"/>
    <cellStyle name="Normal 6 2 3 6 2" xfId="21915" xr:uid="{0764F597-59C0-489E-ADEB-6287905F1072}"/>
    <cellStyle name="Normal 6 2 3 6 2 2" xfId="42251" xr:uid="{83480E41-3E0C-492F-B8DA-A437188C696E}"/>
    <cellStyle name="Normal 6 2 3 6 3" xfId="25167" xr:uid="{34AF3B12-DA53-45AD-A2D3-3005BC740089}"/>
    <cellStyle name="Normal 6 2 3 6 3 2" xfId="45502" xr:uid="{8CC69A20-F7F1-4425-8439-A881349EB95C}"/>
    <cellStyle name="Normal 6 2 3 6 4" xfId="12723" xr:uid="{E0931E00-41A0-4BF9-A150-6D05297F1169}"/>
    <cellStyle name="Normal 6 2 3 6 4 2" xfId="33064" xr:uid="{A5EA59E2-618D-48F6-A135-92AC71A29156}"/>
    <cellStyle name="Normal 6 2 3 6 5" xfId="11624" xr:uid="{554F8EA9-574E-492A-B9F2-43EACDB02867}"/>
    <cellStyle name="Normal 6 2 3 6 5 2" xfId="31966" xr:uid="{47EE96CA-EFB8-4A2D-8E8E-68DE0C12406F}"/>
    <cellStyle name="Normal 6 2 3 6 6" xfId="28472" xr:uid="{0DA0A99B-E35B-4F1C-A82E-E947EEA66A3B}"/>
    <cellStyle name="Normal 6 2 3 7" xfId="8514" xr:uid="{2B490DBB-1278-483E-A04C-B50BCB5F76FA}"/>
    <cellStyle name="Normal 6 2 3 7 2" xfId="15618" xr:uid="{292F2B56-18BD-49B0-A210-06623683D4E7}"/>
    <cellStyle name="Normal 6 2 3 7 2 2" xfId="35958" xr:uid="{0D8A511D-B6B9-4903-B321-AADA29782FCD}"/>
    <cellStyle name="Normal 6 2 3 7 3" xfId="28857" xr:uid="{DBA55C0F-9E50-4F21-9C28-2DB84AEECB59}"/>
    <cellStyle name="Normal 6 2 3 8" xfId="18532" xr:uid="{CA48C897-56B8-4E24-AFBF-7E0B832A6EC9}"/>
    <cellStyle name="Normal 6 2 3 8 2" xfId="38872" xr:uid="{B6877982-523A-4DDB-A91A-7BDD01F5B09D}"/>
    <cellStyle name="Normal 6 2 3 9" xfId="19120" xr:uid="{CF426FFE-A14B-4932-8A62-EC7B013C3BA8}"/>
    <cellStyle name="Normal 6 2 3 9 2" xfId="39459" xr:uid="{0FE0EFDA-CFDE-4014-BC94-29505741CE2B}"/>
    <cellStyle name="Normal 6 2 4" xfId="5060" xr:uid="{39CAC3C4-29D8-4947-B35C-28AD131B950B}"/>
    <cellStyle name="Normal 6 2 4 10" xfId="12188" xr:uid="{ADBFB542-9933-474E-8CA3-07A9859D7CEC}"/>
    <cellStyle name="Normal 6 2 4 10 2" xfId="32529" xr:uid="{818D92FD-0EF8-4097-8BD8-461CD4294CEA}"/>
    <cellStyle name="Normal 6 2 4 11" xfId="8927" xr:uid="{27718E18-0B77-4CF4-A70B-9E3E4B1FA1F3}"/>
    <cellStyle name="Normal 6 2 4 11 2" xfId="29270" xr:uid="{C4240DCC-449E-477B-8D32-A6E1F0EBAB6E}"/>
    <cellStyle name="Normal 6 2 4 12" xfId="25776" xr:uid="{AAD24A88-141D-4E39-96C7-EE92F6638146}"/>
    <cellStyle name="Normal 6 2 4 13" xfId="45942" xr:uid="{EE38CDDC-AEB5-4549-BFF8-FC16400C2822}"/>
    <cellStyle name="Normal 6 2 4 14" xfId="46428" xr:uid="{A2C6D425-F629-4A8F-80A8-A3650A54A4DC}"/>
    <cellStyle name="Normal 6 2 4 15" xfId="46920" xr:uid="{5EB60C07-6707-446F-83F6-C119A4DAB4EC}"/>
    <cellStyle name="Normal 6 2 4 2" xfId="6009" xr:uid="{04ABCACF-866C-4F0D-B9DB-EDBD6D65CC33}"/>
    <cellStyle name="Normal 6 2 4 2 10" xfId="46671" xr:uid="{63201A47-139B-4CCE-B449-0E930AD8A0CE}"/>
    <cellStyle name="Normal 6 2 4 2 11" xfId="47163" xr:uid="{138E2CB8-C2DE-4FC0-B338-1152C4B685C2}"/>
    <cellStyle name="Normal 6 2 4 2 2" xfId="7167" xr:uid="{82B1CFAF-6628-4820-BED7-99768C8E64FF}"/>
    <cellStyle name="Normal 6 2 4 2 2 2" xfId="17453" xr:uid="{769E36A1-A166-4F85-A9EB-AC3EC5ACC844}"/>
    <cellStyle name="Normal 6 2 4 2 2 2 2" xfId="37793" xr:uid="{273302EF-0772-45CA-A986-D007EC188BC9}"/>
    <cellStyle name="Normal 6 2 4 2 2 3" xfId="20955" xr:uid="{A16E5EA4-53B8-4F29-952E-F03FFF165861}"/>
    <cellStyle name="Normal 6 2 4 2 2 3 2" xfId="41294" xr:uid="{32D2DC5A-43B0-414B-B4E7-BDB7D8DDBC25}"/>
    <cellStyle name="Normal 6 2 4 2 2 4" xfId="24210" xr:uid="{F5BE0316-1FA8-49BF-8CC1-6AF0ECE55BBB}"/>
    <cellStyle name="Normal 6 2 4 2 2 4 2" xfId="44545" xr:uid="{20337414-F8DF-4067-8F58-22E403D2859C}"/>
    <cellStyle name="Normal 6 2 4 2 2 5" xfId="14544" xr:uid="{676F3041-970C-4334-8338-030CD39BD050}"/>
    <cellStyle name="Normal 6 2 4 2 2 5 2" xfId="34885" xr:uid="{B63E03E9-8C48-443A-A048-0649EE28D1CD}"/>
    <cellStyle name="Normal 6 2 4 2 2 6" xfId="10666" xr:uid="{EE4A586C-AFFA-437E-9A8F-91DC13194117}"/>
    <cellStyle name="Normal 6 2 4 2 2 6 2" xfId="31009" xr:uid="{7C206FE4-337A-446A-9B9F-B4543AEF3E1A}"/>
    <cellStyle name="Normal 6 2 4 2 2 7" xfId="27515" xr:uid="{E5A6F8F1-2E74-4AFB-BE28-0695FBCE0A83}"/>
    <cellStyle name="Normal 6 2 4 2 3" xfId="16295" xr:uid="{158A38CD-809F-48FE-B1AA-80C96A402AB6}"/>
    <cellStyle name="Normal 6 2 4 2 3 2" xfId="36635" xr:uid="{DCBA1326-D120-44C2-BCD7-3B55CC1EA3BF}"/>
    <cellStyle name="Normal 6 2 4 2 4" xfId="19797" xr:uid="{8FE33F39-8CEF-4B16-8062-BBF080843AF7}"/>
    <cellStyle name="Normal 6 2 4 2 4 2" xfId="40136" xr:uid="{1C6F9EEF-E05A-44F2-BA48-8A2B38DB2AD2}"/>
    <cellStyle name="Normal 6 2 4 2 5" xfId="23052" xr:uid="{973E0799-74A0-477C-B28F-5C0F629AF8B2}"/>
    <cellStyle name="Normal 6 2 4 2 5 2" xfId="43387" xr:uid="{9511EFC5-B860-42A7-91D7-44B3C2A10F7D}"/>
    <cellStyle name="Normal 6 2 4 2 6" xfId="13386" xr:uid="{179AE3DD-9C9D-42BC-99EB-222514703EDD}"/>
    <cellStyle name="Normal 6 2 4 2 6 2" xfId="33727" xr:uid="{FEBED63D-2B71-4B0B-85C5-A29E438621B3}"/>
    <cellStyle name="Normal 6 2 4 2 7" xfId="9508" xr:uid="{EDA4ADDE-25BA-4C7E-802A-FDC4641D0421}"/>
    <cellStyle name="Normal 6 2 4 2 7 2" xfId="29851" xr:uid="{9098AE19-348B-4CC8-9CFD-1475BBB4694A}"/>
    <cellStyle name="Normal 6 2 4 2 8" xfId="26357" xr:uid="{0A7EA654-EEA7-489A-B60B-4266A5E78007}"/>
    <cellStyle name="Normal 6 2 4 2 9" xfId="46185" xr:uid="{1B4E41BC-86AD-4458-9EA0-1FA4DA4EBC13}"/>
    <cellStyle name="Normal 6 2 4 3" xfId="6586" xr:uid="{05361A99-1F2A-43FF-BC1F-75AA62CEBB78}"/>
    <cellStyle name="Normal 6 2 4 3 2" xfId="16872" xr:uid="{7EC3FC9C-03EE-4C14-828D-1DE9F7A48653}"/>
    <cellStyle name="Normal 6 2 4 3 2 2" xfId="37212" xr:uid="{A6B33570-42C4-46C3-8D6E-0C5ED63606A9}"/>
    <cellStyle name="Normal 6 2 4 3 3" xfId="20374" xr:uid="{F0B08176-BF0E-4788-9CDE-FFBAF0022CA2}"/>
    <cellStyle name="Normal 6 2 4 3 3 2" xfId="40713" xr:uid="{AE3D8BF9-BE42-415C-BE66-710CAE8700FC}"/>
    <cellStyle name="Normal 6 2 4 3 4" xfId="23629" xr:uid="{B965B970-0351-4FDF-8CAF-2A93075CAA52}"/>
    <cellStyle name="Normal 6 2 4 3 4 2" xfId="43964" xr:uid="{41F654AC-BA2D-4C93-9D27-AA7B5F37CCE7}"/>
    <cellStyle name="Normal 6 2 4 3 5" xfId="13963" xr:uid="{9541C24D-363C-4270-9BED-898530890908}"/>
    <cellStyle name="Normal 6 2 4 3 5 2" xfId="34304" xr:uid="{93FCB465-3674-4281-8AD1-BFDF02ED6D2B}"/>
    <cellStyle name="Normal 6 2 4 3 6" xfId="10085" xr:uid="{E5D106A5-4D40-4197-AAEA-7B790CFF242B}"/>
    <cellStyle name="Normal 6 2 4 3 6 2" xfId="30428" xr:uid="{252AB99B-011A-4508-990E-3207190D9DE8}"/>
    <cellStyle name="Normal 6 2 4 3 7" xfId="26934" xr:uid="{DC28C27D-6119-42CF-A6B0-A3E1EBE1C5DA}"/>
    <cellStyle name="Normal 6 2 4 4" xfId="7750" xr:uid="{5FF16A9F-AB27-4791-9F2C-F585F6B2D91B}"/>
    <cellStyle name="Normal 6 2 4 4 2" xfId="18035" xr:uid="{BBC9B75F-9330-48E8-8C9D-31512D7E9D30}"/>
    <cellStyle name="Normal 6 2 4 4 2 2" xfId="38375" xr:uid="{C0E6AE37-D62E-449F-930C-3FA27B42A257}"/>
    <cellStyle name="Normal 6 2 4 4 3" xfId="21537" xr:uid="{33F5A1A3-29C0-4648-AB95-F926492B47B1}"/>
    <cellStyle name="Normal 6 2 4 4 3 2" xfId="41876" xr:uid="{7624C891-DAC2-4DB6-9755-15587C851DCF}"/>
    <cellStyle name="Normal 6 2 4 4 4" xfId="24792" xr:uid="{83F3BAD6-370E-4427-9960-F1B548F6EEC0}"/>
    <cellStyle name="Normal 6 2 4 4 4 2" xfId="45127" xr:uid="{7A06AC6D-7306-4847-B929-354FED91EC0A}"/>
    <cellStyle name="Normal 6 2 4 4 5" xfId="15127" xr:uid="{F0422AAF-63E8-47B0-A00E-47D80B3133E5}"/>
    <cellStyle name="Normal 6 2 4 4 5 2" xfId="35467" xr:uid="{70FD124F-3E65-4918-B598-B95EA78E58F7}"/>
    <cellStyle name="Normal 6 2 4 4 6" xfId="11248" xr:uid="{7FCCD730-A610-4014-94F8-B71A4A8CE5AA}"/>
    <cellStyle name="Normal 6 2 4 4 6 2" xfId="31591" xr:uid="{31368CF0-569B-423F-93A7-4DC425D2D93A}"/>
    <cellStyle name="Normal 6 2 4 4 7" xfId="28097" xr:uid="{3CD90CEC-0BAC-435D-AAD7-2EAA3CC70640}"/>
    <cellStyle name="Normal 6 2 4 5" xfId="8130" xr:uid="{2CDEDAB8-DFC9-4557-9948-22A78617D70C}"/>
    <cellStyle name="Normal 6 2 4 5 2" xfId="21917" xr:uid="{BB008FF0-6205-4E5E-91EA-649137E18E4C}"/>
    <cellStyle name="Normal 6 2 4 5 2 2" xfId="42253" xr:uid="{29FE9E40-C97B-4D9B-892C-94429D86871D}"/>
    <cellStyle name="Normal 6 2 4 5 3" xfId="25169" xr:uid="{409986E6-2090-4DB1-8808-7292479265B3}"/>
    <cellStyle name="Normal 6 2 4 5 3 2" xfId="45504" xr:uid="{CDA51917-2AF9-4A64-BD96-E00FFB22EB50}"/>
    <cellStyle name="Normal 6 2 4 5 4" xfId="12817" xr:uid="{85C0F1AA-94E4-49ED-BBD6-96ED343EAE9B}"/>
    <cellStyle name="Normal 6 2 4 5 4 2" xfId="33158" xr:uid="{29B8D7DC-9D4D-48D5-B331-D6AB957F7B71}"/>
    <cellStyle name="Normal 6 2 4 5 5" xfId="11626" xr:uid="{1853F7AB-F30B-4046-9E7A-8C54368E3884}"/>
    <cellStyle name="Normal 6 2 4 5 5 2" xfId="31968" xr:uid="{2D61FC07-5C2D-4529-9638-A65072411197}"/>
    <cellStyle name="Normal 6 2 4 5 6" xfId="28474" xr:uid="{51AF6E2E-BF3A-404D-94E6-AFB0A1F6AD4A}"/>
    <cellStyle name="Normal 6 2 4 6" xfId="8567" xr:uid="{1323A7B1-996E-44C7-BE9E-503CEB06F9EE}"/>
    <cellStyle name="Normal 6 2 4 6 2" xfId="15714" xr:uid="{04864D4C-D0EC-49C7-8E6E-E64160DE2501}"/>
    <cellStyle name="Normal 6 2 4 6 2 2" xfId="36054" xr:uid="{2D565617-33DA-4C1D-A707-0C187B75A772}"/>
    <cellStyle name="Normal 6 2 4 6 3" xfId="28910" xr:uid="{8D04DCAE-8A36-49ED-9E06-A1DD9854663B}"/>
    <cellStyle name="Normal 6 2 4 7" xfId="18628" xr:uid="{8E5C4A1B-5812-4FFB-9F25-EEDAE24A7F69}"/>
    <cellStyle name="Normal 6 2 4 7 2" xfId="38968" xr:uid="{6D5B8B88-BF19-4A97-8FED-FEBF8B78A343}"/>
    <cellStyle name="Normal 6 2 4 8" xfId="19216" xr:uid="{048E202E-4B5F-48F4-985E-1C0705E59185}"/>
    <cellStyle name="Normal 6 2 4 8 2" xfId="39555" xr:uid="{10074454-AFB9-4E1D-ADA9-94543F74B7A1}"/>
    <cellStyle name="Normal 6 2 4 9" xfId="22471" xr:uid="{BC1576F5-997B-427E-86D2-E849E798F53B}"/>
    <cellStyle name="Normal 6 2 4 9 2" xfId="42806" xr:uid="{6C633EE1-3B86-45D3-AC87-F7365C5FDE86}"/>
    <cellStyle name="Normal 6 2 5" xfId="5495" xr:uid="{DED07EF7-B50B-4D3A-9C33-416FAE8D19F2}"/>
    <cellStyle name="Normal 6 2 5 10" xfId="12246" xr:uid="{28C49441-CBC3-485A-9663-D181C1B773AB}"/>
    <cellStyle name="Normal 6 2 5 10 2" xfId="32587" xr:uid="{E5712FA9-32B6-4BB1-BC48-4C949E2F757F}"/>
    <cellStyle name="Normal 6 2 5 11" xfId="8985" xr:uid="{A31BEC14-4C6D-4AC2-AF2D-660AE97D2507}"/>
    <cellStyle name="Normal 6 2 5 11 2" xfId="29328" xr:uid="{0C8EDF58-D3ED-47D0-9410-F9D953A8F9E1}"/>
    <cellStyle name="Normal 6 2 5 12" xfId="25834" xr:uid="{FC7F85DC-9AC0-48D8-B4D7-D17FCE6DC69A}"/>
    <cellStyle name="Normal 6 2 5 13" xfId="46072" xr:uid="{630FF136-EC29-4720-AEE6-D4F9909141B7}"/>
    <cellStyle name="Normal 6 2 5 14" xfId="46558" xr:uid="{63082C94-60FE-4EE3-A461-7FD8F72B4E77}"/>
    <cellStyle name="Normal 6 2 5 15" xfId="47050" xr:uid="{ED487D18-6EC4-4545-AB61-472298E98F51}"/>
    <cellStyle name="Normal 6 2 5 2" xfId="6067" xr:uid="{C9E47388-830B-4FFF-8EA8-5E83F5993CAB}"/>
    <cellStyle name="Normal 6 2 5 2 2" xfId="7225" xr:uid="{12C02C9C-8770-4FEE-BD71-17CA49207D44}"/>
    <cellStyle name="Normal 6 2 5 2 2 2" xfId="17511" xr:uid="{2CD33680-BE0C-4284-AFC8-C74CAFEAB0AB}"/>
    <cellStyle name="Normal 6 2 5 2 2 2 2" xfId="37851" xr:uid="{F3939213-3093-4313-A619-EE3552CCAFFE}"/>
    <cellStyle name="Normal 6 2 5 2 2 3" xfId="21013" xr:uid="{3EEEF1D0-6C43-4471-A4BE-5A462D9D9C5A}"/>
    <cellStyle name="Normal 6 2 5 2 2 3 2" xfId="41352" xr:uid="{16280FE4-5C8C-4FB4-8A09-37661248B046}"/>
    <cellStyle name="Normal 6 2 5 2 2 4" xfId="24268" xr:uid="{AEE27ABB-8E42-4A5B-A0CB-575C67EE11D6}"/>
    <cellStyle name="Normal 6 2 5 2 2 4 2" xfId="44603" xr:uid="{D3AEFFCA-A2E6-4F64-97E4-D2176F3A663E}"/>
    <cellStyle name="Normal 6 2 5 2 2 5" xfId="14602" xr:uid="{E33E2757-BD14-4511-99B9-F91863462D4E}"/>
    <cellStyle name="Normal 6 2 5 2 2 5 2" xfId="34943" xr:uid="{D15FE9AB-96FC-454F-A77E-16F942B9B65D}"/>
    <cellStyle name="Normal 6 2 5 2 2 6" xfId="10724" xr:uid="{97C9F26E-9D6C-4154-B0AA-3B9C1C021098}"/>
    <cellStyle name="Normal 6 2 5 2 2 6 2" xfId="31067" xr:uid="{9F4B69EE-145D-4559-9575-01A90B00A26F}"/>
    <cellStyle name="Normal 6 2 5 2 2 7" xfId="27573" xr:uid="{8AA11EB2-D107-43EC-8927-2CFAFCBDD73F}"/>
    <cellStyle name="Normal 6 2 5 2 3" xfId="16353" xr:uid="{A6C9BB09-BF1D-42EC-8327-4E55F81FA880}"/>
    <cellStyle name="Normal 6 2 5 2 3 2" xfId="36693" xr:uid="{44B538A8-99E4-445D-B458-DE98637A6CB6}"/>
    <cellStyle name="Normal 6 2 5 2 4" xfId="19855" xr:uid="{7C837C1F-5218-44F2-8A79-1B5FA91FFE16}"/>
    <cellStyle name="Normal 6 2 5 2 4 2" xfId="40194" xr:uid="{715C5D66-EE9F-4794-9A86-BDC8F4735B12}"/>
    <cellStyle name="Normal 6 2 5 2 5" xfId="23110" xr:uid="{92EE1855-B9BA-4D51-8399-0B05A2E51794}"/>
    <cellStyle name="Normal 6 2 5 2 5 2" xfId="43445" xr:uid="{AD25C1A8-49C3-42E3-8566-DCA5351D757C}"/>
    <cellStyle name="Normal 6 2 5 2 6" xfId="13444" xr:uid="{2C618FC6-4D80-47ED-B7C8-A8595FA43EAD}"/>
    <cellStyle name="Normal 6 2 5 2 6 2" xfId="33785" xr:uid="{840879F6-BD9D-45F2-A99E-D75B0A18CD57}"/>
    <cellStyle name="Normal 6 2 5 2 7" xfId="9566" xr:uid="{780E473E-C2AF-453E-A92F-EE283E99E891}"/>
    <cellStyle name="Normal 6 2 5 2 7 2" xfId="29909" xr:uid="{C8E1F643-C697-4F08-9387-9BD91EA67E62}"/>
    <cellStyle name="Normal 6 2 5 2 8" xfId="26415" xr:uid="{65DAE7C7-6A58-4BAC-B1D5-1B9FD562D273}"/>
    <cellStyle name="Normal 6 2 5 3" xfId="6644" xr:uid="{8317FB64-37FE-4FCA-B124-81230499C559}"/>
    <cellStyle name="Normal 6 2 5 3 2" xfId="16930" xr:uid="{B5C18FA5-9282-42E7-A5F4-F42CDDDA1056}"/>
    <cellStyle name="Normal 6 2 5 3 2 2" xfId="37270" xr:uid="{64E21DC9-6429-466D-A2D7-3B6F823EB1F4}"/>
    <cellStyle name="Normal 6 2 5 3 3" xfId="20432" xr:uid="{CF018F79-6C4B-4537-9C61-E29A3B474EAC}"/>
    <cellStyle name="Normal 6 2 5 3 3 2" xfId="40771" xr:uid="{C18DCA87-32F9-4D0B-8BE7-4D90863856F1}"/>
    <cellStyle name="Normal 6 2 5 3 4" xfId="23687" xr:uid="{D28868AE-D1F1-4976-A8D3-0FB3DD93E6C2}"/>
    <cellStyle name="Normal 6 2 5 3 4 2" xfId="44022" xr:uid="{386EAFE0-F479-4428-9C7D-57A766DE6955}"/>
    <cellStyle name="Normal 6 2 5 3 5" xfId="14021" xr:uid="{E0BAFDF5-5E18-4BAD-9939-2B9D81ABAE4A}"/>
    <cellStyle name="Normal 6 2 5 3 5 2" xfId="34362" xr:uid="{1166FC88-C545-469B-A131-61A4E6D9596D}"/>
    <cellStyle name="Normal 6 2 5 3 6" xfId="10143" xr:uid="{02B59D56-9237-4852-9AD0-4B2098DE8528}"/>
    <cellStyle name="Normal 6 2 5 3 6 2" xfId="30486" xr:uid="{A1A1EEB5-F936-4F1D-BED6-273314AC8702}"/>
    <cellStyle name="Normal 6 2 5 3 7" xfId="26992" xr:uid="{A6FF9E01-67F7-40EA-8070-8646E4901E1A}"/>
    <cellStyle name="Normal 6 2 5 4" xfId="7808" xr:uid="{3CA88785-C28C-4DB9-8411-A4B8D3E61A5B}"/>
    <cellStyle name="Normal 6 2 5 4 2" xfId="18093" xr:uid="{E233096D-AE8A-4B42-8990-45C6AA8A7A38}"/>
    <cellStyle name="Normal 6 2 5 4 2 2" xfId="38433" xr:uid="{83A7BADC-5A49-4D1F-9809-B568CB411B6D}"/>
    <cellStyle name="Normal 6 2 5 4 3" xfId="21595" xr:uid="{7C488091-D7D7-4ECF-867A-DE71DD17ED70}"/>
    <cellStyle name="Normal 6 2 5 4 3 2" xfId="41934" xr:uid="{474BFF5D-9962-478F-A2C3-D3DF30C8D2D9}"/>
    <cellStyle name="Normal 6 2 5 4 4" xfId="24850" xr:uid="{29940C5C-EAF2-49F8-9A48-504F77EE988C}"/>
    <cellStyle name="Normal 6 2 5 4 4 2" xfId="45185" xr:uid="{14575BA1-C056-4C85-B41B-F0756859B5F2}"/>
    <cellStyle name="Normal 6 2 5 4 5" xfId="15185" xr:uid="{FCB452B9-093E-4721-9FCF-A45C106ABE96}"/>
    <cellStyle name="Normal 6 2 5 4 5 2" xfId="35525" xr:uid="{F19DE2BE-AFFC-400B-BCE6-3667220B1FD6}"/>
    <cellStyle name="Normal 6 2 5 4 6" xfId="11306" xr:uid="{0405176C-FF9A-48FE-A851-CD094B925C05}"/>
    <cellStyle name="Normal 6 2 5 4 6 2" xfId="31649" xr:uid="{44ADED0C-62F9-49FD-AB95-C3DBD0AA514F}"/>
    <cellStyle name="Normal 6 2 5 4 7" xfId="28155" xr:uid="{ADB8B059-DBAF-4A6D-9630-527C32488102}"/>
    <cellStyle name="Normal 6 2 5 5" xfId="12875" xr:uid="{C8AF581D-DF8E-4E63-82C8-72E6F47BDA55}"/>
    <cellStyle name="Normal 6 2 5 5 2" xfId="33216" xr:uid="{1A5DE714-1661-4EF8-93A5-757620FF46D6}"/>
    <cellStyle name="Normal 6 2 5 6" xfId="15772" xr:uid="{7D0B0D42-9907-4F96-B02C-974F85EB8ABD}"/>
    <cellStyle name="Normal 6 2 5 6 2" xfId="36112" xr:uid="{B3A350FA-5DD3-4C55-85D6-9A5290CFC438}"/>
    <cellStyle name="Normal 6 2 5 7" xfId="18686" xr:uid="{956A4C0E-0D6B-49F7-BBA9-5CAE13984BD5}"/>
    <cellStyle name="Normal 6 2 5 7 2" xfId="39026" xr:uid="{57F30DB0-B3B7-4BBE-B1DD-35290E058556}"/>
    <cellStyle name="Normal 6 2 5 8" xfId="19274" xr:uid="{DEE1107C-C6AC-4D49-8695-F831AA0074C1}"/>
    <cellStyle name="Normal 6 2 5 8 2" xfId="39613" xr:uid="{4DB87AB9-B87D-4593-B250-C5FA8530937E}"/>
    <cellStyle name="Normal 6 2 5 9" xfId="22529" xr:uid="{826C83B4-8FA2-42CF-B851-9020D35A9140}"/>
    <cellStyle name="Normal 6 2 5 9 2" xfId="42864" xr:uid="{2BF7C4B4-4546-4EE1-9F17-A32C0EE333D8}"/>
    <cellStyle name="Normal 6 2 6" xfId="5570" xr:uid="{D19121B5-BF64-4CE1-BBCD-940A0B538F16}"/>
    <cellStyle name="Normal 6 2 6 10" xfId="12321" xr:uid="{F1490F2F-0D92-469B-986E-17ECBAD71299}"/>
    <cellStyle name="Normal 6 2 6 10 2" xfId="32662" xr:uid="{326331C7-9BA7-4AB3-89F3-A7C4C88B1D57}"/>
    <cellStyle name="Normal 6 2 6 11" xfId="9060" xr:uid="{C7B396E6-005A-489A-B858-EBA235B9BA32}"/>
    <cellStyle name="Normal 6 2 6 11 2" xfId="29403" xr:uid="{F9275E1A-457A-484F-834F-A8D07AED8BDD}"/>
    <cellStyle name="Normal 6 2 6 12" xfId="25909" xr:uid="{EC74E9A2-0BEF-4B3B-B3A1-B74CC83C4E68}"/>
    <cellStyle name="Normal 6 2 6 2" xfId="6142" xr:uid="{54AB8702-185E-410F-B100-27C7E3C511AF}"/>
    <cellStyle name="Normal 6 2 6 2 2" xfId="7300" xr:uid="{4BC8996E-4C9A-4958-838E-8B16522E27D1}"/>
    <cellStyle name="Normal 6 2 6 2 2 2" xfId="17586" xr:uid="{B6404391-32D3-4FBE-BB85-BE9087517BA4}"/>
    <cellStyle name="Normal 6 2 6 2 2 2 2" xfId="37926" xr:uid="{07089F4B-43CA-43BB-8C01-73FD5A03AFD8}"/>
    <cellStyle name="Normal 6 2 6 2 2 3" xfId="21088" xr:uid="{8AB7A8FD-E67E-478F-8B16-38734D48929E}"/>
    <cellStyle name="Normal 6 2 6 2 2 3 2" xfId="41427" xr:uid="{A9681DD3-0EB9-4F33-BF27-E15DB3CC4C5C}"/>
    <cellStyle name="Normal 6 2 6 2 2 4" xfId="24343" xr:uid="{0639506B-D381-4DBB-977F-A1F78405F96F}"/>
    <cellStyle name="Normal 6 2 6 2 2 4 2" xfId="44678" xr:uid="{C18A5291-0935-45E0-BB32-39CD4A873F1B}"/>
    <cellStyle name="Normal 6 2 6 2 2 5" xfId="14677" xr:uid="{7EB23DF3-683D-4D64-81B4-0546424038FC}"/>
    <cellStyle name="Normal 6 2 6 2 2 5 2" xfId="35018" xr:uid="{1DA2C55B-89C3-40B0-8978-63CF50F7EF1B}"/>
    <cellStyle name="Normal 6 2 6 2 2 6" xfId="10799" xr:uid="{E235F334-BC5C-4D9A-90C7-6E5B0CAEC68E}"/>
    <cellStyle name="Normal 6 2 6 2 2 6 2" xfId="31142" xr:uid="{69005DA7-C8C3-47A2-8523-459677787C53}"/>
    <cellStyle name="Normal 6 2 6 2 2 7" xfId="27648" xr:uid="{1CFDC641-2D55-4946-974B-C3058EF2F5B7}"/>
    <cellStyle name="Normal 6 2 6 2 3" xfId="16428" xr:uid="{A187FF27-4F01-4F15-BB85-16A586508608}"/>
    <cellStyle name="Normal 6 2 6 2 3 2" xfId="36768" xr:uid="{2D28C6AB-6196-467D-9108-45FA5C953437}"/>
    <cellStyle name="Normal 6 2 6 2 4" xfId="19930" xr:uid="{951F9AF3-25B5-4B7F-A8B6-27EDE20A986D}"/>
    <cellStyle name="Normal 6 2 6 2 4 2" xfId="40269" xr:uid="{AD2091F3-50A9-4E54-AFFE-93569C2735DA}"/>
    <cellStyle name="Normal 6 2 6 2 5" xfId="23185" xr:uid="{ECF12F6F-74BB-4FA6-9073-FEA4CAB80D9D}"/>
    <cellStyle name="Normal 6 2 6 2 5 2" xfId="43520" xr:uid="{CFB76363-52B0-4EBD-9BCB-DF8865B83D0E}"/>
    <cellStyle name="Normal 6 2 6 2 6" xfId="13519" xr:uid="{24B012F3-8374-479D-87F9-677860A6114F}"/>
    <cellStyle name="Normal 6 2 6 2 6 2" xfId="33860" xr:uid="{EC93CEBB-F1D3-478F-933A-A14278CF6056}"/>
    <cellStyle name="Normal 6 2 6 2 7" xfId="9641" xr:uid="{D8311C3C-ABFF-49C0-A0EF-13A19456240D}"/>
    <cellStyle name="Normal 6 2 6 2 7 2" xfId="29984" xr:uid="{2E48DC21-ABA4-4793-ADA6-972254439446}"/>
    <cellStyle name="Normal 6 2 6 2 8" xfId="26490" xr:uid="{D5902D01-CBFF-4E48-AB98-08B5E19C87C2}"/>
    <cellStyle name="Normal 6 2 6 3" xfId="6719" xr:uid="{3B8E6E7B-A7C2-4147-A9D6-6DF39DA9D611}"/>
    <cellStyle name="Normal 6 2 6 3 2" xfId="17005" xr:uid="{26D639C2-4F8C-46C7-B047-D0DF09713D07}"/>
    <cellStyle name="Normal 6 2 6 3 2 2" xfId="37345" xr:uid="{D25758DC-CA28-439D-B36C-68035B12AC47}"/>
    <cellStyle name="Normal 6 2 6 3 3" xfId="20507" xr:uid="{6B7091FD-032D-4E2F-BBF8-42E31DBD0EB2}"/>
    <cellStyle name="Normal 6 2 6 3 3 2" xfId="40846" xr:uid="{F08731A1-8C4D-4910-94DA-BB4AD372C7F4}"/>
    <cellStyle name="Normal 6 2 6 3 4" xfId="23762" xr:uid="{E6C0AFA7-B368-4822-AEE8-1F7DF089B589}"/>
    <cellStyle name="Normal 6 2 6 3 4 2" xfId="44097" xr:uid="{D30D1AC1-131D-416F-89B1-08AAFCE88E5F}"/>
    <cellStyle name="Normal 6 2 6 3 5" xfId="14096" xr:uid="{67B047A8-2274-46A6-86DB-ADB82231BD92}"/>
    <cellStyle name="Normal 6 2 6 3 5 2" xfId="34437" xr:uid="{CF129C09-6FAA-4B8E-89D5-E0E09453698B}"/>
    <cellStyle name="Normal 6 2 6 3 6" xfId="10218" xr:uid="{C684535D-F0D9-4432-9481-7A1ECCD27749}"/>
    <cellStyle name="Normal 6 2 6 3 6 2" xfId="30561" xr:uid="{50A5846A-98B2-4DC9-A10E-3FB4559EEE97}"/>
    <cellStyle name="Normal 6 2 6 3 7" xfId="27067" xr:uid="{DFB67241-D52D-490B-8452-64E2388AD10B}"/>
    <cellStyle name="Normal 6 2 6 4" xfId="7883" xr:uid="{C995830D-A2A9-487D-BD52-15D88001617A}"/>
    <cellStyle name="Normal 6 2 6 4 2" xfId="18168" xr:uid="{2AAFFD4E-7103-4C0F-A057-4591F1DFE75A}"/>
    <cellStyle name="Normal 6 2 6 4 2 2" xfId="38508" xr:uid="{AD58B63C-B8C3-4AE9-9074-781A05D9D5F9}"/>
    <cellStyle name="Normal 6 2 6 4 3" xfId="21670" xr:uid="{81809C8B-36B6-4550-8FD4-4642C3F56730}"/>
    <cellStyle name="Normal 6 2 6 4 3 2" xfId="42009" xr:uid="{34504C64-A786-4046-AA81-830F82691801}"/>
    <cellStyle name="Normal 6 2 6 4 4" xfId="24925" xr:uid="{9D47DFE4-BA4A-4D17-ADC6-F372DF19F134}"/>
    <cellStyle name="Normal 6 2 6 4 4 2" xfId="45260" xr:uid="{32A9D5DF-FD26-423B-B9CB-8B8860636129}"/>
    <cellStyle name="Normal 6 2 6 4 5" xfId="15260" xr:uid="{56C96CE6-FC1E-43F6-BD2F-0B16F9F2C75A}"/>
    <cellStyle name="Normal 6 2 6 4 5 2" xfId="35600" xr:uid="{3E33AA66-7D3B-470A-AF5C-F2F3FE97F2B2}"/>
    <cellStyle name="Normal 6 2 6 4 6" xfId="11381" xr:uid="{FEBB818D-8D6D-40A2-A2E9-5D1BEF28DB7C}"/>
    <cellStyle name="Normal 6 2 6 4 6 2" xfId="31724" xr:uid="{B9F3D630-1581-4227-BCE1-A61303BD50AF}"/>
    <cellStyle name="Normal 6 2 6 4 7" xfId="28230" xr:uid="{05B75304-E353-462B-BCA2-A9CA64249B11}"/>
    <cellStyle name="Normal 6 2 6 5" xfId="12950" xr:uid="{F1D4846A-EE38-4216-8578-2D632843E30A}"/>
    <cellStyle name="Normal 6 2 6 5 2" xfId="33291" xr:uid="{324A30C8-0BE3-4221-8496-61157D526E8D}"/>
    <cellStyle name="Normal 6 2 6 6" xfId="15847" xr:uid="{CB26BDF6-08BC-47FE-97E2-40FF82DED2C2}"/>
    <cellStyle name="Normal 6 2 6 6 2" xfId="36187" xr:uid="{6C7F6D90-1274-4DC5-B00B-C703F7D5728E}"/>
    <cellStyle name="Normal 6 2 6 7" xfId="18761" xr:uid="{A31C9D0F-B935-45E4-9717-84A8E471452F}"/>
    <cellStyle name="Normal 6 2 6 7 2" xfId="39101" xr:uid="{26DCA3F7-F019-4CBA-BF5D-336ECC5EDEA4}"/>
    <cellStyle name="Normal 6 2 6 8" xfId="19349" xr:uid="{E793C842-3FEB-4296-8CBD-901FCA1B5F8C}"/>
    <cellStyle name="Normal 6 2 6 8 2" xfId="39688" xr:uid="{16862359-8A73-40CC-8A0E-5F13B0E87263}"/>
    <cellStyle name="Normal 6 2 6 9" xfId="22604" xr:uid="{F5DAA84B-E478-4E8B-8D79-D5A956706CBF}"/>
    <cellStyle name="Normal 6 2 6 9 2" xfId="42939" xr:uid="{29542A6F-8AA0-4BDF-A0B8-9E2CAD156D43}"/>
    <cellStyle name="Normal 6 2 7" xfId="5668" xr:uid="{D4D1EFBB-E30F-4CF0-9AC8-A39CE9A63B33}"/>
    <cellStyle name="Normal 6 2 7 10" xfId="12419" xr:uid="{E24FDB58-5EB7-4956-9DAB-2A01399169EE}"/>
    <cellStyle name="Normal 6 2 7 10 2" xfId="32760" xr:uid="{37FCFF12-2CCB-4D27-A703-E989AADA3FF0}"/>
    <cellStyle name="Normal 6 2 7 11" xfId="9158" xr:uid="{2FC73F1B-C710-44D4-B8EF-44050ABE2FBA}"/>
    <cellStyle name="Normal 6 2 7 11 2" xfId="29501" xr:uid="{FE5E9B46-365A-4DF2-A00F-EFE71A086728}"/>
    <cellStyle name="Normal 6 2 7 12" xfId="26007" xr:uid="{1C60356C-96C3-4B9F-A077-EC9902C87DC2}"/>
    <cellStyle name="Normal 6 2 7 2" xfId="6240" xr:uid="{48960D85-94D0-4327-910D-369D7DB56A84}"/>
    <cellStyle name="Normal 6 2 7 2 2" xfId="7398" xr:uid="{58FD5768-DED7-46DC-B57D-3249214EB3E6}"/>
    <cellStyle name="Normal 6 2 7 2 2 2" xfId="17684" xr:uid="{F9159C38-CCC0-4FC7-A267-FB2604E1DCDB}"/>
    <cellStyle name="Normal 6 2 7 2 2 2 2" xfId="38024" xr:uid="{BC43C8AA-D528-4512-9463-0ED6BEA7A4A1}"/>
    <cellStyle name="Normal 6 2 7 2 2 3" xfId="21186" xr:uid="{087B13DD-BDC5-4E1E-A4A6-BCFF3F4E770B}"/>
    <cellStyle name="Normal 6 2 7 2 2 3 2" xfId="41525" xr:uid="{A809F3A1-80DD-481A-B5A0-6CC4E65DCDBF}"/>
    <cellStyle name="Normal 6 2 7 2 2 4" xfId="24441" xr:uid="{74AFBBF8-637D-4972-B92A-D88CD54BA40A}"/>
    <cellStyle name="Normal 6 2 7 2 2 4 2" xfId="44776" xr:uid="{C04AF829-3D42-474E-A475-2305F85A2C86}"/>
    <cellStyle name="Normal 6 2 7 2 2 5" xfId="14775" xr:uid="{819357A7-DDD5-4C25-B19E-03E9D3DDA6D1}"/>
    <cellStyle name="Normal 6 2 7 2 2 5 2" xfId="35116" xr:uid="{62B7119D-486B-4EB7-8ACE-57D5F7562B50}"/>
    <cellStyle name="Normal 6 2 7 2 2 6" xfId="10897" xr:uid="{FD0B99CB-8781-4713-9907-5368C814F82E}"/>
    <cellStyle name="Normal 6 2 7 2 2 6 2" xfId="31240" xr:uid="{54C67DE6-37F3-4BE5-9D4E-527F2D8AC36F}"/>
    <cellStyle name="Normal 6 2 7 2 2 7" xfId="27746" xr:uid="{B9B75FC6-32C1-409C-AE8E-481EAB6BC1D0}"/>
    <cellStyle name="Normal 6 2 7 2 3" xfId="16526" xr:uid="{1785F709-46F4-4178-B176-BF31C80B94E0}"/>
    <cellStyle name="Normal 6 2 7 2 3 2" xfId="36866" xr:uid="{5120D2DD-4753-4430-94D8-00FAC5E3400A}"/>
    <cellStyle name="Normal 6 2 7 2 4" xfId="20028" xr:uid="{4C86C6C4-2D2B-45A5-BE0A-E5F8C44BE35C}"/>
    <cellStyle name="Normal 6 2 7 2 4 2" xfId="40367" xr:uid="{B0B848A1-282A-4B41-93F4-62FAEE887FC3}"/>
    <cellStyle name="Normal 6 2 7 2 5" xfId="23283" xr:uid="{7C229DDA-4FC9-4405-8B37-7FE99FBD096D}"/>
    <cellStyle name="Normal 6 2 7 2 5 2" xfId="43618" xr:uid="{06F6C997-EDBD-4296-B829-DB53954A7879}"/>
    <cellStyle name="Normal 6 2 7 2 6" xfId="13617" xr:uid="{CC122D4B-9382-444C-84FE-B4FD5747D181}"/>
    <cellStyle name="Normal 6 2 7 2 6 2" xfId="33958" xr:uid="{3C8A82E1-C620-48CE-AAC3-6FB54E16F397}"/>
    <cellStyle name="Normal 6 2 7 2 7" xfId="9739" xr:uid="{501D4192-D330-4C2C-81D4-277D83C6723B}"/>
    <cellStyle name="Normal 6 2 7 2 7 2" xfId="30082" xr:uid="{5B15F503-3C60-4114-9605-9AE55564BF82}"/>
    <cellStyle name="Normal 6 2 7 2 8" xfId="26588" xr:uid="{A915FC62-8618-4997-9058-AA9FBFAEDBF1}"/>
    <cellStyle name="Normal 6 2 7 3" xfId="6817" xr:uid="{D3BF958E-DA7E-4200-A501-83336C2A88A7}"/>
    <cellStyle name="Normal 6 2 7 3 2" xfId="17103" xr:uid="{A09D071C-7117-486D-AE74-B9ABA60F0D25}"/>
    <cellStyle name="Normal 6 2 7 3 2 2" xfId="37443" xr:uid="{5B5582D8-8A66-4A34-92D0-D84F62DE7418}"/>
    <cellStyle name="Normal 6 2 7 3 3" xfId="20605" xr:uid="{1B4D731E-E1BB-448A-870D-4EFB02C0EF4E}"/>
    <cellStyle name="Normal 6 2 7 3 3 2" xfId="40944" xr:uid="{D3CED940-27CE-46A6-83EE-AAD3C170EBFA}"/>
    <cellStyle name="Normal 6 2 7 3 4" xfId="23860" xr:uid="{0D07EA65-5E84-4D60-B227-D34F11596963}"/>
    <cellStyle name="Normal 6 2 7 3 4 2" xfId="44195" xr:uid="{47FA13D2-7273-445F-B54D-EA3B419FE764}"/>
    <cellStyle name="Normal 6 2 7 3 5" xfId="14194" xr:uid="{E0DFD905-B968-4F27-A713-64D8307C7F23}"/>
    <cellStyle name="Normal 6 2 7 3 5 2" xfId="34535" xr:uid="{1286B918-5C4F-4D06-ABD4-3F8FAA5E4E72}"/>
    <cellStyle name="Normal 6 2 7 3 6" xfId="10316" xr:uid="{2ED7EEEF-CC14-42F0-A93E-127DDC228319}"/>
    <cellStyle name="Normal 6 2 7 3 6 2" xfId="30659" xr:uid="{2E2CF005-BC94-4CE5-A66C-47EEA5037CE6}"/>
    <cellStyle name="Normal 6 2 7 3 7" xfId="27165" xr:uid="{88C90F42-BDBE-4958-9FB0-636A34828D43}"/>
    <cellStyle name="Normal 6 2 7 4" xfId="7981" xr:uid="{783924D3-BCC7-490A-AED1-A679A5FE3C97}"/>
    <cellStyle name="Normal 6 2 7 4 2" xfId="18266" xr:uid="{65065838-F818-42A1-BDB9-8BECC166F87E}"/>
    <cellStyle name="Normal 6 2 7 4 2 2" xfId="38606" xr:uid="{7D109B47-3885-4CC3-A29F-88B66E8E9BE1}"/>
    <cellStyle name="Normal 6 2 7 4 3" xfId="21768" xr:uid="{3B29FE65-E5F0-4DB4-857C-21EFB116B372}"/>
    <cellStyle name="Normal 6 2 7 4 3 2" xfId="42107" xr:uid="{F7DA292E-FF24-4381-87BB-5993D0A5FC46}"/>
    <cellStyle name="Normal 6 2 7 4 4" xfId="25023" xr:uid="{80BD4CA1-DD03-4D7F-8E95-46B7AA1289D0}"/>
    <cellStyle name="Normal 6 2 7 4 4 2" xfId="45358" xr:uid="{F0838884-780A-4719-9F02-F81EED6598A9}"/>
    <cellStyle name="Normal 6 2 7 4 5" xfId="15358" xr:uid="{AF65F018-7993-4903-AD53-79696ECE9063}"/>
    <cellStyle name="Normal 6 2 7 4 5 2" xfId="35698" xr:uid="{23429CBC-A753-4CAB-89A2-BF936AF863F2}"/>
    <cellStyle name="Normal 6 2 7 4 6" xfId="11479" xr:uid="{D6BCA525-5C61-447E-B5FB-1B39AE884CF7}"/>
    <cellStyle name="Normal 6 2 7 4 6 2" xfId="31822" xr:uid="{2C3D7EED-9C50-422E-9295-10C268D55223}"/>
    <cellStyle name="Normal 6 2 7 4 7" xfId="28328" xr:uid="{9AD041D0-991E-49D3-9235-0E3497E50769}"/>
    <cellStyle name="Normal 6 2 7 5" xfId="13048" xr:uid="{1FB18775-28C6-4EC8-BBCE-71BA8D5717AE}"/>
    <cellStyle name="Normal 6 2 7 5 2" xfId="33389" xr:uid="{8AD271DF-F954-41CD-9B90-4E186687542C}"/>
    <cellStyle name="Normal 6 2 7 6" xfId="15945" xr:uid="{5DF4814E-24D3-4414-8BA0-64D31A491B85}"/>
    <cellStyle name="Normal 6 2 7 6 2" xfId="36285" xr:uid="{94B0A0ED-4E08-4A84-B1BA-1CEF8723490A}"/>
    <cellStyle name="Normal 6 2 7 7" xfId="18859" xr:uid="{F687CEA1-137D-4D68-B904-A2D2F988AA7F}"/>
    <cellStyle name="Normal 6 2 7 7 2" xfId="39199" xr:uid="{93F916CD-7CB2-4FDF-B4FB-0C40B3CBF476}"/>
    <cellStyle name="Normal 6 2 7 8" xfId="19447" xr:uid="{E64F1852-49F5-41BC-B179-130EF15EE6E5}"/>
    <cellStyle name="Normal 6 2 7 8 2" xfId="39786" xr:uid="{892EC982-0C84-4A69-870D-A6496DEEE211}"/>
    <cellStyle name="Normal 6 2 7 9" xfId="22702" xr:uid="{243B5446-5FA2-4C1E-99E2-5AF800C58239}"/>
    <cellStyle name="Normal 6 2 7 9 2" xfId="43037" xr:uid="{BBC0D97C-C076-4744-9BC7-9FDB4BAE3EE3}"/>
    <cellStyle name="Normal 6 2 8" xfId="5798" xr:uid="{076ED9C4-3A61-4961-99B0-AFB993183B9F}"/>
    <cellStyle name="Normal 6 2 8 2" xfId="6956" xr:uid="{DDE538C0-CD66-4001-85B0-2F4472E7FEEF}"/>
    <cellStyle name="Normal 6 2 8 2 2" xfId="17242" xr:uid="{DB5F82F8-6663-43D7-9AA0-C7E5F070A608}"/>
    <cellStyle name="Normal 6 2 8 2 2 2" xfId="37582" xr:uid="{9B646129-9DFC-4379-9941-C17CD3925734}"/>
    <cellStyle name="Normal 6 2 8 2 3" xfId="20744" xr:uid="{654B5B69-3C80-4E2C-8518-EC4A1F5B51D4}"/>
    <cellStyle name="Normal 6 2 8 2 3 2" xfId="41083" xr:uid="{4119ED6E-DA02-465C-99D5-C9F993EA9959}"/>
    <cellStyle name="Normal 6 2 8 2 4" xfId="23999" xr:uid="{08A931F1-3BE6-4EA6-82A4-2702A92CC7E5}"/>
    <cellStyle name="Normal 6 2 8 2 4 2" xfId="44334" xr:uid="{216F7ACC-1105-4853-ACBB-D9E0B2E03F4B}"/>
    <cellStyle name="Normal 6 2 8 2 5" xfId="14333" xr:uid="{C910DEBC-B2ED-4688-BD75-74E548EC48A5}"/>
    <cellStyle name="Normal 6 2 8 2 5 2" xfId="34674" xr:uid="{DA5D65D8-16B5-4BEE-BE87-139DE2F2FCAF}"/>
    <cellStyle name="Normal 6 2 8 2 6" xfId="10455" xr:uid="{2C3FE7BC-88A1-4B11-B8CB-F1A3D132C47A}"/>
    <cellStyle name="Normal 6 2 8 2 6 2" xfId="30798" xr:uid="{F02660CD-9150-43D2-A6EE-85BD36195062}"/>
    <cellStyle name="Normal 6 2 8 2 7" xfId="27304" xr:uid="{169DA85E-0EB8-4BA3-9704-A45B63830B21}"/>
    <cellStyle name="Normal 6 2 8 3" xfId="16084" xr:uid="{5A8FC02D-6653-4B9E-9803-9FB3C50D05BF}"/>
    <cellStyle name="Normal 6 2 8 3 2" xfId="36424" xr:uid="{D74F2CF5-5768-45D3-A324-D384819CB423}"/>
    <cellStyle name="Normal 6 2 8 4" xfId="19586" xr:uid="{A558913C-836C-4410-9173-08F6A7CC70FB}"/>
    <cellStyle name="Normal 6 2 8 4 2" xfId="39925" xr:uid="{D71E58E0-274E-40B0-B474-439A50FF2626}"/>
    <cellStyle name="Normal 6 2 8 5" xfId="22841" xr:uid="{C72F92F4-DFCD-4EF7-B707-02C11DD1FBE7}"/>
    <cellStyle name="Normal 6 2 8 5 2" xfId="43176" xr:uid="{D818E7EF-319F-41AC-9FCA-0B057108E23B}"/>
    <cellStyle name="Normal 6 2 8 6" xfId="13183" xr:uid="{4F539661-1C12-49EE-8D36-4D059BDD9A88}"/>
    <cellStyle name="Normal 6 2 8 6 2" xfId="33524" xr:uid="{FD0E7248-F0B8-4D1B-BD27-ED73CC9751DE}"/>
    <cellStyle name="Normal 6 2 8 7" xfId="9297" xr:uid="{568A2DC3-DF9B-4F59-96F6-7742EB7F2C1B}"/>
    <cellStyle name="Normal 6 2 8 7 2" xfId="29640" xr:uid="{2D65A69D-A381-47D8-9614-F5DD52D93D75}"/>
    <cellStyle name="Normal 6 2 8 8" xfId="26146" xr:uid="{9F096F47-E3F6-4E91-B346-9D795B245437}"/>
    <cellStyle name="Normal 6 2 9" xfId="6375" xr:uid="{920AD1AD-47DF-4304-BC2B-C519D6EEEAF5}"/>
    <cellStyle name="Normal 6 2 9 2" xfId="16661" xr:uid="{27FD66E9-9E3C-4DE6-B6EA-2B7058E0696B}"/>
    <cellStyle name="Normal 6 2 9 2 2" xfId="37001" xr:uid="{46C62551-8685-49FB-AC4A-2C5AA11F31F9}"/>
    <cellStyle name="Normal 6 2 9 3" xfId="20163" xr:uid="{05F37C20-99C9-4193-85BC-F253D18FD253}"/>
    <cellStyle name="Normal 6 2 9 3 2" xfId="40502" xr:uid="{5FF84329-136D-421D-9171-5850B4B7F557}"/>
    <cellStyle name="Normal 6 2 9 4" xfId="23418" xr:uid="{991E5BD6-70CF-4AC5-A5A0-2F141DFA473A}"/>
    <cellStyle name="Normal 6 2 9 4 2" xfId="43753" xr:uid="{55A81DE1-7021-43BA-BA95-666C0B0E0BC9}"/>
    <cellStyle name="Normal 6 2 9 5" xfId="13752" xr:uid="{98C5CF8E-2B62-4D06-8098-DF4585EAA60E}"/>
    <cellStyle name="Normal 6 2 9 5 2" xfId="34093" xr:uid="{72BA7283-83C9-46C5-BB7E-4C2FCB5F715B}"/>
    <cellStyle name="Normal 6 2 9 6" xfId="9874" xr:uid="{8DEEECAE-C408-443E-9F8C-B52755E2063B}"/>
    <cellStyle name="Normal 6 2 9 6 2" xfId="30217" xr:uid="{54F56D00-90B8-4D68-ADE4-83BA77910CD1}"/>
    <cellStyle name="Normal 6 2 9 7" xfId="26723" xr:uid="{890ECB93-F0F4-46B6-9B61-DF6902285A65}"/>
    <cellStyle name="Normal 6 3" xfId="4816" xr:uid="{7AE85EE4-84B9-4488-9274-AEB4D23AB983}"/>
    <cellStyle name="Normal 6 3 10" xfId="8131" xr:uid="{6CB97972-1B9C-4CD1-9930-D547B2ABAF4B}"/>
    <cellStyle name="Normal 6 3 10 2" xfId="21918" xr:uid="{B8CC26BB-85C9-47E6-8308-3A2109043059}"/>
    <cellStyle name="Normal 6 3 10 2 2" xfId="42254" xr:uid="{892895FB-730B-4E9A-A389-8B41E036C239}"/>
    <cellStyle name="Normal 6 3 10 3" xfId="25170" xr:uid="{3384C0DC-718E-4979-9190-F0CBDE97F8D9}"/>
    <cellStyle name="Normal 6 3 10 3 2" xfId="45505" xr:uid="{24E27317-BB6B-4125-8A34-EF7104D49937}"/>
    <cellStyle name="Normal 6 3 10 4" xfId="12626" xr:uid="{CB9DADA8-4B66-4764-B899-FB5D9A55DD05}"/>
    <cellStyle name="Normal 6 3 10 4 2" xfId="32967" xr:uid="{C3D53D77-2391-4971-A80D-21D94C8820C7}"/>
    <cellStyle name="Normal 6 3 10 5" xfId="11627" xr:uid="{29F98DFE-4C64-4E12-8BFA-F07CF727B63F}"/>
    <cellStyle name="Normal 6 3 10 5 2" xfId="31969" xr:uid="{66774F4E-DFDA-48F7-9B47-D573E4EB7D42}"/>
    <cellStyle name="Normal 6 3 10 6" xfId="28475" xr:uid="{DAD0DF5A-C5BB-48BA-BD2C-E7AEE6DC824B}"/>
    <cellStyle name="Normal 6 3 11" xfId="8469" xr:uid="{A9E049AA-C600-49BB-8C4A-9BE0DE778478}"/>
    <cellStyle name="Normal 6 3 11 2" xfId="15518" xr:uid="{B5A2FC96-E2C7-41E0-B986-89E28920545E}"/>
    <cellStyle name="Normal 6 3 11 2 2" xfId="35858" xr:uid="{FF8C5794-B09F-47C4-BFC2-208A8596D521}"/>
    <cellStyle name="Normal 6 3 11 3" xfId="28812" xr:uid="{39782B63-8772-45DC-99A1-F1D9D241D3C2}"/>
    <cellStyle name="Normal 6 3 12" xfId="18432" xr:uid="{AC198B5B-C1B7-4423-8AB3-8EEFCB0AC164}"/>
    <cellStyle name="Normal 6 3 12 2" xfId="38772" xr:uid="{7B5587C6-B67A-4816-9E80-B6A55341D76F}"/>
    <cellStyle name="Normal 6 3 13" xfId="19020" xr:uid="{B244DDF6-4C29-4925-82BF-2B6D8C66FD66}"/>
    <cellStyle name="Normal 6 3 13 2" xfId="39359" xr:uid="{804014BE-848B-4D55-B1CB-42F9D994DD06}"/>
    <cellStyle name="Normal 6 3 14" xfId="22275" xr:uid="{6DF5AA7E-5C22-46D9-94B4-904445FE4268}"/>
    <cellStyle name="Normal 6 3 14 2" xfId="42610" xr:uid="{9FD9DC76-114A-48F5-AE16-9AEF485988BC}"/>
    <cellStyle name="Normal 6 3 15" xfId="11992" xr:uid="{C3F6A0B6-E059-4521-9726-FBDD7F13AB5B}"/>
    <cellStyle name="Normal 6 3 15 2" xfId="32333" xr:uid="{745D5DE7-22B6-4D1A-92C8-38011C3867AA}"/>
    <cellStyle name="Normal 6 3 16" xfId="8731" xr:uid="{74271245-B0FE-43E4-AC99-5978422468CF}"/>
    <cellStyle name="Normal 6 3 16 2" xfId="29074" xr:uid="{84F8D811-EFEC-4684-AB50-6729BD817C1F}"/>
    <cellStyle name="Normal 6 3 17" xfId="25576" xr:uid="{2FA0068C-28D6-4F4D-8650-0C9D35258AF2}"/>
    <cellStyle name="Normal 6 3 18" xfId="45844" xr:uid="{C8F81F37-621B-46C1-AC9F-1CB8ED70166A}"/>
    <cellStyle name="Normal 6 3 19" xfId="46330" xr:uid="{F5A3C97F-CE58-42E0-A764-9F9B2425B270}"/>
    <cellStyle name="Normal 6 3 2" xfId="4848" xr:uid="{2B711EA5-E73E-42B8-BE8B-F9E5318B3FF6}"/>
    <cellStyle name="Normal 6 3 2 10" xfId="22390" xr:uid="{47195BB5-3A46-4E96-BB44-E47B9B6A7BDA}"/>
    <cellStyle name="Normal 6 3 2 10 2" xfId="42725" xr:uid="{AE6F80EF-DB1D-482C-B5E3-96A4052310A3}"/>
    <cellStyle name="Normal 6 3 2 11" xfId="12107" xr:uid="{7493401D-4BE1-435A-86D5-DD690D1ED9C3}"/>
    <cellStyle name="Normal 6 3 2 11 2" xfId="32448" xr:uid="{2303AB8A-08CA-4DD8-8B3E-F589731CF780}"/>
    <cellStyle name="Normal 6 3 2 12" xfId="8846" xr:uid="{A1141BC3-656A-4541-B014-C63A9EC93C98}"/>
    <cellStyle name="Normal 6 3 2 12 2" xfId="29189" xr:uid="{5D98B9F0-C43B-4AF4-86E1-D18FC7EE2BCD}"/>
    <cellStyle name="Normal 6 3 2 13" xfId="25695" xr:uid="{2DFBD41C-320E-4C98-BD63-124AA24543C0}"/>
    <cellStyle name="Normal 6 3 2 14" xfId="45904" xr:uid="{A0676B3F-08F2-4311-9843-4AE8BAFF3E29}"/>
    <cellStyle name="Normal 6 3 2 15" xfId="46390" xr:uid="{06D8D304-A719-4A54-9E13-198A97AFAF65}"/>
    <cellStyle name="Normal 6 3 2 16" xfId="46882" xr:uid="{889D6E21-C64E-443A-884C-1381F0C595AA}"/>
    <cellStyle name="Normal 6 3 2 2" xfId="5065" xr:uid="{75957448-4EF1-46D3-83C5-3F6162A33642}"/>
    <cellStyle name="Normal 6 3 2 2 10" xfId="12494" xr:uid="{43E1074F-62EE-4851-8528-0516ED6EC554}"/>
    <cellStyle name="Normal 6 3 2 2 10 2" xfId="32835" xr:uid="{57CA10B1-F009-4948-B953-D7B825264AFF}"/>
    <cellStyle name="Normal 6 3 2 2 11" xfId="9233" xr:uid="{6EB46311-DCF2-49E5-BA4C-3D2CCFE57F5A}"/>
    <cellStyle name="Normal 6 3 2 2 11 2" xfId="29576" xr:uid="{F4F84C0D-DF70-4C30-8FEA-EB1BB3F79592}"/>
    <cellStyle name="Normal 6 3 2 2 12" xfId="26082" xr:uid="{EDD0084A-7B98-4BE7-8493-571C98413FB8}"/>
    <cellStyle name="Normal 6 3 2 2 13" xfId="45947" xr:uid="{3ED3C08F-2C7C-49FC-9B75-32BDA79B9CDE}"/>
    <cellStyle name="Normal 6 3 2 2 14" xfId="46433" xr:uid="{2A5B873F-6986-4F89-B6A1-851A97C2035D}"/>
    <cellStyle name="Normal 6 3 2 2 15" xfId="46925" xr:uid="{267308C0-ED3D-4775-9C7E-B86A83576477}"/>
    <cellStyle name="Normal 6 3 2 2 2" xfId="6315" xr:uid="{103987AA-D8B2-4B81-A3CD-C1C7F772FE73}"/>
    <cellStyle name="Normal 6 3 2 2 2 10" xfId="46676" xr:uid="{CBF33F98-D8E3-4BA8-9BDC-C76CF8E5FF83}"/>
    <cellStyle name="Normal 6 3 2 2 2 11" xfId="47168" xr:uid="{7411B161-E8C4-42B6-AAE6-E19F53F2A2C6}"/>
    <cellStyle name="Normal 6 3 2 2 2 2" xfId="7473" xr:uid="{A4216469-6AD6-44CF-9A84-4D0C0B36B164}"/>
    <cellStyle name="Normal 6 3 2 2 2 2 2" xfId="17759" xr:uid="{4733C5A0-88DA-48BB-8710-4D2E396B28FE}"/>
    <cellStyle name="Normal 6 3 2 2 2 2 2 2" xfId="38099" xr:uid="{CB0DD0A8-A065-40D9-ADD6-9BFBD7044043}"/>
    <cellStyle name="Normal 6 3 2 2 2 2 3" xfId="21261" xr:uid="{8F6CB86B-6F4E-4806-8303-D23CD5EB6B06}"/>
    <cellStyle name="Normal 6 3 2 2 2 2 3 2" xfId="41600" xr:uid="{80AAE140-F056-4031-BE5E-4A9D61D9C492}"/>
    <cellStyle name="Normal 6 3 2 2 2 2 4" xfId="24516" xr:uid="{EF09DA0E-ADE5-4E8D-9DFB-E9475CB84368}"/>
    <cellStyle name="Normal 6 3 2 2 2 2 4 2" xfId="44851" xr:uid="{1FF5BBA2-904C-4E90-BA3E-1985ABC0D43D}"/>
    <cellStyle name="Normal 6 3 2 2 2 2 5" xfId="14850" xr:uid="{F65CCEE3-4DAC-45CF-97F8-F0A6D3029CA4}"/>
    <cellStyle name="Normal 6 3 2 2 2 2 5 2" xfId="35191" xr:uid="{566011CB-56B0-4E06-ACFC-A782C5B2DAE0}"/>
    <cellStyle name="Normal 6 3 2 2 2 2 6" xfId="10972" xr:uid="{46067EBD-F932-421A-AC0D-0450B3883E21}"/>
    <cellStyle name="Normal 6 3 2 2 2 2 6 2" xfId="31315" xr:uid="{8E1ED16F-DC0A-4733-8AAF-CAB857C00E6C}"/>
    <cellStyle name="Normal 6 3 2 2 2 2 7" xfId="27821" xr:uid="{096D6405-24FE-41C1-B53A-35BE17448B70}"/>
    <cellStyle name="Normal 6 3 2 2 2 3" xfId="16601" xr:uid="{3A61E073-8B92-4B8F-BA33-1CBEC393ADF1}"/>
    <cellStyle name="Normal 6 3 2 2 2 3 2" xfId="36941" xr:uid="{3465CEDE-CC6A-4F69-B8D0-F86A8C1B8BB6}"/>
    <cellStyle name="Normal 6 3 2 2 2 4" xfId="20103" xr:uid="{659A57DA-6E73-4817-A78F-32F583192F71}"/>
    <cellStyle name="Normal 6 3 2 2 2 4 2" xfId="40442" xr:uid="{4213E212-AD13-4C2D-8679-A7D007CDB804}"/>
    <cellStyle name="Normal 6 3 2 2 2 5" xfId="23358" xr:uid="{ADC6DE01-391D-433B-AFC4-8395A0CA4635}"/>
    <cellStyle name="Normal 6 3 2 2 2 5 2" xfId="43693" xr:uid="{79510F09-316A-4CAE-B4E6-961F46BE1CE5}"/>
    <cellStyle name="Normal 6 3 2 2 2 6" xfId="13692" xr:uid="{C7F9A0DE-8D21-4506-9DEC-C54F63CB9A83}"/>
    <cellStyle name="Normal 6 3 2 2 2 6 2" xfId="34033" xr:uid="{431ABB68-FFB6-4132-996A-A8D71D112B6A}"/>
    <cellStyle name="Normal 6 3 2 2 2 7" xfId="9814" xr:uid="{01CEDB3E-41AE-4375-9774-1D53CB459514}"/>
    <cellStyle name="Normal 6 3 2 2 2 7 2" xfId="30157" xr:uid="{8C16D095-A4EA-4DE1-8BFA-19A74A903D55}"/>
    <cellStyle name="Normal 6 3 2 2 2 8" xfId="26663" xr:uid="{CF320265-DE9B-4F13-B472-4C8AFF3674DE}"/>
    <cellStyle name="Normal 6 3 2 2 2 9" xfId="46190" xr:uid="{C89EBE2B-5EE6-4C78-8D21-ABF675D31AEB}"/>
    <cellStyle name="Normal 6 3 2 2 3" xfId="6892" xr:uid="{200CDCEC-CF99-4602-B3B8-24C1ACBDFDD3}"/>
    <cellStyle name="Normal 6 3 2 2 3 2" xfId="17178" xr:uid="{F43E0D16-03D7-4BCB-8654-68F290D602B1}"/>
    <cellStyle name="Normal 6 3 2 2 3 2 2" xfId="37518" xr:uid="{9CD0ED0E-8871-4EAD-9308-174B3E41FBD7}"/>
    <cellStyle name="Normal 6 3 2 2 3 3" xfId="20680" xr:uid="{D6E6147B-5619-44D2-98C7-28A92813D881}"/>
    <cellStyle name="Normal 6 3 2 2 3 3 2" xfId="41019" xr:uid="{7785BF9C-C2EE-41FA-8387-A40F2C6BDF6B}"/>
    <cellStyle name="Normal 6 3 2 2 3 4" xfId="23935" xr:uid="{DA1BA018-322F-40A2-A607-A726C401434F}"/>
    <cellStyle name="Normal 6 3 2 2 3 4 2" xfId="44270" xr:uid="{EE1F2E51-9063-4711-8A7D-41BB46AA77F3}"/>
    <cellStyle name="Normal 6 3 2 2 3 5" xfId="14269" xr:uid="{C0477F2F-EE79-4585-BE4F-EDF8333D1775}"/>
    <cellStyle name="Normal 6 3 2 2 3 5 2" xfId="34610" xr:uid="{09686761-AA2E-4EDC-8C70-DA3C6E2A28A1}"/>
    <cellStyle name="Normal 6 3 2 2 3 6" xfId="10391" xr:uid="{9C96304C-D800-41B2-8622-F720598D269D}"/>
    <cellStyle name="Normal 6 3 2 2 3 6 2" xfId="30734" xr:uid="{26AA71D0-0991-4416-954C-C3E90BCE0844}"/>
    <cellStyle name="Normal 6 3 2 2 3 7" xfId="27240" xr:uid="{90500136-07F8-4883-BFB3-B73B0775E9A7}"/>
    <cellStyle name="Normal 6 3 2 2 4" xfId="8056" xr:uid="{346F42B9-A30A-4706-809B-25FD2723A47A}"/>
    <cellStyle name="Normal 6 3 2 2 4 2" xfId="18341" xr:uid="{1CD945BA-567D-4903-A252-39DF65B3CE06}"/>
    <cellStyle name="Normal 6 3 2 2 4 2 2" xfId="38681" xr:uid="{07D732DB-7493-4F8A-8351-C6E1C3C7FD3C}"/>
    <cellStyle name="Normal 6 3 2 2 4 3" xfId="21843" xr:uid="{90E16B26-9BCF-44E8-B699-D0522BE4EB04}"/>
    <cellStyle name="Normal 6 3 2 2 4 3 2" xfId="42182" xr:uid="{4E9DAC5A-E5DF-4495-A575-7C7E3DA34751}"/>
    <cellStyle name="Normal 6 3 2 2 4 4" xfId="25098" xr:uid="{C16186FD-3E0F-4D6B-9610-058417F80C5E}"/>
    <cellStyle name="Normal 6 3 2 2 4 4 2" xfId="45433" xr:uid="{20113AD9-987B-4D39-AC20-9A87849A0322}"/>
    <cellStyle name="Normal 6 3 2 2 4 5" xfId="15433" xr:uid="{7CD7593C-3B48-4B31-9AE2-5A04A7926707}"/>
    <cellStyle name="Normal 6 3 2 2 4 5 2" xfId="35773" xr:uid="{27BC9AC3-F2C5-4D38-84CF-2E257F1B0928}"/>
    <cellStyle name="Normal 6 3 2 2 4 6" xfId="11554" xr:uid="{B3F2BE1A-C5D4-4BE9-A74A-25D59E668E69}"/>
    <cellStyle name="Normal 6 3 2 2 4 6 2" xfId="31897" xr:uid="{E6CCA5FA-6FB5-4ABD-816F-1F320D43A416}"/>
    <cellStyle name="Normal 6 3 2 2 4 7" xfId="28403" xr:uid="{E34E73EC-6D8B-477E-99AB-0316FB1D4D57}"/>
    <cellStyle name="Normal 6 3 2 2 5" xfId="8133" xr:uid="{A2E9799D-246B-4513-A4EF-90A6E4DF98F7}"/>
    <cellStyle name="Normal 6 3 2 2 5 2" xfId="21920" xr:uid="{7F83DF8F-FADA-4C61-B83D-3014EF4DA6BA}"/>
    <cellStyle name="Normal 6 3 2 2 5 2 2" xfId="42256" xr:uid="{A39F4042-3AED-4149-996C-31D813EF03AD}"/>
    <cellStyle name="Normal 6 3 2 2 5 3" xfId="25172" xr:uid="{630B6E51-1842-40A4-940D-91BBCF530A6F}"/>
    <cellStyle name="Normal 6 3 2 2 5 3 2" xfId="45507" xr:uid="{C3CCF26B-873D-46BB-8846-BB197D2E5116}"/>
    <cellStyle name="Normal 6 3 2 2 5 4" xfId="13123" xr:uid="{8D702896-CCE1-4305-951B-9F79D573909D}"/>
    <cellStyle name="Normal 6 3 2 2 5 4 2" xfId="33464" xr:uid="{6CBF7EFD-0B19-4B2F-97A4-504B85E2AE55}"/>
    <cellStyle name="Normal 6 3 2 2 5 5" xfId="11629" xr:uid="{C44BD8FA-5B38-4FAC-9D3A-796007132CCF}"/>
    <cellStyle name="Normal 6 3 2 2 5 5 2" xfId="31971" xr:uid="{93C4A0AC-1D0F-470E-A183-B937AA14683A}"/>
    <cellStyle name="Normal 6 3 2 2 5 6" xfId="28477" xr:uid="{02E374C7-69ED-40FE-8127-F9BA510B1864}"/>
    <cellStyle name="Normal 6 3 2 2 6" xfId="8572" xr:uid="{CFD4B077-9158-44CB-BADD-26831E0F57BB}"/>
    <cellStyle name="Normal 6 3 2 2 6 2" xfId="16020" xr:uid="{F37CC3D9-1D7F-4025-BE16-1DC779355D59}"/>
    <cellStyle name="Normal 6 3 2 2 6 2 2" xfId="36360" xr:uid="{76F66BB7-F296-4032-BC4D-4DF47AD1F126}"/>
    <cellStyle name="Normal 6 3 2 2 6 3" xfId="28915" xr:uid="{1A1A88E4-A93B-47F1-9D30-6C0FDBB2BAA2}"/>
    <cellStyle name="Normal 6 3 2 2 7" xfId="18934" xr:uid="{615CC669-5652-423D-A6FA-66EADA1B9456}"/>
    <cellStyle name="Normal 6 3 2 2 7 2" xfId="39274" xr:uid="{E33508A9-9136-4DCB-B2EA-0ED9A986FA6E}"/>
    <cellStyle name="Normal 6 3 2 2 8" xfId="19522" xr:uid="{65DC263B-4786-4623-9D38-F117E571931E}"/>
    <cellStyle name="Normal 6 3 2 2 8 2" xfId="39861" xr:uid="{8F40BA66-99F6-4A37-A2BB-F918BA41C6BF}"/>
    <cellStyle name="Normal 6 3 2 2 9" xfId="22777" xr:uid="{605B5294-B3EF-42F3-8112-9E0718E9E0AF}"/>
    <cellStyle name="Normal 6 3 2 2 9 2" xfId="43112" xr:uid="{66ACEC23-9874-4730-A044-77363620EFF0}"/>
    <cellStyle name="Normal 6 3 2 3" xfId="5928" xr:uid="{3E98473F-BD9B-460E-96C6-528A6BB7953E}"/>
    <cellStyle name="Normal 6 3 2 3 10" xfId="46633" xr:uid="{4BF54E29-E41B-4525-BEE6-5CDAC65480E7}"/>
    <cellStyle name="Normal 6 3 2 3 11" xfId="47125" xr:uid="{5B56928D-31BF-4E09-B663-2FC9B28B7989}"/>
    <cellStyle name="Normal 6 3 2 3 2" xfId="7086" xr:uid="{F7891307-C523-4FE9-A32C-011C8C489C0A}"/>
    <cellStyle name="Normal 6 3 2 3 2 2" xfId="17372" xr:uid="{66864EA6-3C20-43DE-8B15-F4A15ADB1DF3}"/>
    <cellStyle name="Normal 6 3 2 3 2 2 2" xfId="37712" xr:uid="{9B25E272-53D7-4F7C-971F-62BFEF883EBE}"/>
    <cellStyle name="Normal 6 3 2 3 2 3" xfId="20874" xr:uid="{1FC75359-1095-4B40-B072-BE880E1D41C6}"/>
    <cellStyle name="Normal 6 3 2 3 2 3 2" xfId="41213" xr:uid="{5593F4C7-FF55-46E1-A092-7B1C0532458D}"/>
    <cellStyle name="Normal 6 3 2 3 2 4" xfId="24129" xr:uid="{4FAA478E-DA88-4DF1-9A61-49488BC8E107}"/>
    <cellStyle name="Normal 6 3 2 3 2 4 2" xfId="44464" xr:uid="{97BD9FE6-F76D-418A-873A-B1CF7558AB53}"/>
    <cellStyle name="Normal 6 3 2 3 2 5" xfId="14463" xr:uid="{189F55FC-07F5-4735-8E84-52FD2FA3181F}"/>
    <cellStyle name="Normal 6 3 2 3 2 5 2" xfId="34804" xr:uid="{FA8EF9CA-1A51-4EDB-85A4-7C69F6D536D8}"/>
    <cellStyle name="Normal 6 3 2 3 2 6" xfId="10585" xr:uid="{E08F81C6-FDCC-434E-B9A1-FC05E9472319}"/>
    <cellStyle name="Normal 6 3 2 3 2 6 2" xfId="30928" xr:uid="{CC74CCE4-C621-43D0-B68E-F4778AC55E04}"/>
    <cellStyle name="Normal 6 3 2 3 2 7" xfId="27434" xr:uid="{856FD013-B491-4625-912A-1DF62944D53F}"/>
    <cellStyle name="Normal 6 3 2 3 3" xfId="16214" xr:uid="{A01D0439-FB36-46DF-89B3-B906F68AEE4C}"/>
    <cellStyle name="Normal 6 3 2 3 3 2" xfId="36554" xr:uid="{9E18D185-3774-4E5F-9F5A-BEA569098E63}"/>
    <cellStyle name="Normal 6 3 2 3 4" xfId="19716" xr:uid="{CD2C67A8-32C1-4167-BDA4-61D53C780E10}"/>
    <cellStyle name="Normal 6 3 2 3 4 2" xfId="40055" xr:uid="{D5B70637-371F-4D98-AA17-5A91A8E0C0AA}"/>
    <cellStyle name="Normal 6 3 2 3 5" xfId="22971" xr:uid="{06794667-073D-4917-B433-40ADADF5F2FA}"/>
    <cellStyle name="Normal 6 3 2 3 5 2" xfId="43306" xr:uid="{20F61C89-9126-47CA-B4E1-98A02E35AD09}"/>
    <cellStyle name="Normal 6 3 2 3 6" xfId="13306" xr:uid="{0AA51F68-195A-4C95-B861-C243C0E9F772}"/>
    <cellStyle name="Normal 6 3 2 3 6 2" xfId="33647" xr:uid="{7A443059-F499-43BB-AC06-930BDAC44967}"/>
    <cellStyle name="Normal 6 3 2 3 7" xfId="9427" xr:uid="{FD6980A1-670C-4164-803F-DA96B7BD81D8}"/>
    <cellStyle name="Normal 6 3 2 3 7 2" xfId="29770" xr:uid="{7E6B9027-8201-4220-A21A-14E7EB4D7071}"/>
    <cellStyle name="Normal 6 3 2 3 8" xfId="26276" xr:uid="{575CC0EA-9E98-4079-B16D-A340D3670AD9}"/>
    <cellStyle name="Normal 6 3 2 3 9" xfId="46147" xr:uid="{B8319EF4-8C1F-4ED7-B334-5291AB288EF7}"/>
    <cellStyle name="Normal 6 3 2 4" xfId="6505" xr:uid="{864237CB-764B-4E1D-AE45-4E8E8CF32287}"/>
    <cellStyle name="Normal 6 3 2 4 2" xfId="16791" xr:uid="{A5E99DB9-E879-4BD7-87B8-F57A49176DEC}"/>
    <cellStyle name="Normal 6 3 2 4 2 2" xfId="37131" xr:uid="{B6F5A249-D1C7-4CC7-AE4B-94C69A44887F}"/>
    <cellStyle name="Normal 6 3 2 4 3" xfId="20293" xr:uid="{C2FCEECE-7330-45D3-A58F-507D0C5ED099}"/>
    <cellStyle name="Normal 6 3 2 4 3 2" xfId="40632" xr:uid="{133F33D1-0550-40CE-84A8-698C775AA9ED}"/>
    <cellStyle name="Normal 6 3 2 4 4" xfId="23548" xr:uid="{75458F1E-0F7D-4DFA-AB14-112F23A70F6C}"/>
    <cellStyle name="Normal 6 3 2 4 4 2" xfId="43883" xr:uid="{CC21301E-DCC8-49B7-A772-07175506DB70}"/>
    <cellStyle name="Normal 6 3 2 4 5" xfId="13882" xr:uid="{10538379-4E02-47DF-BA1C-AE0FB783F7D0}"/>
    <cellStyle name="Normal 6 3 2 4 5 2" xfId="34223" xr:uid="{B900A9B9-E5DC-4003-91E7-DF8A4F751044}"/>
    <cellStyle name="Normal 6 3 2 4 6" xfId="10004" xr:uid="{228D4AE6-49B3-412D-8D93-1495B79907B3}"/>
    <cellStyle name="Normal 6 3 2 4 6 2" xfId="30347" xr:uid="{F132FCB7-4AEE-4662-ACDE-2D0907A83B36}"/>
    <cellStyle name="Normal 6 3 2 4 7" xfId="26853" xr:uid="{AE5D7C3C-6655-4508-9A80-A54567529D38}"/>
    <cellStyle name="Normal 6 3 2 5" xfId="7669" xr:uid="{2BDA6C1D-8B1B-4146-974E-94FE89DD13F9}"/>
    <cellStyle name="Normal 6 3 2 5 2" xfId="17954" xr:uid="{4F22247D-078D-465C-B0DD-EE95F4783CC5}"/>
    <cellStyle name="Normal 6 3 2 5 2 2" xfId="38294" xr:uid="{CBC616F4-87C5-4C72-946A-7F09447D5B91}"/>
    <cellStyle name="Normal 6 3 2 5 3" xfId="21456" xr:uid="{49263B01-876F-449E-AEF1-44DA2A87AC7F}"/>
    <cellStyle name="Normal 6 3 2 5 3 2" xfId="41795" xr:uid="{4635373E-9E4C-4E3D-A233-BC6BF0562DE7}"/>
    <cellStyle name="Normal 6 3 2 5 4" xfId="24711" xr:uid="{D6CB4D90-7470-4D3C-BE99-0ABFDE6836A5}"/>
    <cellStyle name="Normal 6 3 2 5 4 2" xfId="45046" xr:uid="{C07FE472-D9BD-42AB-B021-11356052ED7C}"/>
    <cellStyle name="Normal 6 3 2 5 5" xfId="15046" xr:uid="{A9D84E14-7453-4AF1-9370-B15E0983570F}"/>
    <cellStyle name="Normal 6 3 2 5 5 2" xfId="35386" xr:uid="{F0B5630B-8544-406C-A640-FBD30CC8197B}"/>
    <cellStyle name="Normal 6 3 2 5 6" xfId="11167" xr:uid="{1D5BE966-A07A-4047-8170-F9FAF7EC35E7}"/>
    <cellStyle name="Normal 6 3 2 5 6 2" xfId="31510" xr:uid="{E6C8F8B8-1BE9-43BD-BA66-ADBAEF09D81B}"/>
    <cellStyle name="Normal 6 3 2 5 7" xfId="28016" xr:uid="{F2B3FB4A-9E30-4AD4-A490-9316E0085AC1}"/>
    <cellStyle name="Normal 6 3 2 6" xfId="8132" xr:uid="{CEF2805B-EBFE-40FD-911C-3738DCA0056E}"/>
    <cellStyle name="Normal 6 3 2 6 2" xfId="21919" xr:uid="{934327E8-33F2-46ED-BD8E-444705B712F9}"/>
    <cellStyle name="Normal 6 3 2 6 2 2" xfId="42255" xr:uid="{43A8C95F-2503-407F-860D-54E875EA07EF}"/>
    <cellStyle name="Normal 6 3 2 6 3" xfId="25171" xr:uid="{CF5A5558-09CC-4297-9470-E3A77EB4B4B8}"/>
    <cellStyle name="Normal 6 3 2 6 3 2" xfId="45506" xr:uid="{D0ABC907-797C-4617-B868-F1A002EC548E}"/>
    <cellStyle name="Normal 6 3 2 6 4" xfId="12737" xr:uid="{0AD2EF2A-07D4-4225-89FD-813B6B7A53D9}"/>
    <cellStyle name="Normal 6 3 2 6 4 2" xfId="33078" xr:uid="{D571B55D-E4D3-4E12-8980-3732238E02A1}"/>
    <cellStyle name="Normal 6 3 2 6 5" xfId="11628" xr:uid="{6221A573-E947-47D4-83BF-2811A9BA72C9}"/>
    <cellStyle name="Normal 6 3 2 6 5 2" xfId="31970" xr:uid="{DCF53362-4058-41AF-BEF3-34729EA6EEB6}"/>
    <cellStyle name="Normal 6 3 2 6 6" xfId="28476" xr:uid="{2CB58F09-5DB9-44DB-83B9-735BC5333DD0}"/>
    <cellStyle name="Normal 6 3 2 7" xfId="8529" xr:uid="{755F579B-9A13-4F2B-A733-8C4BEE53ADAD}"/>
    <cellStyle name="Normal 6 3 2 7 2" xfId="15633" xr:uid="{CA228424-33B2-4378-B247-C88FD2CD01DD}"/>
    <cellStyle name="Normal 6 3 2 7 2 2" xfId="35973" xr:uid="{AAC6EB39-B535-4CD9-8785-0FA6F7CE6D47}"/>
    <cellStyle name="Normal 6 3 2 7 3" xfId="28872" xr:uid="{0AE3439C-1463-4E32-90B2-FCE61B77FAD3}"/>
    <cellStyle name="Normal 6 3 2 8" xfId="18547" xr:uid="{15E47B61-6DB6-411C-AB47-AC8F3390D81B}"/>
    <cellStyle name="Normal 6 3 2 8 2" xfId="38887" xr:uid="{2B09C559-B5D5-41A7-87EC-C4DEA562777C}"/>
    <cellStyle name="Normal 6 3 2 9" xfId="19135" xr:uid="{DB9A604A-E5D2-49F3-8AF1-6811B8AD0A92}"/>
    <cellStyle name="Normal 6 3 2 9 2" xfId="39474" xr:uid="{77249BBA-A09C-47DD-B7F6-69833F91BFA7}"/>
    <cellStyle name="Normal 6 3 20" xfId="46822" xr:uid="{7EA9F2F3-6BA1-4516-AA2A-ED00A67184FD}"/>
    <cellStyle name="Normal 6 3 3" xfId="5064" xr:uid="{DF1A6BD3-0120-4027-892F-76A22AB4C77B}"/>
    <cellStyle name="Normal 6 3 3 10" xfId="12203" xr:uid="{B4A5CAB5-FC46-436A-B0F4-D8E75D9C9300}"/>
    <cellStyle name="Normal 6 3 3 10 2" xfId="32544" xr:uid="{6D79C3D5-B364-4ED5-B864-41934B4FCDD6}"/>
    <cellStyle name="Normal 6 3 3 11" xfId="8942" xr:uid="{4838F4B4-AD5C-4FF9-B5DE-4315858722E3}"/>
    <cellStyle name="Normal 6 3 3 11 2" xfId="29285" xr:uid="{88395E86-2E8D-4181-B936-A5CB25C2FEF2}"/>
    <cellStyle name="Normal 6 3 3 12" xfId="25791" xr:uid="{C406C802-FEE9-4DDF-B15C-E51EF3832695}"/>
    <cellStyle name="Normal 6 3 3 13" xfId="45946" xr:uid="{ACEB1828-5445-43AA-BEA1-81357025F26A}"/>
    <cellStyle name="Normal 6 3 3 14" xfId="46432" xr:uid="{8575BCFA-8676-482A-A054-B3C22FA5CDA8}"/>
    <cellStyle name="Normal 6 3 3 15" xfId="46924" xr:uid="{42577A2C-1757-4BF1-8984-37C98A772301}"/>
    <cellStyle name="Normal 6 3 3 2" xfId="6024" xr:uid="{C21E9E3A-F826-4E12-967F-5F37E7B3F088}"/>
    <cellStyle name="Normal 6 3 3 2 10" xfId="46675" xr:uid="{3E03871F-D2C2-448A-ADE7-9B8159A25C17}"/>
    <cellStyle name="Normal 6 3 3 2 11" xfId="47167" xr:uid="{CA50D802-E934-4D73-95CB-6E5A39B0489C}"/>
    <cellStyle name="Normal 6 3 3 2 2" xfId="7182" xr:uid="{B4565BBE-268E-4477-8837-157DAD797750}"/>
    <cellStyle name="Normal 6 3 3 2 2 2" xfId="17468" xr:uid="{DD89B5FE-83D7-48E8-AEC9-30550D97DD86}"/>
    <cellStyle name="Normal 6 3 3 2 2 2 2" xfId="37808" xr:uid="{864E883B-DB46-463D-BE8F-F7630B05F7E9}"/>
    <cellStyle name="Normal 6 3 3 2 2 3" xfId="20970" xr:uid="{87B73252-078E-4F5E-B60F-FC97AB338272}"/>
    <cellStyle name="Normal 6 3 3 2 2 3 2" xfId="41309" xr:uid="{AA0309B6-71C8-407C-A933-862CD83AD355}"/>
    <cellStyle name="Normal 6 3 3 2 2 4" xfId="24225" xr:uid="{CAB2205C-87AF-4DE0-8B2A-AD3D362C3BB1}"/>
    <cellStyle name="Normal 6 3 3 2 2 4 2" xfId="44560" xr:uid="{460E68D8-2CA2-4ED9-BC51-012096BC7987}"/>
    <cellStyle name="Normal 6 3 3 2 2 5" xfId="14559" xr:uid="{78A7C079-A551-4CD0-910B-2F5B8E6E9E0B}"/>
    <cellStyle name="Normal 6 3 3 2 2 5 2" xfId="34900" xr:uid="{E37E2228-D9A6-4ECE-A5CE-2D7B286A58EC}"/>
    <cellStyle name="Normal 6 3 3 2 2 6" xfId="10681" xr:uid="{BBFE4BA0-E93B-4B6D-BA7E-842653596054}"/>
    <cellStyle name="Normal 6 3 3 2 2 6 2" xfId="31024" xr:uid="{24215330-B65E-4DBB-AB1F-65E06BA9B350}"/>
    <cellStyle name="Normal 6 3 3 2 2 7" xfId="27530" xr:uid="{F6756B52-5185-4F93-8F8A-8532F44402F2}"/>
    <cellStyle name="Normal 6 3 3 2 3" xfId="16310" xr:uid="{578AE0F3-245F-4F4D-90C3-2E53FFBF3B26}"/>
    <cellStyle name="Normal 6 3 3 2 3 2" xfId="36650" xr:uid="{BB95C8E8-D080-453C-9C35-18514C74AA93}"/>
    <cellStyle name="Normal 6 3 3 2 4" xfId="19812" xr:uid="{A6138068-81EA-44D8-80B4-ACE1B73ED442}"/>
    <cellStyle name="Normal 6 3 3 2 4 2" xfId="40151" xr:uid="{1C4086C7-3F77-4A46-87F7-68D63FB39487}"/>
    <cellStyle name="Normal 6 3 3 2 5" xfId="23067" xr:uid="{670CED2C-D155-435C-A760-2A8040A98465}"/>
    <cellStyle name="Normal 6 3 3 2 5 2" xfId="43402" xr:uid="{6E864C06-1E26-4ADA-8A85-6C6D4CB5BD03}"/>
    <cellStyle name="Normal 6 3 3 2 6" xfId="13401" xr:uid="{78B14B39-FD80-4F5E-BE4C-F5686DA75FFB}"/>
    <cellStyle name="Normal 6 3 3 2 6 2" xfId="33742" xr:uid="{9BDC1EFE-DD6C-49B0-9C45-7A657D0D43F2}"/>
    <cellStyle name="Normal 6 3 3 2 7" xfId="9523" xr:uid="{81487A31-AAB5-4B05-99B4-71E615D8FB0D}"/>
    <cellStyle name="Normal 6 3 3 2 7 2" xfId="29866" xr:uid="{40613E37-9FDD-47F3-9388-C2E0F98DA87D}"/>
    <cellStyle name="Normal 6 3 3 2 8" xfId="26372" xr:uid="{56598C79-9476-43AD-AE47-916D1C35186B}"/>
    <cellStyle name="Normal 6 3 3 2 9" xfId="46189" xr:uid="{D39B03B3-8D92-4450-AC55-65FB247C20F1}"/>
    <cellStyle name="Normal 6 3 3 3" xfId="6601" xr:uid="{5093DB56-289B-49CC-896C-8B2969B290CA}"/>
    <cellStyle name="Normal 6 3 3 3 2" xfId="16887" xr:uid="{D5B14739-12ED-400B-842D-8AF4AFCEE811}"/>
    <cellStyle name="Normal 6 3 3 3 2 2" xfId="37227" xr:uid="{3C7011EE-122B-4463-9585-5A1F2EFF165A}"/>
    <cellStyle name="Normal 6 3 3 3 3" xfId="20389" xr:uid="{232DF329-68A9-4375-BF1A-F103C0F3777A}"/>
    <cellStyle name="Normal 6 3 3 3 3 2" xfId="40728" xr:uid="{C2FDD926-0AB5-47CE-9F58-AD71EF44770E}"/>
    <cellStyle name="Normal 6 3 3 3 4" xfId="23644" xr:uid="{A5FC7717-4042-46C0-9307-8D0FD5365F6F}"/>
    <cellStyle name="Normal 6 3 3 3 4 2" xfId="43979" xr:uid="{CB52662C-F6B6-4D2E-8134-A32E84FCABD3}"/>
    <cellStyle name="Normal 6 3 3 3 5" xfId="13978" xr:uid="{FC28225A-7083-4B44-8107-D56A3F2CDB57}"/>
    <cellStyle name="Normal 6 3 3 3 5 2" xfId="34319" xr:uid="{03EE3A03-3E51-4C14-9D68-6BC11DAA7B16}"/>
    <cellStyle name="Normal 6 3 3 3 6" xfId="10100" xr:uid="{7305118E-9657-491D-802D-6C5C1B7EFDD2}"/>
    <cellStyle name="Normal 6 3 3 3 6 2" xfId="30443" xr:uid="{29566EBA-A02C-4444-A6DD-8EBB490713CF}"/>
    <cellStyle name="Normal 6 3 3 3 7" xfId="26949" xr:uid="{8497A26E-017A-42F1-B8F0-216EA4573B89}"/>
    <cellStyle name="Normal 6 3 3 4" xfId="7765" xr:uid="{90F254F1-8135-4D6A-AAF0-2C28F7685E88}"/>
    <cellStyle name="Normal 6 3 3 4 2" xfId="18050" xr:uid="{05368BD9-444E-442C-9C56-48C804191BA5}"/>
    <cellStyle name="Normal 6 3 3 4 2 2" xfId="38390" xr:uid="{7390E25D-645A-4C00-9BD7-128F7FA355C9}"/>
    <cellStyle name="Normal 6 3 3 4 3" xfId="21552" xr:uid="{9489649E-C3EE-4A2F-9FFB-0F7E16C72C14}"/>
    <cellStyle name="Normal 6 3 3 4 3 2" xfId="41891" xr:uid="{DC7C9C0D-A739-439C-95B6-702676F32BF8}"/>
    <cellStyle name="Normal 6 3 3 4 4" xfId="24807" xr:uid="{3FEDF731-1AD4-4185-B166-0DF12AA911D7}"/>
    <cellStyle name="Normal 6 3 3 4 4 2" xfId="45142" xr:uid="{C9773870-E315-435B-8928-A52F72B8D07B}"/>
    <cellStyle name="Normal 6 3 3 4 5" xfId="15142" xr:uid="{8CE41EC5-DA17-479A-B8C7-CE3FEAFC9170}"/>
    <cellStyle name="Normal 6 3 3 4 5 2" xfId="35482" xr:uid="{9A9D02B7-3745-48C1-A6AB-D5CBE924C527}"/>
    <cellStyle name="Normal 6 3 3 4 6" xfId="11263" xr:uid="{C9E93D23-7C1F-4A3B-8874-278334861389}"/>
    <cellStyle name="Normal 6 3 3 4 6 2" xfId="31606" xr:uid="{78294E50-8EFE-4B6E-A298-C3D3D7ED2AE0}"/>
    <cellStyle name="Normal 6 3 3 4 7" xfId="28112" xr:uid="{C679AB6C-5678-4CBE-B798-A6F0545999F0}"/>
    <cellStyle name="Normal 6 3 3 5" xfId="8134" xr:uid="{50964AC9-E358-41F8-A96A-0B2808F378E4}"/>
    <cellStyle name="Normal 6 3 3 5 2" xfId="21921" xr:uid="{8B2105E3-B82C-42AB-B68A-5282A943BA3B}"/>
    <cellStyle name="Normal 6 3 3 5 2 2" xfId="42257" xr:uid="{7DD5445D-2A04-41A3-84EA-A0F69A8FA5DF}"/>
    <cellStyle name="Normal 6 3 3 5 3" xfId="25173" xr:uid="{A3BE6234-F87C-47C1-A5E7-78B1D31BAD8F}"/>
    <cellStyle name="Normal 6 3 3 5 3 2" xfId="45508" xr:uid="{4310244A-96C7-4981-BB0C-4BA7A82E9674}"/>
    <cellStyle name="Normal 6 3 3 5 4" xfId="12832" xr:uid="{9BBA0087-8BFE-4363-8421-D4DAA40B6388}"/>
    <cellStyle name="Normal 6 3 3 5 4 2" xfId="33173" xr:uid="{C66D29C9-B84A-41C6-8D28-09FCA272673F}"/>
    <cellStyle name="Normal 6 3 3 5 5" xfId="11630" xr:uid="{9F905840-B05E-4290-A3F3-1F383FEF6084}"/>
    <cellStyle name="Normal 6 3 3 5 5 2" xfId="31972" xr:uid="{BD80FED8-93BD-4341-8D47-B2F10E985AE2}"/>
    <cellStyle name="Normal 6 3 3 5 6" xfId="28478" xr:uid="{7C027EDA-E6A1-45E7-847F-4B1960B3BC81}"/>
    <cellStyle name="Normal 6 3 3 6" xfId="8571" xr:uid="{BFF89810-B0B9-4B12-A8E8-41FF7BA7C6B6}"/>
    <cellStyle name="Normal 6 3 3 6 2" xfId="15729" xr:uid="{8D21DC39-F772-4AAC-85D7-367769B5C881}"/>
    <cellStyle name="Normal 6 3 3 6 2 2" xfId="36069" xr:uid="{C1748308-9137-4A17-8262-D6F30B27C323}"/>
    <cellStyle name="Normal 6 3 3 6 3" xfId="28914" xr:uid="{615CDA29-B00F-45BF-8CC7-A6A9A3AE1559}"/>
    <cellStyle name="Normal 6 3 3 7" xfId="18643" xr:uid="{384CC8FB-42E2-4D06-B28B-6C8F8E946E7A}"/>
    <cellStyle name="Normal 6 3 3 7 2" xfId="38983" xr:uid="{749E0BF4-2F5A-4434-BA7F-399E5E85FA1E}"/>
    <cellStyle name="Normal 6 3 3 8" xfId="19231" xr:uid="{8E999EE1-9C23-43C7-8288-D1A5118BDB83}"/>
    <cellStyle name="Normal 6 3 3 8 2" xfId="39570" xr:uid="{84E74007-025F-4F1E-A44C-691BAEFE08AE}"/>
    <cellStyle name="Normal 6 3 3 9" xfId="22486" xr:uid="{1D72C8B8-449B-4BED-BBAB-24B694FE2647}"/>
    <cellStyle name="Normal 6 3 3 9 2" xfId="42821" xr:uid="{721834D9-0B99-4BF4-8075-A69F94AB4192}"/>
    <cellStyle name="Normal 6 3 4" xfId="5510" xr:uid="{15F76B6B-C1A4-4926-B1CB-E9CA7995CAE9}"/>
    <cellStyle name="Normal 6 3 4 10" xfId="12261" xr:uid="{2CB3EC1B-9832-48D5-9D31-C8EBF6F5B20A}"/>
    <cellStyle name="Normal 6 3 4 10 2" xfId="32602" xr:uid="{B4F7FBB0-6DB4-49DF-86DF-4337ED6B3E21}"/>
    <cellStyle name="Normal 6 3 4 11" xfId="9000" xr:uid="{A8C03569-45B4-4D4F-87D7-71AB1CA7ED7D}"/>
    <cellStyle name="Normal 6 3 4 11 2" xfId="29343" xr:uid="{84C78C2B-2B4A-4FFD-8C58-2F53F1358F04}"/>
    <cellStyle name="Normal 6 3 4 12" xfId="25849" xr:uid="{3DD1F30C-4BAB-45F0-A083-028148DAA85D}"/>
    <cellStyle name="Normal 6 3 4 13" xfId="46087" xr:uid="{A2FB9120-B75B-4C02-8B45-BBED8AB99B13}"/>
    <cellStyle name="Normal 6 3 4 14" xfId="46573" xr:uid="{8A1BA823-2CD9-4982-A6F6-5DB5216A3EAB}"/>
    <cellStyle name="Normal 6 3 4 15" xfId="47065" xr:uid="{ABDF4F73-35A2-4433-AF36-A2C0A7ED451C}"/>
    <cellStyle name="Normal 6 3 4 2" xfId="6082" xr:uid="{3A748DB7-FD60-44D8-A227-AE835FD2A76C}"/>
    <cellStyle name="Normal 6 3 4 2 2" xfId="7240" xr:uid="{4D13E3EB-D67D-4DE5-98FC-4145885F5B98}"/>
    <cellStyle name="Normal 6 3 4 2 2 2" xfId="17526" xr:uid="{4BEA56FD-0237-4341-B22E-957E2098FEA1}"/>
    <cellStyle name="Normal 6 3 4 2 2 2 2" xfId="37866" xr:uid="{AD48E134-6E29-488E-A52A-1E9194EE82E9}"/>
    <cellStyle name="Normal 6 3 4 2 2 3" xfId="21028" xr:uid="{814A3406-8297-4337-8E49-1912C7E908B4}"/>
    <cellStyle name="Normal 6 3 4 2 2 3 2" xfId="41367" xr:uid="{BFC13FCB-4038-4FD5-ABCE-AFB153BACF40}"/>
    <cellStyle name="Normal 6 3 4 2 2 4" xfId="24283" xr:uid="{D550AC5D-9F1D-4C56-B4F7-997E9AE53ACE}"/>
    <cellStyle name="Normal 6 3 4 2 2 4 2" xfId="44618" xr:uid="{EB5C733C-8582-43E6-A2DC-73EB9297A889}"/>
    <cellStyle name="Normal 6 3 4 2 2 5" xfId="14617" xr:uid="{CE2B949B-020E-4E5B-A9E7-3682D6A4AA1E}"/>
    <cellStyle name="Normal 6 3 4 2 2 5 2" xfId="34958" xr:uid="{FF434A3C-121A-4D2C-AFDA-5DDFD68B4265}"/>
    <cellStyle name="Normal 6 3 4 2 2 6" xfId="10739" xr:uid="{8B0FA802-9552-464D-9449-592410723E90}"/>
    <cellStyle name="Normal 6 3 4 2 2 6 2" xfId="31082" xr:uid="{B10BC4D2-7CD4-4912-9E26-44E36A65AB09}"/>
    <cellStyle name="Normal 6 3 4 2 2 7" xfId="27588" xr:uid="{558B5DDB-2B70-4F93-BA46-343A90A1A927}"/>
    <cellStyle name="Normal 6 3 4 2 3" xfId="16368" xr:uid="{8BC52B8F-0BB3-4500-99F3-DFAF27922896}"/>
    <cellStyle name="Normal 6 3 4 2 3 2" xfId="36708" xr:uid="{7709D29F-5729-4DB0-8396-1CC8BB0A00A1}"/>
    <cellStyle name="Normal 6 3 4 2 4" xfId="19870" xr:uid="{EBFC0086-1269-4D52-B3AE-D912EB4C6F9C}"/>
    <cellStyle name="Normal 6 3 4 2 4 2" xfId="40209" xr:uid="{421771D1-733B-49A1-ADD1-17D097A8A8F6}"/>
    <cellStyle name="Normal 6 3 4 2 5" xfId="23125" xr:uid="{F3514A6C-FCD2-4027-9F5D-67426522E4C1}"/>
    <cellStyle name="Normal 6 3 4 2 5 2" xfId="43460" xr:uid="{ECFC8129-A9E6-4FCE-B95E-25DAEBE2DC75}"/>
    <cellStyle name="Normal 6 3 4 2 6" xfId="13459" xr:uid="{4671AA72-F893-4AB4-8488-D3D4C5B05B9E}"/>
    <cellStyle name="Normal 6 3 4 2 6 2" xfId="33800" xr:uid="{77DE6C17-BB19-446F-B539-AF98BDC00A31}"/>
    <cellStyle name="Normal 6 3 4 2 7" xfId="9581" xr:uid="{9C518510-F5CE-4083-99B1-AB42A1F84434}"/>
    <cellStyle name="Normal 6 3 4 2 7 2" xfId="29924" xr:uid="{5C233822-B8FA-413F-BB55-0F18DFEE2728}"/>
    <cellStyle name="Normal 6 3 4 2 8" xfId="26430" xr:uid="{AD2438D4-FD59-43BC-BD64-BA18C79D758A}"/>
    <cellStyle name="Normal 6 3 4 3" xfId="6659" xr:uid="{76E81355-2FDC-4CFB-A5AB-2BC91672C5BC}"/>
    <cellStyle name="Normal 6 3 4 3 2" xfId="16945" xr:uid="{216844FC-16F5-4E45-B8C6-F0884D40D7CA}"/>
    <cellStyle name="Normal 6 3 4 3 2 2" xfId="37285" xr:uid="{FF0CAE28-4E96-4287-A048-EB6EC30239ED}"/>
    <cellStyle name="Normal 6 3 4 3 3" xfId="20447" xr:uid="{3079A50E-95FF-4047-A7F1-3133C9D5737D}"/>
    <cellStyle name="Normal 6 3 4 3 3 2" xfId="40786" xr:uid="{575F6D43-3C35-4A3B-A486-E45BFDC9EDEA}"/>
    <cellStyle name="Normal 6 3 4 3 4" xfId="23702" xr:uid="{AD7894CA-6FF4-4259-8549-F100134E00F5}"/>
    <cellStyle name="Normal 6 3 4 3 4 2" xfId="44037" xr:uid="{99A06EB9-F7AF-4BA3-8E74-A9F70CCB7B51}"/>
    <cellStyle name="Normal 6 3 4 3 5" xfId="14036" xr:uid="{86AFE378-3BEA-4AD9-95CB-954691B42ECB}"/>
    <cellStyle name="Normal 6 3 4 3 5 2" xfId="34377" xr:uid="{1CDCFE04-7487-4495-9583-2FC0EBA6D836}"/>
    <cellStyle name="Normal 6 3 4 3 6" xfId="10158" xr:uid="{BEC00A2D-2D4A-4B78-8EF0-6E9FBCC5F2BC}"/>
    <cellStyle name="Normal 6 3 4 3 6 2" xfId="30501" xr:uid="{3598244F-2AB3-4C3C-B3F6-FDBC4C2582A6}"/>
    <cellStyle name="Normal 6 3 4 3 7" xfId="27007" xr:uid="{E9F28AA0-FE41-4C61-92CE-C33056CB1EF4}"/>
    <cellStyle name="Normal 6 3 4 4" xfId="7823" xr:uid="{BDA6C0EE-3330-42BD-A3FA-6BE8A4631374}"/>
    <cellStyle name="Normal 6 3 4 4 2" xfId="18108" xr:uid="{CABD1EF7-EC24-4122-AA44-ADA4DBD02C1E}"/>
    <cellStyle name="Normal 6 3 4 4 2 2" xfId="38448" xr:uid="{65643A10-E25A-4EE7-B487-8097EA44E5F3}"/>
    <cellStyle name="Normal 6 3 4 4 3" xfId="21610" xr:uid="{FE9A2BE4-B148-4B44-A20D-58B3CFE2AD2F}"/>
    <cellStyle name="Normal 6 3 4 4 3 2" xfId="41949" xr:uid="{9C1FBEB6-04A2-458F-A791-0FDACFA15D44}"/>
    <cellStyle name="Normal 6 3 4 4 4" xfId="24865" xr:uid="{D8957AA3-D7EE-4634-856A-D69ED4B463A1}"/>
    <cellStyle name="Normal 6 3 4 4 4 2" xfId="45200" xr:uid="{792525D8-FE6E-4112-891A-623F478A06E4}"/>
    <cellStyle name="Normal 6 3 4 4 5" xfId="15200" xr:uid="{AD1109BE-BB61-4F53-9275-6B1ACC10FA70}"/>
    <cellStyle name="Normal 6 3 4 4 5 2" xfId="35540" xr:uid="{F5BC1A6A-A165-4340-AC9D-0E097A8AA641}"/>
    <cellStyle name="Normal 6 3 4 4 6" xfId="11321" xr:uid="{8DC52954-F345-4F3C-859B-6B01C8824372}"/>
    <cellStyle name="Normal 6 3 4 4 6 2" xfId="31664" xr:uid="{43F0993B-A301-4FC8-861A-A26B15FF62AA}"/>
    <cellStyle name="Normal 6 3 4 4 7" xfId="28170" xr:uid="{35FE1752-1461-4DC6-94A0-792589CB1500}"/>
    <cellStyle name="Normal 6 3 4 5" xfId="12890" xr:uid="{CA5718EA-6871-4D3D-9A0D-1D3BDED46F63}"/>
    <cellStyle name="Normal 6 3 4 5 2" xfId="33231" xr:uid="{C02A6257-376A-4EDB-8498-D2F873836813}"/>
    <cellStyle name="Normal 6 3 4 6" xfId="15787" xr:uid="{77FA45C9-FFB6-4C4F-994C-9CCFD69AA115}"/>
    <cellStyle name="Normal 6 3 4 6 2" xfId="36127" xr:uid="{3DA09DA9-F88B-4DB3-9A4E-18D570D95436}"/>
    <cellStyle name="Normal 6 3 4 7" xfId="18701" xr:uid="{750FCF1E-396C-420D-B4CF-54A1287A5A6B}"/>
    <cellStyle name="Normal 6 3 4 7 2" xfId="39041" xr:uid="{C8F112B7-D573-4532-8235-27E38FB58E78}"/>
    <cellStyle name="Normal 6 3 4 8" xfId="19289" xr:uid="{84C447D4-74FD-442C-A3D2-3DF92C32A89F}"/>
    <cellStyle name="Normal 6 3 4 8 2" xfId="39628" xr:uid="{0599A559-DB6D-486C-B2AC-BA0C177E97F0}"/>
    <cellStyle name="Normal 6 3 4 9" xfId="22544" xr:uid="{6744EBC4-3391-4A4C-B2F7-D5F8AB001E80}"/>
    <cellStyle name="Normal 6 3 4 9 2" xfId="42879" xr:uid="{5E4AA4CE-611A-49BF-9364-E130C7BAFAA6}"/>
    <cellStyle name="Normal 6 3 5" xfId="5585" xr:uid="{3E13AD87-B346-4DF2-A63C-FB53EA4811E7}"/>
    <cellStyle name="Normal 6 3 5 10" xfId="12336" xr:uid="{EACA48AA-5730-4B02-B9F2-DD03ADEA629B}"/>
    <cellStyle name="Normal 6 3 5 10 2" xfId="32677" xr:uid="{E0762219-CE7F-407B-B147-C56E33DE1948}"/>
    <cellStyle name="Normal 6 3 5 11" xfId="9075" xr:uid="{6C4AA8A8-EF75-480C-AE14-4AECF94FBD31}"/>
    <cellStyle name="Normal 6 3 5 11 2" xfId="29418" xr:uid="{73A5601D-2FF6-493B-91B0-7E4F56076E26}"/>
    <cellStyle name="Normal 6 3 5 12" xfId="25924" xr:uid="{AEB98115-053D-44FE-BE87-DC164C45A8A0}"/>
    <cellStyle name="Normal 6 3 5 2" xfId="6157" xr:uid="{0BDE4693-00E0-4E52-BD98-F48B9DC8776F}"/>
    <cellStyle name="Normal 6 3 5 2 2" xfId="7315" xr:uid="{986DAA78-8DF4-4BE7-8469-327709765FD6}"/>
    <cellStyle name="Normal 6 3 5 2 2 2" xfId="17601" xr:uid="{4B76FF9F-4A73-401D-8D04-8C45E2EB66CB}"/>
    <cellStyle name="Normal 6 3 5 2 2 2 2" xfId="37941" xr:uid="{3C073646-331F-40FA-89E1-CFC9E6EF0632}"/>
    <cellStyle name="Normal 6 3 5 2 2 3" xfId="21103" xr:uid="{A853B153-E9B4-4E9C-A7A6-14A296E594E7}"/>
    <cellStyle name="Normal 6 3 5 2 2 3 2" xfId="41442" xr:uid="{C9C112D5-C0CB-45EF-9A8D-96F08CD96D2E}"/>
    <cellStyle name="Normal 6 3 5 2 2 4" xfId="24358" xr:uid="{B251702D-25E8-4FD3-8788-92F88026DDFA}"/>
    <cellStyle name="Normal 6 3 5 2 2 4 2" xfId="44693" xr:uid="{4A7FAC81-737F-47DA-9FEB-736D295D1041}"/>
    <cellStyle name="Normal 6 3 5 2 2 5" xfId="14692" xr:uid="{B4ECF88F-3134-429B-9276-85D4F476DE62}"/>
    <cellStyle name="Normal 6 3 5 2 2 5 2" xfId="35033" xr:uid="{D5AFE55F-4A70-4390-8D5F-0114D33F96CE}"/>
    <cellStyle name="Normal 6 3 5 2 2 6" xfId="10814" xr:uid="{C45F0626-CA86-41C8-9BF3-9E8F5A096E40}"/>
    <cellStyle name="Normal 6 3 5 2 2 6 2" xfId="31157" xr:uid="{0081E3B6-20DE-4908-8209-EC8037B85CB8}"/>
    <cellStyle name="Normal 6 3 5 2 2 7" xfId="27663" xr:uid="{D6ABDAA1-00DB-4BA4-9335-992C8476F191}"/>
    <cellStyle name="Normal 6 3 5 2 3" xfId="16443" xr:uid="{DC2CF3C9-1E0A-47F2-A3D9-6D1CD62C253B}"/>
    <cellStyle name="Normal 6 3 5 2 3 2" xfId="36783" xr:uid="{73080AA8-011D-4759-8144-18DEBBEAA601}"/>
    <cellStyle name="Normal 6 3 5 2 4" xfId="19945" xr:uid="{BF349964-63EE-4C73-A94D-B28E545EAEE3}"/>
    <cellStyle name="Normal 6 3 5 2 4 2" xfId="40284" xr:uid="{07D90950-0BEE-4719-A0DB-A8012E410FB2}"/>
    <cellStyle name="Normal 6 3 5 2 5" xfId="23200" xr:uid="{7C5B1EC2-0394-4C11-8D9A-451CBB93CCEB}"/>
    <cellStyle name="Normal 6 3 5 2 5 2" xfId="43535" xr:uid="{ACF9E24C-3160-4E47-A8FA-E54649EDB4C0}"/>
    <cellStyle name="Normal 6 3 5 2 6" xfId="13534" xr:uid="{41BBFBA2-5C0B-4B9E-9D5E-7AD7641D73AD}"/>
    <cellStyle name="Normal 6 3 5 2 6 2" xfId="33875" xr:uid="{716A02F8-8536-4874-A03C-DC5BE43497A8}"/>
    <cellStyle name="Normal 6 3 5 2 7" xfId="9656" xr:uid="{DEC30649-A2D1-416E-8FD1-8EA7E1D0DFF9}"/>
    <cellStyle name="Normal 6 3 5 2 7 2" xfId="29999" xr:uid="{D0247D22-866D-4BE7-96B5-A279D946F951}"/>
    <cellStyle name="Normal 6 3 5 2 8" xfId="26505" xr:uid="{0EDE507B-20C9-4CC8-940D-F17E1E5A3C3A}"/>
    <cellStyle name="Normal 6 3 5 3" xfId="6734" xr:uid="{0CFD01F2-1244-49A1-B81A-33FF27E02EF5}"/>
    <cellStyle name="Normal 6 3 5 3 2" xfId="17020" xr:uid="{C1A71311-46B5-4A75-93A2-4D4ECCC7D842}"/>
    <cellStyle name="Normal 6 3 5 3 2 2" xfId="37360" xr:uid="{AB048CC0-B7E2-44AE-B647-9C63E29D134D}"/>
    <cellStyle name="Normal 6 3 5 3 3" xfId="20522" xr:uid="{F3C05822-56EC-467C-B9C3-C49F1D1E5F39}"/>
    <cellStyle name="Normal 6 3 5 3 3 2" xfId="40861" xr:uid="{A64E3686-B502-4F32-A3EE-0AD69769A5D7}"/>
    <cellStyle name="Normal 6 3 5 3 4" xfId="23777" xr:uid="{8A2DBBC5-676A-46AF-BF0F-3C17E3C32A17}"/>
    <cellStyle name="Normal 6 3 5 3 4 2" xfId="44112" xr:uid="{8C1CED72-7CA9-4096-8897-9D92A78FB551}"/>
    <cellStyle name="Normal 6 3 5 3 5" xfId="14111" xr:uid="{3F281A83-C715-480E-A037-72B1CB83349C}"/>
    <cellStyle name="Normal 6 3 5 3 5 2" xfId="34452" xr:uid="{D88960EF-CB95-4BFE-80CC-87B2960FC82A}"/>
    <cellStyle name="Normal 6 3 5 3 6" xfId="10233" xr:uid="{18EA075E-9521-4092-99B9-B8AA9C4BCB2D}"/>
    <cellStyle name="Normal 6 3 5 3 6 2" xfId="30576" xr:uid="{C5858AFD-D21B-4D5B-9EBC-09A1E5722AC4}"/>
    <cellStyle name="Normal 6 3 5 3 7" xfId="27082" xr:uid="{FBE1E015-BE64-4E35-99DA-0BA7FF98F1AE}"/>
    <cellStyle name="Normal 6 3 5 4" xfId="7898" xr:uid="{A1951773-8F2C-4EBC-A42C-68F0AAE68325}"/>
    <cellStyle name="Normal 6 3 5 4 2" xfId="18183" xr:uid="{7FA5FF28-FDCA-4F49-9937-37198A49924C}"/>
    <cellStyle name="Normal 6 3 5 4 2 2" xfId="38523" xr:uid="{7FB4B3FD-2BD0-4353-83FF-C41046145435}"/>
    <cellStyle name="Normal 6 3 5 4 3" xfId="21685" xr:uid="{7345977D-DF47-4FDF-9A76-380463193DBC}"/>
    <cellStyle name="Normal 6 3 5 4 3 2" xfId="42024" xr:uid="{E7AB5868-47AA-414E-BF2C-FC08857F5FE6}"/>
    <cellStyle name="Normal 6 3 5 4 4" xfId="24940" xr:uid="{AFFBD833-0806-401C-8D1E-DB6053E17C87}"/>
    <cellStyle name="Normal 6 3 5 4 4 2" xfId="45275" xr:uid="{7A1A4EAF-A3E7-42CD-9AF5-F2F61177B82F}"/>
    <cellStyle name="Normal 6 3 5 4 5" xfId="15275" xr:uid="{A9D4D59D-9682-421D-B535-5D2C1A83C2B5}"/>
    <cellStyle name="Normal 6 3 5 4 5 2" xfId="35615" xr:uid="{A5C84BCF-32A0-4BF1-AFA1-AF49590A113A}"/>
    <cellStyle name="Normal 6 3 5 4 6" xfId="11396" xr:uid="{C3E3ECAD-CF72-4BAD-AEE9-D034B47A0D62}"/>
    <cellStyle name="Normal 6 3 5 4 6 2" xfId="31739" xr:uid="{258592D5-4976-43C2-9946-516B1BE70EBA}"/>
    <cellStyle name="Normal 6 3 5 4 7" xfId="28245" xr:uid="{DFB14382-A1A2-4262-BE84-DF177DD69E9A}"/>
    <cellStyle name="Normal 6 3 5 5" xfId="12965" xr:uid="{A33EDE1D-B40E-4759-A667-7E0C5CC44164}"/>
    <cellStyle name="Normal 6 3 5 5 2" xfId="33306" xr:uid="{5CA9E870-4D1D-40FE-B267-033FE8D536E3}"/>
    <cellStyle name="Normal 6 3 5 6" xfId="15862" xr:uid="{78AC94E7-00C0-4729-8E6E-08CDF2F2BFBD}"/>
    <cellStyle name="Normal 6 3 5 6 2" xfId="36202" xr:uid="{C35E920F-739A-4176-BC58-A925B90942B6}"/>
    <cellStyle name="Normal 6 3 5 7" xfId="18776" xr:uid="{D09393F8-E28F-44A5-A1A3-947CE193BC41}"/>
    <cellStyle name="Normal 6 3 5 7 2" xfId="39116" xr:uid="{AD8E2BD0-138A-4BD4-BB02-42BC2D99C549}"/>
    <cellStyle name="Normal 6 3 5 8" xfId="19364" xr:uid="{0C9AC5DF-E89D-4367-9CD2-4F8F2706F640}"/>
    <cellStyle name="Normal 6 3 5 8 2" xfId="39703" xr:uid="{F965354F-E6F5-489F-BC53-DD6BB6008033}"/>
    <cellStyle name="Normal 6 3 5 9" xfId="22619" xr:uid="{F2E759F2-CFF7-4C53-B55D-016C415669DA}"/>
    <cellStyle name="Normal 6 3 5 9 2" xfId="42954" xr:uid="{3E5F9050-EDB7-4ED0-86ED-4CD23F612AD8}"/>
    <cellStyle name="Normal 6 3 6" xfId="5683" xr:uid="{7A8947C5-75B7-4B7E-A243-03A686D5F5AE}"/>
    <cellStyle name="Normal 6 3 6 10" xfId="12434" xr:uid="{46CD1941-E02D-4D15-8F95-8B33A8DE0F30}"/>
    <cellStyle name="Normal 6 3 6 10 2" xfId="32775" xr:uid="{E39A16B6-3160-4642-B1EB-E7F0B421EABC}"/>
    <cellStyle name="Normal 6 3 6 11" xfId="9173" xr:uid="{81A5F548-B21C-418B-B30D-5F9432084583}"/>
    <cellStyle name="Normal 6 3 6 11 2" xfId="29516" xr:uid="{F43CE6E0-376D-4669-9286-4AA8C1DDE9C6}"/>
    <cellStyle name="Normal 6 3 6 12" xfId="26022" xr:uid="{60CF23D0-8C0E-4AC8-9639-0E6596B6220A}"/>
    <cellStyle name="Normal 6 3 6 2" xfId="6255" xr:uid="{2AE5B171-CDD0-460B-A9AB-E5C59740840F}"/>
    <cellStyle name="Normal 6 3 6 2 2" xfId="7413" xr:uid="{950F07C8-118B-46AF-9E64-B403DB4B7C18}"/>
    <cellStyle name="Normal 6 3 6 2 2 2" xfId="17699" xr:uid="{B77064C4-796E-4496-B422-C5376D9A7B0A}"/>
    <cellStyle name="Normal 6 3 6 2 2 2 2" xfId="38039" xr:uid="{D5750864-6D47-4BD2-ABCF-C0DDA9DE30DF}"/>
    <cellStyle name="Normal 6 3 6 2 2 3" xfId="21201" xr:uid="{59BC0195-1CD7-4CD9-B8C0-912C20333188}"/>
    <cellStyle name="Normal 6 3 6 2 2 3 2" xfId="41540" xr:uid="{9E7B5B76-3600-4572-A868-711660283797}"/>
    <cellStyle name="Normal 6 3 6 2 2 4" xfId="24456" xr:uid="{009AB405-0FEE-4D7E-A182-F375FC14449E}"/>
    <cellStyle name="Normal 6 3 6 2 2 4 2" xfId="44791" xr:uid="{AE16651C-6CAD-48E6-9185-852B3D3616B6}"/>
    <cellStyle name="Normal 6 3 6 2 2 5" xfId="14790" xr:uid="{BF882058-1F39-410F-B5BC-0674A0A1E546}"/>
    <cellStyle name="Normal 6 3 6 2 2 5 2" xfId="35131" xr:uid="{2BA0F916-698E-4A5F-9491-E201E8239164}"/>
    <cellStyle name="Normal 6 3 6 2 2 6" xfId="10912" xr:uid="{97AF6829-F217-467B-AA95-99AFAD924FA8}"/>
    <cellStyle name="Normal 6 3 6 2 2 6 2" xfId="31255" xr:uid="{1020A830-0198-4BFC-B198-A0A094C84D3F}"/>
    <cellStyle name="Normal 6 3 6 2 2 7" xfId="27761" xr:uid="{3FF3FD0B-B4E6-44DA-AE66-F19CE702AEC5}"/>
    <cellStyle name="Normal 6 3 6 2 3" xfId="16541" xr:uid="{B7A8EFEF-33C9-4F9C-9C02-C5C88EFBA461}"/>
    <cellStyle name="Normal 6 3 6 2 3 2" xfId="36881" xr:uid="{C61DA231-E6C2-44F7-BBA8-149F6FF903EF}"/>
    <cellStyle name="Normal 6 3 6 2 4" xfId="20043" xr:uid="{0E9B40D5-0D1F-49D8-857D-4184105AF3CD}"/>
    <cellStyle name="Normal 6 3 6 2 4 2" xfId="40382" xr:uid="{97C740BC-572D-4304-80A4-70CCF6D6B397}"/>
    <cellStyle name="Normal 6 3 6 2 5" xfId="23298" xr:uid="{04C308F6-4860-4617-95CD-46264FE6F02F}"/>
    <cellStyle name="Normal 6 3 6 2 5 2" xfId="43633" xr:uid="{489DFD53-6FDC-42C4-B852-6A75693FCF56}"/>
    <cellStyle name="Normal 6 3 6 2 6" xfId="13632" xr:uid="{EC0ADE88-DD95-4C7F-8ED2-FBA88891298D}"/>
    <cellStyle name="Normal 6 3 6 2 6 2" xfId="33973" xr:uid="{93B21D29-AAB5-42C1-82CD-7F9C6B3ADFCA}"/>
    <cellStyle name="Normal 6 3 6 2 7" xfId="9754" xr:uid="{AFEAE171-1F8D-42C3-94D2-4AA1160919A5}"/>
    <cellStyle name="Normal 6 3 6 2 7 2" xfId="30097" xr:uid="{A051EADE-847D-466C-B296-6CC46AF1B0B1}"/>
    <cellStyle name="Normal 6 3 6 2 8" xfId="26603" xr:uid="{0E1EA25E-7437-4784-8E61-84B6D7D546D4}"/>
    <cellStyle name="Normal 6 3 6 3" xfId="6832" xr:uid="{D5924852-B8BC-4504-9A1C-76265A603EBD}"/>
    <cellStyle name="Normal 6 3 6 3 2" xfId="17118" xr:uid="{64676A1E-AA10-4336-9924-E8ABF25E69BC}"/>
    <cellStyle name="Normal 6 3 6 3 2 2" xfId="37458" xr:uid="{674898C5-0900-47C8-BA8C-CFD6DA413BF1}"/>
    <cellStyle name="Normal 6 3 6 3 3" xfId="20620" xr:uid="{78CE786A-AD32-46F9-97A8-B35ED7AEB8D4}"/>
    <cellStyle name="Normal 6 3 6 3 3 2" xfId="40959" xr:uid="{4A12B2E3-8F03-4144-8122-FF0A6902E5F5}"/>
    <cellStyle name="Normal 6 3 6 3 4" xfId="23875" xr:uid="{9069949C-62BA-44A8-AC62-DAA9F23064F4}"/>
    <cellStyle name="Normal 6 3 6 3 4 2" xfId="44210" xr:uid="{30F0F299-D5B6-4530-8AC4-A18877250485}"/>
    <cellStyle name="Normal 6 3 6 3 5" xfId="14209" xr:uid="{8BD98C42-BE6F-4CCC-BC0D-DF09FCFF0A80}"/>
    <cellStyle name="Normal 6 3 6 3 5 2" xfId="34550" xr:uid="{7D62F22F-23BC-4EC7-B865-50DB894F4D8F}"/>
    <cellStyle name="Normal 6 3 6 3 6" xfId="10331" xr:uid="{AD989591-3F37-44D4-87F8-E38647CCEB2C}"/>
    <cellStyle name="Normal 6 3 6 3 6 2" xfId="30674" xr:uid="{5D487120-B0FB-486E-A1C5-A15516C744E5}"/>
    <cellStyle name="Normal 6 3 6 3 7" xfId="27180" xr:uid="{FB00C60F-197E-4211-BAE9-F83752395257}"/>
    <cellStyle name="Normal 6 3 6 4" xfId="7996" xr:uid="{C8474125-89BA-4C7D-A810-A276333251CB}"/>
    <cellStyle name="Normal 6 3 6 4 2" xfId="18281" xr:uid="{B36F805C-F578-4DBB-9431-B1819CCDFF40}"/>
    <cellStyle name="Normal 6 3 6 4 2 2" xfId="38621" xr:uid="{3C101D44-02A3-4756-B6A1-209489E2FDDD}"/>
    <cellStyle name="Normal 6 3 6 4 3" xfId="21783" xr:uid="{913594DF-8379-4665-B210-5A9A239C4BA6}"/>
    <cellStyle name="Normal 6 3 6 4 3 2" xfId="42122" xr:uid="{D3B267DC-ECE0-4674-9634-0331125971D6}"/>
    <cellStyle name="Normal 6 3 6 4 4" xfId="25038" xr:uid="{E67A5663-49D9-4327-AB11-2F5B3FD9A2EE}"/>
    <cellStyle name="Normal 6 3 6 4 4 2" xfId="45373" xr:uid="{39659026-7A0A-40E5-B996-107ED8E458DC}"/>
    <cellStyle name="Normal 6 3 6 4 5" xfId="15373" xr:uid="{D3B15D0A-D8F3-4B49-90F3-CC2C966108F9}"/>
    <cellStyle name="Normal 6 3 6 4 5 2" xfId="35713" xr:uid="{D8E3D9A7-7D49-4798-874D-02EEFB217A09}"/>
    <cellStyle name="Normal 6 3 6 4 6" xfId="11494" xr:uid="{AD6F9CE3-1F99-4783-8BA5-B1B48BA00CBD}"/>
    <cellStyle name="Normal 6 3 6 4 6 2" xfId="31837" xr:uid="{1B3DC26D-E5C2-45EE-B8D5-72FBEE2712E8}"/>
    <cellStyle name="Normal 6 3 6 4 7" xfId="28343" xr:uid="{0F3722F0-E434-42BC-B5C1-F16792CE5E08}"/>
    <cellStyle name="Normal 6 3 6 5" xfId="13063" xr:uid="{FA605461-4BEE-4096-8841-B0B934D721EC}"/>
    <cellStyle name="Normal 6 3 6 5 2" xfId="33404" xr:uid="{B0A66FA8-B82C-453F-BC43-A33B20D4ED2C}"/>
    <cellStyle name="Normal 6 3 6 6" xfId="15960" xr:uid="{077EB3CD-EA82-4656-8DEA-B6A6CA87279F}"/>
    <cellStyle name="Normal 6 3 6 6 2" xfId="36300" xr:uid="{CB57CE2D-849B-4242-B22C-6F7C93304497}"/>
    <cellStyle name="Normal 6 3 6 7" xfId="18874" xr:uid="{3C92E360-56D4-4C4A-A208-E13851724413}"/>
    <cellStyle name="Normal 6 3 6 7 2" xfId="39214" xr:uid="{9014E868-047C-4111-8927-FA4E1BCD1C9A}"/>
    <cellStyle name="Normal 6 3 6 8" xfId="19462" xr:uid="{ACF59B62-8B6D-4631-B138-EFEA9C81F8C4}"/>
    <cellStyle name="Normal 6 3 6 8 2" xfId="39801" xr:uid="{B2D3FE25-E7C9-40C3-BA92-144BC5039D59}"/>
    <cellStyle name="Normal 6 3 6 9" xfId="22717" xr:uid="{838705A8-269A-4F0E-96BB-ECBDDED3EE9E}"/>
    <cellStyle name="Normal 6 3 6 9 2" xfId="43052" xr:uid="{717752AB-567A-4920-9EAD-A5E8E9D011AC}"/>
    <cellStyle name="Normal 6 3 7" xfId="5813" xr:uid="{60B0A269-9FF5-4F39-8288-58896A42CFC8}"/>
    <cellStyle name="Normal 6 3 7 2" xfId="6971" xr:uid="{05BF59F0-A518-4212-A603-D99AFB4A34F6}"/>
    <cellStyle name="Normal 6 3 7 2 2" xfId="17257" xr:uid="{868D1C37-1F96-409E-AF53-8F13D520D80A}"/>
    <cellStyle name="Normal 6 3 7 2 2 2" xfId="37597" xr:uid="{8743E95E-2981-4884-967F-A6CE50BF2F1B}"/>
    <cellStyle name="Normal 6 3 7 2 3" xfId="20759" xr:uid="{E6741AD9-5006-4330-A13E-4C3B264152DA}"/>
    <cellStyle name="Normal 6 3 7 2 3 2" xfId="41098" xr:uid="{787AE6FB-CC4B-4D72-8055-D0F505344710}"/>
    <cellStyle name="Normal 6 3 7 2 4" xfId="24014" xr:uid="{BAB4F780-99E7-435E-8894-33D74B15D542}"/>
    <cellStyle name="Normal 6 3 7 2 4 2" xfId="44349" xr:uid="{E5120960-8327-4210-AC5B-A39DD76ACDE0}"/>
    <cellStyle name="Normal 6 3 7 2 5" xfId="14348" xr:uid="{1FB8E78F-A442-4028-9A00-19C116B07DA8}"/>
    <cellStyle name="Normal 6 3 7 2 5 2" xfId="34689" xr:uid="{73FFBBD2-DBDF-451F-9E56-3D16ACD8E515}"/>
    <cellStyle name="Normal 6 3 7 2 6" xfId="10470" xr:uid="{F46D72F7-E803-441F-B611-57EC158C3FF9}"/>
    <cellStyle name="Normal 6 3 7 2 6 2" xfId="30813" xr:uid="{793E0439-753E-463D-8A58-DEF8194B614D}"/>
    <cellStyle name="Normal 6 3 7 2 7" xfId="27319" xr:uid="{CEED3E99-C552-4524-9D31-B063356E926F}"/>
    <cellStyle name="Normal 6 3 7 3" xfId="16099" xr:uid="{E5A25EE7-40DB-4FE5-9167-CE211505D4CA}"/>
    <cellStyle name="Normal 6 3 7 3 2" xfId="36439" xr:uid="{9707E5C9-92D0-406B-96DF-E6EA3E5E9C79}"/>
    <cellStyle name="Normal 6 3 7 4" xfId="19601" xr:uid="{7E851CAB-E61C-40A2-A1D1-EDF2D386B6F6}"/>
    <cellStyle name="Normal 6 3 7 4 2" xfId="39940" xr:uid="{8D0774A4-7B2B-4B54-8188-F746F2F35570}"/>
    <cellStyle name="Normal 6 3 7 5" xfId="22856" xr:uid="{CFDB1076-54CF-4B4C-B35C-89864F4F9F2C}"/>
    <cellStyle name="Normal 6 3 7 5 2" xfId="43191" xr:uid="{DED9A708-C171-42ED-BDDC-7CF504A3ACFC}"/>
    <cellStyle name="Normal 6 3 7 6" xfId="13195" xr:uid="{269E2F64-42AD-441B-8FAA-5FBAA59258E7}"/>
    <cellStyle name="Normal 6 3 7 6 2" xfId="33536" xr:uid="{7BD75D31-40CD-4E9D-B5A5-A22CF61B14A1}"/>
    <cellStyle name="Normal 6 3 7 7" xfId="9312" xr:uid="{7CBD4F03-E3AF-4793-A7CE-B381ECFD4FD6}"/>
    <cellStyle name="Normal 6 3 7 7 2" xfId="29655" xr:uid="{51FEFCC5-9708-477F-9A9B-67C0ABE2BD43}"/>
    <cellStyle name="Normal 6 3 7 8" xfId="26161" xr:uid="{5FE179AD-A895-456A-8833-3ECCB30B7331}"/>
    <cellStyle name="Normal 6 3 8" xfId="6390" xr:uid="{3A7D03EF-CB17-431F-B858-AA8B661E7981}"/>
    <cellStyle name="Normal 6 3 8 2" xfId="16676" xr:uid="{89E0696D-C2BB-40CC-8DE0-5E0F5F7E4E11}"/>
    <cellStyle name="Normal 6 3 8 2 2" xfId="37016" xr:uid="{50AAC04B-A5AD-49F0-B4A0-BCCBDEA7457B}"/>
    <cellStyle name="Normal 6 3 8 3" xfId="20178" xr:uid="{D949E86D-C428-49AE-A655-D9F5BC755213}"/>
    <cellStyle name="Normal 6 3 8 3 2" xfId="40517" xr:uid="{F6526EF5-588C-445A-99F7-D79DAE153A9F}"/>
    <cellStyle name="Normal 6 3 8 4" xfId="23433" xr:uid="{86EB69EA-A96F-4E75-B4DF-261182E86AF4}"/>
    <cellStyle name="Normal 6 3 8 4 2" xfId="43768" xr:uid="{32818865-5B75-4B67-BD2B-17C32E5796D2}"/>
    <cellStyle name="Normal 6 3 8 5" xfId="13767" xr:uid="{8943454B-7C63-4E40-BD95-9F2A1016A91F}"/>
    <cellStyle name="Normal 6 3 8 5 2" xfId="34108" xr:uid="{1C504FF7-4886-450C-83AF-AF7A3708886F}"/>
    <cellStyle name="Normal 6 3 8 6" xfId="9889" xr:uid="{F69A1787-3FE4-447F-AC9A-5037467321EF}"/>
    <cellStyle name="Normal 6 3 8 6 2" xfId="30232" xr:uid="{605DAEF1-C65F-4CBB-8F70-CB053FF06D98}"/>
    <cellStyle name="Normal 6 3 8 7" xfId="26738" xr:uid="{5563CA6F-91B7-46F8-8269-D25E82F0E1F1}"/>
    <cellStyle name="Normal 6 3 9" xfId="7554" xr:uid="{32C0667E-7A50-429A-8BE4-FF8FC5EF75AF}"/>
    <cellStyle name="Normal 6 3 9 2" xfId="17839" xr:uid="{17532248-0F61-4A58-9BC8-31B3591E9FBB}"/>
    <cellStyle name="Normal 6 3 9 2 2" xfId="38179" xr:uid="{50845BAE-9661-4F36-A7A0-EA97B701EBDE}"/>
    <cellStyle name="Normal 6 3 9 3" xfId="21341" xr:uid="{A479FE0A-71F9-4B6F-B489-B25E6314FED5}"/>
    <cellStyle name="Normal 6 3 9 3 2" xfId="41680" xr:uid="{B9482669-DE4C-4D4C-A89F-6EA075B8B69A}"/>
    <cellStyle name="Normal 6 3 9 4" xfId="24596" xr:uid="{728E454F-8E00-4E71-9F9F-9E307087C131}"/>
    <cellStyle name="Normal 6 3 9 4 2" xfId="44931" xr:uid="{F17B4019-F971-48D4-AF98-B4CF0F6AC18D}"/>
    <cellStyle name="Normal 6 3 9 5" xfId="14931" xr:uid="{EB59AA36-947A-4747-AD53-481F12A88D6E}"/>
    <cellStyle name="Normal 6 3 9 5 2" xfId="35271" xr:uid="{5748C6C2-692F-4D80-8FA7-011787D59CEC}"/>
    <cellStyle name="Normal 6 3 9 6" xfId="11052" xr:uid="{C4237FCF-5A9A-4B8D-9355-969D31F389D3}"/>
    <cellStyle name="Normal 6 3 9 6 2" xfId="31395" xr:uid="{67789FB4-C598-4735-9CCA-91BAFA7CE968}"/>
    <cellStyle name="Normal 6 3 9 7" xfId="27901" xr:uid="{9190B61A-57FD-44A6-8330-19F28A5B703D}"/>
    <cellStyle name="Normal 6 4" xfId="4849" xr:uid="{C7B6213A-204C-4005-94FB-AB33D6F72A0F}"/>
    <cellStyle name="Normal 6 4 10" xfId="18404" xr:uid="{7C8900D3-26D0-4678-A01B-9D6AAB39C3BF}"/>
    <cellStyle name="Normal 6 4 10 2" xfId="38744" xr:uid="{A2F1B0CB-E58E-4B83-B38C-DFFD69BAC276}"/>
    <cellStyle name="Normal 6 4 11" xfId="18992" xr:uid="{D17A8987-749C-4D1F-839D-099877D8C265}"/>
    <cellStyle name="Normal 6 4 11 2" xfId="39331" xr:uid="{F4BD3004-9DEE-40BC-AF24-4762AF4EA298}"/>
    <cellStyle name="Normal 6 4 12" xfId="22247" xr:uid="{9B3B5370-FB6E-4826-9589-90E18E7828DB}"/>
    <cellStyle name="Normal 6 4 12 2" xfId="42582" xr:uid="{0F8761C7-C5BA-427F-B9C5-AA5A414C8AE3}"/>
    <cellStyle name="Normal 6 4 13" xfId="11964" xr:uid="{52D1E09D-7634-4767-8F90-BF1A079F5B74}"/>
    <cellStyle name="Normal 6 4 13 2" xfId="32305" xr:uid="{F7DD6D40-143F-4D78-B6CD-DE2B63EFDAD2}"/>
    <cellStyle name="Normal 6 4 14" xfId="8703" xr:uid="{D6DA0D29-47FE-429A-B57E-2EA50EF173B2}"/>
    <cellStyle name="Normal 6 4 14 2" xfId="29046" xr:uid="{4FF3FEF5-65D7-4886-9537-C4CF02E18BA3}"/>
    <cellStyle name="Normal 6 4 15" xfId="25548" xr:uid="{67B3064C-D9F4-4212-9DEC-AEBE8B595D2B}"/>
    <cellStyle name="Normal 6 4 16" xfId="45876" xr:uid="{50BD3D07-8EAE-4AA9-BA58-80D70A81E5B7}"/>
    <cellStyle name="Normal 6 4 17" xfId="46362" xr:uid="{1E5E1E06-353E-46E6-AA8D-C98E3C0DDA7E}"/>
    <cellStyle name="Normal 6 4 18" xfId="46854" xr:uid="{15DF85E5-F436-4975-8CC6-F363B57C039D}"/>
    <cellStyle name="Normal 6 4 2" xfId="5066" xr:uid="{5955195C-4AB0-4319-AEA2-2EBA51F33E54}"/>
    <cellStyle name="Normal 6 4 2 10" xfId="12079" xr:uid="{5A897921-9BEE-4F0B-88F4-858D1E330B36}"/>
    <cellStyle name="Normal 6 4 2 10 2" xfId="32420" xr:uid="{09E2D39B-E916-439F-B74D-3C8C2F133DB6}"/>
    <cellStyle name="Normal 6 4 2 11" xfId="8818" xr:uid="{770A7735-B4D8-4F7A-B170-5EB818B21455}"/>
    <cellStyle name="Normal 6 4 2 11 2" xfId="29161" xr:uid="{C7C50784-9EB4-4C82-835B-E951D676932C}"/>
    <cellStyle name="Normal 6 4 2 12" xfId="25667" xr:uid="{E35D3618-7984-48C4-9C60-36AB1A909EA8}"/>
    <cellStyle name="Normal 6 4 2 13" xfId="45948" xr:uid="{998C7331-B3E5-4CD4-9D17-4D0BD6A15A23}"/>
    <cellStyle name="Normal 6 4 2 14" xfId="46434" xr:uid="{F2E7C3F6-B204-4D25-83C8-43A28DAF23A9}"/>
    <cellStyle name="Normal 6 4 2 15" xfId="46926" xr:uid="{2847A90E-09D2-41E4-A389-889D75719FB0}"/>
    <cellStyle name="Normal 6 4 2 2" xfId="5900" xr:uid="{F7A5B708-727F-42B6-9531-2B62414AE599}"/>
    <cellStyle name="Normal 6 4 2 2 10" xfId="46677" xr:uid="{92A617BF-8946-439A-B83C-57D260EC74F9}"/>
    <cellStyle name="Normal 6 4 2 2 11" xfId="47169" xr:uid="{B0AA76CD-CE1A-431B-B9B0-BBBC5165F5AF}"/>
    <cellStyle name="Normal 6 4 2 2 2" xfId="7058" xr:uid="{B5032370-9156-4C82-975A-3AE18CE0E40C}"/>
    <cellStyle name="Normal 6 4 2 2 2 2" xfId="17344" xr:uid="{20076D17-8655-439E-AFB9-4E9172CAD53B}"/>
    <cellStyle name="Normal 6 4 2 2 2 2 2" xfId="37684" xr:uid="{981965CD-135E-4CFB-A4F1-9E16A3A5798E}"/>
    <cellStyle name="Normal 6 4 2 2 2 3" xfId="20846" xr:uid="{9B205C30-D4BF-42E7-9E96-CC65E9B0ADBD}"/>
    <cellStyle name="Normal 6 4 2 2 2 3 2" xfId="41185" xr:uid="{368AE45D-C3A6-4690-B1E1-CC105A0773B7}"/>
    <cellStyle name="Normal 6 4 2 2 2 4" xfId="24101" xr:uid="{068A829C-FDDA-4008-99BC-B639B2634888}"/>
    <cellStyle name="Normal 6 4 2 2 2 4 2" xfId="44436" xr:uid="{2597464B-A848-4BE4-A4E6-F3AA8541ADA9}"/>
    <cellStyle name="Normal 6 4 2 2 2 5" xfId="14435" xr:uid="{71694FAA-C79F-4D67-AEEC-A6C026E42045}"/>
    <cellStyle name="Normal 6 4 2 2 2 5 2" xfId="34776" xr:uid="{96900B66-A1DC-4301-AAEF-821D10D7F596}"/>
    <cellStyle name="Normal 6 4 2 2 2 6" xfId="10557" xr:uid="{F29D5A7F-FB95-4ECA-A406-EA9F9EEF0C71}"/>
    <cellStyle name="Normal 6 4 2 2 2 6 2" xfId="30900" xr:uid="{CD4FE218-0DE6-43B7-96CA-483E9ED9B2C3}"/>
    <cellStyle name="Normal 6 4 2 2 2 7" xfId="27406" xr:uid="{991BB6F8-04BD-46B8-8D96-7276327971AA}"/>
    <cellStyle name="Normal 6 4 2 2 3" xfId="16186" xr:uid="{3D0CD316-7636-462B-86A8-4EBD187CFA8C}"/>
    <cellStyle name="Normal 6 4 2 2 3 2" xfId="36526" xr:uid="{C531631A-EEB8-454E-BA5C-998DECC3F34A}"/>
    <cellStyle name="Normal 6 4 2 2 4" xfId="19688" xr:uid="{8EF69265-40B7-447C-AE14-340A610F0C3C}"/>
    <cellStyle name="Normal 6 4 2 2 4 2" xfId="40027" xr:uid="{C99009FC-8F56-4A07-A1E0-724519558DC6}"/>
    <cellStyle name="Normal 6 4 2 2 5" xfId="22943" xr:uid="{F26757B6-84B7-47A2-9D7C-61BD728A860A}"/>
    <cellStyle name="Normal 6 4 2 2 5 2" xfId="43278" xr:uid="{F9D236A3-3252-4482-8D72-B7E56C64C707}"/>
    <cellStyle name="Normal 6 4 2 2 6" xfId="13279" xr:uid="{5F2FD608-EE8F-415B-A634-BF5C87324ED7}"/>
    <cellStyle name="Normal 6 4 2 2 6 2" xfId="33620" xr:uid="{80372B70-2EF6-4927-98EE-B5940A8B3344}"/>
    <cellStyle name="Normal 6 4 2 2 7" xfId="9399" xr:uid="{4E8F21C0-4E30-46D6-996D-F79591AC5CE4}"/>
    <cellStyle name="Normal 6 4 2 2 7 2" xfId="29742" xr:uid="{9F83E3EF-1E7F-4E0B-BA15-B9BAA1DF10CD}"/>
    <cellStyle name="Normal 6 4 2 2 8" xfId="26248" xr:uid="{12002522-98B0-403F-B9A9-B14C0AD306C5}"/>
    <cellStyle name="Normal 6 4 2 2 9" xfId="46191" xr:uid="{02AA0EC6-E9C7-4058-B994-843387FE0303}"/>
    <cellStyle name="Normal 6 4 2 3" xfId="6477" xr:uid="{E1277F7B-CF6C-4BFF-BB45-07470D6DEE69}"/>
    <cellStyle name="Normal 6 4 2 3 2" xfId="16763" xr:uid="{269C8515-D18D-430C-83D3-A4691B322B46}"/>
    <cellStyle name="Normal 6 4 2 3 2 2" xfId="37103" xr:uid="{86337E5E-031D-4409-972E-D0B5EB202CF8}"/>
    <cellStyle name="Normal 6 4 2 3 3" xfId="20265" xr:uid="{6AB795E3-F8CB-43CF-BD8F-976C05FFA9F4}"/>
    <cellStyle name="Normal 6 4 2 3 3 2" xfId="40604" xr:uid="{B0502526-4DCB-4D61-83CA-6B8E7DA2599D}"/>
    <cellStyle name="Normal 6 4 2 3 4" xfId="23520" xr:uid="{14538AC1-BBC4-4CAC-A2ED-C7EBDAC9C71E}"/>
    <cellStyle name="Normal 6 4 2 3 4 2" xfId="43855" xr:uid="{1C1ECC66-9164-4248-9F4B-5B09C4428048}"/>
    <cellStyle name="Normal 6 4 2 3 5" xfId="13854" xr:uid="{2A1A96C9-91CF-4F14-AB8C-7B4FC68321CA}"/>
    <cellStyle name="Normal 6 4 2 3 5 2" xfId="34195" xr:uid="{285BF8FD-F70C-4D5F-8282-8E669F98A2AE}"/>
    <cellStyle name="Normal 6 4 2 3 6" xfId="9976" xr:uid="{1A92A641-FE7F-42D3-B13E-7C774E222AA7}"/>
    <cellStyle name="Normal 6 4 2 3 6 2" xfId="30319" xr:uid="{B69E8347-6A8F-40DE-9111-515C5FE379D7}"/>
    <cellStyle name="Normal 6 4 2 3 7" xfId="26825" xr:uid="{CAD6DA0E-1ED3-401A-9C06-8171A45DD5E7}"/>
    <cellStyle name="Normal 6 4 2 4" xfId="7641" xr:uid="{3EC87A62-7899-4A97-80AD-6B204ED0C50A}"/>
    <cellStyle name="Normal 6 4 2 4 2" xfId="17926" xr:uid="{0EE6C5DA-C366-47E2-B40E-B7D0E81B6325}"/>
    <cellStyle name="Normal 6 4 2 4 2 2" xfId="38266" xr:uid="{864A2038-2E08-4EA2-9DAF-F9DBAB337257}"/>
    <cellStyle name="Normal 6 4 2 4 3" xfId="21428" xr:uid="{7C0B0B1D-2EFF-41CC-BE57-46D8B5C1E1A3}"/>
    <cellStyle name="Normal 6 4 2 4 3 2" xfId="41767" xr:uid="{A2E686C0-1B4C-416A-9F5C-7EE1F97FFAB7}"/>
    <cellStyle name="Normal 6 4 2 4 4" xfId="24683" xr:uid="{F23FA432-4124-45CB-96C1-CA15747A7DE3}"/>
    <cellStyle name="Normal 6 4 2 4 4 2" xfId="45018" xr:uid="{4313BBDD-6D72-4008-815A-2CCA63820877}"/>
    <cellStyle name="Normal 6 4 2 4 5" xfId="15018" xr:uid="{561C473F-19E8-475F-8177-B0BE9F1F930F}"/>
    <cellStyle name="Normal 6 4 2 4 5 2" xfId="35358" xr:uid="{60B6BA0F-462A-4E76-B53F-5BE025C87489}"/>
    <cellStyle name="Normal 6 4 2 4 6" xfId="11139" xr:uid="{2900B0A3-FA95-49C1-BE0E-044CBBFAA2A6}"/>
    <cellStyle name="Normal 6 4 2 4 6 2" xfId="31482" xr:uid="{001BCA5D-AF8B-40FF-8EED-7339AA687CF4}"/>
    <cellStyle name="Normal 6 4 2 4 7" xfId="27988" xr:uid="{61853BB5-73B3-4EF0-A258-DE79683BFA42}"/>
    <cellStyle name="Normal 6 4 2 5" xfId="8136" xr:uid="{1F35C95D-4026-476D-84FE-527B720E2FB7}"/>
    <cellStyle name="Normal 6 4 2 5 2" xfId="21923" xr:uid="{E274C902-7163-4E82-AB9F-B3C75149588E}"/>
    <cellStyle name="Normal 6 4 2 5 2 2" xfId="42259" xr:uid="{5397A4DF-E5CB-4C5C-BF31-2FDF1332D5EC}"/>
    <cellStyle name="Normal 6 4 2 5 3" xfId="25175" xr:uid="{BDCE3F77-ACA1-401A-B317-01401A3E9F72}"/>
    <cellStyle name="Normal 6 4 2 5 3 2" xfId="45510" xr:uid="{4E5B720B-3FEB-45FA-B5CA-2B5E404FAAD6}"/>
    <cellStyle name="Normal 6 4 2 5 4" xfId="12710" xr:uid="{DFAFC896-3945-4A51-874A-D268F545047E}"/>
    <cellStyle name="Normal 6 4 2 5 4 2" xfId="33051" xr:uid="{A2E258F0-4B39-47D4-85A8-16261B7C5689}"/>
    <cellStyle name="Normal 6 4 2 5 5" xfId="11632" xr:uid="{96B6C1EB-8EB2-4116-8522-8523CBFEF762}"/>
    <cellStyle name="Normal 6 4 2 5 5 2" xfId="31974" xr:uid="{C5F73593-6F69-412E-8B3B-36FE66B68489}"/>
    <cellStyle name="Normal 6 4 2 5 6" xfId="28480" xr:uid="{B42AA3FB-F834-4D95-B525-01009F0358E1}"/>
    <cellStyle name="Normal 6 4 2 6" xfId="8573" xr:uid="{6DF973FC-1092-4918-8FD1-9751AD36387D}"/>
    <cellStyle name="Normal 6 4 2 6 2" xfId="15605" xr:uid="{92EA2CB4-59B2-46F2-8A47-E3357803CFD6}"/>
    <cellStyle name="Normal 6 4 2 6 2 2" xfId="35945" xr:uid="{8B6325F8-82C8-4D91-AA8C-B7D8D3BCCA75}"/>
    <cellStyle name="Normal 6 4 2 6 3" xfId="28916" xr:uid="{5803C84B-6738-4B12-B778-FD7008B85B8B}"/>
    <cellStyle name="Normal 6 4 2 7" xfId="18519" xr:uid="{42667971-8A3F-4296-9830-6EDB42BC434C}"/>
    <cellStyle name="Normal 6 4 2 7 2" xfId="38859" xr:uid="{DC31F8B4-E542-4FC6-B594-85E714AD62C8}"/>
    <cellStyle name="Normal 6 4 2 8" xfId="19107" xr:uid="{6F94C402-DC97-42B8-9A20-C656E0E5F550}"/>
    <cellStyle name="Normal 6 4 2 8 2" xfId="39446" xr:uid="{CA2037C5-E79D-4311-9EB6-13251B5D4300}"/>
    <cellStyle name="Normal 6 4 2 9" xfId="22362" xr:uid="{F5F28E9B-F132-4777-9AC4-5378E0A642FD}"/>
    <cellStyle name="Normal 6 4 2 9 2" xfId="42697" xr:uid="{744CC075-3511-4D83-BC56-5B81A6C3DC92}"/>
    <cellStyle name="Normal 6 4 3" xfId="5557" xr:uid="{58F8ED4A-9DB4-43B3-A97D-2110D4BCDA4F}"/>
    <cellStyle name="Normal 6 4 3 10" xfId="12308" xr:uid="{1803D606-518C-4198-887E-0B10C1BC6B72}"/>
    <cellStyle name="Normal 6 4 3 10 2" xfId="32649" xr:uid="{14DAFCE4-6E66-4E4C-85BA-B6E641538ADE}"/>
    <cellStyle name="Normal 6 4 3 11" xfId="9047" xr:uid="{FFF7E5B0-06F4-4BB5-A97C-05817474D41B}"/>
    <cellStyle name="Normal 6 4 3 11 2" xfId="29390" xr:uid="{2231566A-D644-478C-97EB-A3624E80FFEA}"/>
    <cellStyle name="Normal 6 4 3 12" xfId="25896" xr:uid="{918FC947-E9F4-4666-8667-73E3A37C1E2E}"/>
    <cellStyle name="Normal 6 4 3 13" xfId="46119" xr:uid="{5F9D5B25-E943-4A68-9AC0-4E57754E017A}"/>
    <cellStyle name="Normal 6 4 3 14" xfId="46605" xr:uid="{5C2A1546-45BD-487E-9004-7BD3A2FDF2D9}"/>
    <cellStyle name="Normal 6 4 3 15" xfId="47097" xr:uid="{554337D5-8824-486D-B437-9080EA62AFFF}"/>
    <cellStyle name="Normal 6 4 3 2" xfId="6129" xr:uid="{C32FAC23-4A91-4E0A-A204-ED0C5980E813}"/>
    <cellStyle name="Normal 6 4 3 2 2" xfId="7287" xr:uid="{E1F25505-06CC-462D-8D08-5948540667E8}"/>
    <cellStyle name="Normal 6 4 3 2 2 2" xfId="17573" xr:uid="{FB1F00D9-DE87-4502-9743-F7E8FB13F346}"/>
    <cellStyle name="Normal 6 4 3 2 2 2 2" xfId="37913" xr:uid="{E88A135E-A23E-4A23-8075-BF8391F8EED8}"/>
    <cellStyle name="Normal 6 4 3 2 2 3" xfId="21075" xr:uid="{2FC2226C-20F1-4734-9B64-5189CE0E5F13}"/>
    <cellStyle name="Normal 6 4 3 2 2 3 2" xfId="41414" xr:uid="{4DEFD3A5-D36C-4096-9DE2-5ABEB209D95D}"/>
    <cellStyle name="Normal 6 4 3 2 2 4" xfId="24330" xr:uid="{866D9CB8-684C-4EA5-9CF5-5E58053E1645}"/>
    <cellStyle name="Normal 6 4 3 2 2 4 2" xfId="44665" xr:uid="{D8DE7AA1-5B2E-452E-B627-95277A4F4B6B}"/>
    <cellStyle name="Normal 6 4 3 2 2 5" xfId="14664" xr:uid="{9AA437CC-054F-42B4-B349-87B6B8C3E517}"/>
    <cellStyle name="Normal 6 4 3 2 2 5 2" xfId="35005" xr:uid="{E58A7A74-498F-4A4B-8027-345C8AF6B4BF}"/>
    <cellStyle name="Normal 6 4 3 2 2 6" xfId="10786" xr:uid="{AF79847F-D4F6-4DE9-A07F-C5893A21890A}"/>
    <cellStyle name="Normal 6 4 3 2 2 6 2" xfId="31129" xr:uid="{5C63055A-61AE-4B6B-B768-46A162DD852D}"/>
    <cellStyle name="Normal 6 4 3 2 2 7" xfId="27635" xr:uid="{92259B5A-5B75-4C87-983B-C03FE4B13951}"/>
    <cellStyle name="Normal 6 4 3 2 3" xfId="16415" xr:uid="{025E4DBA-9DC9-478C-8DBF-B1F92B42BDB0}"/>
    <cellStyle name="Normal 6 4 3 2 3 2" xfId="36755" xr:uid="{3518C32F-B1C4-4F45-B0CF-EB332A8556FC}"/>
    <cellStyle name="Normal 6 4 3 2 4" xfId="19917" xr:uid="{A6DD7C6A-2AB9-40FA-BBAD-3CCDCCC8DF2F}"/>
    <cellStyle name="Normal 6 4 3 2 4 2" xfId="40256" xr:uid="{B648697F-CA70-4D32-8731-70E831B96907}"/>
    <cellStyle name="Normal 6 4 3 2 5" xfId="23172" xr:uid="{52607081-FAA9-4604-8849-35DB270BB33C}"/>
    <cellStyle name="Normal 6 4 3 2 5 2" xfId="43507" xr:uid="{57ACFB36-6260-4C47-BC7F-D6F04DF75304}"/>
    <cellStyle name="Normal 6 4 3 2 6" xfId="13506" xr:uid="{FF005EA1-5AC1-422D-829C-4F3F220A2214}"/>
    <cellStyle name="Normal 6 4 3 2 6 2" xfId="33847" xr:uid="{19F00154-207D-421A-8A09-0E32CF16C265}"/>
    <cellStyle name="Normal 6 4 3 2 7" xfId="9628" xr:uid="{30BD30CB-4A8E-467E-8675-B33E7CA2204C}"/>
    <cellStyle name="Normal 6 4 3 2 7 2" xfId="29971" xr:uid="{AF565FF0-B6BF-495D-87A9-1C6F61CF9F81}"/>
    <cellStyle name="Normal 6 4 3 2 8" xfId="26477" xr:uid="{467F521E-77A9-4700-B60F-734194245FE0}"/>
    <cellStyle name="Normal 6 4 3 3" xfId="6706" xr:uid="{31F93E4C-B5C3-41A2-9E25-74C7A9C7658D}"/>
    <cellStyle name="Normal 6 4 3 3 2" xfId="16992" xr:uid="{727F8909-F0EF-459B-A364-0D766079A499}"/>
    <cellStyle name="Normal 6 4 3 3 2 2" xfId="37332" xr:uid="{FF5E8914-21A2-4C28-A3E7-BC566DA3211C}"/>
    <cellStyle name="Normal 6 4 3 3 3" xfId="20494" xr:uid="{33499F2B-6753-4E5B-889C-93A3E6CAF0C9}"/>
    <cellStyle name="Normal 6 4 3 3 3 2" xfId="40833" xr:uid="{AA7E1692-D91F-4784-B889-EF03378A59B8}"/>
    <cellStyle name="Normal 6 4 3 3 4" xfId="23749" xr:uid="{EB9D5228-991D-4C23-A9D3-C3EA233BC7E3}"/>
    <cellStyle name="Normal 6 4 3 3 4 2" xfId="44084" xr:uid="{74129A85-3669-4838-B973-65AEDAD91AED}"/>
    <cellStyle name="Normal 6 4 3 3 5" xfId="14083" xr:uid="{7AAC2F7B-258F-4131-8887-E8BC510052B7}"/>
    <cellStyle name="Normal 6 4 3 3 5 2" xfId="34424" xr:uid="{7520AEF2-A177-416B-9AD5-1D3702DB61F2}"/>
    <cellStyle name="Normal 6 4 3 3 6" xfId="10205" xr:uid="{585DB2FE-D66F-4EDA-B3AD-BB7F4793EF52}"/>
    <cellStyle name="Normal 6 4 3 3 6 2" xfId="30548" xr:uid="{1F553D64-8400-4642-9544-3B30059E6808}"/>
    <cellStyle name="Normal 6 4 3 3 7" xfId="27054" xr:uid="{F3AB9EB3-980E-41DC-AF23-C9AAAE86A1EF}"/>
    <cellStyle name="Normal 6 4 3 4" xfId="7870" xr:uid="{AEFBC7BE-3B10-43D6-AFDB-D32E33E96EE2}"/>
    <cellStyle name="Normal 6 4 3 4 2" xfId="18155" xr:uid="{8C6A4AA4-87EC-468A-A07E-68DDA773848D}"/>
    <cellStyle name="Normal 6 4 3 4 2 2" xfId="38495" xr:uid="{0E681CDE-9241-4DF9-A928-0D936EA660B0}"/>
    <cellStyle name="Normal 6 4 3 4 3" xfId="21657" xr:uid="{BE5C39D4-CF42-44FB-ADC4-AFCBEE0BEED6}"/>
    <cellStyle name="Normal 6 4 3 4 3 2" xfId="41996" xr:uid="{4395F5CB-8B8E-4BAC-9850-4B1B139F6CFB}"/>
    <cellStyle name="Normal 6 4 3 4 4" xfId="24912" xr:uid="{9CDF8CDF-0DD7-4AD3-BCD1-F149DDCA1340}"/>
    <cellStyle name="Normal 6 4 3 4 4 2" xfId="45247" xr:uid="{3BF388B3-C23A-43A1-BD09-713F0B9DCDBD}"/>
    <cellStyle name="Normal 6 4 3 4 5" xfId="15247" xr:uid="{0367E9F2-5A51-4F6A-9310-F1485E855928}"/>
    <cellStyle name="Normal 6 4 3 4 5 2" xfId="35587" xr:uid="{46E05667-E570-443F-9BBD-55D0D2F8382F}"/>
    <cellStyle name="Normal 6 4 3 4 6" xfId="11368" xr:uid="{E9816C98-4721-4152-9F0D-F689A3CFB793}"/>
    <cellStyle name="Normal 6 4 3 4 6 2" xfId="31711" xr:uid="{1923EAEB-7F97-4D67-A84F-3687FC0DCA6E}"/>
    <cellStyle name="Normal 6 4 3 4 7" xfId="28217" xr:uid="{130C64D9-71A9-4D20-AD25-A2A5F5B37DF9}"/>
    <cellStyle name="Normal 6 4 3 5" xfId="12937" xr:uid="{59028C0D-4050-4380-A9C2-97BC0C59E148}"/>
    <cellStyle name="Normal 6 4 3 5 2" xfId="33278" xr:uid="{C4311E6F-4462-4921-BCD7-DE4991C293AE}"/>
    <cellStyle name="Normal 6 4 3 6" xfId="15834" xr:uid="{1129F36F-CD04-4604-9BB8-9146C3C06CDF}"/>
    <cellStyle name="Normal 6 4 3 6 2" xfId="36174" xr:uid="{1D0CDBA0-AAC3-4A86-B844-55E816DBBF81}"/>
    <cellStyle name="Normal 6 4 3 7" xfId="18748" xr:uid="{F4874BFA-4DCF-4165-9FC2-1C09B9134A8F}"/>
    <cellStyle name="Normal 6 4 3 7 2" xfId="39088" xr:uid="{78ED73BF-F827-4A69-BFC2-37FB0697EC8E}"/>
    <cellStyle name="Normal 6 4 3 8" xfId="19336" xr:uid="{0281069F-4D1B-4294-90C7-92403966CEB7}"/>
    <cellStyle name="Normal 6 4 3 8 2" xfId="39675" xr:uid="{7F2251CC-89CA-42E1-BF76-5F28BFBD15CA}"/>
    <cellStyle name="Normal 6 4 3 9" xfId="22591" xr:uid="{EAA6E8FA-3DA2-4D76-AF55-B3A6B952316C}"/>
    <cellStyle name="Normal 6 4 3 9 2" xfId="42926" xr:uid="{2CA6B6CD-91A6-49D8-A4EF-A3C90B7AE6D8}"/>
    <cellStyle name="Normal 6 4 4" xfId="5715" xr:uid="{4245CB5C-8485-4C2D-AC16-8BC5649259EA}"/>
    <cellStyle name="Normal 6 4 4 10" xfId="12466" xr:uid="{545AAE1E-3AE9-4691-A312-47F7F99DB351}"/>
    <cellStyle name="Normal 6 4 4 10 2" xfId="32807" xr:uid="{73C64C06-E8B4-4846-8496-976164D3F568}"/>
    <cellStyle name="Normal 6 4 4 11" xfId="9205" xr:uid="{35802821-2E97-408F-9368-6ED82AF62CD0}"/>
    <cellStyle name="Normal 6 4 4 11 2" xfId="29548" xr:uid="{40E2B136-1A52-4142-91F7-715FB8FEC051}"/>
    <cellStyle name="Normal 6 4 4 12" xfId="26054" xr:uid="{054DD24F-2247-4F0A-9E2C-86D16A12CBDD}"/>
    <cellStyle name="Normal 6 4 4 2" xfId="6287" xr:uid="{EFFD0B26-44C2-494C-8F1C-DF7FEB4C8CD4}"/>
    <cellStyle name="Normal 6 4 4 2 2" xfId="7445" xr:uid="{AC9F4383-847F-45C8-82E6-09226AFFC9F5}"/>
    <cellStyle name="Normal 6 4 4 2 2 2" xfId="17731" xr:uid="{791BADF3-5DE9-462F-A80F-9C799E6B23AC}"/>
    <cellStyle name="Normal 6 4 4 2 2 2 2" xfId="38071" xr:uid="{2AF9E467-CCE0-46C0-96DD-344FB05E436B}"/>
    <cellStyle name="Normal 6 4 4 2 2 3" xfId="21233" xr:uid="{3E72F432-F775-41EB-9BE1-1CC6A13F6E6A}"/>
    <cellStyle name="Normal 6 4 4 2 2 3 2" xfId="41572" xr:uid="{6D044F12-3117-4E3E-8AD8-C905A0DD14F5}"/>
    <cellStyle name="Normal 6 4 4 2 2 4" xfId="24488" xr:uid="{1599C3B1-8189-4A3A-A3A1-EB008DB91571}"/>
    <cellStyle name="Normal 6 4 4 2 2 4 2" xfId="44823" xr:uid="{C738714B-FD1E-4BCB-B903-EC7B8258C486}"/>
    <cellStyle name="Normal 6 4 4 2 2 5" xfId="14822" xr:uid="{EE22957E-72E5-4F98-9CC1-77931F5C02EB}"/>
    <cellStyle name="Normal 6 4 4 2 2 5 2" xfId="35163" xr:uid="{369575E1-BE5D-4CF0-9351-577D26376523}"/>
    <cellStyle name="Normal 6 4 4 2 2 6" xfId="10944" xr:uid="{7BEC3A22-D281-4381-AF40-51EB6E135569}"/>
    <cellStyle name="Normal 6 4 4 2 2 6 2" xfId="31287" xr:uid="{5F709981-075C-48BD-81CA-5D6AEC88A4DC}"/>
    <cellStyle name="Normal 6 4 4 2 2 7" xfId="27793" xr:uid="{B5180488-95E1-43D0-A40B-28DB17F7243E}"/>
    <cellStyle name="Normal 6 4 4 2 3" xfId="16573" xr:uid="{04D31B5A-0F39-4511-A35E-EFFB091E4B58}"/>
    <cellStyle name="Normal 6 4 4 2 3 2" xfId="36913" xr:uid="{F79C9F48-A96D-49C6-A0C3-F34900CAC463}"/>
    <cellStyle name="Normal 6 4 4 2 4" xfId="20075" xr:uid="{8BE66A65-2D0F-4C8A-A590-238C1FCBF1B0}"/>
    <cellStyle name="Normal 6 4 4 2 4 2" xfId="40414" xr:uid="{8428720A-7C57-48C9-A766-3364D8B7D66D}"/>
    <cellStyle name="Normal 6 4 4 2 5" xfId="23330" xr:uid="{200FD049-24ED-4357-8BA1-DC118E222005}"/>
    <cellStyle name="Normal 6 4 4 2 5 2" xfId="43665" xr:uid="{99B802DF-88BE-461D-B4E3-8D3B3C0B1251}"/>
    <cellStyle name="Normal 6 4 4 2 6" xfId="13664" xr:uid="{C6111FE0-95AF-4DE7-8AE2-DFA458670734}"/>
    <cellStyle name="Normal 6 4 4 2 6 2" xfId="34005" xr:uid="{BA4C7F5D-8768-46C2-85E4-019E2DDFF0E1}"/>
    <cellStyle name="Normal 6 4 4 2 7" xfId="9786" xr:uid="{2F37AF0B-9291-4F6E-87EF-06D6227D1A27}"/>
    <cellStyle name="Normal 6 4 4 2 7 2" xfId="30129" xr:uid="{1D90517F-9239-4F78-AFD1-FBE2B37E1E54}"/>
    <cellStyle name="Normal 6 4 4 2 8" xfId="26635" xr:uid="{E105C7EF-F9D0-496B-86E5-FB6D1067B76A}"/>
    <cellStyle name="Normal 6 4 4 3" xfId="6864" xr:uid="{CF2A2526-46AE-41B7-A13E-A5B923799046}"/>
    <cellStyle name="Normal 6 4 4 3 2" xfId="17150" xr:uid="{5B024E6E-CC5E-4AD3-AEF4-B95F0A6A19A9}"/>
    <cellStyle name="Normal 6 4 4 3 2 2" xfId="37490" xr:uid="{5D5FD828-333A-4EA6-8602-3349FDBB4C1D}"/>
    <cellStyle name="Normal 6 4 4 3 3" xfId="20652" xr:uid="{E2B3C5C8-9C9A-4B0D-BF6B-E1FDD373776E}"/>
    <cellStyle name="Normal 6 4 4 3 3 2" xfId="40991" xr:uid="{AC3FCE29-AACE-498A-8AC8-63833845CE99}"/>
    <cellStyle name="Normal 6 4 4 3 4" xfId="23907" xr:uid="{44940733-BEDD-4D8C-A082-6761CFBE3CE4}"/>
    <cellStyle name="Normal 6 4 4 3 4 2" xfId="44242" xr:uid="{AC8EA528-7736-4F1E-8B34-F0C4E56A8D86}"/>
    <cellStyle name="Normal 6 4 4 3 5" xfId="14241" xr:uid="{C820F32C-6420-4EF0-B6F9-79C0C54F5CBD}"/>
    <cellStyle name="Normal 6 4 4 3 5 2" xfId="34582" xr:uid="{9A8E01FD-CD7C-4585-BFF7-0B1BCA20B795}"/>
    <cellStyle name="Normal 6 4 4 3 6" xfId="10363" xr:uid="{83295AA3-68B7-4A8C-B7DE-7CB95092C476}"/>
    <cellStyle name="Normal 6 4 4 3 6 2" xfId="30706" xr:uid="{E72369C9-0F23-4BD8-BEFF-C54270779AEA}"/>
    <cellStyle name="Normal 6 4 4 3 7" xfId="27212" xr:uid="{A73DB32D-6514-4C72-9368-9BE2E7990CB1}"/>
    <cellStyle name="Normal 6 4 4 4" xfId="8028" xr:uid="{FA2ADB59-5069-40F2-B98A-94E1BEB0205D}"/>
    <cellStyle name="Normal 6 4 4 4 2" xfId="18313" xr:uid="{2C8A1CFB-1F5A-482D-AD7D-8F9F9429DE54}"/>
    <cellStyle name="Normal 6 4 4 4 2 2" xfId="38653" xr:uid="{B1241771-EF09-47C7-9A4B-44A79AEE84F0}"/>
    <cellStyle name="Normal 6 4 4 4 3" xfId="21815" xr:uid="{79CE4125-5BD1-46A4-8732-79134E4960FA}"/>
    <cellStyle name="Normal 6 4 4 4 3 2" xfId="42154" xr:uid="{7416A83D-C0F7-44A6-B5AD-09043EC11F46}"/>
    <cellStyle name="Normal 6 4 4 4 4" xfId="25070" xr:uid="{3622725C-818C-4DF8-9164-520ADC9653FC}"/>
    <cellStyle name="Normal 6 4 4 4 4 2" xfId="45405" xr:uid="{9B9502C7-2321-4794-9A2E-AFAA257E8EA5}"/>
    <cellStyle name="Normal 6 4 4 4 5" xfId="15405" xr:uid="{53370159-A366-4F6B-BE17-2BB1B0F5245A}"/>
    <cellStyle name="Normal 6 4 4 4 5 2" xfId="35745" xr:uid="{DC8A3604-4321-4B3B-A46A-E6A0D6689502}"/>
    <cellStyle name="Normal 6 4 4 4 6" xfId="11526" xr:uid="{33D13F16-9FD0-4347-A9CF-A1A50DD1718E}"/>
    <cellStyle name="Normal 6 4 4 4 6 2" xfId="31869" xr:uid="{CE1AB0CF-A937-4004-A8EB-C2217FED28FF}"/>
    <cellStyle name="Normal 6 4 4 4 7" xfId="28375" xr:uid="{07B83DF5-FDEE-405F-9F2E-C12F85F4F275}"/>
    <cellStyle name="Normal 6 4 4 5" xfId="13095" xr:uid="{67D38EA1-27AE-4951-8B20-EEE02279118B}"/>
    <cellStyle name="Normal 6 4 4 5 2" xfId="33436" xr:uid="{B568718C-6E6F-4F92-B7FD-9CA939CBA355}"/>
    <cellStyle name="Normal 6 4 4 6" xfId="15992" xr:uid="{1F6B937D-D796-4D74-94D9-72DC4F52A24E}"/>
    <cellStyle name="Normal 6 4 4 6 2" xfId="36332" xr:uid="{D8F22293-EF19-453F-8917-09D930512615}"/>
    <cellStyle name="Normal 6 4 4 7" xfId="18906" xr:uid="{B54F33C3-8581-4839-BF24-0824312DB7DF}"/>
    <cellStyle name="Normal 6 4 4 7 2" xfId="39246" xr:uid="{01C565C7-9991-480C-ADFA-9813021F7E8B}"/>
    <cellStyle name="Normal 6 4 4 8" xfId="19494" xr:uid="{A3C020A5-D0A7-4C97-BAB4-818C5AD67514}"/>
    <cellStyle name="Normal 6 4 4 8 2" xfId="39833" xr:uid="{D340996D-75E9-4AAC-96FA-22DB04A18F7E}"/>
    <cellStyle name="Normal 6 4 4 9" xfId="22749" xr:uid="{F9662D17-D094-46E6-86EA-55760FBFB1AD}"/>
    <cellStyle name="Normal 6 4 4 9 2" xfId="43084" xr:uid="{1E114D0D-E521-43EF-80E8-22BFBCE102A6}"/>
    <cellStyle name="Normal 6 4 5" xfId="5785" xr:uid="{A1217BB8-9510-4C71-82FD-CE47CA2FF940}"/>
    <cellStyle name="Normal 6 4 5 2" xfId="6943" xr:uid="{50AC1A38-0B9D-4F84-988C-7A38123F12E2}"/>
    <cellStyle name="Normal 6 4 5 2 2" xfId="17229" xr:uid="{43F81C3F-4990-496F-BF7F-3FE8E0E301B4}"/>
    <cellStyle name="Normal 6 4 5 2 2 2" xfId="37569" xr:uid="{FD363719-7D41-481E-9795-EF25A2A7B556}"/>
    <cellStyle name="Normal 6 4 5 2 3" xfId="20731" xr:uid="{F311A8EB-E477-4EA7-96FA-78E41AC954F3}"/>
    <cellStyle name="Normal 6 4 5 2 3 2" xfId="41070" xr:uid="{C28FEBE7-F446-4BDB-9422-ED76B0AE927D}"/>
    <cellStyle name="Normal 6 4 5 2 4" xfId="23986" xr:uid="{0E716BAA-4A4D-413C-9B9E-26B5FA0FCAAD}"/>
    <cellStyle name="Normal 6 4 5 2 4 2" xfId="44321" xr:uid="{BDD24344-1052-411A-852A-907AC634C7DA}"/>
    <cellStyle name="Normal 6 4 5 2 5" xfId="14320" xr:uid="{68842BCB-C229-4BA6-9932-A75A0DF2DAEE}"/>
    <cellStyle name="Normal 6 4 5 2 5 2" xfId="34661" xr:uid="{1FD3F969-66F3-4A7D-BE94-7721BEADC7C1}"/>
    <cellStyle name="Normal 6 4 5 2 6" xfId="10442" xr:uid="{6B52266E-97CF-45A2-BD63-B9728C2DA9E6}"/>
    <cellStyle name="Normal 6 4 5 2 6 2" xfId="30785" xr:uid="{DABEE1EE-4863-42DB-A1AE-39D2F4EE008C}"/>
    <cellStyle name="Normal 6 4 5 2 7" xfId="27291" xr:uid="{A508CD98-1046-4CA4-83A2-2DB1C0C9BEB4}"/>
    <cellStyle name="Normal 6 4 5 3" xfId="16071" xr:uid="{DDCE1571-8764-4028-BEED-8D7F904F2553}"/>
    <cellStyle name="Normal 6 4 5 3 2" xfId="36411" xr:uid="{2CB6EBCC-B61A-46D3-84CB-32B5813B7323}"/>
    <cellStyle name="Normal 6 4 5 4" xfId="19573" xr:uid="{9E796988-DE24-4B89-A536-B9E41F1E57D8}"/>
    <cellStyle name="Normal 6 4 5 4 2" xfId="39912" xr:uid="{D3F95AD9-D683-465A-9001-67490DCFB4F0}"/>
    <cellStyle name="Normal 6 4 5 5" xfId="22828" xr:uid="{670730E8-8157-4586-A416-F3DC81C7452D}"/>
    <cellStyle name="Normal 6 4 5 5 2" xfId="43163" xr:uid="{F141CCC3-6CC6-4B04-80A4-AF28310CD1BB}"/>
    <cellStyle name="Normal 6 4 5 6" xfId="13172" xr:uid="{0D0E6A85-F35D-454E-9FFB-063311A4253E}"/>
    <cellStyle name="Normal 6 4 5 6 2" xfId="33513" xr:uid="{85B84BCD-FE80-4279-8BC7-B671370FD726}"/>
    <cellStyle name="Normal 6 4 5 7" xfId="9284" xr:uid="{1B5778C1-452B-4D92-BD01-6D3579681BED}"/>
    <cellStyle name="Normal 6 4 5 7 2" xfId="29627" xr:uid="{20BE66F0-AF88-491D-BF1F-4D3176A18CF8}"/>
    <cellStyle name="Normal 6 4 5 8" xfId="26133" xr:uid="{96B72ABD-5865-492C-ADA9-379FEE3AF10F}"/>
    <cellStyle name="Normal 6 4 6" xfId="6362" xr:uid="{48A1FF50-2CF4-4DA8-8E68-D8645FCE8327}"/>
    <cellStyle name="Normal 6 4 6 2" xfId="16648" xr:uid="{36F95377-CAC2-4CEB-9E66-0EFC0606D3D2}"/>
    <cellStyle name="Normal 6 4 6 2 2" xfId="36988" xr:uid="{6ECC15D2-1283-4022-9A17-FC9BFAB1EDCF}"/>
    <cellStyle name="Normal 6 4 6 3" xfId="20150" xr:uid="{66186BA0-E513-4078-91CC-CA03C5D5C091}"/>
    <cellStyle name="Normal 6 4 6 3 2" xfId="40489" xr:uid="{B4A46B5C-1E05-4819-8B46-BA9E291BA2B0}"/>
    <cellStyle name="Normal 6 4 6 4" xfId="23405" xr:uid="{797C87F2-BD61-4FB3-B8B7-581E0C6EF4D3}"/>
    <cellStyle name="Normal 6 4 6 4 2" xfId="43740" xr:uid="{5E186D44-ACF4-420B-AC85-AF1ABE62409D}"/>
    <cellStyle name="Normal 6 4 6 5" xfId="13739" xr:uid="{3C10462F-A3D6-4A67-8D55-FA13ED8AC1FC}"/>
    <cellStyle name="Normal 6 4 6 5 2" xfId="34080" xr:uid="{60158367-E38D-4D52-934F-940489473B9E}"/>
    <cellStyle name="Normal 6 4 6 6" xfId="9861" xr:uid="{64BF9801-49C6-4142-816C-80FA30354802}"/>
    <cellStyle name="Normal 6 4 6 6 2" xfId="30204" xr:uid="{92385EB6-1E4C-4BBA-B1AF-9858590F2A09}"/>
    <cellStyle name="Normal 6 4 6 7" xfId="26710" xr:uid="{14FCA292-1ED5-41C3-888F-62F8952EE324}"/>
    <cellStyle name="Normal 6 4 7" xfId="7526" xr:uid="{8F14593C-67DC-44FE-90C9-B31B704171DD}"/>
    <cellStyle name="Normal 6 4 7 2" xfId="17811" xr:uid="{B9C77E64-909A-439B-A317-28319EC20393}"/>
    <cellStyle name="Normal 6 4 7 2 2" xfId="38151" xr:uid="{8FC2E90F-340B-4169-9DA9-812A51239195}"/>
    <cellStyle name="Normal 6 4 7 3" xfId="21313" xr:uid="{21391F25-D158-44D2-8EF0-AA8176016474}"/>
    <cellStyle name="Normal 6 4 7 3 2" xfId="41652" xr:uid="{FABDA86D-C069-4943-82C0-E21EC4C3A0BA}"/>
    <cellStyle name="Normal 6 4 7 4" xfId="24568" xr:uid="{93D30CF2-FC2B-4933-A667-92169B924492}"/>
    <cellStyle name="Normal 6 4 7 4 2" xfId="44903" xr:uid="{3A9C2EF1-38B8-4F7B-B256-8C43A955D111}"/>
    <cellStyle name="Normal 6 4 7 5" xfId="14903" xr:uid="{879712F5-97D4-4DC8-8E82-BF71484D1DA0}"/>
    <cellStyle name="Normal 6 4 7 5 2" xfId="35243" xr:uid="{5C91A3A6-BB4B-4BC4-A90C-73B67A54E714}"/>
    <cellStyle name="Normal 6 4 7 6" xfId="11024" xr:uid="{0238638A-5FD2-49A1-8552-B1BA3B2CDE38}"/>
    <cellStyle name="Normal 6 4 7 6 2" xfId="31367" xr:uid="{1DC1EC9D-78FB-4288-A9F2-856FC858F68F}"/>
    <cellStyle name="Normal 6 4 7 7" xfId="27873" xr:uid="{5BA9B6BF-BB31-42FF-AC79-143ADDBB3F09}"/>
    <cellStyle name="Normal 6 4 8" xfId="8135" xr:uid="{8CE6372B-78FE-4713-BE4E-9085AFC21F63}"/>
    <cellStyle name="Normal 6 4 8 2" xfId="21922" xr:uid="{83616B68-7A82-4F47-9202-B7552C2D66B3}"/>
    <cellStyle name="Normal 6 4 8 2 2" xfId="42258" xr:uid="{F7DA7919-D21D-4207-92EB-899E2939C184}"/>
    <cellStyle name="Normal 6 4 8 3" xfId="25174" xr:uid="{DC904177-4110-4462-8741-08CAC2364756}"/>
    <cellStyle name="Normal 6 4 8 3 2" xfId="45509" xr:uid="{AF3CF2D6-3C20-481B-A0DB-C27EF5C53542}"/>
    <cellStyle name="Normal 6 4 8 4" xfId="12603" xr:uid="{FB43B7A4-9151-4AB9-9AD8-2014F9FCF25A}"/>
    <cellStyle name="Normal 6 4 8 4 2" xfId="32944" xr:uid="{075B679B-A4C0-4FC6-8F90-468F18A4061D}"/>
    <cellStyle name="Normal 6 4 8 5" xfId="11631" xr:uid="{0BEA3295-1515-4484-9071-17B5C5D568F2}"/>
    <cellStyle name="Normal 6 4 8 5 2" xfId="31973" xr:uid="{86B8FE4B-89F5-4332-A6BF-F3C04B233444}"/>
    <cellStyle name="Normal 6 4 8 6" xfId="28479" xr:uid="{0595D47B-F0E2-40C3-A495-89164150964A}"/>
    <cellStyle name="Normal 6 4 9" xfId="8501" xr:uid="{A53427A0-CA03-49A1-A9C9-D1194034AFCC}"/>
    <cellStyle name="Normal 6 4 9 2" xfId="15490" xr:uid="{A4F2EBF1-D4C4-4970-8292-4EFCE1F03C88}"/>
    <cellStyle name="Normal 6 4 9 2 2" xfId="35830" xr:uid="{9CC38CC5-95F1-47BD-89EE-9F0686EC73BA}"/>
    <cellStyle name="Normal 6 4 9 3" xfId="28844" xr:uid="{AF462D41-B761-4875-A436-7EB353B532A7}"/>
    <cellStyle name="Normal 6 5" xfId="5059" xr:uid="{BF06ABAD-D349-4248-8E66-6D58094CBF5F}"/>
    <cellStyle name="Normal 6 5 10" xfId="12175" xr:uid="{FC8CBF18-0C62-4734-9F8C-B31A83082C28}"/>
    <cellStyle name="Normal 6 5 10 2" xfId="32516" xr:uid="{DCABD6E7-E27D-452D-AEA3-A12C538C4ACB}"/>
    <cellStyle name="Normal 6 5 11" xfId="8914" xr:uid="{E6CB4C7C-783A-41C2-B659-D2D87C3DB825}"/>
    <cellStyle name="Normal 6 5 11 2" xfId="29257" xr:uid="{234A4DDA-E4F2-4AAC-B3CC-D6665F356B0F}"/>
    <cellStyle name="Normal 6 5 12" xfId="25763" xr:uid="{71671F10-7CDE-49DB-ABC6-E50DD541DEBC}"/>
    <cellStyle name="Normal 6 5 13" xfId="45941" xr:uid="{B2C2A7E6-BFCF-47A0-BDD3-92C2DE96EE70}"/>
    <cellStyle name="Normal 6 5 14" xfId="46427" xr:uid="{7EAEA110-422F-4622-8F51-BAD5107B6311}"/>
    <cellStyle name="Normal 6 5 15" xfId="46919" xr:uid="{993BB9FC-167B-4CDC-A434-34612AAA4E64}"/>
    <cellStyle name="Normal 6 5 2" xfId="5996" xr:uid="{EC52BFCB-9C1E-4B23-B293-F1F7AC2F6752}"/>
    <cellStyle name="Normal 6 5 2 10" xfId="46670" xr:uid="{0A54150F-0D51-452A-9315-95F2E6F82E47}"/>
    <cellStyle name="Normal 6 5 2 11" xfId="47162" xr:uid="{A0BC8C69-4BB8-41E1-AF7E-FEA2FD856C5B}"/>
    <cellStyle name="Normal 6 5 2 2" xfId="7154" xr:uid="{EAE2061E-3AE8-40C0-9689-D3D682CDB91E}"/>
    <cellStyle name="Normal 6 5 2 2 2" xfId="17440" xr:uid="{CD864359-EF2B-4E72-8746-81EC52FAE6A4}"/>
    <cellStyle name="Normal 6 5 2 2 2 2" xfId="37780" xr:uid="{8B7498DB-DEB1-43CB-A483-4104F8CF22D8}"/>
    <cellStyle name="Normal 6 5 2 2 3" xfId="20942" xr:uid="{66B6F79A-5FF0-42F3-80EA-704299050394}"/>
    <cellStyle name="Normal 6 5 2 2 3 2" xfId="41281" xr:uid="{F99B61E4-5394-45C8-95D4-E2D5D6509B6A}"/>
    <cellStyle name="Normal 6 5 2 2 4" xfId="24197" xr:uid="{A363D4E1-3046-4614-AF6E-1E3C1562843A}"/>
    <cellStyle name="Normal 6 5 2 2 4 2" xfId="44532" xr:uid="{D5C096C7-915B-4A6A-B3BA-B1EE539B4E02}"/>
    <cellStyle name="Normal 6 5 2 2 5" xfId="14531" xr:uid="{08F556D7-136F-4C01-BC24-47BA196FE9E3}"/>
    <cellStyle name="Normal 6 5 2 2 5 2" xfId="34872" xr:uid="{1987804F-CF76-4A48-954A-8219AA8C3F9A}"/>
    <cellStyle name="Normal 6 5 2 2 6" xfId="10653" xr:uid="{BBEADDBB-0D6E-46D1-8BB8-40F04C31D733}"/>
    <cellStyle name="Normal 6 5 2 2 6 2" xfId="30996" xr:uid="{6A6477DF-D045-447A-80CA-4861A9A251EF}"/>
    <cellStyle name="Normal 6 5 2 2 7" xfId="27502" xr:uid="{E4DE0CBD-A2B8-4B70-88AE-1C82282B33E3}"/>
    <cellStyle name="Normal 6 5 2 3" xfId="16282" xr:uid="{604D5A8B-AA01-4785-A9E4-FDF2CC42D344}"/>
    <cellStyle name="Normal 6 5 2 3 2" xfId="36622" xr:uid="{52D911F4-C615-4023-9349-9925A96A26B7}"/>
    <cellStyle name="Normal 6 5 2 4" xfId="19784" xr:uid="{A25FD317-8961-43B2-AA60-5349A3B0736D}"/>
    <cellStyle name="Normal 6 5 2 4 2" xfId="40123" xr:uid="{4C7B7F4E-14A2-461B-9C40-36B0A7C2EFBF}"/>
    <cellStyle name="Normal 6 5 2 5" xfId="23039" xr:uid="{367029E8-13A4-4493-8219-0A5E1C6FF0B1}"/>
    <cellStyle name="Normal 6 5 2 5 2" xfId="43374" xr:uid="{8599654C-D572-4BB5-851E-8F360AEAD0F5}"/>
    <cellStyle name="Normal 6 5 2 6" xfId="13373" xr:uid="{EA31CF18-910D-445E-8C40-57B3C9765751}"/>
    <cellStyle name="Normal 6 5 2 6 2" xfId="33714" xr:uid="{533BEBBB-5668-4AB8-8CFF-E817CA4116B9}"/>
    <cellStyle name="Normal 6 5 2 7" xfId="9495" xr:uid="{578F0D34-5D1A-4D80-B4AE-F79BF7253435}"/>
    <cellStyle name="Normal 6 5 2 7 2" xfId="29838" xr:uid="{4389A7F4-1D99-4641-A1FA-DD10E1A63804}"/>
    <cellStyle name="Normal 6 5 2 8" xfId="26344" xr:uid="{AF42BA81-2DD9-4CC3-9BCE-18CCFF5D81B6}"/>
    <cellStyle name="Normal 6 5 2 9" xfId="46184" xr:uid="{CF8EA182-B5FE-4BE6-A196-C39A498C6315}"/>
    <cellStyle name="Normal 6 5 3" xfId="6573" xr:uid="{58961419-82F7-4CAD-9E8D-B0576EB2575F}"/>
    <cellStyle name="Normal 6 5 3 2" xfId="16859" xr:uid="{A23C4821-DED4-49A3-89D9-29326ACA0EDE}"/>
    <cellStyle name="Normal 6 5 3 2 2" xfId="37199" xr:uid="{531A4FD4-D59E-4E2B-8ADA-8EBEF29F086B}"/>
    <cellStyle name="Normal 6 5 3 3" xfId="20361" xr:uid="{27F2C48F-E9EF-4804-85EB-D369702892C0}"/>
    <cellStyle name="Normal 6 5 3 3 2" xfId="40700" xr:uid="{69B3B3C2-A141-49EB-A77B-95BEFC673405}"/>
    <cellStyle name="Normal 6 5 3 4" xfId="23616" xr:uid="{86A0E9CE-91CE-4D08-8389-32691EBF7958}"/>
    <cellStyle name="Normal 6 5 3 4 2" xfId="43951" xr:uid="{A3C47226-104D-4F5B-B9B0-A6480879A445}"/>
    <cellStyle name="Normal 6 5 3 5" xfId="13950" xr:uid="{EF66C774-7A15-49A8-AA0F-E5C7D5C4E8AC}"/>
    <cellStyle name="Normal 6 5 3 5 2" xfId="34291" xr:uid="{732A65B7-349E-4AD9-8AC5-4243BE8AB5B2}"/>
    <cellStyle name="Normal 6 5 3 6" xfId="10072" xr:uid="{5E586397-9F6F-4C57-B8FF-151899485143}"/>
    <cellStyle name="Normal 6 5 3 6 2" xfId="30415" xr:uid="{65486EDC-ECFF-4CA1-91EA-C7F0602A8911}"/>
    <cellStyle name="Normal 6 5 3 7" xfId="26921" xr:uid="{53D4CD63-87E2-4C33-8482-15F5BEF40AE2}"/>
    <cellStyle name="Normal 6 5 4" xfId="7737" xr:uid="{834C138B-C4EC-4D17-BD31-51754CD077DC}"/>
    <cellStyle name="Normal 6 5 4 2" xfId="18022" xr:uid="{04922EFB-2F98-44C9-887D-859280F7E1ED}"/>
    <cellStyle name="Normal 6 5 4 2 2" xfId="38362" xr:uid="{83420369-40D0-42F4-B999-5BA825B209D5}"/>
    <cellStyle name="Normal 6 5 4 3" xfId="21524" xr:uid="{2943597A-76FF-4ADD-B810-B367A26B656D}"/>
    <cellStyle name="Normal 6 5 4 3 2" xfId="41863" xr:uid="{AF8D909F-2F8C-497A-A27C-80B322F1FAEF}"/>
    <cellStyle name="Normal 6 5 4 4" xfId="24779" xr:uid="{EFFFD4E3-913E-4DA4-B2A5-A85849262548}"/>
    <cellStyle name="Normal 6 5 4 4 2" xfId="45114" xr:uid="{BBFE9583-25A1-42C5-8C1D-BB840C92CE7E}"/>
    <cellStyle name="Normal 6 5 4 5" xfId="15114" xr:uid="{720D73A6-FF02-47B9-B30A-F5DAFAC6F7F0}"/>
    <cellStyle name="Normal 6 5 4 5 2" xfId="35454" xr:uid="{11C7CCC8-CCE3-46BA-B68A-B21E3EF8B604}"/>
    <cellStyle name="Normal 6 5 4 6" xfId="11235" xr:uid="{B6F7CE4A-C262-4AE4-9404-543F4740C2FC}"/>
    <cellStyle name="Normal 6 5 4 6 2" xfId="31578" xr:uid="{3EB78D60-0C3A-48EF-8592-5B1412335F27}"/>
    <cellStyle name="Normal 6 5 4 7" xfId="28084" xr:uid="{0F070312-6707-48F3-8032-E6934574396B}"/>
    <cellStyle name="Normal 6 5 5" xfId="8137" xr:uid="{43028D5B-1FF3-4673-B30A-7D631121F5B1}"/>
    <cellStyle name="Normal 6 5 5 2" xfId="21924" xr:uid="{B896F22D-89D1-47A7-9118-E18C42D104C6}"/>
    <cellStyle name="Normal 6 5 5 2 2" xfId="42260" xr:uid="{8D5E9A4D-B171-47AD-B56B-1C5C9F7225BE}"/>
    <cellStyle name="Normal 6 5 5 3" xfId="25176" xr:uid="{6E917DBE-A1E7-49DC-85A2-F7539925D60E}"/>
    <cellStyle name="Normal 6 5 5 3 2" xfId="45511" xr:uid="{08BFA8E4-8C18-40CC-8FC5-336EAF924B4E}"/>
    <cellStyle name="Normal 6 5 5 4" xfId="12804" xr:uid="{0D826B53-09F4-4826-A9D6-CAD17876F2BF}"/>
    <cellStyle name="Normal 6 5 5 4 2" xfId="33145" xr:uid="{8FC54F6C-37B9-4B61-83BD-C323AD59B5A6}"/>
    <cellStyle name="Normal 6 5 5 5" xfId="11633" xr:uid="{E039EDAE-65D2-4CB6-B39B-B9DD02A3CB9E}"/>
    <cellStyle name="Normal 6 5 5 5 2" xfId="31975" xr:uid="{1E3EEF1F-0EE6-4537-9181-52CE72E36D30}"/>
    <cellStyle name="Normal 6 5 5 6" xfId="28481" xr:uid="{77C0E8B8-61AA-461E-9387-E5979AD99E5D}"/>
    <cellStyle name="Normal 6 5 6" xfId="8566" xr:uid="{97B6DF2D-A7EA-40D0-97BE-AD4EE1F5CF16}"/>
    <cellStyle name="Normal 6 5 6 2" xfId="15701" xr:uid="{AC313FB9-053B-435C-80FE-F93095E9FDE8}"/>
    <cellStyle name="Normal 6 5 6 2 2" xfId="36041" xr:uid="{F07CD3E0-5D14-4C63-ADF0-5F9BF0D5A20B}"/>
    <cellStyle name="Normal 6 5 6 3" xfId="28909" xr:uid="{369018E0-5464-40C8-B378-B16C0D3F21BD}"/>
    <cellStyle name="Normal 6 5 7" xfId="18615" xr:uid="{B7507210-AE31-4B33-8D47-4E37DAE4A565}"/>
    <cellStyle name="Normal 6 5 7 2" xfId="38955" xr:uid="{7C5F4B24-A769-4293-A98D-38B1E86CC938}"/>
    <cellStyle name="Normal 6 5 8" xfId="19203" xr:uid="{FA106E73-312D-4F1D-A1BA-9E756D5F86A8}"/>
    <cellStyle name="Normal 6 5 8 2" xfId="39542" xr:uid="{F0282194-574D-4C8F-91CF-87707230E295}"/>
    <cellStyle name="Normal 6 5 9" xfId="22458" xr:uid="{787A6633-88CD-48D7-98CA-37BF6275CBEF}"/>
    <cellStyle name="Normal 6 5 9 2" xfId="42793" xr:uid="{5AD3F0EB-CF87-4922-B9C2-6215FCCF2207}"/>
    <cellStyle name="Normal 6 6" xfId="5482" xr:uid="{B9415815-A8D8-4BFA-A816-0429310BD1DF}"/>
    <cellStyle name="Normal 6 6 10" xfId="12233" xr:uid="{2302D2AC-74F4-4816-A9FA-18E73BBC8891}"/>
    <cellStyle name="Normal 6 6 10 2" xfId="32574" xr:uid="{A3BC1237-5C95-409D-9F3A-8D8CA146A68D}"/>
    <cellStyle name="Normal 6 6 11" xfId="8972" xr:uid="{8853C4A4-EA62-4BD7-96DD-CE5B158A3AED}"/>
    <cellStyle name="Normal 6 6 11 2" xfId="29315" xr:uid="{0BEFD91E-58B0-41F6-9A84-7731849DC197}"/>
    <cellStyle name="Normal 6 6 12" xfId="25821" xr:uid="{2AF9A098-632C-457A-BD8E-2D8A87CA18B3}"/>
    <cellStyle name="Normal 6 6 13" xfId="46059" xr:uid="{16F308A3-8ED8-4057-B47C-64303FF6F639}"/>
    <cellStyle name="Normal 6 6 14" xfId="46545" xr:uid="{B6D5418C-FC9F-4D6F-8C9E-4B3897E7954A}"/>
    <cellStyle name="Normal 6 6 15" xfId="47037" xr:uid="{83C38DFD-143F-424C-B73A-F5E84896D165}"/>
    <cellStyle name="Normal 6 6 2" xfId="6054" xr:uid="{38C37F82-9AB6-4EE4-8BB0-405748DF7F63}"/>
    <cellStyle name="Normal 6 6 2 2" xfId="7212" xr:uid="{8279AB74-B2EC-4CDA-B6DD-4CEFC323DDB5}"/>
    <cellStyle name="Normal 6 6 2 2 2" xfId="17498" xr:uid="{1D7FB7FD-EF6B-447A-B8C0-8587218361DC}"/>
    <cellStyle name="Normal 6 6 2 2 2 2" xfId="37838" xr:uid="{CBB2F1D6-5C1E-4F1F-8557-67953B669915}"/>
    <cellStyle name="Normal 6 6 2 2 3" xfId="21000" xr:uid="{C0129A9F-C57D-4ABA-9652-A10F98F4E76C}"/>
    <cellStyle name="Normal 6 6 2 2 3 2" xfId="41339" xr:uid="{96AF8AF5-29C8-4024-B0A5-01133A8453BA}"/>
    <cellStyle name="Normal 6 6 2 2 4" xfId="24255" xr:uid="{7613611A-DD91-432E-9CDA-6DEF61A9EE81}"/>
    <cellStyle name="Normal 6 6 2 2 4 2" xfId="44590" xr:uid="{D69B3C8D-9B0F-4733-9DA0-FA22DE5F9EF0}"/>
    <cellStyle name="Normal 6 6 2 2 5" xfId="14589" xr:uid="{6B1D4711-7C8A-4379-890B-9314388D972B}"/>
    <cellStyle name="Normal 6 6 2 2 5 2" xfId="34930" xr:uid="{90C4EE17-7DF0-456A-97CF-894A883F93AF}"/>
    <cellStyle name="Normal 6 6 2 2 6" xfId="10711" xr:uid="{8128D0B1-1EAF-4C87-A5C8-6DC8B157D3F4}"/>
    <cellStyle name="Normal 6 6 2 2 6 2" xfId="31054" xr:uid="{2BFC791A-6B12-4BA5-86B4-D22419DEF968}"/>
    <cellStyle name="Normal 6 6 2 2 7" xfId="27560" xr:uid="{6C4C92B1-E491-4FF0-986F-572EC5091EEA}"/>
    <cellStyle name="Normal 6 6 2 3" xfId="16340" xr:uid="{64F8B26B-20BD-4226-A7A8-3959E3B8A604}"/>
    <cellStyle name="Normal 6 6 2 3 2" xfId="36680" xr:uid="{98A04347-8BEC-400C-9CBF-BBA6C49C3A14}"/>
    <cellStyle name="Normal 6 6 2 4" xfId="19842" xr:uid="{462CDBB6-4C6D-4E91-AB93-D359F2D50CD7}"/>
    <cellStyle name="Normal 6 6 2 4 2" xfId="40181" xr:uid="{80C1D693-0820-46B6-B786-17188233D2DC}"/>
    <cellStyle name="Normal 6 6 2 5" xfId="23097" xr:uid="{F7DA27C6-12B1-4BDA-ACCA-1049C8C40D10}"/>
    <cellStyle name="Normal 6 6 2 5 2" xfId="43432" xr:uid="{415D3785-2E6A-4188-A0B0-C239C7AA25FE}"/>
    <cellStyle name="Normal 6 6 2 6" xfId="13431" xr:uid="{DC5D3982-9013-4B16-A130-C6F21D992C0D}"/>
    <cellStyle name="Normal 6 6 2 6 2" xfId="33772" xr:uid="{95D895DB-B62D-4626-98B2-426437FE1956}"/>
    <cellStyle name="Normal 6 6 2 7" xfId="9553" xr:uid="{737AF8EB-AB08-402C-A781-2DDBF6155AEF}"/>
    <cellStyle name="Normal 6 6 2 7 2" xfId="29896" xr:uid="{E22CAD89-5B28-4660-A799-DC46AF7B5425}"/>
    <cellStyle name="Normal 6 6 2 8" xfId="26402" xr:uid="{2DBBBF96-50A8-4419-80D6-C1BC7B8FD5D1}"/>
    <cellStyle name="Normal 6 6 3" xfId="6631" xr:uid="{80812D25-ED65-432F-81C9-6DBCEEA7916A}"/>
    <cellStyle name="Normal 6 6 3 2" xfId="16917" xr:uid="{1447C2BC-3650-4D17-869F-C7FCB7C31CDB}"/>
    <cellStyle name="Normal 6 6 3 2 2" xfId="37257" xr:uid="{9F33E659-1395-46FA-89E8-45A754057DCC}"/>
    <cellStyle name="Normal 6 6 3 3" xfId="20419" xr:uid="{1256F321-DD81-4DA9-9A63-AEAA8458523D}"/>
    <cellStyle name="Normal 6 6 3 3 2" xfId="40758" xr:uid="{523AD0DB-5866-4376-B2BD-D89F89601EF9}"/>
    <cellStyle name="Normal 6 6 3 4" xfId="23674" xr:uid="{17510C63-893B-4584-BB37-DD0A104111BF}"/>
    <cellStyle name="Normal 6 6 3 4 2" xfId="44009" xr:uid="{3E262F49-5D03-44AB-949C-FFAF5C245F40}"/>
    <cellStyle name="Normal 6 6 3 5" xfId="14008" xr:uid="{63BEB201-05D4-452D-BAC6-C789F194E130}"/>
    <cellStyle name="Normal 6 6 3 5 2" xfId="34349" xr:uid="{6460EE22-7ACE-46F0-A6F4-5CAECFEBB407}"/>
    <cellStyle name="Normal 6 6 3 6" xfId="10130" xr:uid="{B4242C0D-4E03-4B6E-986E-1A5AA4049DA4}"/>
    <cellStyle name="Normal 6 6 3 6 2" xfId="30473" xr:uid="{892FE513-5F0E-450F-91BD-A1C0E300F73D}"/>
    <cellStyle name="Normal 6 6 3 7" xfId="26979" xr:uid="{C3ACEBC8-0F27-4AD0-A899-6947B684366D}"/>
    <cellStyle name="Normal 6 6 4" xfId="7795" xr:uid="{893C55D9-69C5-4111-83C1-CD6ECD94A378}"/>
    <cellStyle name="Normal 6 6 4 2" xfId="18080" xr:uid="{88A90420-8C89-4FB7-BAE2-3A50C17F2E9C}"/>
    <cellStyle name="Normal 6 6 4 2 2" xfId="38420" xr:uid="{224B7B9E-40F5-4B5A-949E-4BBD84F0A702}"/>
    <cellStyle name="Normal 6 6 4 3" xfId="21582" xr:uid="{1B3F698C-FEBA-49CD-8F6F-A354A4FA48FC}"/>
    <cellStyle name="Normal 6 6 4 3 2" xfId="41921" xr:uid="{3D1F54FA-1158-43A7-8F81-CBF3EC208D7F}"/>
    <cellStyle name="Normal 6 6 4 4" xfId="24837" xr:uid="{04AEA2EA-BF49-4E1B-B7B5-93B40E369106}"/>
    <cellStyle name="Normal 6 6 4 4 2" xfId="45172" xr:uid="{09332199-074F-45A9-84AB-AFBE37CFFE6C}"/>
    <cellStyle name="Normal 6 6 4 5" xfId="15172" xr:uid="{25EB87D6-8706-4952-B494-525EE3198790}"/>
    <cellStyle name="Normal 6 6 4 5 2" xfId="35512" xr:uid="{FC62A6AB-8AEA-4246-855E-54A776FF61A2}"/>
    <cellStyle name="Normal 6 6 4 6" xfId="11293" xr:uid="{36DC038B-AF61-4FF6-9B30-0CA9FADDAB22}"/>
    <cellStyle name="Normal 6 6 4 6 2" xfId="31636" xr:uid="{87C2ADC7-34E3-4666-AF14-9A960EDA1A75}"/>
    <cellStyle name="Normal 6 6 4 7" xfId="28142" xr:uid="{7565701F-9330-455C-831F-7DB9F2BD193D}"/>
    <cellStyle name="Normal 6 6 5" xfId="12862" xr:uid="{39D0EF4B-561A-4683-9112-6292BEDABB7F}"/>
    <cellStyle name="Normal 6 6 5 2" xfId="33203" xr:uid="{6030C9FB-F6B9-4BEB-AAB3-C8C4BFD74566}"/>
    <cellStyle name="Normal 6 6 6" xfId="15759" xr:uid="{B69D2A66-0288-4B3F-A397-0BA95F85536B}"/>
    <cellStyle name="Normal 6 6 6 2" xfId="36099" xr:uid="{1836623F-119D-4E4D-ACA1-27E0E8F84D67}"/>
    <cellStyle name="Normal 6 6 7" xfId="18673" xr:uid="{FE65D546-7B2C-4E25-A7CC-F94591C2ADAF}"/>
    <cellStyle name="Normal 6 6 7 2" xfId="39013" xr:uid="{71B4D8B1-1827-407E-AF99-8732365138D0}"/>
    <cellStyle name="Normal 6 6 8" xfId="19261" xr:uid="{88CBD63F-2429-41F3-83F5-9419774ABCEB}"/>
    <cellStyle name="Normal 6 6 8 2" xfId="39600" xr:uid="{07E01330-E27C-49AB-AA61-1FB0062E22E8}"/>
    <cellStyle name="Normal 6 6 9" xfId="22516" xr:uid="{0311E1CE-A99A-4163-83D5-DE6B2C3F5A3A}"/>
    <cellStyle name="Normal 6 6 9 2" xfId="42851" xr:uid="{1D271CF4-DFDC-4071-A864-3F167F2A1C8E}"/>
    <cellStyle name="Normal 6 7" xfId="5655" xr:uid="{59482C47-8265-4314-A0BB-4450C5A2A835}"/>
    <cellStyle name="Normal 6 7 10" xfId="12406" xr:uid="{36159309-5290-4ACE-B1C9-DC5C47956C23}"/>
    <cellStyle name="Normal 6 7 10 2" xfId="32747" xr:uid="{22FD5A2E-E5B3-45FD-A6FC-F32DEC2B0E7F}"/>
    <cellStyle name="Normal 6 7 11" xfId="9145" xr:uid="{D3084178-A980-404B-B6C8-1D07B806DC0A}"/>
    <cellStyle name="Normal 6 7 11 2" xfId="29488" xr:uid="{D5798505-9AC3-4915-B53B-96E3DA756A48}"/>
    <cellStyle name="Normal 6 7 12" xfId="25994" xr:uid="{15C205A8-DBE9-416C-BC96-F009185AB3E8}"/>
    <cellStyle name="Normal 6 7 2" xfId="6227" xr:uid="{0E7C71CE-BD0C-4042-A14B-D947F7E5B170}"/>
    <cellStyle name="Normal 6 7 2 2" xfId="7385" xr:uid="{D443E2BF-C755-40DC-8267-5D050103C460}"/>
    <cellStyle name="Normal 6 7 2 2 2" xfId="17671" xr:uid="{B39528D1-D910-41BA-B9D9-38F9ECDA2DA5}"/>
    <cellStyle name="Normal 6 7 2 2 2 2" xfId="38011" xr:uid="{406A866D-2B32-4477-BA50-3EC7366196E3}"/>
    <cellStyle name="Normal 6 7 2 2 3" xfId="21173" xr:uid="{314873A2-3AF3-4BEA-9C30-C8EA5D518B83}"/>
    <cellStyle name="Normal 6 7 2 2 3 2" xfId="41512" xr:uid="{63126B48-8DB9-467E-B582-504E654A58B1}"/>
    <cellStyle name="Normal 6 7 2 2 4" xfId="24428" xr:uid="{11F8557B-2555-4477-A9D5-21628F8DD57D}"/>
    <cellStyle name="Normal 6 7 2 2 4 2" xfId="44763" xr:uid="{F9A80130-9149-4BB2-A0C2-74F9E17F1C7A}"/>
    <cellStyle name="Normal 6 7 2 2 5" xfId="14762" xr:uid="{427C47D8-3B10-4746-84BE-562955898C94}"/>
    <cellStyle name="Normal 6 7 2 2 5 2" xfId="35103" xr:uid="{77992B64-E2B8-438C-99C3-0D280741D3E8}"/>
    <cellStyle name="Normal 6 7 2 2 6" xfId="10884" xr:uid="{6B6FD9B2-2599-45DD-B4DE-1F8AA172AAAB}"/>
    <cellStyle name="Normal 6 7 2 2 6 2" xfId="31227" xr:uid="{BF1961D1-7BE4-4D1D-A3AF-A61A99D7D2A7}"/>
    <cellStyle name="Normal 6 7 2 2 7" xfId="27733" xr:uid="{31AF53D5-5A76-4355-874C-6BCB46EFA659}"/>
    <cellStyle name="Normal 6 7 2 3" xfId="16513" xr:uid="{8D4FBDF1-2497-459E-8AA9-35FB74B22EF9}"/>
    <cellStyle name="Normal 6 7 2 3 2" xfId="36853" xr:uid="{1B7ABF56-E745-41F2-A0AE-537E92FA1BA9}"/>
    <cellStyle name="Normal 6 7 2 4" xfId="20015" xr:uid="{03419755-69C8-4007-906D-F41F099EC260}"/>
    <cellStyle name="Normal 6 7 2 4 2" xfId="40354" xr:uid="{1887C081-445C-4C7D-A1ED-AB7C4581F720}"/>
    <cellStyle name="Normal 6 7 2 5" xfId="23270" xr:uid="{46371E4B-5DC4-4A2F-B76B-40037AE5946C}"/>
    <cellStyle name="Normal 6 7 2 5 2" xfId="43605" xr:uid="{B5114BD7-7E6B-4F83-B504-E4DA875F96E5}"/>
    <cellStyle name="Normal 6 7 2 6" xfId="13604" xr:uid="{30876AB6-1E42-4FF1-8A96-2713D55FED6C}"/>
    <cellStyle name="Normal 6 7 2 6 2" xfId="33945" xr:uid="{BA26457B-6D7D-4970-91BE-F23D6F91A026}"/>
    <cellStyle name="Normal 6 7 2 7" xfId="9726" xr:uid="{DADE432C-DC82-4BC1-B9C8-4924C3370414}"/>
    <cellStyle name="Normal 6 7 2 7 2" xfId="30069" xr:uid="{4A214B9A-8BD5-4BA7-AF56-6ACFBFDDA705}"/>
    <cellStyle name="Normal 6 7 2 8" xfId="26575" xr:uid="{20FDD5A5-5736-4088-8929-89191D43AFAD}"/>
    <cellStyle name="Normal 6 7 3" xfId="6804" xr:uid="{B730F7D2-9A2D-4AF1-AB04-79A0D6D20B35}"/>
    <cellStyle name="Normal 6 7 3 2" xfId="17090" xr:uid="{CFD67CC7-473F-45E4-A053-3BD2C81B4631}"/>
    <cellStyle name="Normal 6 7 3 2 2" xfId="37430" xr:uid="{94792750-D8AD-434B-9757-F88D928D2F45}"/>
    <cellStyle name="Normal 6 7 3 3" xfId="20592" xr:uid="{A4D8022D-0E56-4183-8C3B-E06780DE43DF}"/>
    <cellStyle name="Normal 6 7 3 3 2" xfId="40931" xr:uid="{6F04CFFF-ECF8-4D25-B9D1-5E4AB658565F}"/>
    <cellStyle name="Normal 6 7 3 4" xfId="23847" xr:uid="{09A1A97A-DA83-4017-9404-451D579B71EC}"/>
    <cellStyle name="Normal 6 7 3 4 2" xfId="44182" xr:uid="{1C2D7C9A-E263-4B7F-8FDC-4AB331FD3CB7}"/>
    <cellStyle name="Normal 6 7 3 5" xfId="14181" xr:uid="{5F631BD3-FBA6-456C-AA0C-94AFE9C3D9CC}"/>
    <cellStyle name="Normal 6 7 3 5 2" xfId="34522" xr:uid="{E6962F47-F90B-4E0C-A4EA-1AC91F9E1C3A}"/>
    <cellStyle name="Normal 6 7 3 6" xfId="10303" xr:uid="{F98E894E-F69E-4C56-8810-66A21F5A9755}"/>
    <cellStyle name="Normal 6 7 3 6 2" xfId="30646" xr:uid="{EAACA1BF-7C4A-434F-B766-C72E914BC9A4}"/>
    <cellStyle name="Normal 6 7 3 7" xfId="27152" xr:uid="{F6DDB7B8-6FD4-4081-9FDF-852A189B150A}"/>
    <cellStyle name="Normal 6 7 4" xfId="7968" xr:uid="{24451A7B-1534-485B-BD74-74CD25646273}"/>
    <cellStyle name="Normal 6 7 4 2" xfId="18253" xr:uid="{275E95D8-986B-48C1-B54F-1773A02710C1}"/>
    <cellStyle name="Normal 6 7 4 2 2" xfId="38593" xr:uid="{00EBE28D-6AF3-4E22-8F91-E515A527578A}"/>
    <cellStyle name="Normal 6 7 4 3" xfId="21755" xr:uid="{AE03E6F5-6B2A-4006-B9D9-E1F79AF792DA}"/>
    <cellStyle name="Normal 6 7 4 3 2" xfId="42094" xr:uid="{F2C3E8C2-EA51-4690-B170-5688800D041E}"/>
    <cellStyle name="Normal 6 7 4 4" xfId="25010" xr:uid="{E0922CB3-4498-4978-9031-BC201182A637}"/>
    <cellStyle name="Normal 6 7 4 4 2" xfId="45345" xr:uid="{032DCCA4-FAED-4C38-B02D-BBF7688AD632}"/>
    <cellStyle name="Normal 6 7 4 5" xfId="15345" xr:uid="{C34C9951-987D-46DB-92F8-FA75A5BA9C84}"/>
    <cellStyle name="Normal 6 7 4 5 2" xfId="35685" xr:uid="{F34DC70B-D41F-4EB9-A73B-F200DB0A6C5B}"/>
    <cellStyle name="Normal 6 7 4 6" xfId="11466" xr:uid="{BF9A1A1A-ED72-4AA4-8E5F-3FCB5B35ED44}"/>
    <cellStyle name="Normal 6 7 4 6 2" xfId="31809" xr:uid="{BD5AFC72-F01D-4C23-BBCC-A08BD2C5A13B}"/>
    <cellStyle name="Normal 6 7 4 7" xfId="28315" xr:uid="{36AA8EA3-4317-4407-AB0B-AE954583C787}"/>
    <cellStyle name="Normal 6 7 5" xfId="13035" xr:uid="{935E0227-95A3-4B2F-823F-68E24510D6C9}"/>
    <cellStyle name="Normal 6 7 5 2" xfId="33376" xr:uid="{D64F0E58-0225-4C5F-A936-23FA694D1AEF}"/>
    <cellStyle name="Normal 6 7 6" xfId="15932" xr:uid="{269474B5-494E-4750-87FC-F4644A5E2261}"/>
    <cellStyle name="Normal 6 7 6 2" xfId="36272" xr:uid="{5E02B5C3-2910-4EC7-BF9D-FDF3530152C5}"/>
    <cellStyle name="Normal 6 7 7" xfId="18846" xr:uid="{6442A00B-4B76-4F2D-BB14-54A835D43C9E}"/>
    <cellStyle name="Normal 6 7 7 2" xfId="39186" xr:uid="{438CE206-13E2-457B-8BAA-E32007A08092}"/>
    <cellStyle name="Normal 6 7 8" xfId="19434" xr:uid="{55811A0E-B09D-4ACF-8490-BA24D2411536}"/>
    <cellStyle name="Normal 6 7 8 2" xfId="39773" xr:uid="{2D3B7B68-0ED0-40ED-9AC7-C9B959347F90}"/>
    <cellStyle name="Normal 6 7 9" xfId="22689" xr:uid="{F084C6A5-A224-462C-9E92-EE6BFBD0B0D4}"/>
    <cellStyle name="Normal 6 7 9 2" xfId="43024" xr:uid="{8C8B7931-405D-4CE9-B3B9-9E1463CCA73B}"/>
    <cellStyle name="Normal 6 8" xfId="8122" xr:uid="{61AC84F2-9B5F-4DA0-88D6-12725B9C0420}"/>
    <cellStyle name="Normal 6 8 2" xfId="25161" xr:uid="{D3DE515E-0D3E-4218-9A75-7AA31909ED6F}"/>
    <cellStyle name="Normal 6 8 2 2" xfId="45496" xr:uid="{6026A3C5-1BF7-4F14-AAFF-FAA4623F801A}"/>
    <cellStyle name="Normal 6 8 3" xfId="21909" xr:uid="{D76B3A48-9334-4A68-9503-D2A1177CC25D}"/>
    <cellStyle name="Normal 6 8 3 2" xfId="42245" xr:uid="{17E8CD9C-A95A-45B4-8B4A-A7E420EFB2A6}"/>
    <cellStyle name="Normal 6 8 4" xfId="11618" xr:uid="{73E3B0C6-9007-4FD9-80EC-451683445D8E}"/>
    <cellStyle name="Normal 6 8 4 2" xfId="31960" xr:uid="{92CB5653-B87F-466E-90E6-ADF7024D4D0A}"/>
    <cellStyle name="Normal 6 8 5" xfId="28466" xr:uid="{E3654A23-49E2-4C9D-A694-DCDDD1315447}"/>
    <cellStyle name="Normal 6 9" xfId="8441" xr:uid="{87DE9055-F399-44F9-967A-3AD5D1B5867A}"/>
    <cellStyle name="Normal 6 9 2" xfId="28784" xr:uid="{A28A9965-5507-4874-9816-8EBDAF89D2F8}"/>
    <cellStyle name="Normal 60" xfId="49358" xr:uid="{FD887B17-6AE8-4094-9824-026D72886D5D}"/>
    <cellStyle name="Normal 61" xfId="52660" xr:uid="{7C724C76-64AA-4456-904A-82F2F8D5B76F}"/>
    <cellStyle name="Normal 62" xfId="5203" xr:uid="{D431AAB6-0BEA-4CC1-AB5C-1EB3FB25E56B}"/>
    <cellStyle name="Normal 63" xfId="57584" xr:uid="{633A591A-97F2-44A3-BF3B-2DC4542EACD1}"/>
    <cellStyle name="Normal 64" xfId="57608" xr:uid="{BB2DA36B-C908-405B-9BFD-804FB99B6B55}"/>
    <cellStyle name="Normal 7" xfId="4808" xr:uid="{69CFD5AF-8FB9-4E5E-B140-48C0CCD43121}"/>
    <cellStyle name="Normal 7 10" xfId="5770" xr:uid="{11EF3E0A-8907-4738-9801-4DC047E9FF3B}"/>
    <cellStyle name="Normal 7 10 2" xfId="6928" xr:uid="{FCD681CE-90A2-4C72-BB58-4A5422B7EE17}"/>
    <cellStyle name="Normal 7 10 2 2" xfId="17214" xr:uid="{44B29C56-6E3F-4646-8DBF-C4FC18FCA85D}"/>
    <cellStyle name="Normal 7 10 2 2 2" xfId="37554" xr:uid="{CDB71282-A8BA-4CFB-9A03-09EA4F988152}"/>
    <cellStyle name="Normal 7 10 2 3" xfId="20716" xr:uid="{C696677C-6A0D-4BD2-9731-D8E9668F4EF4}"/>
    <cellStyle name="Normal 7 10 2 3 2" xfId="41055" xr:uid="{23E72AE7-736C-45B3-AD5A-BD8DC73B59F4}"/>
    <cellStyle name="Normal 7 10 2 4" xfId="23971" xr:uid="{A3AE51E0-2F46-4E69-B026-73398D17D444}"/>
    <cellStyle name="Normal 7 10 2 4 2" xfId="44306" xr:uid="{52801A6A-CBC4-4CCF-8053-264EE80A01A3}"/>
    <cellStyle name="Normal 7 10 2 5" xfId="14305" xr:uid="{CFEB4695-7851-437D-8A5C-B266E21589A7}"/>
    <cellStyle name="Normal 7 10 2 5 2" xfId="34646" xr:uid="{8CF5CEC4-9DBD-407D-9BFC-7E746B350DA1}"/>
    <cellStyle name="Normal 7 10 2 6" xfId="10427" xr:uid="{A018F784-8D2D-4B13-8C3C-968310EE1DB4}"/>
    <cellStyle name="Normal 7 10 2 6 2" xfId="30770" xr:uid="{F98E8AD6-021A-404E-A6CA-EE34531631B1}"/>
    <cellStyle name="Normal 7 10 2 7" xfId="27276" xr:uid="{4A6406ED-E5FE-4714-BD11-AF743291FEC9}"/>
    <cellStyle name="Normal 7 10 3" xfId="16056" xr:uid="{E05A48CD-6D9A-4428-97EB-374C673FEEAE}"/>
    <cellStyle name="Normal 7 10 3 2" xfId="36396" xr:uid="{A4FDDA35-8AC6-437C-988F-B3C8AD2D02E4}"/>
    <cellStyle name="Normal 7 10 4" xfId="19558" xr:uid="{31644E96-35E1-4767-B967-05883C9EFBA9}"/>
    <cellStyle name="Normal 7 10 4 2" xfId="39897" xr:uid="{6521506D-0E36-455B-9277-ACEB0DE09018}"/>
    <cellStyle name="Normal 7 10 5" xfId="22813" xr:uid="{916ED1B9-0BA6-4EB5-9FF7-2AF1364661FC}"/>
    <cellStyle name="Normal 7 10 5 2" xfId="43148" xr:uid="{5FB7F426-D83A-47D8-8C90-2A29C085D596}"/>
    <cellStyle name="Normal 7 10 6" xfId="13158" xr:uid="{1009E57E-54C0-4C7D-813B-8EB418BD7420}"/>
    <cellStyle name="Normal 7 10 6 2" xfId="33499" xr:uid="{F66C0FB0-A9EF-4F84-A258-3633B19CA8AB}"/>
    <cellStyle name="Normal 7 10 7" xfId="9269" xr:uid="{88980D2A-C1A4-4552-9006-A7166E001AE4}"/>
    <cellStyle name="Normal 7 10 7 2" xfId="29612" xr:uid="{ABC8228F-5DCB-47B1-833B-1168489FEE10}"/>
    <cellStyle name="Normal 7 10 8" xfId="26118" xr:uid="{C91358D8-A6A7-4012-B7C8-9D9FA3CAC859}"/>
    <cellStyle name="Normal 7 11" xfId="6347" xr:uid="{76A78F54-4105-4EE0-88D3-46C5BDE01F61}"/>
    <cellStyle name="Normal 7 11 2" xfId="16633" xr:uid="{5A1311B9-606C-423A-A240-A95EC9B03B2E}"/>
    <cellStyle name="Normal 7 11 2 2" xfId="36973" xr:uid="{58E43219-8395-4A63-8FDB-4191D9C0AC9C}"/>
    <cellStyle name="Normal 7 11 3" xfId="20135" xr:uid="{F955CC59-1DCE-43A4-B7AE-56F361516F0A}"/>
    <cellStyle name="Normal 7 11 3 2" xfId="40474" xr:uid="{C9D108DB-D232-4485-9488-75723CBECB49}"/>
    <cellStyle name="Normal 7 11 4" xfId="23390" xr:uid="{D2E33782-DE92-480A-8A5D-00F64EFE1E74}"/>
    <cellStyle name="Normal 7 11 4 2" xfId="43725" xr:uid="{0DE9ABF6-C3B3-42DB-974A-5E7875DDDD20}"/>
    <cellStyle name="Normal 7 11 5" xfId="13724" xr:uid="{3C0F9FCB-443B-40DE-A8E1-259569C34DD2}"/>
    <cellStyle name="Normal 7 11 5 2" xfId="34065" xr:uid="{2782F37D-A152-4600-9110-A5ADC8C612E7}"/>
    <cellStyle name="Normal 7 11 6" xfId="9846" xr:uid="{114C15AD-F81F-4ED9-BAAA-C0D0412A2921}"/>
    <cellStyle name="Normal 7 11 6 2" xfId="30189" xr:uid="{D6A7839F-1369-472D-8B07-4701BEFDB170}"/>
    <cellStyle name="Normal 7 11 7" xfId="26695" xr:uid="{21E2BC5F-B76D-421F-8964-0159E03C7A0A}"/>
    <cellStyle name="Normal 7 12" xfId="7511" xr:uid="{FC01C903-BEE2-4672-9E0D-B0C0DB60A70B}"/>
    <cellStyle name="Normal 7 12 2" xfId="17796" xr:uid="{6315035D-2051-49CA-9405-C48DD9F2B7A8}"/>
    <cellStyle name="Normal 7 12 2 2" xfId="38136" xr:uid="{B6FFAD29-C445-4674-8B7C-D447575538CB}"/>
    <cellStyle name="Normal 7 12 3" xfId="21298" xr:uid="{176D81F7-3675-46C6-A3F1-E9A2C41C44B3}"/>
    <cellStyle name="Normal 7 12 3 2" xfId="41637" xr:uid="{663E87C3-83EA-4675-A760-C8806F0809A2}"/>
    <cellStyle name="Normal 7 12 4" xfId="24553" xr:uid="{589D87C0-00A3-4ED9-8B6D-8F4A514F2B2F}"/>
    <cellStyle name="Normal 7 12 4 2" xfId="44888" xr:uid="{566B1DAE-64DD-440B-85FA-4B174183ED24}"/>
    <cellStyle name="Normal 7 12 5" xfId="14888" xr:uid="{9C535A9D-5BC7-4483-9061-424D53EAC351}"/>
    <cellStyle name="Normal 7 12 5 2" xfId="35228" xr:uid="{30DDF73F-6C3E-484E-BA59-9D35100F92C0}"/>
    <cellStyle name="Normal 7 12 6" xfId="11009" xr:uid="{4A94E7ED-65E8-405B-A49F-804575C920B5}"/>
    <cellStyle name="Normal 7 12 6 2" xfId="31352" xr:uid="{C339428D-B747-46FE-923A-E001036200B5}"/>
    <cellStyle name="Normal 7 12 7" xfId="27858" xr:uid="{5358D637-2465-48A6-8D92-872A7DDF0675}"/>
    <cellStyle name="Normal 7 13" xfId="8138" xr:uid="{5F834835-603C-48B7-8E1F-E995FE4D2432}"/>
    <cellStyle name="Normal 7 13 2" xfId="21925" xr:uid="{A4FD95CA-C52F-4443-AD27-20825EC0F768}"/>
    <cellStyle name="Normal 7 13 2 2" xfId="42261" xr:uid="{4AF933EE-AE37-4970-80B3-63D25ED14D40}"/>
    <cellStyle name="Normal 7 13 3" xfId="25177" xr:uid="{BDF0B77E-0E47-4022-B531-D10EBBCC5413}"/>
    <cellStyle name="Normal 7 13 3 2" xfId="45512" xr:uid="{270A0382-FE44-4C3F-8E3D-29E21B8721E6}"/>
    <cellStyle name="Normal 7 13 4" xfId="12589" xr:uid="{82CDDE9D-F65C-4EFB-AE4B-6A7D77715A47}"/>
    <cellStyle name="Normal 7 13 4 2" xfId="32930" xr:uid="{776EE159-B521-4B43-96EB-42614D466973}"/>
    <cellStyle name="Normal 7 13 5" xfId="11634" xr:uid="{0854938D-AB3E-4444-BBD6-6E5676F22614}"/>
    <cellStyle name="Normal 7 13 5 2" xfId="31976" xr:uid="{4B80482F-80B9-4BD7-9D22-AE7A05921AA5}"/>
    <cellStyle name="Normal 7 13 6" xfId="28482" xr:uid="{F432F499-6940-476C-8BA5-D4DC567D3EEC}"/>
    <cellStyle name="Normal 7 14" xfId="8460" xr:uid="{9AF249AA-95C5-4636-BB8E-FE8203C40696}"/>
    <cellStyle name="Normal 7 14 2" xfId="15475" xr:uid="{04760BCD-A58A-4053-A785-C7101B54C759}"/>
    <cellStyle name="Normal 7 14 2 2" xfId="35815" xr:uid="{2764FEA7-4903-4686-ACFE-CB5DCAF154EF}"/>
    <cellStyle name="Normal 7 14 3" xfId="28803" xr:uid="{B480DE5F-0FED-4BB9-A905-FA3B883A2474}"/>
    <cellStyle name="Normal 7 15" xfId="18389" xr:uid="{11995CEA-11BF-4E25-BCC4-77BB309723EE}"/>
    <cellStyle name="Normal 7 15 2" xfId="38729" xr:uid="{0F28F6EC-90A3-4CC6-81CB-8F4E098E06D2}"/>
    <cellStyle name="Normal 7 16" xfId="18977" xr:uid="{929FB432-2D14-4DB2-AD5D-BA15E0BA98C4}"/>
    <cellStyle name="Normal 7 16 2" xfId="39316" xr:uid="{11CB58C4-222B-46F5-89B3-CEE8C141F784}"/>
    <cellStyle name="Normal 7 17" xfId="22232" xr:uid="{46B76CBA-3914-4475-A2A8-353A67B6DFD2}"/>
    <cellStyle name="Normal 7 17 2" xfId="42567" xr:uid="{29348CF6-C0E3-4F67-9428-2D9A958793FF}"/>
    <cellStyle name="Normal 7 18" xfId="11949" xr:uid="{5042948B-B4C4-4184-B29C-E114E5FC898C}"/>
    <cellStyle name="Normal 7 18 2" xfId="32290" xr:uid="{DCA3FA7E-BB54-405C-8438-2B8AC09E9ABC}"/>
    <cellStyle name="Normal 7 19" xfId="8688" xr:uid="{973B199D-08CC-4217-9692-EC8303D4347A}"/>
    <cellStyle name="Normal 7 19 2" xfId="29031" xr:uid="{C910DA3C-B5A2-41BF-B249-207DD6C6988B}"/>
    <cellStyle name="Normal 7 2" xfId="4835" xr:uid="{7F81057B-2A1B-4000-B7F7-EB9AB6A53627}"/>
    <cellStyle name="Normal 7 2 10" xfId="8139" xr:uid="{E8D54032-D775-49E6-B365-08C11B9655F4}"/>
    <cellStyle name="Normal 7 2 10 2" xfId="21926" xr:uid="{401D808B-4121-43E5-891C-57AD4466563D}"/>
    <cellStyle name="Normal 7 2 10 2 2" xfId="42262" xr:uid="{A1CBC728-81D0-416F-9920-29BB3BE8009C}"/>
    <cellStyle name="Normal 7 2 10 3" xfId="25178" xr:uid="{7709DA32-C111-4E13-8ADD-10F45A7CE0E0}"/>
    <cellStyle name="Normal 7 2 10 3 2" xfId="45513" xr:uid="{4BF88891-570C-4137-B184-B42ACD340A65}"/>
    <cellStyle name="Normal 7 2 10 4" xfId="12642" xr:uid="{597BAFB0-2354-439E-8EED-5E1F17B13410}"/>
    <cellStyle name="Normal 7 2 10 4 2" xfId="32983" xr:uid="{6953A604-00EE-402B-BD92-531C2FDEF76D}"/>
    <cellStyle name="Normal 7 2 10 5" xfId="11635" xr:uid="{4DCBEA56-14C0-4E6E-85D5-03676B15565C}"/>
    <cellStyle name="Normal 7 2 10 5 2" xfId="31977" xr:uid="{D0AB0108-2F6C-48A2-9916-5119FDA61889}"/>
    <cellStyle name="Normal 7 2 10 6" xfId="28483" xr:uid="{ED1CB57F-408F-40B6-8F0B-EB30D848F611}"/>
    <cellStyle name="Normal 7 2 11" xfId="8488" xr:uid="{0B9F3EFE-2966-4294-A8F4-6D97BA09E5C6}"/>
    <cellStyle name="Normal 7 2 11 2" xfId="15537" xr:uid="{784BA87E-B693-4554-A4F1-375C4F1011FD}"/>
    <cellStyle name="Normal 7 2 11 2 2" xfId="35877" xr:uid="{E52019AC-636A-48EB-8F5B-BA1DA290C014}"/>
    <cellStyle name="Normal 7 2 11 3" xfId="28831" xr:uid="{FE4BFC9A-3FD6-4899-B8D6-93CDD60CEF73}"/>
    <cellStyle name="Normal 7 2 12" xfId="18451" xr:uid="{008D7C36-8429-4E01-8125-418A822CB65B}"/>
    <cellStyle name="Normal 7 2 12 2" xfId="38791" xr:uid="{9E47034B-17B9-4B43-BDED-C5568DD11843}"/>
    <cellStyle name="Normal 7 2 13" xfId="19039" xr:uid="{C7ABA175-6B2F-4CA5-A695-673D720AA6E4}"/>
    <cellStyle name="Normal 7 2 13 2" xfId="39378" xr:uid="{02E49177-60FD-4C6D-8495-E58E03FB517D}"/>
    <cellStyle name="Normal 7 2 14" xfId="22294" xr:uid="{954824B9-5F39-4DE7-B03C-8B8125813D85}"/>
    <cellStyle name="Normal 7 2 14 2" xfId="42629" xr:uid="{EF1055D9-9053-47B3-9126-1B3D0A99D78E}"/>
    <cellStyle name="Normal 7 2 15" xfId="12011" xr:uid="{D8206137-250D-42DB-B672-173E5CDB05CA}"/>
    <cellStyle name="Normal 7 2 15 2" xfId="32352" xr:uid="{2E473306-D2D1-4256-BA13-09B1C615F253}"/>
    <cellStyle name="Normal 7 2 16" xfId="8750" xr:uid="{008BE175-7AF6-4B2C-B026-BBDECF279E17}"/>
    <cellStyle name="Normal 7 2 16 2" xfId="29093" xr:uid="{569B3436-9950-473B-A888-2DB9CAF98655}"/>
    <cellStyle name="Normal 7 2 17" xfId="25595" xr:uid="{823F6A7C-3759-4209-AC4E-DAF4D4B3DBE8}"/>
    <cellStyle name="Normal 7 2 18" xfId="45863" xr:uid="{2552DDE2-1C4B-4F7F-BE22-DF8326EBF726}"/>
    <cellStyle name="Normal 7 2 19" xfId="46349" xr:uid="{497E421D-07A6-410B-9FD2-5EA3FC474B96}"/>
    <cellStyle name="Normal 7 2 2" xfId="4850" xr:uid="{6E349B88-134D-4E51-B8E0-B140248ABC67}"/>
    <cellStyle name="Normal 7 2 2 10" xfId="22409" xr:uid="{F62CCAD2-CE0C-468F-B722-93B2F495671D}"/>
    <cellStyle name="Normal 7 2 2 10 2" xfId="42744" xr:uid="{6EBD5A11-7ED7-4BD4-A973-5FE4DA22D8DB}"/>
    <cellStyle name="Normal 7 2 2 11" xfId="12126" xr:uid="{985E100D-7B87-4023-99B4-D01506BF990A}"/>
    <cellStyle name="Normal 7 2 2 11 2" xfId="32467" xr:uid="{DA157290-A667-4D5A-A3B4-36D3EEBECD0E}"/>
    <cellStyle name="Normal 7 2 2 12" xfId="8865" xr:uid="{32D6A48D-6A1E-441C-956E-BE015F2B2097}"/>
    <cellStyle name="Normal 7 2 2 12 2" xfId="29208" xr:uid="{F46E6CA7-F23F-432F-875A-36316B74B9CE}"/>
    <cellStyle name="Normal 7 2 2 13" xfId="25714" xr:uid="{631736B7-FCAF-499B-863C-9F2DEFC7695E}"/>
    <cellStyle name="Normal 7 2 2 14" xfId="45923" xr:uid="{2FA67F7E-338C-4058-A490-B527AC601C78}"/>
    <cellStyle name="Normal 7 2 2 15" xfId="46409" xr:uid="{26C15760-6F7D-421B-A68B-4B35EB6373DC}"/>
    <cellStyle name="Normal 7 2 2 16" xfId="46901" xr:uid="{E9F72092-6717-432B-BAF7-CAF4F999BA5F}"/>
    <cellStyle name="Normal 7 2 2 2" xfId="5069" xr:uid="{D8529B1C-9894-4EB3-9310-D888255E61E3}"/>
    <cellStyle name="Normal 7 2 2 2 10" xfId="12513" xr:uid="{418A2924-F97B-4F4C-9557-FEDE74A7B902}"/>
    <cellStyle name="Normal 7 2 2 2 10 2" xfId="32854" xr:uid="{89D8845F-1CF8-4F95-B779-59F522AB5B6D}"/>
    <cellStyle name="Normal 7 2 2 2 11" xfId="9252" xr:uid="{0A379D7D-EE3F-49A3-A1F9-069E6605FAFB}"/>
    <cellStyle name="Normal 7 2 2 2 11 2" xfId="29595" xr:uid="{8B19D570-C6E0-419D-BBB8-AA37CCFDDE99}"/>
    <cellStyle name="Normal 7 2 2 2 12" xfId="26101" xr:uid="{D63923FE-BB10-4305-86F0-A9CD80FC387A}"/>
    <cellStyle name="Normal 7 2 2 2 13" xfId="45951" xr:uid="{F602EEC7-FBF4-4CD9-9CDF-01A1631BD3FD}"/>
    <cellStyle name="Normal 7 2 2 2 14" xfId="46437" xr:uid="{4D51483C-4A0F-4B0F-959F-032A447A6C5D}"/>
    <cellStyle name="Normal 7 2 2 2 15" xfId="46929" xr:uid="{933536B1-FF67-45B9-BBC2-4A02894668B3}"/>
    <cellStyle name="Normal 7 2 2 2 2" xfId="6334" xr:uid="{EEB52E47-5C04-4140-BE73-AE65A68700F6}"/>
    <cellStyle name="Normal 7 2 2 2 2 10" xfId="46680" xr:uid="{ED4758C2-C53F-4C53-8EC3-6678D0DFCA5C}"/>
    <cellStyle name="Normal 7 2 2 2 2 11" xfId="47172" xr:uid="{8207C3CC-CA31-401A-901D-28D1067F9D53}"/>
    <cellStyle name="Normal 7 2 2 2 2 2" xfId="7492" xr:uid="{E32A66A2-78A0-4A72-8C17-F7523FAFE8A0}"/>
    <cellStyle name="Normal 7 2 2 2 2 2 2" xfId="17778" xr:uid="{81915B6B-F08E-4EB1-AFEE-0DBBC93C1B03}"/>
    <cellStyle name="Normal 7 2 2 2 2 2 2 2" xfId="38118" xr:uid="{4179A846-A62C-4F92-AA0B-49B2B1EEB4EF}"/>
    <cellStyle name="Normal 7 2 2 2 2 2 3" xfId="21280" xr:uid="{254A6B10-CED6-4348-A4B9-550606F03E5F}"/>
    <cellStyle name="Normal 7 2 2 2 2 2 3 2" xfId="41619" xr:uid="{14C4A6E1-945D-4526-B86F-9CA9217A8BCA}"/>
    <cellStyle name="Normal 7 2 2 2 2 2 4" xfId="24535" xr:uid="{F8471E39-35FF-4D96-8270-AD60F85F13E8}"/>
    <cellStyle name="Normal 7 2 2 2 2 2 4 2" xfId="44870" xr:uid="{EF7FC716-C7AA-4513-BB73-D683DCE16D31}"/>
    <cellStyle name="Normal 7 2 2 2 2 2 5" xfId="14869" xr:uid="{E844DA23-8B6D-42A8-97B4-5A888FF83FAA}"/>
    <cellStyle name="Normal 7 2 2 2 2 2 5 2" xfId="35210" xr:uid="{67766C3F-60CA-40FA-9E3C-2FE02A24A2AE}"/>
    <cellStyle name="Normal 7 2 2 2 2 2 6" xfId="10991" xr:uid="{5C688024-F11C-429C-AC2A-9FCB9DD8BE43}"/>
    <cellStyle name="Normal 7 2 2 2 2 2 6 2" xfId="31334" xr:uid="{1DC20D75-5491-44B4-8047-44F19AA39F69}"/>
    <cellStyle name="Normal 7 2 2 2 2 2 7" xfId="27840" xr:uid="{FEAC7EA8-B776-4FFA-B877-5BBA755717E2}"/>
    <cellStyle name="Normal 7 2 2 2 2 3" xfId="16620" xr:uid="{9A0AF295-DC6E-476B-B9AD-071B7DE3F0BF}"/>
    <cellStyle name="Normal 7 2 2 2 2 3 2" xfId="36960" xr:uid="{EC6E4BDF-9A4E-477C-9E25-9D2178701F03}"/>
    <cellStyle name="Normal 7 2 2 2 2 4" xfId="20122" xr:uid="{9AFCDF2F-FE99-4914-B744-A2895B7CCCFF}"/>
    <cellStyle name="Normal 7 2 2 2 2 4 2" xfId="40461" xr:uid="{2FC17DA8-A3D6-4647-9307-6C915E8391E6}"/>
    <cellStyle name="Normal 7 2 2 2 2 5" xfId="23377" xr:uid="{D8CB3272-1182-4F33-852B-462515B60167}"/>
    <cellStyle name="Normal 7 2 2 2 2 5 2" xfId="43712" xr:uid="{116520D0-2042-4D70-B2CE-9C0021F35513}"/>
    <cellStyle name="Normal 7 2 2 2 2 6" xfId="13711" xr:uid="{8E2CD6FF-927D-462C-A81D-B523629E9D3C}"/>
    <cellStyle name="Normal 7 2 2 2 2 6 2" xfId="34052" xr:uid="{69BB508E-B813-438A-8F76-ECE92F1DF000}"/>
    <cellStyle name="Normal 7 2 2 2 2 7" xfId="9833" xr:uid="{3220CFF8-56BF-429B-88E2-CDF432C4CAA6}"/>
    <cellStyle name="Normal 7 2 2 2 2 7 2" xfId="30176" xr:uid="{06A33C32-1C49-41E0-BF0C-FF77CD4A1215}"/>
    <cellStyle name="Normal 7 2 2 2 2 8" xfId="26682" xr:uid="{2B8E25C7-B7A3-4D36-82E8-E58BEE22FFF0}"/>
    <cellStyle name="Normal 7 2 2 2 2 9" xfId="46194" xr:uid="{B831738D-FDDE-443E-B1D3-177AC35410F3}"/>
    <cellStyle name="Normal 7 2 2 2 3" xfId="6911" xr:uid="{E1CC339C-014E-41E9-A999-48F7192B72B6}"/>
    <cellStyle name="Normal 7 2 2 2 3 2" xfId="17197" xr:uid="{0371FAFA-53A9-4AB3-87BC-7A214CB85CC8}"/>
    <cellStyle name="Normal 7 2 2 2 3 2 2" xfId="37537" xr:uid="{7902ADE1-70F3-48AF-BC9D-D5A6A4B74014}"/>
    <cellStyle name="Normal 7 2 2 2 3 3" xfId="20699" xr:uid="{50DD14A9-AB71-440C-8DA9-876AF55B8F3E}"/>
    <cellStyle name="Normal 7 2 2 2 3 3 2" xfId="41038" xr:uid="{80F44E04-550A-4304-B228-AD362E80F424}"/>
    <cellStyle name="Normal 7 2 2 2 3 4" xfId="23954" xr:uid="{13E9C2C9-96C8-4F2C-AD71-387C9EA2A851}"/>
    <cellStyle name="Normal 7 2 2 2 3 4 2" xfId="44289" xr:uid="{BEC80484-AC17-4109-A0A8-F1F53ED79312}"/>
    <cellStyle name="Normal 7 2 2 2 3 5" xfId="14288" xr:uid="{5DC34E44-87C4-4911-807F-FEDB116E1160}"/>
    <cellStyle name="Normal 7 2 2 2 3 5 2" xfId="34629" xr:uid="{D600D77E-2034-4567-A1AA-FFFC04F6998A}"/>
    <cellStyle name="Normal 7 2 2 2 3 6" xfId="10410" xr:uid="{452BC8DB-C3C6-4458-954A-01C8875049F8}"/>
    <cellStyle name="Normal 7 2 2 2 3 6 2" xfId="30753" xr:uid="{8D6648CF-D311-4DB8-8B12-08A929041CEF}"/>
    <cellStyle name="Normal 7 2 2 2 3 7" xfId="27259" xr:uid="{B688D0B7-18F1-4E0A-A367-3F15E6EBEE64}"/>
    <cellStyle name="Normal 7 2 2 2 4" xfId="8075" xr:uid="{DDCE5752-1612-42B7-B34A-114612E788FB}"/>
    <cellStyle name="Normal 7 2 2 2 4 2" xfId="18360" xr:uid="{327FA263-CA74-4F1D-AD7F-E6126C648FD6}"/>
    <cellStyle name="Normal 7 2 2 2 4 2 2" xfId="38700" xr:uid="{16E86897-064C-4C9B-96BF-4117598C98ED}"/>
    <cellStyle name="Normal 7 2 2 2 4 3" xfId="21862" xr:uid="{FCDADB7B-A69A-4417-92BE-E6A5079F30F7}"/>
    <cellStyle name="Normal 7 2 2 2 4 3 2" xfId="42201" xr:uid="{43CFC032-8904-4DFE-B1AE-DD8D88420890}"/>
    <cellStyle name="Normal 7 2 2 2 4 4" xfId="25117" xr:uid="{0F139ED4-D9CB-44BC-B984-DCB8978D5098}"/>
    <cellStyle name="Normal 7 2 2 2 4 4 2" xfId="45452" xr:uid="{18378580-B9DC-44EA-B942-8085E1C2F34E}"/>
    <cellStyle name="Normal 7 2 2 2 4 5" xfId="15452" xr:uid="{C0A14868-8489-4DB8-B4DE-22F3560614CE}"/>
    <cellStyle name="Normal 7 2 2 2 4 5 2" xfId="35792" xr:uid="{6EEBB64C-097E-4647-9FA1-B6E637DA277B}"/>
    <cellStyle name="Normal 7 2 2 2 4 6" xfId="11573" xr:uid="{CB98EA84-6959-473D-84D2-80459DCFA6B4}"/>
    <cellStyle name="Normal 7 2 2 2 4 6 2" xfId="31916" xr:uid="{D661A083-DFD0-4081-B992-15990994F248}"/>
    <cellStyle name="Normal 7 2 2 2 4 7" xfId="28422" xr:uid="{7445A951-EC64-4EAE-9664-32D0E76204CA}"/>
    <cellStyle name="Normal 7 2 2 2 5" xfId="8141" xr:uid="{A42D0C6C-25AE-488C-AB07-6E93C244A4AE}"/>
    <cellStyle name="Normal 7 2 2 2 5 2" xfId="21928" xr:uid="{D7FF4CF7-2896-453A-82CA-07BEBF4B4D1D}"/>
    <cellStyle name="Normal 7 2 2 2 5 2 2" xfId="42264" xr:uid="{AEE72332-9C67-4D40-AE18-294030402F15}"/>
    <cellStyle name="Normal 7 2 2 2 5 3" xfId="25180" xr:uid="{8B77BF8F-B8EA-4A4D-9D0D-AFE7ED2B980C}"/>
    <cellStyle name="Normal 7 2 2 2 5 3 2" xfId="45515" xr:uid="{DBEF1A9C-017F-4F61-A8C7-BE749435A85B}"/>
    <cellStyle name="Normal 7 2 2 2 5 4" xfId="13142" xr:uid="{F5BF3DE6-47A9-4685-A50B-FFB877981A90}"/>
    <cellStyle name="Normal 7 2 2 2 5 4 2" xfId="33483" xr:uid="{324A77DB-1899-4C9D-9722-825B1BE32C1D}"/>
    <cellStyle name="Normal 7 2 2 2 5 5" xfId="11637" xr:uid="{F8764324-A70F-467C-986E-686F26CB850C}"/>
    <cellStyle name="Normal 7 2 2 2 5 5 2" xfId="31979" xr:uid="{AE243380-6904-470E-8E83-E77A92741D44}"/>
    <cellStyle name="Normal 7 2 2 2 5 6" xfId="28485" xr:uid="{1A4547E0-69F4-4CF4-8D7D-F2D55B14E61A}"/>
    <cellStyle name="Normal 7 2 2 2 6" xfId="8576" xr:uid="{56302D57-4D82-4F39-8708-881E35CF15D9}"/>
    <cellStyle name="Normal 7 2 2 2 6 2" xfId="16039" xr:uid="{2114E79A-9E42-4B35-AEB3-00E5A21D69C3}"/>
    <cellStyle name="Normal 7 2 2 2 6 2 2" xfId="36379" xr:uid="{C4E5C47B-ED3D-4B8B-96A8-2BD08B3D3FA6}"/>
    <cellStyle name="Normal 7 2 2 2 6 3" xfId="28919" xr:uid="{6FFD2104-695C-4FAF-8FF1-E45DA3E39308}"/>
    <cellStyle name="Normal 7 2 2 2 7" xfId="18953" xr:uid="{7DA518E7-0B3F-46BF-98F3-D386F745CCDE}"/>
    <cellStyle name="Normal 7 2 2 2 7 2" xfId="39293" xr:uid="{4FBB9F0B-50A6-4D1D-AFA4-30E376880540}"/>
    <cellStyle name="Normal 7 2 2 2 8" xfId="19541" xr:uid="{6D139C84-2C34-48BE-A291-4FDFD2D8D4A1}"/>
    <cellStyle name="Normal 7 2 2 2 8 2" xfId="39880" xr:uid="{ADF536AA-8F46-42EA-9E0D-27618B657728}"/>
    <cellStyle name="Normal 7 2 2 2 9" xfId="22796" xr:uid="{0F82C29E-2A63-4457-A108-6DA43196EEAB}"/>
    <cellStyle name="Normal 7 2 2 2 9 2" xfId="43131" xr:uid="{32AB72EC-F7F5-46FF-92D1-B5FE72B7E6DD}"/>
    <cellStyle name="Normal 7 2 2 3" xfId="5947" xr:uid="{94E1B6BA-6D6D-445D-BA1B-D402AA307B29}"/>
    <cellStyle name="Normal 7 2 2 3 10" xfId="46652" xr:uid="{3DB5D0D4-C7A2-4D69-82C5-6A63DB344F3D}"/>
    <cellStyle name="Normal 7 2 2 3 11" xfId="47144" xr:uid="{5B373AC9-2FED-4AAC-BD89-15F481836FB9}"/>
    <cellStyle name="Normal 7 2 2 3 2" xfId="7105" xr:uid="{CFD2FBA2-FCA8-4AE8-948B-4A6F4DD24431}"/>
    <cellStyle name="Normal 7 2 2 3 2 2" xfId="17391" xr:uid="{FAE1CB31-6CF2-4C2A-827F-154A2D78D4BC}"/>
    <cellStyle name="Normal 7 2 2 3 2 2 2" xfId="37731" xr:uid="{891B4182-1275-4730-9FE3-F15B6807F5E3}"/>
    <cellStyle name="Normal 7 2 2 3 2 3" xfId="20893" xr:uid="{B2ECECE2-2673-4020-9B38-952B2B1971BE}"/>
    <cellStyle name="Normal 7 2 2 3 2 3 2" xfId="41232" xr:uid="{502275FF-0F8A-4008-84D0-A171CF73B25A}"/>
    <cellStyle name="Normal 7 2 2 3 2 4" xfId="24148" xr:uid="{B3398C1A-8F63-4F27-82E6-8EB862174C77}"/>
    <cellStyle name="Normal 7 2 2 3 2 4 2" xfId="44483" xr:uid="{20BFC115-0B51-4F4A-9CCD-0A74F2624D2C}"/>
    <cellStyle name="Normal 7 2 2 3 2 5" xfId="14482" xr:uid="{6C820F8A-7E09-4149-9BFE-8CD7D2D51488}"/>
    <cellStyle name="Normal 7 2 2 3 2 5 2" xfId="34823" xr:uid="{9891B444-B74F-474D-AC28-FD25E5312AE8}"/>
    <cellStyle name="Normal 7 2 2 3 2 6" xfId="10604" xr:uid="{A69C3A3E-E4FB-47DE-95E5-6A10FA9E44CF}"/>
    <cellStyle name="Normal 7 2 2 3 2 6 2" xfId="30947" xr:uid="{84034A13-D233-4AB9-9DB4-59AF995078CA}"/>
    <cellStyle name="Normal 7 2 2 3 2 7" xfId="27453" xr:uid="{2F4632FD-74DF-42E0-B819-5FCD12AE0D9A}"/>
    <cellStyle name="Normal 7 2 2 3 3" xfId="16233" xr:uid="{534557F3-EF34-4F93-AE4C-3169D5BA7662}"/>
    <cellStyle name="Normal 7 2 2 3 3 2" xfId="36573" xr:uid="{39078A41-5981-4D57-AA80-D7B12CF659CB}"/>
    <cellStyle name="Normal 7 2 2 3 4" xfId="19735" xr:uid="{7E82581C-C568-4616-8DD0-DB92ECD5E376}"/>
    <cellStyle name="Normal 7 2 2 3 4 2" xfId="40074" xr:uid="{8D94F309-5B7B-461F-B683-E4575F61DE1C}"/>
    <cellStyle name="Normal 7 2 2 3 5" xfId="22990" xr:uid="{D50F55FD-44D9-4D83-93AC-0A733A0EF520}"/>
    <cellStyle name="Normal 7 2 2 3 5 2" xfId="43325" xr:uid="{B43A59CF-4EDC-48CB-8B28-8E08FFFE4871}"/>
    <cellStyle name="Normal 7 2 2 3 6" xfId="13324" xr:uid="{D79C6D3C-6F92-4817-9D78-9265B040D7D7}"/>
    <cellStyle name="Normal 7 2 2 3 6 2" xfId="33665" xr:uid="{550F7234-EBEC-4E32-AC33-3F4EF3D5FCAF}"/>
    <cellStyle name="Normal 7 2 2 3 7" xfId="9446" xr:uid="{213AFF21-8B19-425F-BB1D-7B1FC31C1618}"/>
    <cellStyle name="Normal 7 2 2 3 7 2" xfId="29789" xr:uid="{71E63431-CD90-4B68-8BF7-B6F5DD38020B}"/>
    <cellStyle name="Normal 7 2 2 3 8" xfId="26295" xr:uid="{DEAAAF69-2D29-4F2E-AA41-6DE8B69FDEA4}"/>
    <cellStyle name="Normal 7 2 2 3 9" xfId="46166" xr:uid="{262A271A-C653-4A1F-8740-297B00418F42}"/>
    <cellStyle name="Normal 7 2 2 4" xfId="6524" xr:uid="{183CB99D-E711-4844-9FD4-0A790BB3155E}"/>
    <cellStyle name="Normal 7 2 2 4 2" xfId="16810" xr:uid="{921327B9-6374-452A-86BC-4B82EA9F1931}"/>
    <cellStyle name="Normal 7 2 2 4 2 2" xfId="37150" xr:uid="{A1D586CE-3113-4A53-8C02-261FBFDAE53A}"/>
    <cellStyle name="Normal 7 2 2 4 3" xfId="20312" xr:uid="{709EA35C-13E9-411C-8DAE-3F8CBD9A182F}"/>
    <cellStyle name="Normal 7 2 2 4 3 2" xfId="40651" xr:uid="{C465D21B-658A-472C-9C8F-60198A24E616}"/>
    <cellStyle name="Normal 7 2 2 4 4" xfId="23567" xr:uid="{83AC1C7E-6EA4-4D46-9BE9-5F610F9DDC15}"/>
    <cellStyle name="Normal 7 2 2 4 4 2" xfId="43902" xr:uid="{D890D739-0330-4F33-A4AF-92D4200E17F6}"/>
    <cellStyle name="Normal 7 2 2 4 5" xfId="13901" xr:uid="{820CC22A-0B4A-46EB-8040-0593F7E9CCB1}"/>
    <cellStyle name="Normal 7 2 2 4 5 2" xfId="34242" xr:uid="{1A2561CC-38E6-4C97-936A-BB760DFEDCC5}"/>
    <cellStyle name="Normal 7 2 2 4 6" xfId="10023" xr:uid="{740FCEE2-564E-4FBA-95AB-2CC2E7C6F706}"/>
    <cellStyle name="Normal 7 2 2 4 6 2" xfId="30366" xr:uid="{322611B6-9832-4583-B1FE-98080DD7A960}"/>
    <cellStyle name="Normal 7 2 2 4 7" xfId="26872" xr:uid="{50E4C724-75BF-4860-A05E-D0E660A7B2E4}"/>
    <cellStyle name="Normal 7 2 2 5" xfId="7688" xr:uid="{54A05668-CDD8-4C3A-B476-DEC1A131DED9}"/>
    <cellStyle name="Normal 7 2 2 5 2" xfId="17973" xr:uid="{871E4293-C01C-4E4A-A579-3705EDA295D0}"/>
    <cellStyle name="Normal 7 2 2 5 2 2" xfId="38313" xr:uid="{FFBA61BB-36EC-46B4-A70E-45036B57E50E}"/>
    <cellStyle name="Normal 7 2 2 5 3" xfId="21475" xr:uid="{C3C34433-E433-48B6-B4DA-98B8BE6DE639}"/>
    <cellStyle name="Normal 7 2 2 5 3 2" xfId="41814" xr:uid="{FB4DBBF5-9FF0-45D5-BD32-5B52AB23B559}"/>
    <cellStyle name="Normal 7 2 2 5 4" xfId="24730" xr:uid="{D77D06F2-EF52-4132-AC8C-676CE676CB67}"/>
    <cellStyle name="Normal 7 2 2 5 4 2" xfId="45065" xr:uid="{D62AFB1D-3B80-4C2C-9396-821A3924AD57}"/>
    <cellStyle name="Normal 7 2 2 5 5" xfId="15065" xr:uid="{AF18B68F-0113-49FA-AD57-6FCC38C26889}"/>
    <cellStyle name="Normal 7 2 2 5 5 2" xfId="35405" xr:uid="{00BE5737-4858-4D0A-81ED-5E2C577E648B}"/>
    <cellStyle name="Normal 7 2 2 5 6" xfId="11186" xr:uid="{B43E0210-A859-495C-B18B-759F763B79E6}"/>
    <cellStyle name="Normal 7 2 2 5 6 2" xfId="31529" xr:uid="{2975E854-38B1-4861-97ED-AF4DD09A8B9E}"/>
    <cellStyle name="Normal 7 2 2 5 7" xfId="28035" xr:uid="{B90E1B67-A68D-4E69-8917-107047234B8C}"/>
    <cellStyle name="Normal 7 2 2 6" xfId="8140" xr:uid="{654D58E9-6F71-45C7-85DE-68734FDDB3D6}"/>
    <cellStyle name="Normal 7 2 2 6 2" xfId="21927" xr:uid="{707F6132-7E65-48DB-9DA4-F408FC08F3E8}"/>
    <cellStyle name="Normal 7 2 2 6 2 2" xfId="42263" xr:uid="{CE5D32D8-FEE9-4872-9E62-4A1E28A849DF}"/>
    <cellStyle name="Normal 7 2 2 6 3" xfId="25179" xr:uid="{1C21D077-B2B0-4402-9A01-7554A7F58E39}"/>
    <cellStyle name="Normal 7 2 2 6 3 2" xfId="45514" xr:uid="{EDF8630C-C50E-4FAB-A133-43CCA2B79527}"/>
    <cellStyle name="Normal 7 2 2 6 4" xfId="12755" xr:uid="{58561719-9E55-416B-85D3-6A35677EAD11}"/>
    <cellStyle name="Normal 7 2 2 6 4 2" xfId="33096" xr:uid="{184DC852-AD84-4B9F-B4EA-5622C1B55EA6}"/>
    <cellStyle name="Normal 7 2 2 6 5" xfId="11636" xr:uid="{0F1C5BE7-F8E1-4E46-B13D-97A915B5E9B9}"/>
    <cellStyle name="Normal 7 2 2 6 5 2" xfId="31978" xr:uid="{BF51812B-4650-45D3-A54D-42B67F871DD2}"/>
    <cellStyle name="Normal 7 2 2 6 6" xfId="28484" xr:uid="{C95392FE-0C4D-43AD-AB2B-5F96DA879C56}"/>
    <cellStyle name="Normal 7 2 2 7" xfId="8548" xr:uid="{705192D0-1A69-40FE-990F-2CD4A93386F5}"/>
    <cellStyle name="Normal 7 2 2 7 2" xfId="15652" xr:uid="{56980C42-1759-40FD-9EEB-7D3579C2A781}"/>
    <cellStyle name="Normal 7 2 2 7 2 2" xfId="35992" xr:uid="{43F7CF61-251A-4D55-B8FB-0832C0CEA318}"/>
    <cellStyle name="Normal 7 2 2 7 3" xfId="28891" xr:uid="{88031C45-D5CF-41DA-9CFA-8FE01DDBE7FB}"/>
    <cellStyle name="Normal 7 2 2 8" xfId="18566" xr:uid="{CB7375F4-1FA2-4F65-AC21-D091E5713194}"/>
    <cellStyle name="Normal 7 2 2 8 2" xfId="38906" xr:uid="{F3A473D2-42DA-44C4-B9D0-A8534BD6B3C3}"/>
    <cellStyle name="Normal 7 2 2 9" xfId="19154" xr:uid="{E95D0131-3185-4907-8A12-C2838EF710D2}"/>
    <cellStyle name="Normal 7 2 2 9 2" xfId="39493" xr:uid="{D60F1B43-2CC8-4238-80EE-4FD6D75F8572}"/>
    <cellStyle name="Normal 7 2 20" xfId="46841" xr:uid="{FB144870-C9AF-485A-9660-10547CDE6456}"/>
    <cellStyle name="Normal 7 2 3" xfId="5068" xr:uid="{8743C15B-70FB-4488-A76C-898B6C1EC426}"/>
    <cellStyle name="Normal 7 2 3 10" xfId="12222" xr:uid="{EE582B30-7FE9-4354-A14A-CBA85E32C71C}"/>
    <cellStyle name="Normal 7 2 3 10 2" xfId="32563" xr:uid="{DC02564B-C27B-4ED5-A8C2-788EB870F767}"/>
    <cellStyle name="Normal 7 2 3 11" xfId="8961" xr:uid="{CF68B06A-5F36-4DA2-832B-8EED29A62B34}"/>
    <cellStyle name="Normal 7 2 3 11 2" xfId="29304" xr:uid="{DA542A31-552B-44DA-91F4-8B31932ADB4E}"/>
    <cellStyle name="Normal 7 2 3 12" xfId="25810" xr:uid="{A726A402-30AA-4485-979D-3272A6F31201}"/>
    <cellStyle name="Normal 7 2 3 13" xfId="45950" xr:uid="{45251EB5-24E5-4009-AFFB-EA8D6E88FDB3}"/>
    <cellStyle name="Normal 7 2 3 14" xfId="46436" xr:uid="{38C97D59-4A1F-49B3-83E2-B6390EC19CD3}"/>
    <cellStyle name="Normal 7 2 3 15" xfId="46928" xr:uid="{33DCD355-4DA1-4486-8462-A2F6B75E955A}"/>
    <cellStyle name="Normal 7 2 3 2" xfId="6043" xr:uid="{2890EF1D-5366-4B90-83EA-9280535889C0}"/>
    <cellStyle name="Normal 7 2 3 2 10" xfId="46679" xr:uid="{415D84DA-D955-43AB-A47C-0FC806BA3345}"/>
    <cellStyle name="Normal 7 2 3 2 11" xfId="47171" xr:uid="{907940DD-850D-4024-AF53-18758515A88E}"/>
    <cellStyle name="Normal 7 2 3 2 2" xfId="7201" xr:uid="{BAA1A6FD-F468-41C5-AF5B-7C56AE211545}"/>
    <cellStyle name="Normal 7 2 3 2 2 2" xfId="17487" xr:uid="{C087B468-4A83-435A-AC25-AFCFD056665E}"/>
    <cellStyle name="Normal 7 2 3 2 2 2 2" xfId="37827" xr:uid="{DCBE837E-9DD9-4C1F-957E-78E70918AFE7}"/>
    <cellStyle name="Normal 7 2 3 2 2 3" xfId="20989" xr:uid="{8F964CA9-B335-416E-8FAF-34A26180F98D}"/>
    <cellStyle name="Normal 7 2 3 2 2 3 2" xfId="41328" xr:uid="{ED6DACDB-217D-4452-BEC1-32B15DFC3874}"/>
    <cellStyle name="Normal 7 2 3 2 2 4" xfId="24244" xr:uid="{23D25EA2-2C81-4ED8-9206-38E4BDD0D1A4}"/>
    <cellStyle name="Normal 7 2 3 2 2 4 2" xfId="44579" xr:uid="{BFCEA8CF-6927-4F7E-ABD6-88282F1D3654}"/>
    <cellStyle name="Normal 7 2 3 2 2 5" xfId="14578" xr:uid="{FAFE3B6F-81BE-4CB5-9964-CB62B5547AAD}"/>
    <cellStyle name="Normal 7 2 3 2 2 5 2" xfId="34919" xr:uid="{175AFA2F-FCC7-4413-B25C-66AD155D27FC}"/>
    <cellStyle name="Normal 7 2 3 2 2 6" xfId="10700" xr:uid="{BBA8B731-0755-4E68-AED5-2615CF5331D5}"/>
    <cellStyle name="Normal 7 2 3 2 2 6 2" xfId="31043" xr:uid="{9C1589E1-CF16-4059-830A-2E2431313C28}"/>
    <cellStyle name="Normal 7 2 3 2 2 7" xfId="27549" xr:uid="{7F15A0D1-C31B-4237-BB9A-5FA4610B7916}"/>
    <cellStyle name="Normal 7 2 3 2 3" xfId="16329" xr:uid="{F7BDC336-1A05-4575-9043-860330B86797}"/>
    <cellStyle name="Normal 7 2 3 2 3 2" xfId="36669" xr:uid="{414EBECD-3E2B-47CE-B717-1C8538DEEDF7}"/>
    <cellStyle name="Normal 7 2 3 2 4" xfId="19831" xr:uid="{4275A789-1D83-4216-A8E8-20BAA4D95F7D}"/>
    <cellStyle name="Normal 7 2 3 2 4 2" xfId="40170" xr:uid="{FBE758E1-DDAE-49DD-BAEF-90B789F2FFB4}"/>
    <cellStyle name="Normal 7 2 3 2 5" xfId="23086" xr:uid="{FD380A3B-2169-43F8-8F79-D5ABFCA9653A}"/>
    <cellStyle name="Normal 7 2 3 2 5 2" xfId="43421" xr:uid="{2F94FCB6-184A-45FC-ABFB-6AF4EF5A8112}"/>
    <cellStyle name="Normal 7 2 3 2 6" xfId="13420" xr:uid="{8A5187CB-F302-4C15-9206-844C0D588A74}"/>
    <cellStyle name="Normal 7 2 3 2 6 2" xfId="33761" xr:uid="{F37C8A80-254A-4C9B-8F52-0D351F273016}"/>
    <cellStyle name="Normal 7 2 3 2 7" xfId="9542" xr:uid="{9296D065-A053-4712-B88E-34FD5008DE3B}"/>
    <cellStyle name="Normal 7 2 3 2 7 2" xfId="29885" xr:uid="{92CC47CE-95A1-4E1D-83B1-0DCA5175CE23}"/>
    <cellStyle name="Normal 7 2 3 2 8" xfId="26391" xr:uid="{0E9AC163-61D4-466D-9AAC-A2649D3980CA}"/>
    <cellStyle name="Normal 7 2 3 2 9" xfId="46193" xr:uid="{3D809233-D17D-4796-A148-B8E5D5689171}"/>
    <cellStyle name="Normal 7 2 3 3" xfId="6620" xr:uid="{077D2402-756B-403A-AAC1-5E923E4DC4B7}"/>
    <cellStyle name="Normal 7 2 3 3 2" xfId="16906" xr:uid="{09766FBD-AE3E-4346-B0FD-77E91BD48F93}"/>
    <cellStyle name="Normal 7 2 3 3 2 2" xfId="37246" xr:uid="{5BDA81AA-62E7-4A5B-93E3-7DA8CC1754C3}"/>
    <cellStyle name="Normal 7 2 3 3 3" xfId="20408" xr:uid="{263AEB81-9CC0-44C6-BFEE-A600D88D8102}"/>
    <cellStyle name="Normal 7 2 3 3 3 2" xfId="40747" xr:uid="{191FD013-A0CC-4862-9733-7D60CCDAF3C1}"/>
    <cellStyle name="Normal 7 2 3 3 4" xfId="23663" xr:uid="{4877F533-7850-44D6-B3A9-985539DE9FD3}"/>
    <cellStyle name="Normal 7 2 3 3 4 2" xfId="43998" xr:uid="{7F42E7A7-48DD-44E9-9B85-BED310B240E1}"/>
    <cellStyle name="Normal 7 2 3 3 5" xfId="13997" xr:uid="{B2D2D87D-D0DA-4DCE-89B2-0D0A22BE1A69}"/>
    <cellStyle name="Normal 7 2 3 3 5 2" xfId="34338" xr:uid="{7A103532-6C9B-4AD0-A510-9D32B2115374}"/>
    <cellStyle name="Normal 7 2 3 3 6" xfId="10119" xr:uid="{06BD003C-5C74-46A3-A483-1802A69B806F}"/>
    <cellStyle name="Normal 7 2 3 3 6 2" xfId="30462" xr:uid="{8A020BFF-0FF7-4329-8013-4650C4BEF6E2}"/>
    <cellStyle name="Normal 7 2 3 3 7" xfId="26968" xr:uid="{7E5D25EC-A043-4FCC-9BE2-FF381151B8A7}"/>
    <cellStyle name="Normal 7 2 3 4" xfId="7784" xr:uid="{5B9257A1-2F27-401E-88B9-86A35A068BF2}"/>
    <cellStyle name="Normal 7 2 3 4 2" xfId="18069" xr:uid="{06B9F880-6CF2-42BA-BD4E-60FF72A01210}"/>
    <cellStyle name="Normal 7 2 3 4 2 2" xfId="38409" xr:uid="{C28B28FD-F217-4B86-B451-8D59D5BACC64}"/>
    <cellStyle name="Normal 7 2 3 4 3" xfId="21571" xr:uid="{94DE42DF-FDE6-499E-8E9A-61BB873A1917}"/>
    <cellStyle name="Normal 7 2 3 4 3 2" xfId="41910" xr:uid="{658C032D-5CD5-4E96-8ED7-02147D4E9FD6}"/>
    <cellStyle name="Normal 7 2 3 4 4" xfId="24826" xr:uid="{9BDA36E3-7DD3-4CD2-9767-AB74DF72AFB1}"/>
    <cellStyle name="Normal 7 2 3 4 4 2" xfId="45161" xr:uid="{CAD2FC1C-AAEF-430D-8EB8-795F8E42DF4D}"/>
    <cellStyle name="Normal 7 2 3 4 5" xfId="15161" xr:uid="{8F7F9F08-7377-496B-91BD-0F5F6D390AED}"/>
    <cellStyle name="Normal 7 2 3 4 5 2" xfId="35501" xr:uid="{BC70F5F0-624F-4F63-AA95-10D620C88DC7}"/>
    <cellStyle name="Normal 7 2 3 4 6" xfId="11282" xr:uid="{3EF9B698-1162-42F5-88C6-6675DC99CDD0}"/>
    <cellStyle name="Normal 7 2 3 4 6 2" xfId="31625" xr:uid="{FFCD04F5-53DF-4EEE-9105-042918769D3F}"/>
    <cellStyle name="Normal 7 2 3 4 7" xfId="28131" xr:uid="{DF335579-6453-47D6-BCA4-A767B9FCA05A}"/>
    <cellStyle name="Normal 7 2 3 5" xfId="8142" xr:uid="{417BFD59-CF65-4775-86F3-58F19B73F2DC}"/>
    <cellStyle name="Normal 7 2 3 5 2" xfId="21929" xr:uid="{CA1BAE74-F013-4BA8-A45F-2B110FCE772F}"/>
    <cellStyle name="Normal 7 2 3 5 2 2" xfId="42265" xr:uid="{2A6BC22F-B88D-49E4-955A-ECDC602E352F}"/>
    <cellStyle name="Normal 7 2 3 5 3" xfId="25181" xr:uid="{F21B6298-8D43-433C-A1B7-3CA049EB407B}"/>
    <cellStyle name="Normal 7 2 3 5 3 2" xfId="45516" xr:uid="{A07F795D-5AEE-49C8-8E63-4C2F84617970}"/>
    <cellStyle name="Normal 7 2 3 5 4" xfId="12851" xr:uid="{39B39028-F092-4716-A6E6-8E63F5E3B5C7}"/>
    <cellStyle name="Normal 7 2 3 5 4 2" xfId="33192" xr:uid="{43D9CED0-340A-4244-9527-CCCC8CFF60D0}"/>
    <cellStyle name="Normal 7 2 3 5 5" xfId="11638" xr:uid="{E82A7073-7A6B-4A46-B04E-2099B8CCE064}"/>
    <cellStyle name="Normal 7 2 3 5 5 2" xfId="31980" xr:uid="{062B3FE3-C2CB-453D-B24F-97EBD1EFBDAD}"/>
    <cellStyle name="Normal 7 2 3 5 6" xfId="28486" xr:uid="{8AE21789-046B-4614-8022-172153302E3A}"/>
    <cellStyle name="Normal 7 2 3 6" xfId="8575" xr:uid="{6916A1DE-E355-4109-829F-A24E46982065}"/>
    <cellStyle name="Normal 7 2 3 6 2" xfId="15748" xr:uid="{959D9A63-893D-4208-98A4-CA916973D535}"/>
    <cellStyle name="Normal 7 2 3 6 2 2" xfId="36088" xr:uid="{7CB39916-E4B1-4292-B6FD-5AF7F2BA606D}"/>
    <cellStyle name="Normal 7 2 3 6 3" xfId="28918" xr:uid="{E7094085-84FB-4ED0-BCDC-AAFF762C4AFE}"/>
    <cellStyle name="Normal 7 2 3 7" xfId="18662" xr:uid="{B474770E-F673-4BE0-9767-0839B13897F8}"/>
    <cellStyle name="Normal 7 2 3 7 2" xfId="39002" xr:uid="{2A3FF590-1BBA-442D-91A2-E889D4DF352D}"/>
    <cellStyle name="Normal 7 2 3 8" xfId="19250" xr:uid="{87F5DA8C-87A0-4830-8528-CF74B29B2E95}"/>
    <cellStyle name="Normal 7 2 3 8 2" xfId="39589" xr:uid="{73F4F852-A33D-495D-BFE0-79BA795E6124}"/>
    <cellStyle name="Normal 7 2 3 9" xfId="22505" xr:uid="{CDEC6924-4424-4BD0-93D7-A804C3407123}"/>
    <cellStyle name="Normal 7 2 3 9 2" xfId="42840" xr:uid="{B63D5989-D042-466C-926E-23D4029E45FA}"/>
    <cellStyle name="Normal 7 2 4" xfId="5529" xr:uid="{2A01AEB6-588F-4FF0-9584-8E51BCA6E8F5}"/>
    <cellStyle name="Normal 7 2 4 10" xfId="12280" xr:uid="{849CD89D-4997-4A9B-8EC8-BA2F9CB4D404}"/>
    <cellStyle name="Normal 7 2 4 10 2" xfId="32621" xr:uid="{35F500C3-EEED-40C4-8841-83FB02B64413}"/>
    <cellStyle name="Normal 7 2 4 11" xfId="9019" xr:uid="{14EA93FB-0D24-4B4F-B021-B1E5C70DC1A9}"/>
    <cellStyle name="Normal 7 2 4 11 2" xfId="29362" xr:uid="{AC2DD061-ABD5-4B57-8C45-EB11E71376D2}"/>
    <cellStyle name="Normal 7 2 4 12" xfId="25868" xr:uid="{3F89D733-E41D-4B95-AA43-A89AFBCFDE52}"/>
    <cellStyle name="Normal 7 2 4 13" xfId="46106" xr:uid="{E3BCF76B-EA8B-48C4-80C8-1932BF29F5E9}"/>
    <cellStyle name="Normal 7 2 4 14" xfId="46592" xr:uid="{A2556AB8-A3EF-4821-8B80-52F596032B0A}"/>
    <cellStyle name="Normal 7 2 4 15" xfId="47084" xr:uid="{7A21E0FD-C744-404E-819C-0AB633A36238}"/>
    <cellStyle name="Normal 7 2 4 2" xfId="6101" xr:uid="{C7241F13-C2E1-4081-9270-FFFFB59F97AA}"/>
    <cellStyle name="Normal 7 2 4 2 2" xfId="7259" xr:uid="{C65F3E0E-888F-4D48-BDDA-31566B3FB927}"/>
    <cellStyle name="Normal 7 2 4 2 2 2" xfId="17545" xr:uid="{4575AF13-5E14-4E24-B823-571D1B88B791}"/>
    <cellStyle name="Normal 7 2 4 2 2 2 2" xfId="37885" xr:uid="{1BA782A3-FE57-4D7A-9B62-3C7CCD081B32}"/>
    <cellStyle name="Normal 7 2 4 2 2 3" xfId="21047" xr:uid="{FCFF124F-346C-4DC6-A7BA-BDD065057923}"/>
    <cellStyle name="Normal 7 2 4 2 2 3 2" xfId="41386" xr:uid="{35D90955-79A1-4BB3-B112-3F18C3C74F48}"/>
    <cellStyle name="Normal 7 2 4 2 2 4" xfId="24302" xr:uid="{64289C68-E1BC-4EFE-8B51-FFD3C126494E}"/>
    <cellStyle name="Normal 7 2 4 2 2 4 2" xfId="44637" xr:uid="{2DA52162-4EBF-4746-A6F5-7CF071195EB4}"/>
    <cellStyle name="Normal 7 2 4 2 2 5" xfId="14636" xr:uid="{E0CB53BF-67F2-4283-B39C-A5E5A4E3E690}"/>
    <cellStyle name="Normal 7 2 4 2 2 5 2" xfId="34977" xr:uid="{4A67975F-C11A-401B-85CE-4D5467BD5290}"/>
    <cellStyle name="Normal 7 2 4 2 2 6" xfId="10758" xr:uid="{6F3A6F49-D389-42A4-A95B-DA0FA192E104}"/>
    <cellStyle name="Normal 7 2 4 2 2 6 2" xfId="31101" xr:uid="{CBE4DAA9-93DB-49B9-81D3-BF058F06EFB8}"/>
    <cellStyle name="Normal 7 2 4 2 2 7" xfId="27607" xr:uid="{FDB8A86B-DCB6-4DB7-BA4C-D78D5E34769A}"/>
    <cellStyle name="Normal 7 2 4 2 3" xfId="16387" xr:uid="{0299C7E7-5864-4DFB-8CD4-9DDCEB2BE5EF}"/>
    <cellStyle name="Normal 7 2 4 2 3 2" xfId="36727" xr:uid="{0B800B6B-D792-4E56-8E7F-308FE6ECAE27}"/>
    <cellStyle name="Normal 7 2 4 2 4" xfId="19889" xr:uid="{41F60182-68CC-4B07-83E9-407F79298F9E}"/>
    <cellStyle name="Normal 7 2 4 2 4 2" xfId="40228" xr:uid="{938BBFE4-5253-4D4D-832B-F747FBE932DA}"/>
    <cellStyle name="Normal 7 2 4 2 5" xfId="23144" xr:uid="{813A6EAC-E20E-4AF0-95A8-551C4C644973}"/>
    <cellStyle name="Normal 7 2 4 2 5 2" xfId="43479" xr:uid="{08D226CE-8E23-420F-852B-F7184F1775A2}"/>
    <cellStyle name="Normal 7 2 4 2 6" xfId="13478" xr:uid="{A63D85F4-2DAC-4CAA-95AC-56C6EAF7BA7F}"/>
    <cellStyle name="Normal 7 2 4 2 6 2" xfId="33819" xr:uid="{5079A7CB-A285-43EF-AB77-F56EB485DDF0}"/>
    <cellStyle name="Normal 7 2 4 2 7" xfId="9600" xr:uid="{B581C02E-0E09-4774-BC46-00C596639939}"/>
    <cellStyle name="Normal 7 2 4 2 7 2" xfId="29943" xr:uid="{8FAE3B6E-FF87-4AF6-AED1-6192A9B4DA39}"/>
    <cellStyle name="Normal 7 2 4 2 8" xfId="26449" xr:uid="{9BAC83CF-2373-4549-8FF0-F4335B6FC912}"/>
    <cellStyle name="Normal 7 2 4 3" xfId="6678" xr:uid="{39CC858E-A162-40F1-8C96-5042014803EA}"/>
    <cellStyle name="Normal 7 2 4 3 2" xfId="16964" xr:uid="{5A4E21D3-ED65-4546-A47B-F3684B9281C6}"/>
    <cellStyle name="Normal 7 2 4 3 2 2" xfId="37304" xr:uid="{E2586816-C8DD-40AC-8DB6-2BF3EBC0D346}"/>
    <cellStyle name="Normal 7 2 4 3 3" xfId="20466" xr:uid="{9DFA3594-AB29-4D2B-AEBD-5A9461DAB4EC}"/>
    <cellStyle name="Normal 7 2 4 3 3 2" xfId="40805" xr:uid="{521808C0-442B-4430-9FC0-29E32037F214}"/>
    <cellStyle name="Normal 7 2 4 3 4" xfId="23721" xr:uid="{67FB9982-CC9D-4676-8C69-B6B0DD3D26B9}"/>
    <cellStyle name="Normal 7 2 4 3 4 2" xfId="44056" xr:uid="{F687B3E5-E21A-49AB-88DD-E36B3EA8414C}"/>
    <cellStyle name="Normal 7 2 4 3 5" xfId="14055" xr:uid="{F49C0A6F-D2B7-47D1-8328-67C8BD3A73CE}"/>
    <cellStyle name="Normal 7 2 4 3 5 2" xfId="34396" xr:uid="{38416403-B6CF-42B3-97F1-5B3F3C7CE4A0}"/>
    <cellStyle name="Normal 7 2 4 3 6" xfId="10177" xr:uid="{C779F75F-7A5D-4AE2-A993-D6CCF8689B65}"/>
    <cellStyle name="Normal 7 2 4 3 6 2" xfId="30520" xr:uid="{028E71E6-956D-42F5-ABA2-2FAF62592B56}"/>
    <cellStyle name="Normal 7 2 4 3 7" xfId="27026" xr:uid="{5BCB4E9E-3806-484D-B080-55000816EE56}"/>
    <cellStyle name="Normal 7 2 4 4" xfId="7842" xr:uid="{6C4A6539-57D2-40D9-B8FD-28B51AEFFD00}"/>
    <cellStyle name="Normal 7 2 4 4 2" xfId="18127" xr:uid="{F63FDED1-CBC0-42B8-93E6-C25B9684AFA1}"/>
    <cellStyle name="Normal 7 2 4 4 2 2" xfId="38467" xr:uid="{E9A697D4-DB9E-474B-B5EB-32B2E111A0C8}"/>
    <cellStyle name="Normal 7 2 4 4 3" xfId="21629" xr:uid="{C42097B9-162F-4F66-A9AC-FCB2F293D207}"/>
    <cellStyle name="Normal 7 2 4 4 3 2" xfId="41968" xr:uid="{29F282EE-5BDD-4B72-B680-9C62E0D21D05}"/>
    <cellStyle name="Normal 7 2 4 4 4" xfId="24884" xr:uid="{FE8AF137-22FC-4955-B5EE-EEE7EE5D12C1}"/>
    <cellStyle name="Normal 7 2 4 4 4 2" xfId="45219" xr:uid="{07BE3D17-455A-44EC-88FB-5B2E111CC6E2}"/>
    <cellStyle name="Normal 7 2 4 4 5" xfId="15219" xr:uid="{AA690F57-DD8E-4465-908A-6C1F49CEE5FB}"/>
    <cellStyle name="Normal 7 2 4 4 5 2" xfId="35559" xr:uid="{A05121EB-2AA4-4049-814E-9439307BBF7B}"/>
    <cellStyle name="Normal 7 2 4 4 6" xfId="11340" xr:uid="{403ACBC6-9F0B-4C78-BF44-F16B220E8AE8}"/>
    <cellStyle name="Normal 7 2 4 4 6 2" xfId="31683" xr:uid="{75BD7F87-36A2-43FC-AFAD-B065DD344054}"/>
    <cellStyle name="Normal 7 2 4 4 7" xfId="28189" xr:uid="{22988BBF-3842-4477-A9AF-FA7259F3841F}"/>
    <cellStyle name="Normal 7 2 4 5" xfId="12909" xr:uid="{459AF38A-7E66-4944-A809-153DB988E688}"/>
    <cellStyle name="Normal 7 2 4 5 2" xfId="33250" xr:uid="{2317F798-EE69-4093-8EB8-E40CD932A2F3}"/>
    <cellStyle name="Normal 7 2 4 6" xfId="15806" xr:uid="{5F0C8577-0A54-45D5-A37A-D2A3EA009781}"/>
    <cellStyle name="Normal 7 2 4 6 2" xfId="36146" xr:uid="{F97E48BD-17B3-4265-8A82-B6052D0DA8A1}"/>
    <cellStyle name="Normal 7 2 4 7" xfId="18720" xr:uid="{C2F0379A-675F-4A9B-AD32-88437337AD2B}"/>
    <cellStyle name="Normal 7 2 4 7 2" xfId="39060" xr:uid="{114FB7BF-C904-4010-A5DD-6F76D4866BAA}"/>
    <cellStyle name="Normal 7 2 4 8" xfId="19308" xr:uid="{2B4DE5D4-BC8C-455A-8DF5-C10AB49878F7}"/>
    <cellStyle name="Normal 7 2 4 8 2" xfId="39647" xr:uid="{24EACFE0-DA2E-49EA-9F94-6660609DC043}"/>
    <cellStyle name="Normal 7 2 4 9" xfId="22563" xr:uid="{EE166446-7F19-4C03-B449-6B74F3D12B21}"/>
    <cellStyle name="Normal 7 2 4 9 2" xfId="42898" xr:uid="{E1E3FEBD-65CE-4D68-ABC8-C834BF95AD4E}"/>
    <cellStyle name="Normal 7 2 5" xfId="5604" xr:uid="{F1F7C188-D0A7-44B2-91BD-F5FC0E0E7256}"/>
    <cellStyle name="Normal 7 2 5 10" xfId="12355" xr:uid="{2A9DA84E-75E7-4F4E-AAEA-FEB1B570679A}"/>
    <cellStyle name="Normal 7 2 5 10 2" xfId="32696" xr:uid="{67895106-FF9B-449D-BDCA-4D52EBB4E6F2}"/>
    <cellStyle name="Normal 7 2 5 11" xfId="9094" xr:uid="{E3F3C9AE-69A4-4B46-BA45-C9C91878C44D}"/>
    <cellStyle name="Normal 7 2 5 11 2" xfId="29437" xr:uid="{6A1824C0-ECB3-4124-82BE-D332D1823CEC}"/>
    <cellStyle name="Normal 7 2 5 12" xfId="25943" xr:uid="{EDD74152-C061-4D93-A988-86ED0EF0FA74}"/>
    <cellStyle name="Normal 7 2 5 2" xfId="6176" xr:uid="{58B9EC5C-4C96-4B69-A029-6AC6F9DEAE58}"/>
    <cellStyle name="Normal 7 2 5 2 2" xfId="7334" xr:uid="{EA9DB7D6-7516-490E-BAA8-B1180356E45D}"/>
    <cellStyle name="Normal 7 2 5 2 2 2" xfId="17620" xr:uid="{76670CF8-983F-47D0-AAF4-6001080CDFD0}"/>
    <cellStyle name="Normal 7 2 5 2 2 2 2" xfId="37960" xr:uid="{C55E11C8-6BD4-41FA-9B16-B941554E0A20}"/>
    <cellStyle name="Normal 7 2 5 2 2 3" xfId="21122" xr:uid="{5750D7BF-B9B5-4921-9C33-B88A1B8B54F3}"/>
    <cellStyle name="Normal 7 2 5 2 2 3 2" xfId="41461" xr:uid="{484A36DA-9C64-48D3-A25B-519C395F673A}"/>
    <cellStyle name="Normal 7 2 5 2 2 4" xfId="24377" xr:uid="{6ADCFB5D-44A3-446A-BC45-9D87D90FC7E9}"/>
    <cellStyle name="Normal 7 2 5 2 2 4 2" xfId="44712" xr:uid="{761461CE-9BBE-4FD1-BFAB-8C9C687E7354}"/>
    <cellStyle name="Normal 7 2 5 2 2 5" xfId="14711" xr:uid="{5F83777A-86F7-4F77-8306-6B23D057628B}"/>
    <cellStyle name="Normal 7 2 5 2 2 5 2" xfId="35052" xr:uid="{985290F0-78B9-4FD9-88AB-84306C75BC7D}"/>
    <cellStyle name="Normal 7 2 5 2 2 6" xfId="10833" xr:uid="{FF2C3ADB-A8F6-427D-B742-DEC19EC45F75}"/>
    <cellStyle name="Normal 7 2 5 2 2 6 2" xfId="31176" xr:uid="{C1B82EF6-FC22-4EC4-BDE7-327814CDBD8A}"/>
    <cellStyle name="Normal 7 2 5 2 2 7" xfId="27682" xr:uid="{13B31758-EEEF-44EA-991A-6C7565FE6B5A}"/>
    <cellStyle name="Normal 7 2 5 2 3" xfId="16462" xr:uid="{6870DC60-BC43-46BE-A3A2-253AFDF41C4A}"/>
    <cellStyle name="Normal 7 2 5 2 3 2" xfId="36802" xr:uid="{D922536C-A012-45C6-B88F-3BA5A61C4E34}"/>
    <cellStyle name="Normal 7 2 5 2 4" xfId="19964" xr:uid="{43F1690A-AEBD-4780-A949-067002A93EA4}"/>
    <cellStyle name="Normal 7 2 5 2 4 2" xfId="40303" xr:uid="{92FF463B-91B6-4A94-826B-40A66732275E}"/>
    <cellStyle name="Normal 7 2 5 2 5" xfId="23219" xr:uid="{1D55CA6D-D7B4-4615-AD6B-3268479578D0}"/>
    <cellStyle name="Normal 7 2 5 2 5 2" xfId="43554" xr:uid="{59A54CED-70AF-49E5-8B64-9BB5A7621105}"/>
    <cellStyle name="Normal 7 2 5 2 6" xfId="13553" xr:uid="{5FC6C8A0-9607-49F2-AF37-9DF191F77531}"/>
    <cellStyle name="Normal 7 2 5 2 6 2" xfId="33894" xr:uid="{E72ED021-3BB7-48A3-B25B-6E5CCFA4A004}"/>
    <cellStyle name="Normal 7 2 5 2 7" xfId="9675" xr:uid="{B252A4D7-DB06-4891-B0E9-DD5D1B99619A}"/>
    <cellStyle name="Normal 7 2 5 2 7 2" xfId="30018" xr:uid="{6EFB6611-D663-4FFB-ABE5-E07497CFBC07}"/>
    <cellStyle name="Normal 7 2 5 2 8" xfId="26524" xr:uid="{BE5375FA-8E90-45F0-A306-50DDB78392BD}"/>
    <cellStyle name="Normal 7 2 5 3" xfId="6753" xr:uid="{91524BFE-235A-44AB-81E4-F43F1FE5C8FA}"/>
    <cellStyle name="Normal 7 2 5 3 2" xfId="17039" xr:uid="{C7EEB062-4461-4436-BEAB-6C4C51154496}"/>
    <cellStyle name="Normal 7 2 5 3 2 2" xfId="37379" xr:uid="{3A882955-F71E-4D8E-A60A-F52F5378CD66}"/>
    <cellStyle name="Normal 7 2 5 3 3" xfId="20541" xr:uid="{A0AD8C9F-35BD-40A9-9D75-0C4DF80C8274}"/>
    <cellStyle name="Normal 7 2 5 3 3 2" xfId="40880" xr:uid="{04C760CC-8A27-4EBC-A745-38C3A985967F}"/>
    <cellStyle name="Normal 7 2 5 3 4" xfId="23796" xr:uid="{0272EAC5-9E59-44B1-882C-0AC51F6BC630}"/>
    <cellStyle name="Normal 7 2 5 3 4 2" xfId="44131" xr:uid="{22306CFC-7288-4477-80BB-EB13D6A807AC}"/>
    <cellStyle name="Normal 7 2 5 3 5" xfId="14130" xr:uid="{0A04470E-06F1-45ED-B24B-8B56CEE89944}"/>
    <cellStyle name="Normal 7 2 5 3 5 2" xfId="34471" xr:uid="{380F4AE8-44FA-48BF-99CC-44B729E53BCA}"/>
    <cellStyle name="Normal 7 2 5 3 6" xfId="10252" xr:uid="{8D30A230-EF70-4C98-AAB9-A29C8F4056F1}"/>
    <cellStyle name="Normal 7 2 5 3 6 2" xfId="30595" xr:uid="{FC212450-C56C-47B7-8601-1F75ACD1D9BD}"/>
    <cellStyle name="Normal 7 2 5 3 7" xfId="27101" xr:uid="{FD9B7C48-96F3-4AE3-8D15-1FBD256F451E}"/>
    <cellStyle name="Normal 7 2 5 4" xfId="7917" xr:uid="{24FD0667-3D22-4C76-B90C-B28608875AE0}"/>
    <cellStyle name="Normal 7 2 5 4 2" xfId="18202" xr:uid="{4A24CC5A-3F60-4593-8D7A-27DC8D4ED95C}"/>
    <cellStyle name="Normal 7 2 5 4 2 2" xfId="38542" xr:uid="{F6F97C6D-73DF-4B5F-9CE9-02DB7326410A}"/>
    <cellStyle name="Normal 7 2 5 4 3" xfId="21704" xr:uid="{B76019F0-6C4C-48DE-B883-9505E58FE995}"/>
    <cellStyle name="Normal 7 2 5 4 3 2" xfId="42043" xr:uid="{BB0ADA1F-7025-40F4-891F-50BC3DBD3A62}"/>
    <cellStyle name="Normal 7 2 5 4 4" xfId="24959" xr:uid="{CD5B53EB-B609-40BF-8267-EE5C0377A2C1}"/>
    <cellStyle name="Normal 7 2 5 4 4 2" xfId="45294" xr:uid="{7465D513-6BC3-413B-BF92-38A7D6B773EC}"/>
    <cellStyle name="Normal 7 2 5 4 5" xfId="15294" xr:uid="{1F3F4A2A-C6E5-4EDD-9536-F787E9FA5431}"/>
    <cellStyle name="Normal 7 2 5 4 5 2" xfId="35634" xr:uid="{A6E7402C-0767-42D8-8C0D-65F7EF0DAD2D}"/>
    <cellStyle name="Normal 7 2 5 4 6" xfId="11415" xr:uid="{0CF8E971-2804-4192-A5AE-B9B1A015F308}"/>
    <cellStyle name="Normal 7 2 5 4 6 2" xfId="31758" xr:uid="{1B87FFC0-252E-4533-B2DD-4CA1DDEC11BA}"/>
    <cellStyle name="Normal 7 2 5 4 7" xfId="28264" xr:uid="{B233342C-D8AF-4C06-9E4D-75196A5FFA9F}"/>
    <cellStyle name="Normal 7 2 5 5" xfId="12984" xr:uid="{79882C23-5042-46FB-A9A8-D12328590DF7}"/>
    <cellStyle name="Normal 7 2 5 5 2" xfId="33325" xr:uid="{5828F68F-3EC6-49A2-910D-F184C380CEC7}"/>
    <cellStyle name="Normal 7 2 5 6" xfId="15881" xr:uid="{F21F5F9F-D031-4D56-99B6-6DF16E5F214C}"/>
    <cellStyle name="Normal 7 2 5 6 2" xfId="36221" xr:uid="{28B59178-6545-460F-9028-76390A558D2C}"/>
    <cellStyle name="Normal 7 2 5 7" xfId="18795" xr:uid="{3898A94A-C460-4CED-9994-FB4058876AFA}"/>
    <cellStyle name="Normal 7 2 5 7 2" xfId="39135" xr:uid="{6D8F5633-DD31-4291-8557-E77E665EE61B}"/>
    <cellStyle name="Normal 7 2 5 8" xfId="19383" xr:uid="{94197EEC-DCCB-46CC-8D60-79449E7CA5F4}"/>
    <cellStyle name="Normal 7 2 5 8 2" xfId="39722" xr:uid="{62B0ECBE-4A61-449B-BF8D-81DF45D04571}"/>
    <cellStyle name="Normal 7 2 5 9" xfId="22638" xr:uid="{43D1B8AA-D029-4727-8115-ED1E49B2CF5A}"/>
    <cellStyle name="Normal 7 2 5 9 2" xfId="42973" xr:uid="{CAF1EBA6-DCEA-42D2-9259-5522D7B615DC}"/>
    <cellStyle name="Normal 7 2 6" xfId="5702" xr:uid="{EFE4FAD3-82DF-4B93-ADC2-B764FF6C17A0}"/>
    <cellStyle name="Normal 7 2 6 10" xfId="12453" xr:uid="{97CA1DDD-EFE5-45E0-8892-529313C0E0B1}"/>
    <cellStyle name="Normal 7 2 6 10 2" xfId="32794" xr:uid="{B0EE4FE8-D00F-4160-AE2C-BA263AD7E22F}"/>
    <cellStyle name="Normal 7 2 6 11" xfId="9192" xr:uid="{2680C5D3-7461-4E2D-8140-A7095B575A77}"/>
    <cellStyle name="Normal 7 2 6 11 2" xfId="29535" xr:uid="{DCDDC8A1-19B4-4E2D-95D5-3CA6427D8474}"/>
    <cellStyle name="Normal 7 2 6 12" xfId="26041" xr:uid="{8B3CD8B9-29E5-4987-A3B5-F4E165DE743E}"/>
    <cellStyle name="Normal 7 2 6 2" xfId="6274" xr:uid="{436D893C-03BB-4FC6-8221-BA5763C6B436}"/>
    <cellStyle name="Normal 7 2 6 2 2" xfId="7432" xr:uid="{6FEF6C61-D798-4F07-A2CF-0B3C2AA1DD74}"/>
    <cellStyle name="Normal 7 2 6 2 2 2" xfId="17718" xr:uid="{D1DFACD4-5277-4BC7-9D58-736BA17997F1}"/>
    <cellStyle name="Normal 7 2 6 2 2 2 2" xfId="38058" xr:uid="{C671A824-9780-4567-BECB-6E2EC4349902}"/>
    <cellStyle name="Normal 7 2 6 2 2 3" xfId="21220" xr:uid="{6A40E413-486C-42C1-95FB-7DC74C9C169F}"/>
    <cellStyle name="Normal 7 2 6 2 2 3 2" xfId="41559" xr:uid="{7647593B-94B3-435E-844E-482D61D33ABF}"/>
    <cellStyle name="Normal 7 2 6 2 2 4" xfId="24475" xr:uid="{73C5AF3F-C3B3-41CC-8B9F-7A515FD34A9E}"/>
    <cellStyle name="Normal 7 2 6 2 2 4 2" xfId="44810" xr:uid="{70C69981-B5AD-4367-896D-755066AF93D8}"/>
    <cellStyle name="Normal 7 2 6 2 2 5" xfId="14809" xr:uid="{4FC2B19C-2336-400C-98DC-2CEEC655762D}"/>
    <cellStyle name="Normal 7 2 6 2 2 5 2" xfId="35150" xr:uid="{0779C3DE-F37E-4FE3-A299-0EE7C6E5F9D5}"/>
    <cellStyle name="Normal 7 2 6 2 2 6" xfId="10931" xr:uid="{AF39F129-4698-48B4-AD98-4A1BDA58111B}"/>
    <cellStyle name="Normal 7 2 6 2 2 6 2" xfId="31274" xr:uid="{D509624C-BC3C-4454-BC47-D73EF9C8E459}"/>
    <cellStyle name="Normal 7 2 6 2 2 7" xfId="27780" xr:uid="{472C5DB4-A3B3-4B2A-A1F5-FCD88B6020EB}"/>
    <cellStyle name="Normal 7 2 6 2 3" xfId="16560" xr:uid="{2DDEF89E-8AFD-4FE6-9041-8C4B1F798BE4}"/>
    <cellStyle name="Normal 7 2 6 2 3 2" xfId="36900" xr:uid="{C6ED0817-3B38-49A0-A511-8FA72F9177C6}"/>
    <cellStyle name="Normal 7 2 6 2 4" xfId="20062" xr:uid="{824CF043-8106-4D5A-8A54-92D63EDE9D13}"/>
    <cellStyle name="Normal 7 2 6 2 4 2" xfId="40401" xr:uid="{DBC39D9A-71BA-4768-A852-514F234FFFE3}"/>
    <cellStyle name="Normal 7 2 6 2 5" xfId="23317" xr:uid="{9632F54A-6D96-42FE-93AD-55A11CC8C53C}"/>
    <cellStyle name="Normal 7 2 6 2 5 2" xfId="43652" xr:uid="{1924505F-4CED-487E-8975-D50A3CFC92DB}"/>
    <cellStyle name="Normal 7 2 6 2 6" xfId="13651" xr:uid="{BC6201F9-D5B3-4F43-A61D-EC1007386013}"/>
    <cellStyle name="Normal 7 2 6 2 6 2" xfId="33992" xr:uid="{AFB0D287-4459-4FF0-8C51-58099D54F910}"/>
    <cellStyle name="Normal 7 2 6 2 7" xfId="9773" xr:uid="{C404DD1C-34D1-428D-A5D3-3A7C9D477D5C}"/>
    <cellStyle name="Normal 7 2 6 2 7 2" xfId="30116" xr:uid="{12B412F3-6740-4A54-BCD9-2838E6159D94}"/>
    <cellStyle name="Normal 7 2 6 2 8" xfId="26622" xr:uid="{0A313E33-0EF3-4774-9597-E76520454F3C}"/>
    <cellStyle name="Normal 7 2 6 3" xfId="6851" xr:uid="{A04F049B-ACF1-43D6-9AE4-45734C59E98E}"/>
    <cellStyle name="Normal 7 2 6 3 2" xfId="17137" xr:uid="{61260399-64E0-4E62-8AF5-A3C65A605CFB}"/>
    <cellStyle name="Normal 7 2 6 3 2 2" xfId="37477" xr:uid="{4CAF82D6-48AF-445B-8472-D684A042D8A5}"/>
    <cellStyle name="Normal 7 2 6 3 3" xfId="20639" xr:uid="{6912322F-89C5-4051-A340-F594740C9CC4}"/>
    <cellStyle name="Normal 7 2 6 3 3 2" xfId="40978" xr:uid="{097571C4-CBFD-4AA0-AC10-015ED59E76A7}"/>
    <cellStyle name="Normal 7 2 6 3 4" xfId="23894" xr:uid="{C48E5FC6-08BE-492A-B38B-F46FB339D87B}"/>
    <cellStyle name="Normal 7 2 6 3 4 2" xfId="44229" xr:uid="{BE4943C8-F4C3-45D1-92E3-58C9017101EE}"/>
    <cellStyle name="Normal 7 2 6 3 5" xfId="14228" xr:uid="{61294FE7-26B3-4A1C-AC0E-F2E5D7B6A3A8}"/>
    <cellStyle name="Normal 7 2 6 3 5 2" xfId="34569" xr:uid="{59527613-A58B-415E-8B9D-DEB1C359EC3F}"/>
    <cellStyle name="Normal 7 2 6 3 6" xfId="10350" xr:uid="{66B4056C-9F47-4793-A101-6D125A9F8B59}"/>
    <cellStyle name="Normal 7 2 6 3 6 2" xfId="30693" xr:uid="{60864F48-703F-4F8D-B43C-E2685976E7FA}"/>
    <cellStyle name="Normal 7 2 6 3 7" xfId="27199" xr:uid="{90BDD00B-3A98-4A68-9983-EC3197C5ACD7}"/>
    <cellStyle name="Normal 7 2 6 4" xfId="8015" xr:uid="{11098178-1E2E-4D54-986F-7F7F46BD7D62}"/>
    <cellStyle name="Normal 7 2 6 4 2" xfId="18300" xr:uid="{20879BC6-7455-4F56-B259-23E0E95EA78D}"/>
    <cellStyle name="Normal 7 2 6 4 2 2" xfId="38640" xr:uid="{09356BD3-179A-4981-9C97-441C771E6448}"/>
    <cellStyle name="Normal 7 2 6 4 3" xfId="21802" xr:uid="{F6417C8F-FC6B-4944-BC1B-C89FB6847A7D}"/>
    <cellStyle name="Normal 7 2 6 4 3 2" xfId="42141" xr:uid="{72486E3B-CD80-421C-B478-DB27C8640359}"/>
    <cellStyle name="Normal 7 2 6 4 4" xfId="25057" xr:uid="{A49D52B1-20E5-46DE-9B6C-4572104E617B}"/>
    <cellStyle name="Normal 7 2 6 4 4 2" xfId="45392" xr:uid="{270FC833-8890-4254-AFA6-18A3EE482BCB}"/>
    <cellStyle name="Normal 7 2 6 4 5" xfId="15392" xr:uid="{E26B353B-F1E9-4041-B3BC-1D8E04B825C8}"/>
    <cellStyle name="Normal 7 2 6 4 5 2" xfId="35732" xr:uid="{5229A997-A7BE-49E4-9E5B-094A65E44BD6}"/>
    <cellStyle name="Normal 7 2 6 4 6" xfId="11513" xr:uid="{8BE09D05-37D6-4787-9B9A-C3ACAE63BCF7}"/>
    <cellStyle name="Normal 7 2 6 4 6 2" xfId="31856" xr:uid="{428B32D3-7557-4A70-8B47-AB48340A325C}"/>
    <cellStyle name="Normal 7 2 6 4 7" xfId="28362" xr:uid="{9FA4A200-CA3E-477E-AB32-32009CE31532}"/>
    <cellStyle name="Normal 7 2 6 5" xfId="13082" xr:uid="{5311F0DB-EEA8-49D8-986E-F893250822F0}"/>
    <cellStyle name="Normal 7 2 6 5 2" xfId="33423" xr:uid="{AD030994-C1D6-4FB5-93FF-E17BF0BD3063}"/>
    <cellStyle name="Normal 7 2 6 6" xfId="15979" xr:uid="{299D38E9-AE6A-44E4-A890-499F8F1E630E}"/>
    <cellStyle name="Normal 7 2 6 6 2" xfId="36319" xr:uid="{42ECE02B-317B-49CD-9117-CD75C38F6B64}"/>
    <cellStyle name="Normal 7 2 6 7" xfId="18893" xr:uid="{E3D7789E-0AD1-4394-B780-63D6250AE002}"/>
    <cellStyle name="Normal 7 2 6 7 2" xfId="39233" xr:uid="{7E499C90-6464-4024-856A-EA9DB7A295A7}"/>
    <cellStyle name="Normal 7 2 6 8" xfId="19481" xr:uid="{BAAC726E-D8A7-4771-A113-8C160E76D975}"/>
    <cellStyle name="Normal 7 2 6 8 2" xfId="39820" xr:uid="{58A03B6C-E865-43AD-8551-F12A60172C0B}"/>
    <cellStyle name="Normal 7 2 6 9" xfId="22736" xr:uid="{FC82E700-5755-4ADE-93CF-AF0E195E390C}"/>
    <cellStyle name="Normal 7 2 6 9 2" xfId="43071" xr:uid="{1D35A35D-5BD0-4D56-A8B2-EE293EFAAE80}"/>
    <cellStyle name="Normal 7 2 7" xfId="5832" xr:uid="{B830BDBF-1F19-4791-98E0-13B89A8C2D11}"/>
    <cellStyle name="Normal 7 2 7 2" xfId="6990" xr:uid="{6987F3F5-0CCD-4702-874D-DE8C38D58942}"/>
    <cellStyle name="Normal 7 2 7 2 2" xfId="17276" xr:uid="{AE47386E-50A7-4A1B-BB8A-74723FF3AF80}"/>
    <cellStyle name="Normal 7 2 7 2 2 2" xfId="37616" xr:uid="{7D8764E1-9D4A-45EE-B746-410F73AD27DD}"/>
    <cellStyle name="Normal 7 2 7 2 3" xfId="20778" xr:uid="{B43F0AC6-7FD4-4469-A8DC-D8F400871232}"/>
    <cellStyle name="Normal 7 2 7 2 3 2" xfId="41117" xr:uid="{98CBE3F4-F5C7-45C4-8901-D3573118C5D8}"/>
    <cellStyle name="Normal 7 2 7 2 4" xfId="24033" xr:uid="{58153584-4F26-444F-90E3-2D9294769B40}"/>
    <cellStyle name="Normal 7 2 7 2 4 2" xfId="44368" xr:uid="{2EA22B3A-5990-4CB4-9F61-22616A799C6D}"/>
    <cellStyle name="Normal 7 2 7 2 5" xfId="14367" xr:uid="{D6061D80-299D-4C7D-B8A8-DA40057C7087}"/>
    <cellStyle name="Normal 7 2 7 2 5 2" xfId="34708" xr:uid="{CE09194E-262A-4327-8EC6-E2B00E28A9FB}"/>
    <cellStyle name="Normal 7 2 7 2 6" xfId="10489" xr:uid="{62EB14DC-99E8-4F5E-A4DE-E7E5970471E4}"/>
    <cellStyle name="Normal 7 2 7 2 6 2" xfId="30832" xr:uid="{44EE0B59-17DA-44F5-93F9-741F1D776278}"/>
    <cellStyle name="Normal 7 2 7 2 7" xfId="27338" xr:uid="{DBD3428A-4443-4B79-A9CC-F3A20FC95C55}"/>
    <cellStyle name="Normal 7 2 7 3" xfId="16118" xr:uid="{82734DE3-0558-4216-9579-0ED51CE85F94}"/>
    <cellStyle name="Normal 7 2 7 3 2" xfId="36458" xr:uid="{786EB8D6-F17A-486C-AB78-066445EE5D74}"/>
    <cellStyle name="Normal 7 2 7 4" xfId="19620" xr:uid="{6A91E66E-3E1B-4D9C-9E12-1205D169A4F6}"/>
    <cellStyle name="Normal 7 2 7 4 2" xfId="39959" xr:uid="{46B08894-FE0F-49BF-A132-D82B5441E9DB}"/>
    <cellStyle name="Normal 7 2 7 5" xfId="22875" xr:uid="{54C67F48-20D0-4C60-8AC6-D985186BFC30}"/>
    <cellStyle name="Normal 7 2 7 5 2" xfId="43210" xr:uid="{1856457F-EF34-4E72-9600-99C180890770}"/>
    <cellStyle name="Normal 7 2 7 6" xfId="13211" xr:uid="{3F5C2B03-B862-4A33-841F-CCF0203E3943}"/>
    <cellStyle name="Normal 7 2 7 6 2" xfId="33552" xr:uid="{F675886A-F674-45B5-8F62-F6DE674853E4}"/>
    <cellStyle name="Normal 7 2 7 7" xfId="9331" xr:uid="{62333DE9-D708-4DDC-AFA9-9D202DF4AE6A}"/>
    <cellStyle name="Normal 7 2 7 7 2" xfId="29674" xr:uid="{90B253F1-FEB1-4200-A0D0-83CFB6A96593}"/>
    <cellStyle name="Normal 7 2 7 8" xfId="26180" xr:uid="{4329AE25-A62F-4D47-9BAE-BAD92E8799DB}"/>
    <cellStyle name="Normal 7 2 8" xfId="6409" xr:uid="{88EFA5DD-7DE7-4CC7-8A71-4EE7ACDD7C04}"/>
    <cellStyle name="Normal 7 2 8 2" xfId="16695" xr:uid="{A43D92B6-CE88-465F-A44E-4294678211CC}"/>
    <cellStyle name="Normal 7 2 8 2 2" xfId="37035" xr:uid="{EB2EEA9F-FCAA-4D67-A145-1E90965448BE}"/>
    <cellStyle name="Normal 7 2 8 3" xfId="20197" xr:uid="{3C621B1E-435B-4AA5-818D-BE4275CB5419}"/>
    <cellStyle name="Normal 7 2 8 3 2" xfId="40536" xr:uid="{6E5DB5AF-15C3-450C-826F-1B89C00F0202}"/>
    <cellStyle name="Normal 7 2 8 4" xfId="23452" xr:uid="{61921420-72AA-466B-B015-DE538A59061D}"/>
    <cellStyle name="Normal 7 2 8 4 2" xfId="43787" xr:uid="{94BA77F2-3137-4AAF-998D-AA64F379FA47}"/>
    <cellStyle name="Normal 7 2 8 5" xfId="13786" xr:uid="{56C9B492-06EE-4B98-9BCB-4DA4E1833989}"/>
    <cellStyle name="Normal 7 2 8 5 2" xfId="34127" xr:uid="{849E981B-A17F-45C0-9677-F65ECFEECEC2}"/>
    <cellStyle name="Normal 7 2 8 6" xfId="9908" xr:uid="{28785464-D791-481D-92CE-09D5F19DD65E}"/>
    <cellStyle name="Normal 7 2 8 6 2" xfId="30251" xr:uid="{7EA4584C-FB9F-4A49-B27E-523A141C73C9}"/>
    <cellStyle name="Normal 7 2 8 7" xfId="26757" xr:uid="{4A043A24-E7E0-4C11-A822-69A5CF87F579}"/>
    <cellStyle name="Normal 7 2 9" xfId="7573" xr:uid="{5305A1EF-7715-4676-BA96-FBCD160C4138}"/>
    <cellStyle name="Normal 7 2 9 2" xfId="17858" xr:uid="{8DADBEEF-D93F-4883-8403-245C3CC91220}"/>
    <cellStyle name="Normal 7 2 9 2 2" xfId="38198" xr:uid="{334F2D7F-A114-433F-8D56-CF1B5D9595D9}"/>
    <cellStyle name="Normal 7 2 9 3" xfId="21360" xr:uid="{31A8884F-D20D-4A61-81DE-13070005DE2B}"/>
    <cellStyle name="Normal 7 2 9 3 2" xfId="41699" xr:uid="{D217C56E-B423-4084-83BC-56BFA9807B05}"/>
    <cellStyle name="Normal 7 2 9 4" xfId="24615" xr:uid="{63108B30-CEED-491C-9C8B-D29F3BB3BA0F}"/>
    <cellStyle name="Normal 7 2 9 4 2" xfId="44950" xr:uid="{89C9965C-E581-4D81-87D7-D3DC1F3D9C7C}"/>
    <cellStyle name="Normal 7 2 9 5" xfId="14950" xr:uid="{B2CDA45C-2467-49F1-B2BD-F1EF8F654049}"/>
    <cellStyle name="Normal 7 2 9 5 2" xfId="35290" xr:uid="{B5E68B19-5A40-4241-B257-2CDE878CF8FF}"/>
    <cellStyle name="Normal 7 2 9 6" xfId="11071" xr:uid="{61D98748-B5BA-4336-B47B-412E37E16CE3}"/>
    <cellStyle name="Normal 7 2 9 6 2" xfId="31414" xr:uid="{EEF6F8D4-7BFB-44F7-9CFC-ACCD649C5E03}"/>
    <cellStyle name="Normal 7 2 9 7" xfId="27920" xr:uid="{10D86585-2560-464F-85F4-0AA6B989C54E}"/>
    <cellStyle name="Normal 7 20" xfId="25533" xr:uid="{50FFEDDF-5CEB-49C0-B36C-96749CE1AE14}"/>
    <cellStyle name="Normal 7 21" xfId="45835" xr:uid="{6FB3969B-B3F4-4282-AF6D-4A8783593EF3}"/>
    <cellStyle name="Normal 7 22" xfId="46321" xr:uid="{64E9FBE4-4CFE-4516-89CD-2D77EE1DFA41}"/>
    <cellStyle name="Normal 7 23" xfId="46813" xr:uid="{75778ABF-E2D8-4D41-A164-21996BA2C637}"/>
    <cellStyle name="Normal 7 3" xfId="4851" xr:uid="{6EE5848A-F95A-4776-9ED0-AF41BED022E1}"/>
    <cellStyle name="Normal 7 3 10" xfId="18423" xr:uid="{8EE24060-EC69-422E-A18E-EA7A3222534B}"/>
    <cellStyle name="Normal 7 3 10 2" xfId="38763" xr:uid="{3989C78C-51D6-4AA3-9186-0D4FF9CF07AD}"/>
    <cellStyle name="Normal 7 3 11" xfId="19011" xr:uid="{29BE9CD6-859E-4988-983A-3F24355D98E9}"/>
    <cellStyle name="Normal 7 3 11 2" xfId="39350" xr:uid="{10ABCBFE-3F37-4F79-8FF7-C3376DC4E012}"/>
    <cellStyle name="Normal 7 3 12" xfId="22266" xr:uid="{3DD96FB8-B808-43BE-944A-A3B965B12079}"/>
    <cellStyle name="Normal 7 3 12 2" xfId="42601" xr:uid="{37AA7664-CCAF-4E21-AAD7-C334B4687913}"/>
    <cellStyle name="Normal 7 3 13" xfId="11983" xr:uid="{96F54FD4-AE1E-49D7-B337-BAF4620B9C35}"/>
    <cellStyle name="Normal 7 3 13 2" xfId="32324" xr:uid="{E28CD76C-2754-4E6A-B66B-48E7056511A2}"/>
    <cellStyle name="Normal 7 3 14" xfId="8722" xr:uid="{485D7A65-0938-489E-B9DD-7F54279C1C79}"/>
    <cellStyle name="Normal 7 3 14 2" xfId="29065" xr:uid="{6B4E744A-F7AB-48FB-AB76-FA4FBF5B4E1D}"/>
    <cellStyle name="Normal 7 3 15" xfId="25567" xr:uid="{ED9D1EB3-3954-441A-9272-37A7FE479F9F}"/>
    <cellStyle name="Normal 7 3 16" xfId="45895" xr:uid="{7AA2A489-E303-4B01-B042-89983F85F40D}"/>
    <cellStyle name="Normal 7 3 17" xfId="46381" xr:uid="{EE089CE5-EDE4-4E37-BE2C-E85F932AB16A}"/>
    <cellStyle name="Normal 7 3 18" xfId="46873" xr:uid="{45E72B6E-5AC1-4CED-B84C-ACCFCC473776}"/>
    <cellStyle name="Normal 7 3 2" xfId="5070" xr:uid="{39A256B5-507C-40E6-BA71-BA4C4BF158B3}"/>
    <cellStyle name="Normal 7 3 2 10" xfId="12098" xr:uid="{DACC86E3-31BB-4FFA-9718-6E77119732D9}"/>
    <cellStyle name="Normal 7 3 2 10 2" xfId="32439" xr:uid="{1DB2E3E8-D931-4EA5-81E2-9356FD369F5A}"/>
    <cellStyle name="Normal 7 3 2 11" xfId="8837" xr:uid="{2C13A34F-D3B5-4951-BB8D-8CE572A56340}"/>
    <cellStyle name="Normal 7 3 2 11 2" xfId="29180" xr:uid="{CFAF5373-8B87-4AE6-A5D9-0F222FDF1742}"/>
    <cellStyle name="Normal 7 3 2 12" xfId="25686" xr:uid="{2E73D53E-6260-4C53-884A-B4AD3A3DCE2A}"/>
    <cellStyle name="Normal 7 3 2 13" xfId="45952" xr:uid="{215DF45D-1324-4B2E-BF51-C837DF6B926B}"/>
    <cellStyle name="Normal 7 3 2 14" xfId="46438" xr:uid="{0EB9C8E3-B3C4-43CE-9E26-AD23E8B848A2}"/>
    <cellStyle name="Normal 7 3 2 15" xfId="46930" xr:uid="{B5F3C98F-80CC-46FA-97C3-79A88290C996}"/>
    <cellStyle name="Normal 7 3 2 2" xfId="5919" xr:uid="{50051DE9-BA4F-41D0-B42E-473D50F48CBA}"/>
    <cellStyle name="Normal 7 3 2 2 10" xfId="46681" xr:uid="{4EE20D1F-2F31-470F-9B69-1AD7241E5634}"/>
    <cellStyle name="Normal 7 3 2 2 11" xfId="47173" xr:uid="{1ED49CE0-8460-4958-AAA9-CFFFFF37C197}"/>
    <cellStyle name="Normal 7 3 2 2 2" xfId="7077" xr:uid="{3629EB6B-917A-4AB0-A64E-BE302432939D}"/>
    <cellStyle name="Normal 7 3 2 2 2 2" xfId="17363" xr:uid="{C7BF64BF-184A-409B-9525-605A655D29BE}"/>
    <cellStyle name="Normal 7 3 2 2 2 2 2" xfId="37703" xr:uid="{717DB075-48EE-4283-A1F9-00235F7C84B4}"/>
    <cellStyle name="Normal 7 3 2 2 2 3" xfId="20865" xr:uid="{1011C168-6CE5-4FC1-8F15-5D72188F434F}"/>
    <cellStyle name="Normal 7 3 2 2 2 3 2" xfId="41204" xr:uid="{EE122348-EBA5-40F9-83AC-C80CC7BC7FE5}"/>
    <cellStyle name="Normal 7 3 2 2 2 4" xfId="24120" xr:uid="{B066B7EB-7C32-4F97-9063-9D966B0A284A}"/>
    <cellStyle name="Normal 7 3 2 2 2 4 2" xfId="44455" xr:uid="{CE679F2E-0863-4EDD-BD1F-123C6009E661}"/>
    <cellStyle name="Normal 7 3 2 2 2 5" xfId="14454" xr:uid="{A1C65A74-CC17-45EF-B484-1080ADEF1FB3}"/>
    <cellStyle name="Normal 7 3 2 2 2 5 2" xfId="34795" xr:uid="{87351949-1210-4272-80E9-A23CFB042D89}"/>
    <cellStyle name="Normal 7 3 2 2 2 6" xfId="10576" xr:uid="{8A766EA7-A272-486D-9887-B1E98D477B1A}"/>
    <cellStyle name="Normal 7 3 2 2 2 6 2" xfId="30919" xr:uid="{A8198FAE-A0DD-458C-B779-723BAA415842}"/>
    <cellStyle name="Normal 7 3 2 2 2 7" xfId="27425" xr:uid="{3A36B37D-0B30-4153-87D5-808126E51046}"/>
    <cellStyle name="Normal 7 3 2 2 3" xfId="16205" xr:uid="{BD0530DB-9962-4D2D-A071-A2578D030D7E}"/>
    <cellStyle name="Normal 7 3 2 2 3 2" xfId="36545" xr:uid="{B20EDBEB-DBA7-4260-AC2D-29F30627DF91}"/>
    <cellStyle name="Normal 7 3 2 2 4" xfId="19707" xr:uid="{204D5709-F681-4FAA-BD1E-ABFEF04F0E19}"/>
    <cellStyle name="Normal 7 3 2 2 4 2" xfId="40046" xr:uid="{C88E1D6F-5A52-4967-8DD7-1022B6E9A379}"/>
    <cellStyle name="Normal 7 3 2 2 5" xfId="22962" xr:uid="{D2498020-ED7C-4677-97DA-57FA2E2BC7FA}"/>
    <cellStyle name="Normal 7 3 2 2 5 2" xfId="43297" xr:uid="{9635683F-5433-4074-87E0-C8F15801F85D}"/>
    <cellStyle name="Normal 7 3 2 2 6" xfId="13298" xr:uid="{2F2C5F7D-BEAE-4B79-AD7E-A2506F5A803E}"/>
    <cellStyle name="Normal 7 3 2 2 6 2" xfId="33639" xr:uid="{596B563F-8A49-49BE-A13D-FF4C87DB0C3A}"/>
    <cellStyle name="Normal 7 3 2 2 7" xfId="9418" xr:uid="{07452CA7-CC62-47AC-9401-F3B9E7B84073}"/>
    <cellStyle name="Normal 7 3 2 2 7 2" xfId="29761" xr:uid="{93706BD4-240D-43CC-930E-DF2DB0D0457A}"/>
    <cellStyle name="Normal 7 3 2 2 8" xfId="26267" xr:uid="{54104468-A783-418A-9DF6-F8440F7C3E59}"/>
    <cellStyle name="Normal 7 3 2 2 9" xfId="46195" xr:uid="{8F1FB640-4BE7-4C5F-B414-AB98231D06BA}"/>
    <cellStyle name="Normal 7 3 2 3" xfId="6496" xr:uid="{E30E926B-6D30-4F28-804A-07AC3ECDD144}"/>
    <cellStyle name="Normal 7 3 2 3 2" xfId="16782" xr:uid="{3ED6F364-BE40-4015-972B-17C7F63E38D9}"/>
    <cellStyle name="Normal 7 3 2 3 2 2" xfId="37122" xr:uid="{1F8CE276-46C7-4153-A0D3-A4886304AAE6}"/>
    <cellStyle name="Normal 7 3 2 3 3" xfId="20284" xr:uid="{AC276DC5-FB5D-421B-8528-1883173721D8}"/>
    <cellStyle name="Normal 7 3 2 3 3 2" xfId="40623" xr:uid="{5201A3FC-A355-4F9F-A2B5-29703802FB15}"/>
    <cellStyle name="Normal 7 3 2 3 4" xfId="23539" xr:uid="{1E9476A6-DD26-4342-BBEC-16414CC919AC}"/>
    <cellStyle name="Normal 7 3 2 3 4 2" xfId="43874" xr:uid="{4D4D82D7-7CB4-497E-955A-59E4DB37C951}"/>
    <cellStyle name="Normal 7 3 2 3 5" xfId="13873" xr:uid="{D914C7D7-976D-45CC-B8F1-09F6D12F4904}"/>
    <cellStyle name="Normal 7 3 2 3 5 2" xfId="34214" xr:uid="{F5DD42CF-E1DD-43E3-A1E4-E7B9AB405AB5}"/>
    <cellStyle name="Normal 7 3 2 3 6" xfId="9995" xr:uid="{17ECFFA9-468C-43A7-94A2-69B4355A57C0}"/>
    <cellStyle name="Normal 7 3 2 3 6 2" xfId="30338" xr:uid="{5E178F43-F46A-4E9D-AB77-75FAA3DB1777}"/>
    <cellStyle name="Normal 7 3 2 3 7" xfId="26844" xr:uid="{6A008C1E-9CB3-4569-B9C9-649EB4C643BC}"/>
    <cellStyle name="Normal 7 3 2 4" xfId="7660" xr:uid="{DDE1FAEF-573C-4917-8AA7-DE68C3403BB3}"/>
    <cellStyle name="Normal 7 3 2 4 2" xfId="17945" xr:uid="{B4DE18DF-0683-4C07-A94D-55941ECD20AD}"/>
    <cellStyle name="Normal 7 3 2 4 2 2" xfId="38285" xr:uid="{166C5751-EAD4-4C0D-9AB7-E5BCE95A0D16}"/>
    <cellStyle name="Normal 7 3 2 4 3" xfId="21447" xr:uid="{E68ABD95-5F55-4BE9-8A65-727C2A940018}"/>
    <cellStyle name="Normal 7 3 2 4 3 2" xfId="41786" xr:uid="{9EFEC090-32AE-4430-AA3E-49F8B3F76F21}"/>
    <cellStyle name="Normal 7 3 2 4 4" xfId="24702" xr:uid="{4979415A-BE49-4A5E-BCBA-6ADDF2F27300}"/>
    <cellStyle name="Normal 7 3 2 4 4 2" xfId="45037" xr:uid="{ADE599D1-4F54-471A-B505-17C4E8083503}"/>
    <cellStyle name="Normal 7 3 2 4 5" xfId="15037" xr:uid="{0F0307A8-D7A8-416F-9E89-27F2A586D595}"/>
    <cellStyle name="Normal 7 3 2 4 5 2" xfId="35377" xr:uid="{FFF6ECC0-67DB-4703-82A9-78D021A602ED}"/>
    <cellStyle name="Normal 7 3 2 4 6" xfId="11158" xr:uid="{59DD2C17-F5B9-426A-90CC-67F222BF0A19}"/>
    <cellStyle name="Normal 7 3 2 4 6 2" xfId="31501" xr:uid="{CEE841A3-8B7C-4FDB-AC5F-04BA71BFA389}"/>
    <cellStyle name="Normal 7 3 2 4 7" xfId="28007" xr:uid="{3D07485E-F5A9-42DA-8A0F-157B62414DAB}"/>
    <cellStyle name="Normal 7 3 2 5" xfId="8144" xr:uid="{F7C27906-E859-45B2-AE56-706CFCDD278D}"/>
    <cellStyle name="Normal 7 3 2 5 2" xfId="21931" xr:uid="{4A9BFE7A-B13B-4A58-98B2-B6D652823E53}"/>
    <cellStyle name="Normal 7 3 2 5 2 2" xfId="42267" xr:uid="{F9E98B4F-1D39-4390-948D-CD2D93435B04}"/>
    <cellStyle name="Normal 7 3 2 5 3" xfId="25183" xr:uid="{5650D6B1-78AA-4A8F-8696-BD9C977036D3}"/>
    <cellStyle name="Normal 7 3 2 5 3 2" xfId="45518" xr:uid="{1A7CF6C2-CBB7-4FA0-9D9F-EB95D4054784}"/>
    <cellStyle name="Normal 7 3 2 5 4" xfId="12729" xr:uid="{6FCCDDEC-C2B0-4403-AE73-76A55E1B2E72}"/>
    <cellStyle name="Normal 7 3 2 5 4 2" xfId="33070" xr:uid="{DD84C910-EAB5-4AE9-8488-15CEBB5644DA}"/>
    <cellStyle name="Normal 7 3 2 5 5" xfId="11640" xr:uid="{32A7456B-9CA7-4803-95F3-F8B3E1E507EA}"/>
    <cellStyle name="Normal 7 3 2 5 5 2" xfId="31982" xr:uid="{AE0D0C82-97F6-445D-8D38-534CBE903AFF}"/>
    <cellStyle name="Normal 7 3 2 5 6" xfId="28488" xr:uid="{131F35EA-5B8F-4999-AE41-1A558A43BFDE}"/>
    <cellStyle name="Normal 7 3 2 6" xfId="8577" xr:uid="{B6EC95A8-FE19-469B-A147-489C93091256}"/>
    <cellStyle name="Normal 7 3 2 6 2" xfId="15624" xr:uid="{E650D427-7344-4295-8954-DC6235AE8475}"/>
    <cellStyle name="Normal 7 3 2 6 2 2" xfId="35964" xr:uid="{13120517-1A28-4705-98AF-A064693FEBE0}"/>
    <cellStyle name="Normal 7 3 2 6 3" xfId="28920" xr:uid="{1DD1C9D5-DBB8-4FE2-8550-C1FD6B2DAD58}"/>
    <cellStyle name="Normal 7 3 2 7" xfId="18538" xr:uid="{395BE802-7F9E-4F5B-B85A-688A307874C7}"/>
    <cellStyle name="Normal 7 3 2 7 2" xfId="38878" xr:uid="{2B33077C-BB22-4BE2-A54C-16E2C1EEAD9E}"/>
    <cellStyle name="Normal 7 3 2 8" xfId="19126" xr:uid="{CBFBCB84-8CDD-40DB-A0BB-FA73EF2CE91B}"/>
    <cellStyle name="Normal 7 3 2 8 2" xfId="39465" xr:uid="{515525EE-3464-4210-9C78-2524947BA826}"/>
    <cellStyle name="Normal 7 3 2 9" xfId="22381" xr:uid="{A82E53B2-2DD6-4EF0-BBA9-65440E68294B}"/>
    <cellStyle name="Normal 7 3 2 9 2" xfId="42716" xr:uid="{4277A061-B724-470E-AC10-70AFD0970D28}"/>
    <cellStyle name="Normal 7 3 3" xfId="5576" xr:uid="{52CB1925-5151-453B-8338-FDB09D0F313F}"/>
    <cellStyle name="Normal 7 3 3 10" xfId="12327" xr:uid="{7653F98F-7920-483A-AC1F-DC6427A62CDD}"/>
    <cellStyle name="Normal 7 3 3 10 2" xfId="32668" xr:uid="{15DE042A-FB55-4040-A155-ED9FE4F2D0CF}"/>
    <cellStyle name="Normal 7 3 3 11" xfId="9066" xr:uid="{CDA28759-490E-42E2-BD64-90B93FA1F4EB}"/>
    <cellStyle name="Normal 7 3 3 11 2" xfId="29409" xr:uid="{24E8C238-7C56-4C34-9F88-6A91B412EE88}"/>
    <cellStyle name="Normal 7 3 3 12" xfId="25915" xr:uid="{E89AB7A8-1584-4266-8398-3E085528BF7A}"/>
    <cellStyle name="Normal 7 3 3 13" xfId="46138" xr:uid="{EBE372A8-9D2B-43BB-9AC0-8BCFDFE102EF}"/>
    <cellStyle name="Normal 7 3 3 14" xfId="46624" xr:uid="{D96DE68A-0A3D-46E4-BE5E-C902058D006D}"/>
    <cellStyle name="Normal 7 3 3 15" xfId="47116" xr:uid="{A58DBDCA-7A87-4C8F-A1A5-59C29B9863A8}"/>
    <cellStyle name="Normal 7 3 3 2" xfId="6148" xr:uid="{32270863-BFF8-404B-8C3F-6C93F53B23F7}"/>
    <cellStyle name="Normal 7 3 3 2 2" xfId="7306" xr:uid="{793A6018-5CFD-40BC-962F-18136B48694F}"/>
    <cellStyle name="Normal 7 3 3 2 2 2" xfId="17592" xr:uid="{3C93C953-03E8-4F93-9728-125A36F2DBDA}"/>
    <cellStyle name="Normal 7 3 3 2 2 2 2" xfId="37932" xr:uid="{C26173BE-3E72-46E5-BD57-36B3CA719D53}"/>
    <cellStyle name="Normal 7 3 3 2 2 3" xfId="21094" xr:uid="{70961C51-BA80-4AE7-98D0-0CC53AD1FEE3}"/>
    <cellStyle name="Normal 7 3 3 2 2 3 2" xfId="41433" xr:uid="{E0ACA0C3-B14B-4F30-9663-8A5C68265BA5}"/>
    <cellStyle name="Normal 7 3 3 2 2 4" xfId="24349" xr:uid="{9BFA5FF0-274D-4BE2-8A19-5AA8DC45127E}"/>
    <cellStyle name="Normal 7 3 3 2 2 4 2" xfId="44684" xr:uid="{00A3D91A-8255-4DDC-A437-804A7BC15DB1}"/>
    <cellStyle name="Normal 7 3 3 2 2 5" xfId="14683" xr:uid="{4FE9F0B6-75AE-4538-94BD-10C79A52BD69}"/>
    <cellStyle name="Normal 7 3 3 2 2 5 2" xfId="35024" xr:uid="{47C60ACB-15E3-4AE9-8FB3-776EF0024940}"/>
    <cellStyle name="Normal 7 3 3 2 2 6" xfId="10805" xr:uid="{46351817-5AFB-4C1F-8310-D17D975311DE}"/>
    <cellStyle name="Normal 7 3 3 2 2 6 2" xfId="31148" xr:uid="{6E731621-16FF-4B0B-93DB-535032D4F58F}"/>
    <cellStyle name="Normal 7 3 3 2 2 7" xfId="27654" xr:uid="{CC185E23-4EBA-498B-B0D6-E240FE202CAD}"/>
    <cellStyle name="Normal 7 3 3 2 3" xfId="16434" xr:uid="{10AA1714-597E-4AE9-8499-1362847B8438}"/>
    <cellStyle name="Normal 7 3 3 2 3 2" xfId="36774" xr:uid="{4694162F-CB8F-40A3-A2F8-A171511D4120}"/>
    <cellStyle name="Normal 7 3 3 2 4" xfId="19936" xr:uid="{48605F8B-7BAB-4BE2-A0BD-275266C5AF81}"/>
    <cellStyle name="Normal 7 3 3 2 4 2" xfId="40275" xr:uid="{B5B2AC4F-FA78-4439-9135-A852AE0B0CE6}"/>
    <cellStyle name="Normal 7 3 3 2 5" xfId="23191" xr:uid="{573CBA6D-64A1-4D0A-B15E-9A4075A602AC}"/>
    <cellStyle name="Normal 7 3 3 2 5 2" xfId="43526" xr:uid="{3BCE35A8-82DD-4C2F-8528-A4291DE182D0}"/>
    <cellStyle name="Normal 7 3 3 2 6" xfId="13525" xr:uid="{22957CF4-B8C0-4684-8247-341D55F987BE}"/>
    <cellStyle name="Normal 7 3 3 2 6 2" xfId="33866" xr:uid="{85D61E25-AE2E-4821-BCF8-811199D7B1F7}"/>
    <cellStyle name="Normal 7 3 3 2 7" xfId="9647" xr:uid="{E24A7805-97FA-45DC-9187-C2EDD988A430}"/>
    <cellStyle name="Normal 7 3 3 2 7 2" xfId="29990" xr:uid="{DF12A1B0-D526-431E-AB38-AF8EFD1113F4}"/>
    <cellStyle name="Normal 7 3 3 2 8" xfId="26496" xr:uid="{7CD36E3D-A38A-4FDC-B0D7-2F347484B3E4}"/>
    <cellStyle name="Normal 7 3 3 3" xfId="6725" xr:uid="{8C7BA8FD-D159-4D8F-BE2A-D41FD9413C08}"/>
    <cellStyle name="Normal 7 3 3 3 2" xfId="17011" xr:uid="{ED53B8BD-946E-495D-A675-769E009BAB0D}"/>
    <cellStyle name="Normal 7 3 3 3 2 2" xfId="37351" xr:uid="{ACC1260D-5119-4792-9F47-0F60F0C10BAB}"/>
    <cellStyle name="Normal 7 3 3 3 3" xfId="20513" xr:uid="{FF47356F-E05D-4CA3-9600-45670D0CA671}"/>
    <cellStyle name="Normal 7 3 3 3 3 2" xfId="40852" xr:uid="{3410F8CB-A038-4DE1-99C7-831C3244A37D}"/>
    <cellStyle name="Normal 7 3 3 3 4" xfId="23768" xr:uid="{9AA27A47-4F4D-4D7B-9C13-1BE3DC6994CB}"/>
    <cellStyle name="Normal 7 3 3 3 4 2" xfId="44103" xr:uid="{9B79C562-25EB-4D3F-8706-82BFF374C43F}"/>
    <cellStyle name="Normal 7 3 3 3 5" xfId="14102" xr:uid="{93F834E4-4783-44E5-A3AE-418E4BD4BD83}"/>
    <cellStyle name="Normal 7 3 3 3 5 2" xfId="34443" xr:uid="{2802B036-ABDB-4C31-97F0-4658DAF287A2}"/>
    <cellStyle name="Normal 7 3 3 3 6" xfId="10224" xr:uid="{912AF63B-A7CB-4163-8DBC-53A06868CF11}"/>
    <cellStyle name="Normal 7 3 3 3 6 2" xfId="30567" xr:uid="{99B15AED-7A26-46E4-92BF-FA428301CBC4}"/>
    <cellStyle name="Normal 7 3 3 3 7" xfId="27073" xr:uid="{4AB0D8B4-4DA1-4B03-9637-5635226203DB}"/>
    <cellStyle name="Normal 7 3 3 4" xfId="7889" xr:uid="{7EF3BE5E-6AAE-490B-9329-420B0CABDD33}"/>
    <cellStyle name="Normal 7 3 3 4 2" xfId="18174" xr:uid="{FD150A05-78AB-48DF-9213-A0A44C8C66E5}"/>
    <cellStyle name="Normal 7 3 3 4 2 2" xfId="38514" xr:uid="{907B2D62-74B9-47E4-B363-AA868946860B}"/>
    <cellStyle name="Normal 7 3 3 4 3" xfId="21676" xr:uid="{664A8809-79DF-43E0-A657-0A96662C33DE}"/>
    <cellStyle name="Normal 7 3 3 4 3 2" xfId="42015" xr:uid="{46359A69-9745-42B3-A3B7-3B07E45871BA}"/>
    <cellStyle name="Normal 7 3 3 4 4" xfId="24931" xr:uid="{C3AD43B4-35F2-444A-BB6B-E2C3E1EBD193}"/>
    <cellStyle name="Normal 7 3 3 4 4 2" xfId="45266" xr:uid="{291127ED-906B-4757-AABF-9F5409E298FC}"/>
    <cellStyle name="Normal 7 3 3 4 5" xfId="15266" xr:uid="{21207CF8-B2C4-44EE-ACC0-258CE1BF5140}"/>
    <cellStyle name="Normal 7 3 3 4 5 2" xfId="35606" xr:uid="{67AFF270-C80A-4EF1-8DF2-81E769FD6B97}"/>
    <cellStyle name="Normal 7 3 3 4 6" xfId="11387" xr:uid="{269DA6E5-9867-4B2C-979E-9177439E0A4E}"/>
    <cellStyle name="Normal 7 3 3 4 6 2" xfId="31730" xr:uid="{6FE5CBBB-070C-4731-B0B0-331899CD699B}"/>
    <cellStyle name="Normal 7 3 3 4 7" xfId="28236" xr:uid="{6369D28F-5904-4285-A052-1B9441313AC5}"/>
    <cellStyle name="Normal 7 3 3 5" xfId="12956" xr:uid="{E2911E49-97C0-43E4-B1E5-D85FFC0E2A58}"/>
    <cellStyle name="Normal 7 3 3 5 2" xfId="33297" xr:uid="{A31B5AF1-F5DF-41F3-84FD-1FB48C64A105}"/>
    <cellStyle name="Normal 7 3 3 6" xfId="15853" xr:uid="{358CCE41-0BB9-40B6-BB54-587973BC9AAD}"/>
    <cellStyle name="Normal 7 3 3 6 2" xfId="36193" xr:uid="{EB3E0E12-A3DB-4913-AAD1-5E7D0EE0442D}"/>
    <cellStyle name="Normal 7 3 3 7" xfId="18767" xr:uid="{EB4ED3FA-DA8B-4492-9F67-A022BC24A8B7}"/>
    <cellStyle name="Normal 7 3 3 7 2" xfId="39107" xr:uid="{74E5EA68-C3EB-413F-8FE8-235924BCA29A}"/>
    <cellStyle name="Normal 7 3 3 8" xfId="19355" xr:uid="{D7D725A7-B197-4280-BFB2-69CFA3431CF5}"/>
    <cellStyle name="Normal 7 3 3 8 2" xfId="39694" xr:uid="{30123665-1A7B-4476-AF74-E0995D903CC1}"/>
    <cellStyle name="Normal 7 3 3 9" xfId="22610" xr:uid="{49A5D970-0875-4D9B-BE88-9920A27D2D25}"/>
    <cellStyle name="Normal 7 3 3 9 2" xfId="42945" xr:uid="{B0E18155-F912-4414-8308-8CCA73D0D580}"/>
    <cellStyle name="Normal 7 3 4" xfId="5732" xr:uid="{36BAEA3D-056D-4C24-B4BE-FC5DF531C607}"/>
    <cellStyle name="Normal 7 3 4 10" xfId="12485" xr:uid="{63FCDA3D-5BFD-4814-B526-7D5C307EBBE6}"/>
    <cellStyle name="Normal 7 3 4 10 2" xfId="32826" xr:uid="{D670FDEB-4351-4081-87A9-E8B57A250F60}"/>
    <cellStyle name="Normal 7 3 4 11" xfId="9224" xr:uid="{CA980EDD-F29A-4BAC-955C-77260FFC120B}"/>
    <cellStyle name="Normal 7 3 4 11 2" xfId="29567" xr:uid="{40D1102C-1700-4F1C-89FA-DCF1D8BE6095}"/>
    <cellStyle name="Normal 7 3 4 12" xfId="26073" xr:uid="{4F7E7E45-E824-4305-B30F-778651936B47}"/>
    <cellStyle name="Normal 7 3 4 2" xfId="6306" xr:uid="{84996796-1567-42CA-B801-6320E7ED67EA}"/>
    <cellStyle name="Normal 7 3 4 2 2" xfId="7464" xr:uid="{FA969839-CF25-4069-8139-0BF3FEEADB26}"/>
    <cellStyle name="Normal 7 3 4 2 2 2" xfId="17750" xr:uid="{93C710DD-D845-4E14-A77E-73C8046D868C}"/>
    <cellStyle name="Normal 7 3 4 2 2 2 2" xfId="38090" xr:uid="{BB9947D3-34C7-4350-9A7A-4C79AB915F5E}"/>
    <cellStyle name="Normal 7 3 4 2 2 3" xfId="21252" xr:uid="{DAA2A206-7DB7-49BD-9455-C84237849783}"/>
    <cellStyle name="Normal 7 3 4 2 2 3 2" xfId="41591" xr:uid="{4D581E56-C652-4D3E-9911-4961A6F51D7F}"/>
    <cellStyle name="Normal 7 3 4 2 2 4" xfId="24507" xr:uid="{7A059090-586A-4238-A1D8-33C2E27A92E4}"/>
    <cellStyle name="Normal 7 3 4 2 2 4 2" xfId="44842" xr:uid="{73AF309D-22ED-40B6-ADAA-27F195806C07}"/>
    <cellStyle name="Normal 7 3 4 2 2 5" xfId="14841" xr:uid="{58879FEC-44EA-49B1-88A3-4FF78B344CEB}"/>
    <cellStyle name="Normal 7 3 4 2 2 5 2" xfId="35182" xr:uid="{A945BB89-FC14-45E8-A15F-6BDDFFE4339B}"/>
    <cellStyle name="Normal 7 3 4 2 2 6" xfId="10963" xr:uid="{CD46ABB8-DDA2-427B-8274-1D707D158727}"/>
    <cellStyle name="Normal 7 3 4 2 2 6 2" xfId="31306" xr:uid="{7F196A39-ABBC-4E58-95E9-6998CEA782D7}"/>
    <cellStyle name="Normal 7 3 4 2 2 7" xfId="27812" xr:uid="{F3F34057-FAA5-444A-B02B-B29E2CBE7E7C}"/>
    <cellStyle name="Normal 7 3 4 2 3" xfId="16592" xr:uid="{3F41A573-0C80-4605-81EE-653A44207E62}"/>
    <cellStyle name="Normal 7 3 4 2 3 2" xfId="36932" xr:uid="{6155E5C5-3DE2-438B-B26F-E2EAB5F86DED}"/>
    <cellStyle name="Normal 7 3 4 2 4" xfId="20094" xr:uid="{E595651B-2DE1-4C60-9BA8-D48F650D508C}"/>
    <cellStyle name="Normal 7 3 4 2 4 2" xfId="40433" xr:uid="{5AA2BDBE-C9B8-492D-B91E-39872CC3EC56}"/>
    <cellStyle name="Normal 7 3 4 2 5" xfId="23349" xr:uid="{D451472C-60B6-4784-A955-85C1816FB9FB}"/>
    <cellStyle name="Normal 7 3 4 2 5 2" xfId="43684" xr:uid="{F50D31F9-2C5C-4ED4-96C0-DC276B2D78A7}"/>
    <cellStyle name="Normal 7 3 4 2 6" xfId="13683" xr:uid="{D7B53E7A-3AB8-4650-8154-AF1691FA70E3}"/>
    <cellStyle name="Normal 7 3 4 2 6 2" xfId="34024" xr:uid="{127EF3D7-1924-47B4-994F-608433400CBB}"/>
    <cellStyle name="Normal 7 3 4 2 7" xfId="9805" xr:uid="{5AEDE6B5-B2AE-4DE0-8A93-34BA31643024}"/>
    <cellStyle name="Normal 7 3 4 2 7 2" xfId="30148" xr:uid="{FD5F4D34-7CBA-420A-B2AB-4E5ECB4A8B26}"/>
    <cellStyle name="Normal 7 3 4 2 8" xfId="26654" xr:uid="{51694EC7-2513-481E-ACF9-1B0D7A19762D}"/>
    <cellStyle name="Normal 7 3 4 3" xfId="6883" xr:uid="{FABC5781-F256-44CB-9ADB-BC4E3B41F5B7}"/>
    <cellStyle name="Normal 7 3 4 3 2" xfId="17169" xr:uid="{B07020E2-F3F8-4425-AF66-064516B7393D}"/>
    <cellStyle name="Normal 7 3 4 3 2 2" xfId="37509" xr:uid="{F6D474AB-B16D-4395-82BC-4AC658A4B6C1}"/>
    <cellStyle name="Normal 7 3 4 3 3" xfId="20671" xr:uid="{966631D9-B423-4E88-A2F1-E60623F75D81}"/>
    <cellStyle name="Normal 7 3 4 3 3 2" xfId="41010" xr:uid="{EA5B3D3C-7FEF-4459-8064-C67672EBC5FD}"/>
    <cellStyle name="Normal 7 3 4 3 4" xfId="23926" xr:uid="{9A0985B3-8895-4F29-B4EE-2AA0B6423BD1}"/>
    <cellStyle name="Normal 7 3 4 3 4 2" xfId="44261" xr:uid="{8ABC0AC5-83F5-4604-B556-911F52E1CA12}"/>
    <cellStyle name="Normal 7 3 4 3 5" xfId="14260" xr:uid="{5DFF4BAA-D39E-460E-94C8-1374D45A08AB}"/>
    <cellStyle name="Normal 7 3 4 3 5 2" xfId="34601" xr:uid="{2251A0C7-F6A4-4083-A7F7-8AA5F3511592}"/>
    <cellStyle name="Normal 7 3 4 3 6" xfId="10382" xr:uid="{F9D16064-ADFB-41C2-9C11-FC4FD823A41C}"/>
    <cellStyle name="Normal 7 3 4 3 6 2" xfId="30725" xr:uid="{4099E396-E547-4B6B-AD0C-E6B7D629845E}"/>
    <cellStyle name="Normal 7 3 4 3 7" xfId="27231" xr:uid="{C712C8C5-55A2-4A7D-B673-14C9178274E7}"/>
    <cellStyle name="Normal 7 3 4 4" xfId="8047" xr:uid="{A1FC28A0-E1E0-4E6F-A5C3-E69163FF311B}"/>
    <cellStyle name="Normal 7 3 4 4 2" xfId="18332" xr:uid="{C25424E1-BCD0-4965-97D8-ED26711F80C8}"/>
    <cellStyle name="Normal 7 3 4 4 2 2" xfId="38672" xr:uid="{2E7C897B-ABD6-4B4A-8B6A-9ECA7241D5C8}"/>
    <cellStyle name="Normal 7 3 4 4 3" xfId="21834" xr:uid="{35EC3480-A542-4F3C-9968-4E933B1D2DED}"/>
    <cellStyle name="Normal 7 3 4 4 3 2" xfId="42173" xr:uid="{F18C4026-07E1-493F-B3B2-4E118FF746DE}"/>
    <cellStyle name="Normal 7 3 4 4 4" xfId="25089" xr:uid="{C2C929A8-A2A2-4D16-83E3-071D62DAFEE7}"/>
    <cellStyle name="Normal 7 3 4 4 4 2" xfId="45424" xr:uid="{B849FA92-EC9B-451E-9C3D-C9343629C770}"/>
    <cellStyle name="Normal 7 3 4 4 5" xfId="15424" xr:uid="{9A1F2170-829A-44B3-B4A8-7ECA28311E49}"/>
    <cellStyle name="Normal 7 3 4 4 5 2" xfId="35764" xr:uid="{04C0E5F9-48EC-4FA4-8C5C-0A43D2219680}"/>
    <cellStyle name="Normal 7 3 4 4 6" xfId="11545" xr:uid="{F67CE7BC-9CE0-45B9-B55C-A4CFD3037581}"/>
    <cellStyle name="Normal 7 3 4 4 6 2" xfId="31888" xr:uid="{330C11C5-5F80-4167-B121-3F018FD13AB3}"/>
    <cellStyle name="Normal 7 3 4 4 7" xfId="28394" xr:uid="{8E5B3621-4479-423F-BDB7-24D6B3820D71}"/>
    <cellStyle name="Normal 7 3 4 5" xfId="13114" xr:uid="{13DCEA18-03E8-4A0E-94E3-2D7826EBAA08}"/>
    <cellStyle name="Normal 7 3 4 5 2" xfId="33455" xr:uid="{12B95187-6ABB-4F21-9E55-19F7C906FE0A}"/>
    <cellStyle name="Normal 7 3 4 6" xfId="16011" xr:uid="{F1EA14DF-5D53-4BBF-A8E6-F6B7D343FDD2}"/>
    <cellStyle name="Normal 7 3 4 6 2" xfId="36351" xr:uid="{2CC06815-02B8-4EAD-B97C-D253EC091644}"/>
    <cellStyle name="Normal 7 3 4 7" xfId="18925" xr:uid="{2DE525CC-1EB3-4D45-8F3A-F523B0D4904F}"/>
    <cellStyle name="Normal 7 3 4 7 2" xfId="39265" xr:uid="{B8091B72-7574-4583-BA16-15D228FD0E28}"/>
    <cellStyle name="Normal 7 3 4 8" xfId="19513" xr:uid="{D20A81CD-1064-4357-8FD5-BFEED414E639}"/>
    <cellStyle name="Normal 7 3 4 8 2" xfId="39852" xr:uid="{5F9651F6-9EF7-4865-BA09-B47B8F352D96}"/>
    <cellStyle name="Normal 7 3 4 9" xfId="22768" xr:uid="{DD7A5FE9-5F90-4352-A2EF-6EA2845AC8A2}"/>
    <cellStyle name="Normal 7 3 4 9 2" xfId="43103" xr:uid="{5DEB6477-A74D-4779-8D0C-923CEAC6DC6D}"/>
    <cellStyle name="Normal 7 3 5" xfId="5804" xr:uid="{C4F337D7-3B07-437F-BC2D-D5A14FAB72BC}"/>
    <cellStyle name="Normal 7 3 5 2" xfId="6962" xr:uid="{75B4F489-B933-40E3-B2CA-937EB87E62C4}"/>
    <cellStyle name="Normal 7 3 5 2 2" xfId="17248" xr:uid="{A6B6807A-4E34-4A4D-81CE-652104552E4E}"/>
    <cellStyle name="Normal 7 3 5 2 2 2" xfId="37588" xr:uid="{46A5B782-EB3E-4638-88EE-444A9E62A353}"/>
    <cellStyle name="Normal 7 3 5 2 3" xfId="20750" xr:uid="{17F65882-A42B-4D69-886C-BE877CC341B3}"/>
    <cellStyle name="Normal 7 3 5 2 3 2" xfId="41089" xr:uid="{2279033E-131D-4F07-9150-275C8612A71A}"/>
    <cellStyle name="Normal 7 3 5 2 4" xfId="24005" xr:uid="{8F9FCF21-C01D-40AB-BFA2-5C465F7BE80F}"/>
    <cellStyle name="Normal 7 3 5 2 4 2" xfId="44340" xr:uid="{D731B5AD-6247-4E2B-AFE6-7849EBDBD05F}"/>
    <cellStyle name="Normal 7 3 5 2 5" xfId="14339" xr:uid="{FF3DBDED-59B8-4354-BA09-B4F9692D49F2}"/>
    <cellStyle name="Normal 7 3 5 2 5 2" xfId="34680" xr:uid="{79BE78B8-4528-4554-A1DD-A1B09FF51272}"/>
    <cellStyle name="Normal 7 3 5 2 6" xfId="10461" xr:uid="{18702DB9-99FB-4275-87C6-D9D96DBD3C63}"/>
    <cellStyle name="Normal 7 3 5 2 6 2" xfId="30804" xr:uid="{9893F5F5-7FE3-4D1B-8216-152096E60036}"/>
    <cellStyle name="Normal 7 3 5 2 7" xfId="27310" xr:uid="{DC34A645-D9FB-4508-9232-DC0A9B777A73}"/>
    <cellStyle name="Normal 7 3 5 3" xfId="16090" xr:uid="{1AD98DED-56C1-4648-AF36-A5BE03D9232D}"/>
    <cellStyle name="Normal 7 3 5 3 2" xfId="36430" xr:uid="{B5191801-16B2-4712-A208-8B190298957E}"/>
    <cellStyle name="Normal 7 3 5 4" xfId="19592" xr:uid="{2D0A0C66-7403-443D-B5B3-0D8EF63A146C}"/>
    <cellStyle name="Normal 7 3 5 4 2" xfId="39931" xr:uid="{9AD451D2-CBCE-436F-A8D8-06A77669E5EE}"/>
    <cellStyle name="Normal 7 3 5 5" xfId="22847" xr:uid="{7FF01BDD-431C-449B-8C20-6886E741A01F}"/>
    <cellStyle name="Normal 7 3 5 5 2" xfId="43182" xr:uid="{80438EDA-9C00-487D-AEF4-0630276348A8}"/>
    <cellStyle name="Normal 7 3 5 6" xfId="13188" xr:uid="{B4D2F82E-AF8F-4E09-A1BC-A8082EA4E5F1}"/>
    <cellStyle name="Normal 7 3 5 6 2" xfId="33529" xr:uid="{12D5821A-3F82-4C2B-A86A-C65B82A43A17}"/>
    <cellStyle name="Normal 7 3 5 7" xfId="9303" xr:uid="{D2385CC5-AAFC-43B3-8D96-3A6F0C29F7DF}"/>
    <cellStyle name="Normal 7 3 5 7 2" xfId="29646" xr:uid="{0629524A-11A6-4D33-B384-BA0F9AF7DD4B}"/>
    <cellStyle name="Normal 7 3 5 8" xfId="26152" xr:uid="{C6EE14F6-0D74-4F02-97CA-873BA8420578}"/>
    <cellStyle name="Normal 7 3 6" xfId="6381" xr:uid="{A4BBB048-EDCC-4495-9483-DE4033302843}"/>
    <cellStyle name="Normal 7 3 6 2" xfId="16667" xr:uid="{DE9A3B14-6445-4EEB-A18A-C56586729E0C}"/>
    <cellStyle name="Normal 7 3 6 2 2" xfId="37007" xr:uid="{CFF6A3E2-897B-4A84-9584-F4C22C2BA946}"/>
    <cellStyle name="Normal 7 3 6 3" xfId="20169" xr:uid="{5C39131C-4AE4-4988-8B28-9F140709987A}"/>
    <cellStyle name="Normal 7 3 6 3 2" xfId="40508" xr:uid="{4813E236-8A91-47E2-8ACD-1625F894F695}"/>
    <cellStyle name="Normal 7 3 6 4" xfId="23424" xr:uid="{D4A7F7D5-DD83-4FFE-ABAF-D8C737E273B8}"/>
    <cellStyle name="Normal 7 3 6 4 2" xfId="43759" xr:uid="{F9B13C04-230F-471E-A81B-49BECB8D552D}"/>
    <cellStyle name="Normal 7 3 6 5" xfId="13758" xr:uid="{044F33D1-EA66-4A98-9956-D9EB809B9AB7}"/>
    <cellStyle name="Normal 7 3 6 5 2" xfId="34099" xr:uid="{DC67C0AF-ED14-4E1F-B635-1EED8BB50AD1}"/>
    <cellStyle name="Normal 7 3 6 6" xfId="9880" xr:uid="{D73F9F2F-F3BD-469B-8300-2F22ABD971C5}"/>
    <cellStyle name="Normal 7 3 6 6 2" xfId="30223" xr:uid="{2C6157EB-0AFE-4C81-8960-17D5D80CA95F}"/>
    <cellStyle name="Normal 7 3 6 7" xfId="26729" xr:uid="{5D72DA00-5613-4F52-8FC7-2B2816C59BC5}"/>
    <cellStyle name="Normal 7 3 7" xfId="7545" xr:uid="{E350D00F-AEE6-41F7-B422-EC0CA280FDA3}"/>
    <cellStyle name="Normal 7 3 7 2" xfId="17830" xr:uid="{26AEF7C7-99E8-4A31-BECE-E74F0FE07A57}"/>
    <cellStyle name="Normal 7 3 7 2 2" xfId="38170" xr:uid="{213FFE01-9D60-40D4-B4F0-9FEF528953E9}"/>
    <cellStyle name="Normal 7 3 7 3" xfId="21332" xr:uid="{DC23485C-FDFB-4651-97E6-DAAB793D2BD8}"/>
    <cellStyle name="Normal 7 3 7 3 2" xfId="41671" xr:uid="{4740EB88-D58F-45DE-92CD-D88FC71B3B94}"/>
    <cellStyle name="Normal 7 3 7 4" xfId="24587" xr:uid="{BD139FF8-0F24-498D-A1C0-783B088538CC}"/>
    <cellStyle name="Normal 7 3 7 4 2" xfId="44922" xr:uid="{474C1017-9C8C-4ECB-9AE5-9B25294B4F96}"/>
    <cellStyle name="Normal 7 3 7 5" xfId="14922" xr:uid="{EE5ECE21-AC59-412B-8EE3-361FB5960CF6}"/>
    <cellStyle name="Normal 7 3 7 5 2" xfId="35262" xr:uid="{27366858-B82C-4430-A198-8DFC57E7AFAC}"/>
    <cellStyle name="Normal 7 3 7 6" xfId="11043" xr:uid="{E3AB5BB1-0505-4E5D-8278-0C00B46CB614}"/>
    <cellStyle name="Normal 7 3 7 6 2" xfId="31386" xr:uid="{6ABE2730-6324-47A7-B315-EF83546E0AC6}"/>
    <cellStyle name="Normal 7 3 7 7" xfId="27892" xr:uid="{6B510B3D-4D70-4148-B746-9D2C405FD6D0}"/>
    <cellStyle name="Normal 7 3 8" xfId="8143" xr:uid="{228C08EC-C1C0-43F3-8CE1-1098436BCE1E}"/>
    <cellStyle name="Normal 7 3 8 2" xfId="21930" xr:uid="{7BE0EC01-777C-43AF-ACCE-CBAD5813D419}"/>
    <cellStyle name="Normal 7 3 8 2 2" xfId="42266" xr:uid="{D4780315-4F80-4F52-88FA-6208CC24C783}"/>
    <cellStyle name="Normal 7 3 8 3" xfId="25182" xr:uid="{FF874123-BA40-4E0F-9813-0CCD3EF1D77A}"/>
    <cellStyle name="Normal 7 3 8 3 2" xfId="45517" xr:uid="{EEA573E0-31ED-42A5-A0D4-F6611EB07573}"/>
    <cellStyle name="Normal 7 3 8 4" xfId="12619" xr:uid="{1A045707-7F7F-4C02-A1C8-1A2F7AC3E0A5}"/>
    <cellStyle name="Normal 7 3 8 4 2" xfId="32960" xr:uid="{4C6F8F7B-EB6F-4DD7-8DDE-646B00FBC663}"/>
    <cellStyle name="Normal 7 3 8 5" xfId="11639" xr:uid="{C15F7DD8-ABB3-4A82-8D7E-A58C07BE2F0E}"/>
    <cellStyle name="Normal 7 3 8 5 2" xfId="31981" xr:uid="{E09640E4-292F-43F9-8433-9578F2F9FCF6}"/>
    <cellStyle name="Normal 7 3 8 6" xfId="28487" xr:uid="{B9BBC036-EA52-446A-8C89-972327DA5BD4}"/>
    <cellStyle name="Normal 7 3 9" xfId="8520" xr:uid="{248802C5-1F6E-4D0C-9A4D-5C74908C25F5}"/>
    <cellStyle name="Normal 7 3 9 2" xfId="15509" xr:uid="{1302051F-97C0-43F7-8C18-BD9A255CA782}"/>
    <cellStyle name="Normal 7 3 9 2 2" xfId="35849" xr:uid="{A96C0B05-2340-454E-B24B-BDA8BAF0DC86}"/>
    <cellStyle name="Normal 7 3 9 3" xfId="28863" xr:uid="{52FF5790-D2D6-460E-84D6-D9F005C2F2F2}"/>
    <cellStyle name="Normal 7 4" xfId="5067" xr:uid="{A0EEF2AA-DAB7-400C-AC6D-EFBCDB361D35}"/>
    <cellStyle name="Normal 7 4 2" xfId="8145" xr:uid="{FFC081EB-4D95-4491-95DE-9F04BF298FDF}"/>
    <cellStyle name="Normal 7 4 2 2" xfId="25184" xr:uid="{0EE37020-4447-4EDA-B8A7-47FC8539BE3B}"/>
    <cellStyle name="Normal 7 4 2 2 2" xfId="45519" xr:uid="{ABEE9FA5-3518-41B0-A257-F65FC2870C02}"/>
    <cellStyle name="Normal 7 4 2 3" xfId="21932" xr:uid="{1FE79906-1CCB-449E-8991-1C0E4CF6D826}"/>
    <cellStyle name="Normal 7 4 2 3 2" xfId="42268" xr:uid="{3D79AEE5-1074-47C3-A573-4BF1259EB43A}"/>
    <cellStyle name="Normal 7 4 2 4" xfId="11641" xr:uid="{5794EF1D-1E50-4EC4-9499-224A751B19CA}"/>
    <cellStyle name="Normal 7 4 2 4 2" xfId="31983" xr:uid="{B144513C-AC7B-4C23-BD0B-183976BAC2C2}"/>
    <cellStyle name="Normal 7 4 2 5" xfId="28489" xr:uid="{0B8143A1-B53F-433E-8BDA-7E8083E698EE}"/>
    <cellStyle name="Normal 7 4 2 6" xfId="46192" xr:uid="{87093A75-27B2-468C-B845-F854A2EDE36E}"/>
    <cellStyle name="Normal 7 4 2 7" xfId="46678" xr:uid="{19572C61-19D2-410E-A549-FC639496AA2E}"/>
    <cellStyle name="Normal 7 4 2 8" xfId="47170" xr:uid="{60ED49B5-EBC6-4994-B3FE-E722E5314793}"/>
    <cellStyle name="Normal 7 4 3" xfId="8574" xr:uid="{43BA33D3-BF30-4E88-B779-51A2FA53578E}"/>
    <cellStyle name="Normal 7 4 3 2" xfId="28917" xr:uid="{1C1E6FA1-CAE6-4A34-9520-9EDA81A56546}"/>
    <cellStyle name="Normal 7 4 4" xfId="45949" xr:uid="{C9BBB09C-B192-4CDD-8159-CEC565775417}"/>
    <cellStyle name="Normal 7 4 5" xfId="46435" xr:uid="{8C8CEEC5-9A62-47D5-8513-8403C1555825}"/>
    <cellStyle name="Normal 7 4 6" xfId="46927" xr:uid="{1D353A6A-0EA0-41C1-AE9E-3585E1282841}"/>
    <cellStyle name="Normal 7 4 7" xfId="5271" xr:uid="{16D62836-3872-4B35-80FA-0E84673B9C3C}"/>
    <cellStyle name="Normal 7 5" xfId="5334" xr:uid="{AEC30C79-2E2C-4554-89D9-95B516237444}"/>
    <cellStyle name="Normal 7 5 10" xfId="12064" xr:uid="{E15B80B6-7454-4402-9F91-95E924A5D0F2}"/>
    <cellStyle name="Normal 7 5 10 2" xfId="32405" xr:uid="{DB80FC17-FAE3-4247-A67F-679B7622BAD8}"/>
    <cellStyle name="Normal 7 5 11" xfId="8803" xr:uid="{885C86F5-3DE3-4100-97B0-4D0BE8198FB3}"/>
    <cellStyle name="Normal 7 5 11 2" xfId="29146" xr:uid="{C5CA76E7-D25B-4073-84BB-4DE146D2A3C3}"/>
    <cellStyle name="Normal 7 5 12" xfId="25652" xr:uid="{F13F38DA-1238-49E8-B747-45D2245BDD13}"/>
    <cellStyle name="Normal 7 5 13" xfId="46078" xr:uid="{A2A4DE80-212C-4C29-B9F5-AEA8C534310E}"/>
    <cellStyle name="Normal 7 5 14" xfId="46564" xr:uid="{81563CF5-6340-423D-AFCD-D641405D60E3}"/>
    <cellStyle name="Normal 7 5 15" xfId="47056" xr:uid="{AFF70449-5920-49E3-92BD-A8537CA57DB6}"/>
    <cellStyle name="Normal 7 5 2" xfId="5885" xr:uid="{584F9ADB-D78D-4B98-A4D0-BFA14049FE06}"/>
    <cellStyle name="Normal 7 5 2 2" xfId="7043" xr:uid="{46805CFB-6311-4773-9594-D3D1B6832404}"/>
    <cellStyle name="Normal 7 5 2 2 2" xfId="17329" xr:uid="{088DA290-FFE9-464B-82BB-490FCED3A20D}"/>
    <cellStyle name="Normal 7 5 2 2 2 2" xfId="37669" xr:uid="{67407395-899C-4ACB-99D0-52D9BE819D96}"/>
    <cellStyle name="Normal 7 5 2 2 3" xfId="20831" xr:uid="{5A1CB932-9A93-4E29-AA53-E34FDF9F4291}"/>
    <cellStyle name="Normal 7 5 2 2 3 2" xfId="41170" xr:uid="{5EFE459F-927F-4DEA-AEC7-9CF3483828AE}"/>
    <cellStyle name="Normal 7 5 2 2 4" xfId="24086" xr:uid="{E61FED8D-5F97-41E9-A196-A6E54FBCECF2}"/>
    <cellStyle name="Normal 7 5 2 2 4 2" xfId="44421" xr:uid="{24A9C33F-3C09-4481-A0A3-A3D712C5F8C2}"/>
    <cellStyle name="Normal 7 5 2 2 5" xfId="14420" xr:uid="{A77D2005-51AA-49F6-890C-311C2FC3BCFF}"/>
    <cellStyle name="Normal 7 5 2 2 5 2" xfId="34761" xr:uid="{772DED11-1263-4AAD-8922-79EE37746C3E}"/>
    <cellStyle name="Normal 7 5 2 2 6" xfId="10542" xr:uid="{68A3915E-2EED-4A88-94A6-ED6463689957}"/>
    <cellStyle name="Normal 7 5 2 2 6 2" xfId="30885" xr:uid="{DDCF9D1E-8227-4210-B69D-D6011CF6B3B2}"/>
    <cellStyle name="Normal 7 5 2 2 7" xfId="27391" xr:uid="{12982A7D-C770-4A9E-851F-41D10D5D02E2}"/>
    <cellStyle name="Normal 7 5 2 3" xfId="16171" xr:uid="{FC8CD035-20F5-4B9B-AB5D-58381B746806}"/>
    <cellStyle name="Normal 7 5 2 3 2" xfId="36511" xr:uid="{E987763A-2C73-47D7-92DF-582E1DB55761}"/>
    <cellStyle name="Normal 7 5 2 4" xfId="19673" xr:uid="{D356E2E1-A69D-4B65-AC7C-5E2EDE54CEA8}"/>
    <cellStyle name="Normal 7 5 2 4 2" xfId="40012" xr:uid="{EEE727DE-F81B-4543-BC25-84CE47D44A92}"/>
    <cellStyle name="Normal 7 5 2 5" xfId="22928" xr:uid="{0BD64FDF-34AB-4235-B02D-41B026F94028}"/>
    <cellStyle name="Normal 7 5 2 5 2" xfId="43263" xr:uid="{88FE6112-D317-4F66-9A9B-27DC72D808D1}"/>
    <cellStyle name="Normal 7 5 2 6" xfId="13264" xr:uid="{35DCA002-5A47-4733-BDDF-F948B9316369}"/>
    <cellStyle name="Normal 7 5 2 6 2" xfId="33605" xr:uid="{F4729F9F-9804-4401-8A10-2A102663C673}"/>
    <cellStyle name="Normal 7 5 2 7" xfId="9384" xr:uid="{BDF9863F-E3B7-4B66-BF46-FFDC8E662E4F}"/>
    <cellStyle name="Normal 7 5 2 7 2" xfId="29727" xr:uid="{FE868F14-C5A4-4256-81BC-2227C514E2A1}"/>
    <cellStyle name="Normal 7 5 2 8" xfId="26233" xr:uid="{05C04930-1B7A-4BA6-980F-B5B5D13AD9D6}"/>
    <cellStyle name="Normal 7 5 3" xfId="6462" xr:uid="{DEEC679B-212F-472D-86C7-037E58BF03FA}"/>
    <cellStyle name="Normal 7 5 3 2" xfId="16748" xr:uid="{7EEDCB38-DD14-456A-8A42-5EE0DF807CCF}"/>
    <cellStyle name="Normal 7 5 3 2 2" xfId="37088" xr:uid="{E6917CB3-2B51-436E-AC6E-791EC379EDE9}"/>
    <cellStyle name="Normal 7 5 3 3" xfId="20250" xr:uid="{5B28E835-19FC-4A04-9594-4F1328589E9C}"/>
    <cellStyle name="Normal 7 5 3 3 2" xfId="40589" xr:uid="{ED2C7944-D235-4781-88E5-4181148F4E2C}"/>
    <cellStyle name="Normal 7 5 3 4" xfId="23505" xr:uid="{6655EF98-36B2-44B2-8177-4038906F198C}"/>
    <cellStyle name="Normal 7 5 3 4 2" xfId="43840" xr:uid="{56F9924F-0334-488B-93AB-A6CE42C6B35B}"/>
    <cellStyle name="Normal 7 5 3 5" xfId="13839" xr:uid="{0AA39EE2-FAC6-45BB-BAF7-D8598B5C65FC}"/>
    <cellStyle name="Normal 7 5 3 5 2" xfId="34180" xr:uid="{09D5854F-3050-4123-8107-0F3051711E3A}"/>
    <cellStyle name="Normal 7 5 3 6" xfId="9961" xr:uid="{11403496-AF50-4BAE-8F0A-1B02556EA295}"/>
    <cellStyle name="Normal 7 5 3 6 2" xfId="30304" xr:uid="{17304337-840E-4FDB-9015-6440065F793A}"/>
    <cellStyle name="Normal 7 5 3 7" xfId="26810" xr:uid="{647A3741-2415-462A-B10B-74344885DE24}"/>
    <cellStyle name="Normal 7 5 4" xfId="7626" xr:uid="{5B9F14B6-EEA1-486F-A3CC-E08BCEAAA4B6}"/>
    <cellStyle name="Normal 7 5 4 2" xfId="17911" xr:uid="{FA37DE4A-B6F2-44D8-BD00-FD961693BB11}"/>
    <cellStyle name="Normal 7 5 4 2 2" xfId="38251" xr:uid="{2640982C-409A-4927-B822-BFC4EDFABED0}"/>
    <cellStyle name="Normal 7 5 4 3" xfId="21413" xr:uid="{69D34AE6-5561-4A73-90EC-2BA6EAB11EA8}"/>
    <cellStyle name="Normal 7 5 4 3 2" xfId="41752" xr:uid="{0C2E3002-E36B-402B-AA91-3E18E8EF7330}"/>
    <cellStyle name="Normal 7 5 4 4" xfId="24668" xr:uid="{D269E748-0517-4CC2-ABA6-71AE5F91ABF2}"/>
    <cellStyle name="Normal 7 5 4 4 2" xfId="45003" xr:uid="{2A7F8BF5-0206-4B52-A07F-6F082E05383E}"/>
    <cellStyle name="Normal 7 5 4 5" xfId="15003" xr:uid="{ED006B31-6234-4887-97ED-2C90BC6291AD}"/>
    <cellStyle name="Normal 7 5 4 5 2" xfId="35343" xr:uid="{DBEF2A53-1662-439F-B140-41F0F646A5FE}"/>
    <cellStyle name="Normal 7 5 4 6" xfId="11124" xr:uid="{D800775E-991E-41D9-A902-55C6A5CB37E3}"/>
    <cellStyle name="Normal 7 5 4 6 2" xfId="31467" xr:uid="{571ADE6F-1806-4848-BE44-43AF152FED25}"/>
    <cellStyle name="Normal 7 5 4 7" xfId="27973" xr:uid="{09C7BB2D-30DC-4DDA-A254-FAB5709C816E}"/>
    <cellStyle name="Normal 7 5 5" xfId="12695" xr:uid="{F1626AB8-D11C-45C1-891A-318376E19F26}"/>
    <cellStyle name="Normal 7 5 5 2" xfId="33036" xr:uid="{47710F1F-B3C6-4B6A-BED4-9BC12683CB20}"/>
    <cellStyle name="Normal 7 5 6" xfId="15590" xr:uid="{EBFC9249-163E-436B-B4D7-66CF47F334B0}"/>
    <cellStyle name="Normal 7 5 6 2" xfId="35930" xr:uid="{E9E702F3-6DD4-4006-806F-F055DD2E519F}"/>
    <cellStyle name="Normal 7 5 7" xfId="18504" xr:uid="{F750BF51-3911-4BE6-A099-E5A9D7B2A228}"/>
    <cellStyle name="Normal 7 5 7 2" xfId="38844" xr:uid="{58E6092C-BC8F-4ADC-99EA-06425AC0E8A1}"/>
    <cellStyle name="Normal 7 5 8" xfId="19092" xr:uid="{74A379D0-A52A-4B75-A70D-4392B7B33D34}"/>
    <cellStyle name="Normal 7 5 8 2" xfId="39431" xr:uid="{1D02500E-3E94-47DB-840C-F1EC2D184EE5}"/>
    <cellStyle name="Normal 7 5 9" xfId="22347" xr:uid="{16005615-904A-4F5A-AC2C-14249A4A1AFC}"/>
    <cellStyle name="Normal 7 5 9 2" xfId="42682" xr:uid="{F01884F7-A961-4F01-8075-BA0107807485}"/>
    <cellStyle name="Normal 7 6" xfId="5449" xr:uid="{B28AD603-CAD8-4B74-A7DD-2FDE994AEEAC}"/>
    <cellStyle name="Normal 7 6 10" xfId="12194" xr:uid="{1B85A643-716D-4321-8461-5F39B2F01F1D}"/>
    <cellStyle name="Normal 7 6 10 2" xfId="32535" xr:uid="{17594D38-D3E0-49BE-9B35-B0CF4DAD7333}"/>
    <cellStyle name="Normal 7 6 11" xfId="8933" xr:uid="{92389A92-D181-438B-BC2F-E9BA2128B80D}"/>
    <cellStyle name="Normal 7 6 11 2" xfId="29276" xr:uid="{18CE53B4-D123-486B-BC3B-E8EA8A73FE5A}"/>
    <cellStyle name="Normal 7 6 12" xfId="25782" xr:uid="{789C85D9-A707-4141-BD4F-BCB8984FEF12}"/>
    <cellStyle name="Normal 7 6 2" xfId="6015" xr:uid="{B634B8AA-4A5A-455A-AAEE-B902B7AC4E70}"/>
    <cellStyle name="Normal 7 6 2 2" xfId="7173" xr:uid="{A52A14F0-A3CC-46C6-92D0-246314499223}"/>
    <cellStyle name="Normal 7 6 2 2 2" xfId="17459" xr:uid="{80D72C6A-4C97-4D83-8280-989956D34204}"/>
    <cellStyle name="Normal 7 6 2 2 2 2" xfId="37799" xr:uid="{1FD1A956-53C9-4359-9F96-CDEE91898A3C}"/>
    <cellStyle name="Normal 7 6 2 2 3" xfId="20961" xr:uid="{3B53A174-F23C-47C6-A208-5F1409147A4E}"/>
    <cellStyle name="Normal 7 6 2 2 3 2" xfId="41300" xr:uid="{C3F33598-743A-412D-8C5F-60D30101F7D9}"/>
    <cellStyle name="Normal 7 6 2 2 4" xfId="24216" xr:uid="{AC528409-DCB7-4105-B00C-B21F3C460C4D}"/>
    <cellStyle name="Normal 7 6 2 2 4 2" xfId="44551" xr:uid="{53433131-3C9A-4FD3-8B0A-4AA6DAFC088F}"/>
    <cellStyle name="Normal 7 6 2 2 5" xfId="14550" xr:uid="{9482E4BE-B5C3-472D-A87E-E2D832D838B8}"/>
    <cellStyle name="Normal 7 6 2 2 5 2" xfId="34891" xr:uid="{9852B462-6B96-4F0E-B6E9-53D1F8D5D3EF}"/>
    <cellStyle name="Normal 7 6 2 2 6" xfId="10672" xr:uid="{A9268BC7-B4FD-4B77-B047-106ECD74B488}"/>
    <cellStyle name="Normal 7 6 2 2 6 2" xfId="31015" xr:uid="{9B389C71-35E8-4958-A888-DCB105D16AAC}"/>
    <cellStyle name="Normal 7 6 2 2 7" xfId="27521" xr:uid="{F4E2729F-1FC5-40A2-B613-E97FDB8653CC}"/>
    <cellStyle name="Normal 7 6 2 3" xfId="16301" xr:uid="{2DC2C6F9-E0D7-4F44-800F-439A19BF4414}"/>
    <cellStyle name="Normal 7 6 2 3 2" xfId="36641" xr:uid="{761CDF70-13A8-4E81-ACCA-0C33404B6CD6}"/>
    <cellStyle name="Normal 7 6 2 4" xfId="19803" xr:uid="{604444AF-ABB8-4198-97A5-595E82538960}"/>
    <cellStyle name="Normal 7 6 2 4 2" xfId="40142" xr:uid="{A3C3B5F3-7248-4066-8EB7-77DEC0AEDEE2}"/>
    <cellStyle name="Normal 7 6 2 5" xfId="23058" xr:uid="{5121BCAD-DABB-42AC-B6C1-9B3D1E7C9B46}"/>
    <cellStyle name="Normal 7 6 2 5 2" xfId="43393" xr:uid="{F8FC6C04-78C1-4FC1-A2A7-2D452659FAAF}"/>
    <cellStyle name="Normal 7 6 2 6" xfId="13392" xr:uid="{4E256163-DFF3-4AC2-BC3A-ADBF8FC08B9D}"/>
    <cellStyle name="Normal 7 6 2 6 2" xfId="33733" xr:uid="{41FB5A33-BF1D-45F6-B4BD-B1DC196B2038}"/>
    <cellStyle name="Normal 7 6 2 7" xfId="9514" xr:uid="{03DDE824-1450-416B-B14D-B75171D530AA}"/>
    <cellStyle name="Normal 7 6 2 7 2" xfId="29857" xr:uid="{7C864805-894B-4913-9DB6-C293E352962B}"/>
    <cellStyle name="Normal 7 6 2 8" xfId="26363" xr:uid="{C550CDAB-1387-4D0D-9F4F-99DD9A85974A}"/>
    <cellStyle name="Normal 7 6 3" xfId="6592" xr:uid="{375EA891-E865-4F64-A50E-20F52D958EC2}"/>
    <cellStyle name="Normal 7 6 3 2" xfId="16878" xr:uid="{45BFD817-014E-4133-88D7-50F3A7323CB4}"/>
    <cellStyle name="Normal 7 6 3 2 2" xfId="37218" xr:uid="{6ACAB5CD-5208-4CD4-8116-78A60B89A750}"/>
    <cellStyle name="Normal 7 6 3 3" xfId="20380" xr:uid="{E909FF58-11F5-4011-8031-8F3EEF8A193C}"/>
    <cellStyle name="Normal 7 6 3 3 2" xfId="40719" xr:uid="{E26EB1D2-777E-4E90-BEAA-32FC36F72450}"/>
    <cellStyle name="Normal 7 6 3 4" xfId="23635" xr:uid="{0B113FFF-38D2-4AA9-8695-2531CFEC58CA}"/>
    <cellStyle name="Normal 7 6 3 4 2" xfId="43970" xr:uid="{1C50F4D4-A0AA-4F61-A8D5-03A9C40D80BB}"/>
    <cellStyle name="Normal 7 6 3 5" xfId="13969" xr:uid="{8545E7CA-35DC-4234-B226-744B84C135EF}"/>
    <cellStyle name="Normal 7 6 3 5 2" xfId="34310" xr:uid="{15E5D588-C4D0-4285-A8FD-59DCFDC9EAD5}"/>
    <cellStyle name="Normal 7 6 3 6" xfId="10091" xr:uid="{1AD698ED-1B20-422D-8006-C0A4946E692A}"/>
    <cellStyle name="Normal 7 6 3 6 2" xfId="30434" xr:uid="{D13817E1-18BA-4A6B-A500-34AD05C2BCFB}"/>
    <cellStyle name="Normal 7 6 3 7" xfId="26940" xr:uid="{37C0858D-5882-44A4-9400-7437A7EA5FE1}"/>
    <cellStyle name="Normal 7 6 4" xfId="7756" xr:uid="{385007F5-37CF-4A44-BCF7-1CB156764E8B}"/>
    <cellStyle name="Normal 7 6 4 2" xfId="18041" xr:uid="{77B04CA5-1E1C-441A-8DDA-BB2A9AD04A53}"/>
    <cellStyle name="Normal 7 6 4 2 2" xfId="38381" xr:uid="{39965712-D37C-4377-9752-DB7C87A59303}"/>
    <cellStyle name="Normal 7 6 4 3" xfId="21543" xr:uid="{68BFE23F-E608-454F-802C-D731BA5B9C6A}"/>
    <cellStyle name="Normal 7 6 4 3 2" xfId="41882" xr:uid="{F04E4CA1-99D2-49D1-893D-E84C0BF5504F}"/>
    <cellStyle name="Normal 7 6 4 4" xfId="24798" xr:uid="{AF324399-FD88-4DCD-9AE8-5C5598524C53}"/>
    <cellStyle name="Normal 7 6 4 4 2" xfId="45133" xr:uid="{4F2690E0-C6E5-4AC7-9E32-A1336941806A}"/>
    <cellStyle name="Normal 7 6 4 5" xfId="15133" xr:uid="{531B1F6D-3A1F-4717-9316-07772799741F}"/>
    <cellStyle name="Normal 7 6 4 5 2" xfId="35473" xr:uid="{AF54BB53-93F6-4F07-8F9D-C7EAA2BACC33}"/>
    <cellStyle name="Normal 7 6 4 6" xfId="11254" xr:uid="{CD77DB29-6AE5-4575-B268-C531975C3C6D}"/>
    <cellStyle name="Normal 7 6 4 6 2" xfId="31597" xr:uid="{29CB93EB-E669-459D-9174-99BC686EF896}"/>
    <cellStyle name="Normal 7 6 4 7" xfId="28103" xr:uid="{E97A456B-E927-4E3B-B289-104B046C7D16}"/>
    <cellStyle name="Normal 7 6 5" xfId="12823" xr:uid="{7DF6EC4E-2165-4328-8DC7-054537F481FE}"/>
    <cellStyle name="Normal 7 6 5 2" xfId="33164" xr:uid="{A8070D77-635C-41B0-886F-859BC8DFA42E}"/>
    <cellStyle name="Normal 7 6 6" xfId="15720" xr:uid="{14A6E86F-EB9C-42F0-99EE-B08EE1242F01}"/>
    <cellStyle name="Normal 7 6 6 2" xfId="36060" xr:uid="{C08DACD7-13F6-42DF-A7B2-D68D16A4F4CB}"/>
    <cellStyle name="Normal 7 6 7" xfId="18634" xr:uid="{7B2B997E-5610-407E-8C1B-72DFE50EA113}"/>
    <cellStyle name="Normal 7 6 7 2" xfId="38974" xr:uid="{5659CCAB-DF42-4ED8-88BE-FF18CE595E5E}"/>
    <cellStyle name="Normal 7 6 8" xfId="19222" xr:uid="{2EB82C9A-031C-4EE5-8ACF-F491E98389BC}"/>
    <cellStyle name="Normal 7 6 8 2" xfId="39561" xr:uid="{313B23CD-DA37-49EA-BB36-709473852155}"/>
    <cellStyle name="Normal 7 6 9" xfId="22477" xr:uid="{29FD91BF-F76E-46A1-9A69-6B324C5D4077}"/>
    <cellStyle name="Normal 7 6 9 2" xfId="42812" xr:uid="{3862B4C0-FE9E-4E91-9AC4-D433790CC130}"/>
    <cellStyle name="Normal 7 7" xfId="5501" xr:uid="{2CA55C6D-8338-45F3-9EC4-32052677B79C}"/>
    <cellStyle name="Normal 7 7 10" xfId="12252" xr:uid="{9CB50B67-4269-4C00-9D21-F736D8F3C417}"/>
    <cellStyle name="Normal 7 7 10 2" xfId="32593" xr:uid="{B67F65BF-35FE-4944-BA94-B3604CB0700F}"/>
    <cellStyle name="Normal 7 7 11" xfId="8991" xr:uid="{88FEDE86-04AF-48B9-B178-4F081D45E024}"/>
    <cellStyle name="Normal 7 7 11 2" xfId="29334" xr:uid="{BDD96E28-E269-4E79-B51C-CEE5329A3A86}"/>
    <cellStyle name="Normal 7 7 12" xfId="25840" xr:uid="{3A4F98B2-5C9D-492C-A7A7-1185646A0F36}"/>
    <cellStyle name="Normal 7 7 2" xfId="6073" xr:uid="{FDBADF34-E98E-447C-B402-1A2E0F7516C6}"/>
    <cellStyle name="Normal 7 7 2 2" xfId="7231" xr:uid="{EBB028EF-F641-4E70-A1DB-C3DCF6390377}"/>
    <cellStyle name="Normal 7 7 2 2 2" xfId="17517" xr:uid="{C8411729-DC21-464B-AF25-7B9A67878358}"/>
    <cellStyle name="Normal 7 7 2 2 2 2" xfId="37857" xr:uid="{EF3FF445-8BEA-472E-8824-C2BCE7D01405}"/>
    <cellStyle name="Normal 7 7 2 2 3" xfId="21019" xr:uid="{547F4607-FD9E-450B-A4F5-FF01A26B2268}"/>
    <cellStyle name="Normal 7 7 2 2 3 2" xfId="41358" xr:uid="{0478DB44-CB1A-4F35-BB6D-1FA4D3BB2B42}"/>
    <cellStyle name="Normal 7 7 2 2 4" xfId="24274" xr:uid="{93669EA5-76F4-47A0-8A2D-7B14098CF619}"/>
    <cellStyle name="Normal 7 7 2 2 4 2" xfId="44609" xr:uid="{684CB745-DDC9-4755-BA83-270B86A98812}"/>
    <cellStyle name="Normal 7 7 2 2 5" xfId="14608" xr:uid="{4700898D-B732-4A95-8035-C2DB567ACFE3}"/>
    <cellStyle name="Normal 7 7 2 2 5 2" xfId="34949" xr:uid="{B41A36BD-7F1B-4460-BF9D-50ECDFD27FF4}"/>
    <cellStyle name="Normal 7 7 2 2 6" xfId="10730" xr:uid="{5783CCF6-5AA7-4933-8BA8-28FA9AA8A560}"/>
    <cellStyle name="Normal 7 7 2 2 6 2" xfId="31073" xr:uid="{2E842955-76FE-470D-8311-D8C23A0F0E76}"/>
    <cellStyle name="Normal 7 7 2 2 7" xfId="27579" xr:uid="{128B4163-B499-4ECA-81C1-9AA35EA4E29F}"/>
    <cellStyle name="Normal 7 7 2 3" xfId="16359" xr:uid="{30BAB79D-DA74-4B3C-94B9-8FA33042146B}"/>
    <cellStyle name="Normal 7 7 2 3 2" xfId="36699" xr:uid="{0617E270-521B-4547-839A-0B514030F4BC}"/>
    <cellStyle name="Normal 7 7 2 4" xfId="19861" xr:uid="{11ABBF7B-D06A-4D91-92A6-6C785118EE87}"/>
    <cellStyle name="Normal 7 7 2 4 2" xfId="40200" xr:uid="{F1F476FB-27D5-4371-9520-85E97F0A5AAC}"/>
    <cellStyle name="Normal 7 7 2 5" xfId="23116" xr:uid="{24A14D46-339C-4C87-885D-B42662B2C48D}"/>
    <cellStyle name="Normal 7 7 2 5 2" xfId="43451" xr:uid="{308C3225-AF35-4147-9521-64CDC899CD47}"/>
    <cellStyle name="Normal 7 7 2 6" xfId="13450" xr:uid="{6D8C3ED2-3BE9-45CB-A57C-9700BB98246C}"/>
    <cellStyle name="Normal 7 7 2 6 2" xfId="33791" xr:uid="{3E6A03F6-003A-4CDB-BC38-F74F049973DD}"/>
    <cellStyle name="Normal 7 7 2 7" xfId="9572" xr:uid="{C4B41CB5-8E32-416B-97BB-8C66E294B779}"/>
    <cellStyle name="Normal 7 7 2 7 2" xfId="29915" xr:uid="{9EA41EC6-B791-4243-8EDA-6C112B41C6B5}"/>
    <cellStyle name="Normal 7 7 2 8" xfId="26421" xr:uid="{7B47B847-5879-4FA4-89D6-8E7AB862C7AC}"/>
    <cellStyle name="Normal 7 7 3" xfId="6650" xr:uid="{AD52CB89-5CD4-45FD-96F3-211F466EA1E6}"/>
    <cellStyle name="Normal 7 7 3 2" xfId="16936" xr:uid="{3451A193-7072-4792-A6B9-A48DDD00A471}"/>
    <cellStyle name="Normal 7 7 3 2 2" xfId="37276" xr:uid="{928C37EC-8B8C-4E37-8F8B-1D926A8DA259}"/>
    <cellStyle name="Normal 7 7 3 3" xfId="20438" xr:uid="{8499CD43-0047-4D14-BA6C-958A778DE1CC}"/>
    <cellStyle name="Normal 7 7 3 3 2" xfId="40777" xr:uid="{F4DB694D-0AE2-414E-941F-A9265E87BAB1}"/>
    <cellStyle name="Normal 7 7 3 4" xfId="23693" xr:uid="{33146323-276A-4044-AEF5-D8660A518E7F}"/>
    <cellStyle name="Normal 7 7 3 4 2" xfId="44028" xr:uid="{DF210F21-28A7-40FF-807B-CB4ED1DE6E63}"/>
    <cellStyle name="Normal 7 7 3 5" xfId="14027" xr:uid="{D42E3232-6199-43BE-8727-E87F8FA9B549}"/>
    <cellStyle name="Normal 7 7 3 5 2" xfId="34368" xr:uid="{F1A9D66C-97CD-4318-94C8-E478570E9A4F}"/>
    <cellStyle name="Normal 7 7 3 6" xfId="10149" xr:uid="{F5D6614D-0E1E-4505-91AB-A2BE0B84B654}"/>
    <cellStyle name="Normal 7 7 3 6 2" xfId="30492" xr:uid="{7EFF142E-854C-4E6C-B9F7-6F982C556BD4}"/>
    <cellStyle name="Normal 7 7 3 7" xfId="26998" xr:uid="{AF4C85F8-6F73-409D-A8AE-2A1BB3CCDBB8}"/>
    <cellStyle name="Normal 7 7 4" xfId="7814" xr:uid="{606E310A-DAA0-4480-BEA7-718B47F11CDE}"/>
    <cellStyle name="Normal 7 7 4 2" xfId="18099" xr:uid="{E5C13E52-1094-4AB8-9BCD-8B60D438C7BD}"/>
    <cellStyle name="Normal 7 7 4 2 2" xfId="38439" xr:uid="{6337E2FE-7F89-4536-BB3F-E114AECF0A88}"/>
    <cellStyle name="Normal 7 7 4 3" xfId="21601" xr:uid="{A1DE9388-EB3F-4674-8C56-2EEA3AC764A8}"/>
    <cellStyle name="Normal 7 7 4 3 2" xfId="41940" xr:uid="{B38FDC5A-7089-47E4-A624-3A59B56A6ACA}"/>
    <cellStyle name="Normal 7 7 4 4" xfId="24856" xr:uid="{A4E4675C-D52B-4D80-8998-C0AAEBE9DA1A}"/>
    <cellStyle name="Normal 7 7 4 4 2" xfId="45191" xr:uid="{04BC4A0E-BB7F-4CFB-9769-4B52389C9566}"/>
    <cellStyle name="Normal 7 7 4 5" xfId="15191" xr:uid="{33A71B0C-5E26-4D71-AC7B-1A3987D6AD90}"/>
    <cellStyle name="Normal 7 7 4 5 2" xfId="35531" xr:uid="{3BC976DA-8315-4003-B3D5-F8BBDAA5145B}"/>
    <cellStyle name="Normal 7 7 4 6" xfId="11312" xr:uid="{857F9237-9521-4D17-A6D4-AFAF25C90AC9}"/>
    <cellStyle name="Normal 7 7 4 6 2" xfId="31655" xr:uid="{6682AF31-DE24-49EE-9E84-CF7DDB326E7E}"/>
    <cellStyle name="Normal 7 7 4 7" xfId="28161" xr:uid="{6CFD218B-204C-4DD2-928B-B5558D84D99B}"/>
    <cellStyle name="Normal 7 7 5" xfId="12881" xr:uid="{4FAB7735-7F10-409F-953D-1B4B610458C1}"/>
    <cellStyle name="Normal 7 7 5 2" xfId="33222" xr:uid="{1FE6A8D4-D02E-4C23-8AF5-98DA5239EBC7}"/>
    <cellStyle name="Normal 7 7 6" xfId="15778" xr:uid="{03895D64-32F8-426A-94EF-53D0C30BB498}"/>
    <cellStyle name="Normal 7 7 6 2" xfId="36118" xr:uid="{F3CC50EA-2E4A-4560-9FCD-4652F8D4B62B}"/>
    <cellStyle name="Normal 7 7 7" xfId="18692" xr:uid="{5F2B5FE8-BCF8-41BE-8D53-C6CDD66560F8}"/>
    <cellStyle name="Normal 7 7 7 2" xfId="39032" xr:uid="{F62CA72E-8D4B-417A-9A14-A856246BEF7B}"/>
    <cellStyle name="Normal 7 7 8" xfId="19280" xr:uid="{7D7F621F-AF94-4D64-B60D-A5A7ECD7210B}"/>
    <cellStyle name="Normal 7 7 8 2" xfId="39619" xr:uid="{0DEA3B22-9A12-461C-92B7-4AEA56A53FBD}"/>
    <cellStyle name="Normal 7 7 9" xfId="22535" xr:uid="{21FFAACE-8A3E-417F-B84C-05D975FF42DC}"/>
    <cellStyle name="Normal 7 7 9 2" xfId="42870" xr:uid="{E95EABE8-AE01-4501-BD9B-3FA2D406E0A4}"/>
    <cellStyle name="Normal 7 8" xfId="5542" xr:uid="{675DFC97-BCD1-4CD6-ABE8-9A35B02BDE2E}"/>
    <cellStyle name="Normal 7 8 10" xfId="12293" xr:uid="{7707CFF7-8982-4C16-9D9F-7D7C4BE3F95F}"/>
    <cellStyle name="Normal 7 8 10 2" xfId="32634" xr:uid="{57B0A6F8-6C05-4E63-A15B-4E18626932B7}"/>
    <cellStyle name="Normal 7 8 11" xfId="9032" xr:uid="{D141BC91-08AE-446C-8EB1-0B7C17596525}"/>
    <cellStyle name="Normal 7 8 11 2" xfId="29375" xr:uid="{EACCF381-0873-4299-80AD-8F1E9816D189}"/>
    <cellStyle name="Normal 7 8 12" xfId="25881" xr:uid="{855EC91F-3D5E-4736-B1AD-071A387C8561}"/>
    <cellStyle name="Normal 7 8 2" xfId="6114" xr:uid="{4EDB0937-858A-45F1-AB2D-E77D8DF2D76C}"/>
    <cellStyle name="Normal 7 8 2 2" xfId="7272" xr:uid="{922D8A82-E14C-40B4-8D51-0E2012A64244}"/>
    <cellStyle name="Normal 7 8 2 2 2" xfId="17558" xr:uid="{CA0B2D0B-0BDB-474D-841F-FD12BB8F01CA}"/>
    <cellStyle name="Normal 7 8 2 2 2 2" xfId="37898" xr:uid="{AC791412-914C-4973-9071-65AECB556B8C}"/>
    <cellStyle name="Normal 7 8 2 2 3" xfId="21060" xr:uid="{D495C939-067E-41C7-B6E6-56E148125BFE}"/>
    <cellStyle name="Normal 7 8 2 2 3 2" xfId="41399" xr:uid="{1FDE5E92-22C7-4EBB-9E2B-E805584BF17F}"/>
    <cellStyle name="Normal 7 8 2 2 4" xfId="24315" xr:uid="{2285B991-E958-4731-929D-2CA4330FFAE4}"/>
    <cellStyle name="Normal 7 8 2 2 4 2" xfId="44650" xr:uid="{842F80D7-E7F0-40CF-A414-C569933BDA35}"/>
    <cellStyle name="Normal 7 8 2 2 5" xfId="14649" xr:uid="{71680D76-A1D2-419C-A508-2E2824939E97}"/>
    <cellStyle name="Normal 7 8 2 2 5 2" xfId="34990" xr:uid="{C98BE12F-DD18-4642-8B1C-CE2B954E7C8D}"/>
    <cellStyle name="Normal 7 8 2 2 6" xfId="10771" xr:uid="{AA95E984-3154-4016-9019-29F782FB2A33}"/>
    <cellStyle name="Normal 7 8 2 2 6 2" xfId="31114" xr:uid="{B1C858B4-9158-45B0-B965-56F25186AA82}"/>
    <cellStyle name="Normal 7 8 2 2 7" xfId="27620" xr:uid="{89B73D28-423C-4842-8DB3-F7ACDA7396D7}"/>
    <cellStyle name="Normal 7 8 2 3" xfId="16400" xr:uid="{7AC92854-DBDA-4653-9CC7-7937F4DEFBC9}"/>
    <cellStyle name="Normal 7 8 2 3 2" xfId="36740" xr:uid="{88725D9A-1051-4BCF-8545-0053D8642751}"/>
    <cellStyle name="Normal 7 8 2 4" xfId="19902" xr:uid="{3307C8D8-05AD-4FCE-ABE8-DB5A7EC3AF07}"/>
    <cellStyle name="Normal 7 8 2 4 2" xfId="40241" xr:uid="{D66A671C-2877-4FD5-B77B-ED23DE10C88E}"/>
    <cellStyle name="Normal 7 8 2 5" xfId="23157" xr:uid="{3A254D16-D1B0-4FA4-B00C-3B6E5332EC82}"/>
    <cellStyle name="Normal 7 8 2 5 2" xfId="43492" xr:uid="{AA76E84D-D068-4CB8-833D-01FA0BA7ECC2}"/>
    <cellStyle name="Normal 7 8 2 6" xfId="13491" xr:uid="{370CAC97-6501-4593-823F-A4EEBEB97394}"/>
    <cellStyle name="Normal 7 8 2 6 2" xfId="33832" xr:uid="{B2265F9D-A73B-4073-BB5D-455259738D10}"/>
    <cellStyle name="Normal 7 8 2 7" xfId="9613" xr:uid="{FF34EDC8-2FC5-4F4C-9546-35DF95F523F1}"/>
    <cellStyle name="Normal 7 8 2 7 2" xfId="29956" xr:uid="{F3EB5D4E-9A20-4887-95BA-2520E7E378CD}"/>
    <cellStyle name="Normal 7 8 2 8" xfId="26462" xr:uid="{731AF839-CFD7-4AD2-BC73-332B867117D9}"/>
    <cellStyle name="Normal 7 8 3" xfId="6691" xr:uid="{B5DEEB3C-A2B4-4475-91D6-BBDF9104C005}"/>
    <cellStyle name="Normal 7 8 3 2" xfId="16977" xr:uid="{4B96BE2C-CB81-41BC-9652-A555B3FDB624}"/>
    <cellStyle name="Normal 7 8 3 2 2" xfId="37317" xr:uid="{F2EECF39-68BC-4630-AEC1-939DC91D56A5}"/>
    <cellStyle name="Normal 7 8 3 3" xfId="20479" xr:uid="{5CF4D01E-83AD-4C99-AEAF-ADCACE3F3346}"/>
    <cellStyle name="Normal 7 8 3 3 2" xfId="40818" xr:uid="{1DB43961-1665-45B1-AC75-380B5115206D}"/>
    <cellStyle name="Normal 7 8 3 4" xfId="23734" xr:uid="{0185B824-2A3B-4776-BC5D-0002FF37B7AF}"/>
    <cellStyle name="Normal 7 8 3 4 2" xfId="44069" xr:uid="{34342864-6606-4DCB-BCB3-C7A289D12243}"/>
    <cellStyle name="Normal 7 8 3 5" xfId="14068" xr:uid="{FE2E64E1-A3C2-435E-B0CF-D0374B0A4F29}"/>
    <cellStyle name="Normal 7 8 3 5 2" xfId="34409" xr:uid="{335D8BB6-A53C-46C4-97EC-C981E09E4558}"/>
    <cellStyle name="Normal 7 8 3 6" xfId="10190" xr:uid="{2BDAD742-27BC-4A99-972F-9A01F0ED0BA2}"/>
    <cellStyle name="Normal 7 8 3 6 2" xfId="30533" xr:uid="{C88665ED-A5A8-49F0-9138-91CF821221CD}"/>
    <cellStyle name="Normal 7 8 3 7" xfId="27039" xr:uid="{258DCF62-396A-4AB6-BE9A-20F5C52A5159}"/>
    <cellStyle name="Normal 7 8 4" xfId="7855" xr:uid="{6457CC86-0BC3-4462-B5BC-587EC66B4401}"/>
    <cellStyle name="Normal 7 8 4 2" xfId="18140" xr:uid="{999099A1-9995-4BD7-B356-F048AEDAD20A}"/>
    <cellStyle name="Normal 7 8 4 2 2" xfId="38480" xr:uid="{2F48CC49-E07E-4D4F-87C0-CFB4540E4D78}"/>
    <cellStyle name="Normal 7 8 4 3" xfId="21642" xr:uid="{2DCDEDE4-A472-4860-A2ED-60A58B609F60}"/>
    <cellStyle name="Normal 7 8 4 3 2" xfId="41981" xr:uid="{3F37C446-D4CB-4E3E-9E19-478986B0E9AF}"/>
    <cellStyle name="Normal 7 8 4 4" xfId="24897" xr:uid="{5973433B-974F-4F68-B770-592516474797}"/>
    <cellStyle name="Normal 7 8 4 4 2" xfId="45232" xr:uid="{A5BC28D9-4B1B-4691-836F-CD0AFF6B1A90}"/>
    <cellStyle name="Normal 7 8 4 5" xfId="15232" xr:uid="{DE09E436-946F-4F1A-A51B-72BB5A50247F}"/>
    <cellStyle name="Normal 7 8 4 5 2" xfId="35572" xr:uid="{71BE155A-E8AA-4983-927E-81F2B5379804}"/>
    <cellStyle name="Normal 7 8 4 6" xfId="11353" xr:uid="{039CA994-D927-44F3-A422-A99589465FAB}"/>
    <cellStyle name="Normal 7 8 4 6 2" xfId="31696" xr:uid="{B3CE00A7-6271-427F-BEBD-51EF17052FE7}"/>
    <cellStyle name="Normal 7 8 4 7" xfId="28202" xr:uid="{C64198EE-5FB1-4D3D-83D5-89BFB4605C50}"/>
    <cellStyle name="Normal 7 8 5" xfId="12922" xr:uid="{0EC95CC9-C3A9-4574-8A65-8E07B025FA7E}"/>
    <cellStyle name="Normal 7 8 5 2" xfId="33263" xr:uid="{D519A68F-C6A0-4D87-B468-22180905015B}"/>
    <cellStyle name="Normal 7 8 6" xfId="15819" xr:uid="{BFB7E3F2-8FCB-4EE1-BB89-A4CB24E84EFF}"/>
    <cellStyle name="Normal 7 8 6 2" xfId="36159" xr:uid="{C4E62D10-6D37-46A3-B94F-C86F9694276C}"/>
    <cellStyle name="Normal 7 8 7" xfId="18733" xr:uid="{EE7015D9-842D-4572-8FFA-BDF7B9CDE87B}"/>
    <cellStyle name="Normal 7 8 7 2" xfId="39073" xr:uid="{983FFFF0-71B7-4BF2-AD24-3DEEACF49378}"/>
    <cellStyle name="Normal 7 8 8" xfId="19321" xr:uid="{79B7A6BB-7A14-4051-B34D-8A71449A929F}"/>
    <cellStyle name="Normal 7 8 8 2" xfId="39660" xr:uid="{F478D7DE-4A99-4345-9C84-25C972FD1E8B}"/>
    <cellStyle name="Normal 7 8 9" xfId="22576" xr:uid="{20E38930-FC68-4071-91D4-2BB13CAD79D7}"/>
    <cellStyle name="Normal 7 8 9 2" xfId="42911" xr:uid="{E3198830-E5A5-46EE-B7EF-A9EA4514EA4A}"/>
    <cellStyle name="Normal 7 9" xfId="5674" xr:uid="{BEFAE489-9E87-4E77-BDFE-763881F509CA}"/>
    <cellStyle name="Normal 7 9 10" xfId="12425" xr:uid="{65975646-9173-48EF-9334-76F4FBC3028D}"/>
    <cellStyle name="Normal 7 9 10 2" xfId="32766" xr:uid="{69F6F83C-C789-44CE-B063-CF3457D9B499}"/>
    <cellStyle name="Normal 7 9 11" xfId="9164" xr:uid="{7EC320B6-4EB9-4127-826C-2F583F926F5A}"/>
    <cellStyle name="Normal 7 9 11 2" xfId="29507" xr:uid="{00B9997C-263B-4F70-832B-31A5629A2182}"/>
    <cellStyle name="Normal 7 9 12" xfId="26013" xr:uid="{A9529BFC-681B-4DA3-9154-CC5BCE6602E6}"/>
    <cellStyle name="Normal 7 9 2" xfId="6246" xr:uid="{5682D801-1161-4B00-A4CB-7C714433A38A}"/>
    <cellStyle name="Normal 7 9 2 2" xfId="7404" xr:uid="{746AE2A0-6F2F-4B70-AFA6-2DD6CCA37C33}"/>
    <cellStyle name="Normal 7 9 2 2 2" xfId="17690" xr:uid="{057E6DBD-10D3-4A80-BE68-442A66814A11}"/>
    <cellStyle name="Normal 7 9 2 2 2 2" xfId="38030" xr:uid="{E8BF1FC7-FE42-4EA5-AE65-75AA154C183E}"/>
    <cellStyle name="Normal 7 9 2 2 3" xfId="21192" xr:uid="{2CD96CC7-0CF8-4B96-B83C-195108995444}"/>
    <cellStyle name="Normal 7 9 2 2 3 2" xfId="41531" xr:uid="{FD7DCC49-7E63-49E1-9D2E-32D35693B3B6}"/>
    <cellStyle name="Normal 7 9 2 2 4" xfId="24447" xr:uid="{5614A7F6-EC84-4099-97E4-464AF0D20F01}"/>
    <cellStyle name="Normal 7 9 2 2 4 2" xfId="44782" xr:uid="{AD86D2F6-E022-4E49-8F5F-F22C99075863}"/>
    <cellStyle name="Normal 7 9 2 2 5" xfId="14781" xr:uid="{EAFD7223-212E-4604-B520-B9DF755501A0}"/>
    <cellStyle name="Normal 7 9 2 2 5 2" xfId="35122" xr:uid="{E6A01DA1-3CD2-47BF-BBE8-3128C4BFE08C}"/>
    <cellStyle name="Normal 7 9 2 2 6" xfId="10903" xr:uid="{2707E801-2785-4B41-AFA3-3D29DD314274}"/>
    <cellStyle name="Normal 7 9 2 2 6 2" xfId="31246" xr:uid="{0B085E36-E083-4836-8639-BF97AC451608}"/>
    <cellStyle name="Normal 7 9 2 2 7" xfId="27752" xr:uid="{2A8072ED-01B3-4B79-ACB5-08F232CD5F38}"/>
    <cellStyle name="Normal 7 9 2 3" xfId="16532" xr:uid="{03D12F8D-6CBB-43F8-B545-ABA1378A49CA}"/>
    <cellStyle name="Normal 7 9 2 3 2" xfId="36872" xr:uid="{5CE9DBFC-136A-4F9B-A109-D158263E74D0}"/>
    <cellStyle name="Normal 7 9 2 4" xfId="20034" xr:uid="{3C327B0C-1B84-4EDB-83DD-9E64081ABE8E}"/>
    <cellStyle name="Normal 7 9 2 4 2" xfId="40373" xr:uid="{32A03F29-439C-474C-BA37-2E3422DFB6C0}"/>
    <cellStyle name="Normal 7 9 2 5" xfId="23289" xr:uid="{5F180492-8F8F-498D-A1A5-73F946A9966F}"/>
    <cellStyle name="Normal 7 9 2 5 2" xfId="43624" xr:uid="{CDA9D376-BE91-4C9F-9F8A-1A16D9B0E699}"/>
    <cellStyle name="Normal 7 9 2 6" xfId="13623" xr:uid="{2548A628-1539-413C-A237-A21FC6EA1B40}"/>
    <cellStyle name="Normal 7 9 2 6 2" xfId="33964" xr:uid="{172A5097-2F56-4CA1-B19B-98B077E98B1B}"/>
    <cellStyle name="Normal 7 9 2 7" xfId="9745" xr:uid="{D1B6264F-24B5-432C-95BF-5E48CBAF5CDA}"/>
    <cellStyle name="Normal 7 9 2 7 2" xfId="30088" xr:uid="{1876B82C-62F6-4346-8B74-453FABE0B750}"/>
    <cellStyle name="Normal 7 9 2 8" xfId="26594" xr:uid="{52CB9E7B-E77E-4F14-9BA8-A3E308A1E049}"/>
    <cellStyle name="Normal 7 9 3" xfId="6823" xr:uid="{18349AC6-988C-4CA8-80D4-8941B083DB2F}"/>
    <cellStyle name="Normal 7 9 3 2" xfId="17109" xr:uid="{CDB7F0B9-4BC1-4004-99F8-88C323C64BAA}"/>
    <cellStyle name="Normal 7 9 3 2 2" xfId="37449" xr:uid="{BBEE1213-423A-494E-8BF9-8DF14D6F050F}"/>
    <cellStyle name="Normal 7 9 3 3" xfId="20611" xr:uid="{801AA5E5-7100-44C3-8822-3EBB3002CB32}"/>
    <cellStyle name="Normal 7 9 3 3 2" xfId="40950" xr:uid="{038BF9F2-1C03-4311-9FA5-75958BFFBDBC}"/>
    <cellStyle name="Normal 7 9 3 4" xfId="23866" xr:uid="{7294B2BC-CC27-4ADA-A2C4-63C27DF021A2}"/>
    <cellStyle name="Normal 7 9 3 4 2" xfId="44201" xr:uid="{3B48D91D-FA3E-43A2-A2BE-FE5D863F40C9}"/>
    <cellStyle name="Normal 7 9 3 5" xfId="14200" xr:uid="{55CB2BBE-87AF-4416-8E33-451E5D1E1AEA}"/>
    <cellStyle name="Normal 7 9 3 5 2" xfId="34541" xr:uid="{F71C716B-59B7-4549-B2AE-0E1FD5A22BDF}"/>
    <cellStyle name="Normal 7 9 3 6" xfId="10322" xr:uid="{AD7470C0-D434-4604-8E29-5E8DA71D4B7A}"/>
    <cellStyle name="Normal 7 9 3 6 2" xfId="30665" xr:uid="{6DF3492C-CA9C-4615-8D26-2FCD490A9EE0}"/>
    <cellStyle name="Normal 7 9 3 7" xfId="27171" xr:uid="{8EDEDF09-DB42-4BA9-8044-3983823FF0ED}"/>
    <cellStyle name="Normal 7 9 4" xfId="7987" xr:uid="{BA6C378C-D8FA-4F9C-8E44-A8E0D601C351}"/>
    <cellStyle name="Normal 7 9 4 2" xfId="18272" xr:uid="{7EF48533-3DD9-4A56-9CFB-322B357CFDE2}"/>
    <cellStyle name="Normal 7 9 4 2 2" xfId="38612" xr:uid="{4C52C3D8-2C69-4132-B8BF-C6CCE51A87B4}"/>
    <cellStyle name="Normal 7 9 4 3" xfId="21774" xr:uid="{30A985C6-DF87-483A-B585-9796DBC0680C}"/>
    <cellStyle name="Normal 7 9 4 3 2" xfId="42113" xr:uid="{F6A32C4E-BCE0-445F-B2F9-14CCE6336BDB}"/>
    <cellStyle name="Normal 7 9 4 4" xfId="25029" xr:uid="{D0567D3E-D278-4061-9288-2E92D3871F92}"/>
    <cellStyle name="Normal 7 9 4 4 2" xfId="45364" xr:uid="{C852FBB7-0AA2-49DA-9CAB-021106BE8B20}"/>
    <cellStyle name="Normal 7 9 4 5" xfId="15364" xr:uid="{99888F8F-F993-42DB-83A5-CB7160D370D0}"/>
    <cellStyle name="Normal 7 9 4 5 2" xfId="35704" xr:uid="{191BB394-44A3-4E2F-A657-335C40E636AC}"/>
    <cellStyle name="Normal 7 9 4 6" xfId="11485" xr:uid="{6E636F2E-0D32-4578-BABE-2C34738277C2}"/>
    <cellStyle name="Normal 7 9 4 6 2" xfId="31828" xr:uid="{A0B4A594-5C01-4316-8A26-AAC3D20E0735}"/>
    <cellStyle name="Normal 7 9 4 7" xfId="28334" xr:uid="{6AD7360B-1610-4405-8CE1-E35DB86F24EC}"/>
    <cellStyle name="Normal 7 9 5" xfId="13054" xr:uid="{0FC7C12B-0FD6-4AE7-836D-264DA954E108}"/>
    <cellStyle name="Normal 7 9 5 2" xfId="33395" xr:uid="{2636412C-922F-4795-8E3A-6E6630DD3F0E}"/>
    <cellStyle name="Normal 7 9 6" xfId="15951" xr:uid="{A4E62136-DD74-474F-A972-F61BE9080D99}"/>
    <cellStyle name="Normal 7 9 6 2" xfId="36291" xr:uid="{9FE434C4-A061-4CBE-9303-58C646286191}"/>
    <cellStyle name="Normal 7 9 7" xfId="18865" xr:uid="{2E92C6C5-956A-4E91-BB75-6497EA270FBA}"/>
    <cellStyle name="Normal 7 9 7 2" xfId="39205" xr:uid="{C2FED3A3-6E57-48B5-BD04-3E2AC09A0249}"/>
    <cellStyle name="Normal 7 9 8" xfId="19453" xr:uid="{D39F8660-7663-4F0C-B9C2-783FEE260C49}"/>
    <cellStyle name="Normal 7 9 8 2" xfId="39792" xr:uid="{FB1952BB-0FA0-417D-9BDB-27248375246B}"/>
    <cellStyle name="Normal 7 9 9" xfId="22708" xr:uid="{A9218AA1-2CD7-4701-857B-8808E75DF8FA}"/>
    <cellStyle name="Normal 7 9 9 2" xfId="43043" xr:uid="{B4A79F71-9DD2-4272-A54C-1EB545932D5F}"/>
    <cellStyle name="Normal 8" xfId="4783" xr:uid="{3C4AE81A-F99A-4A2F-8501-EFDCE215AA12}"/>
    <cellStyle name="Normal 8 10" xfId="15476" xr:uid="{F1186B25-11A1-4007-9DA5-44A0BE8A85E7}"/>
    <cellStyle name="Normal 8 10 2" xfId="35816" xr:uid="{DE99F328-9A8C-4D07-A893-021020A19D90}"/>
    <cellStyle name="Normal 8 11" xfId="18390" xr:uid="{261EEB7F-2339-410B-8292-62D6C8D014E9}"/>
    <cellStyle name="Normal 8 11 2" xfId="38730" xr:uid="{498F50CB-A1A2-4DC2-B316-F8622FB6AD5E}"/>
    <cellStyle name="Normal 8 12" xfId="18978" xr:uid="{BDE73E2D-1803-4ED8-ADBD-5466F80FE89D}"/>
    <cellStyle name="Normal 8 12 2" xfId="39317" xr:uid="{E11D51F2-2D96-4D18-AF6E-798AE39FC30B}"/>
    <cellStyle name="Normal 8 13" xfId="22233" xr:uid="{1FC993C8-6E9D-46C2-BE61-05BD8632AD1E}"/>
    <cellStyle name="Normal 8 13 2" xfId="42568" xr:uid="{C843D629-5EE1-4C65-873D-BE5C32EDD9FA}"/>
    <cellStyle name="Normal 8 14" xfId="11950" xr:uid="{B0E8C8E2-28A0-472B-A2AF-114144BC5E47}"/>
    <cellStyle name="Normal 8 14 2" xfId="32291" xr:uid="{BD84B490-5445-411A-B797-D352A9079B28}"/>
    <cellStyle name="Normal 8 15" xfId="8689" xr:uid="{0B876C69-51F7-4751-A18B-F3CA0B798AAE}"/>
    <cellStyle name="Normal 8 15 2" xfId="29032" xr:uid="{01BE9E0B-2150-43CF-9873-BF3FD00E5F9E}"/>
    <cellStyle name="Normal 8 16" xfId="25534" xr:uid="{B142317E-B83C-4174-B3DB-DBF79B450BED}"/>
    <cellStyle name="Normal 8 17" xfId="5214" xr:uid="{EEFE1B24-0F39-46B2-B747-690E5B32AA31}"/>
    <cellStyle name="Normal 8 2" xfId="5272" xr:uid="{5E61C038-18ED-4BAC-B963-EB17DF6015C2}"/>
    <cellStyle name="Normal 8 3" xfId="5335" xr:uid="{9156BDA8-73B8-4526-8E65-021D384B37BE}"/>
    <cellStyle name="Normal 8 3 10" xfId="12065" xr:uid="{BC5E4466-0A7F-4266-8F8A-A27D2A414B8A}"/>
    <cellStyle name="Normal 8 3 10 2" xfId="32406" xr:uid="{1BE7D6AD-1895-49C3-8352-E8E64EF4DA56}"/>
    <cellStyle name="Normal 8 3 11" xfId="8804" xr:uid="{0F7E9AAA-A5AB-4F04-9D1C-0E1F9281156B}"/>
    <cellStyle name="Normal 8 3 11 2" xfId="29147" xr:uid="{AD16FE8E-007D-4339-8E24-CBAACFC6AD75}"/>
    <cellStyle name="Normal 8 3 12" xfId="25653" xr:uid="{83386A56-3991-4D9E-92D9-45F98A2972FA}"/>
    <cellStyle name="Normal 8 3 2" xfId="5886" xr:uid="{53470BFD-24C4-44CD-A6C0-AA3561B18A05}"/>
    <cellStyle name="Normal 8 3 2 2" xfId="7044" xr:uid="{E2A04D4E-0F1F-4168-B27B-D9CAC06EA9A2}"/>
    <cellStyle name="Normal 8 3 2 2 2" xfId="17330" xr:uid="{EDD076A0-D117-4A49-B22B-E00D4B5AA7E4}"/>
    <cellStyle name="Normal 8 3 2 2 2 2" xfId="37670" xr:uid="{740E74A6-27AE-4D25-9F21-6D4CBC1DB533}"/>
    <cellStyle name="Normal 8 3 2 2 3" xfId="20832" xr:uid="{A28CF084-91BD-446A-83F4-51CBE74B06EB}"/>
    <cellStyle name="Normal 8 3 2 2 3 2" xfId="41171" xr:uid="{AC38FC58-EB3E-4F1B-A923-3D9F16F85758}"/>
    <cellStyle name="Normal 8 3 2 2 4" xfId="24087" xr:uid="{B8C27CBD-857F-4470-A30B-C49615E0E420}"/>
    <cellStyle name="Normal 8 3 2 2 4 2" xfId="44422" xr:uid="{8EDFDD61-47B4-426F-8641-FD136EFE3995}"/>
    <cellStyle name="Normal 8 3 2 2 5" xfId="14421" xr:uid="{A819B437-D274-4F08-8C62-3A1B1773ADCF}"/>
    <cellStyle name="Normal 8 3 2 2 5 2" xfId="34762" xr:uid="{C11B29C8-6EE0-4F64-8C95-FE754581CE9A}"/>
    <cellStyle name="Normal 8 3 2 2 6" xfId="10543" xr:uid="{551E2F9D-CFFA-4539-9D49-1F1A5EF4A7F3}"/>
    <cellStyle name="Normal 8 3 2 2 6 2" xfId="30886" xr:uid="{B8664A64-98D2-43D7-B320-4EEC8C224119}"/>
    <cellStyle name="Normal 8 3 2 2 7" xfId="27392" xr:uid="{F9BD8DB7-BC7A-4867-872A-E8CD2D11ED34}"/>
    <cellStyle name="Normal 8 3 2 3" xfId="16172" xr:uid="{41EFB78B-8588-48D8-92C2-0137F5E53D53}"/>
    <cellStyle name="Normal 8 3 2 3 2" xfId="36512" xr:uid="{E5C7700A-DDDA-47CD-8DD3-C95AF9C891C9}"/>
    <cellStyle name="Normal 8 3 2 4" xfId="19674" xr:uid="{4623AED3-A6AF-45F7-96FD-CBE961DF61FE}"/>
    <cellStyle name="Normal 8 3 2 4 2" xfId="40013" xr:uid="{E61AC0CF-D72E-4020-BE52-D55AC752392B}"/>
    <cellStyle name="Normal 8 3 2 5" xfId="22929" xr:uid="{3E674641-01FB-4D10-B7C7-AA1CD06C6F53}"/>
    <cellStyle name="Normal 8 3 2 5 2" xfId="43264" xr:uid="{1B37D291-FED6-4736-AE90-35462485FA69}"/>
    <cellStyle name="Normal 8 3 2 6" xfId="13265" xr:uid="{0D41125E-1C73-40A7-A641-BCACC2C4F050}"/>
    <cellStyle name="Normal 8 3 2 6 2" xfId="33606" xr:uid="{B8C54EDC-5BFD-4B17-A5A2-A6AB6908B56A}"/>
    <cellStyle name="Normal 8 3 2 7" xfId="9385" xr:uid="{7FD33D02-0641-4D56-8304-06C6B42B645E}"/>
    <cellStyle name="Normal 8 3 2 7 2" xfId="29728" xr:uid="{EEE431E3-3D00-44FD-963F-9561F58A9145}"/>
    <cellStyle name="Normal 8 3 2 8" xfId="26234" xr:uid="{3D9C6EF3-C01D-427D-9079-6E6C1E6C8CB0}"/>
    <cellStyle name="Normal 8 3 3" xfId="6463" xr:uid="{8C898C58-E8E7-4935-B9FF-591981573EEE}"/>
    <cellStyle name="Normal 8 3 3 2" xfId="16749" xr:uid="{499609D0-80F9-4FF1-8FF7-81C900AB17A1}"/>
    <cellStyle name="Normal 8 3 3 2 2" xfId="37089" xr:uid="{C851C916-B3BA-4FC8-8358-4E44C8E2215D}"/>
    <cellStyle name="Normal 8 3 3 3" xfId="20251" xr:uid="{2BEE34E5-55F9-47EA-B8AE-22CCF2D955D8}"/>
    <cellStyle name="Normal 8 3 3 3 2" xfId="40590" xr:uid="{393A5974-AE19-4BE3-993A-62479B1A8CD7}"/>
    <cellStyle name="Normal 8 3 3 4" xfId="23506" xr:uid="{3A60F397-EE07-4682-82D3-429470BDDAFE}"/>
    <cellStyle name="Normal 8 3 3 4 2" xfId="43841" xr:uid="{4189A36C-A9A4-4D0F-BEC7-D740D80B34C8}"/>
    <cellStyle name="Normal 8 3 3 5" xfId="13840" xr:uid="{D6CEF621-4532-42F6-9936-E7B238ECA40E}"/>
    <cellStyle name="Normal 8 3 3 5 2" xfId="34181" xr:uid="{BB2E86B5-18D6-415A-900F-029B26185914}"/>
    <cellStyle name="Normal 8 3 3 6" xfId="9962" xr:uid="{8AF78D44-4744-4986-9B51-6107D6F15C10}"/>
    <cellStyle name="Normal 8 3 3 6 2" xfId="30305" xr:uid="{C3484456-21DF-4466-887D-A53C71AFEBEC}"/>
    <cellStyle name="Normal 8 3 3 7" xfId="26811" xr:uid="{72102BAE-7430-478E-880B-9EDC64F264B0}"/>
    <cellStyle name="Normal 8 3 4" xfId="7627" xr:uid="{A6866716-E72B-4EFA-8E25-1F4CDE153F15}"/>
    <cellStyle name="Normal 8 3 4 2" xfId="17912" xr:uid="{F193449A-EF06-428D-B98C-7CEF005DD9AB}"/>
    <cellStyle name="Normal 8 3 4 2 2" xfId="38252" xr:uid="{5AF296FF-9A86-466C-93D6-9CB3C0552C9A}"/>
    <cellStyle name="Normal 8 3 4 3" xfId="21414" xr:uid="{6F110E9C-8FE5-45D5-B0E9-0BC5040DC08F}"/>
    <cellStyle name="Normal 8 3 4 3 2" xfId="41753" xr:uid="{14901262-FF14-4804-AB08-6D05624616FD}"/>
    <cellStyle name="Normal 8 3 4 4" xfId="24669" xr:uid="{28645AF3-BA12-4C64-AF2A-AC5320E270DD}"/>
    <cellStyle name="Normal 8 3 4 4 2" xfId="45004" xr:uid="{CC017AFA-9FD9-4DEC-9795-0BB9FBC63A9E}"/>
    <cellStyle name="Normal 8 3 4 5" xfId="15004" xr:uid="{0DE0E748-2DC0-4E5E-ABCB-A5C59BFCBE4B}"/>
    <cellStyle name="Normal 8 3 4 5 2" xfId="35344" xr:uid="{E5AB71E6-82ED-4D60-A2ED-D86A71A50277}"/>
    <cellStyle name="Normal 8 3 4 6" xfId="11125" xr:uid="{615A3063-113D-4083-87A2-2A292CDE0C2D}"/>
    <cellStyle name="Normal 8 3 4 6 2" xfId="31468" xr:uid="{7F2B1C82-4413-493C-BF5F-BA76A7A86A49}"/>
    <cellStyle name="Normal 8 3 4 7" xfId="27974" xr:uid="{DBB581BC-51FF-43DF-A952-2F04E6316FFF}"/>
    <cellStyle name="Normal 8 3 5" xfId="12696" xr:uid="{FAAF930A-1648-4375-8E73-C4B5A306C44E}"/>
    <cellStyle name="Normal 8 3 5 2" xfId="33037" xr:uid="{FF81423F-D36C-47E2-B1EA-828E0C9EA55C}"/>
    <cellStyle name="Normal 8 3 6" xfId="15591" xr:uid="{EFA11C2B-9EAE-4982-92B5-CBBF1AE1C66A}"/>
    <cellStyle name="Normal 8 3 6 2" xfId="35931" xr:uid="{FC72ED19-FD40-4B60-B3C5-7B0CE32FE1B8}"/>
    <cellStyle name="Normal 8 3 7" xfId="18505" xr:uid="{E77483C8-2B33-40C9-A362-D4AFC7C32190}"/>
    <cellStyle name="Normal 8 3 7 2" xfId="38845" xr:uid="{2099838D-F66A-431D-8D97-9D2602559F42}"/>
    <cellStyle name="Normal 8 3 8" xfId="19093" xr:uid="{1203B51D-2DB7-408F-B89A-AE8D7FECAFB4}"/>
    <cellStyle name="Normal 8 3 8 2" xfId="39432" xr:uid="{667CAD78-110A-43A7-BEB1-9A82B26C694A}"/>
    <cellStyle name="Normal 8 3 9" xfId="22348" xr:uid="{41166961-7673-4CB6-9E56-64E00F0AE571}"/>
    <cellStyle name="Normal 8 3 9 2" xfId="42683" xr:uid="{4803C432-5BB2-4D0D-8B0F-4298F193EBC1}"/>
    <cellStyle name="Normal 8 4" xfId="5543" xr:uid="{D844F1DE-4835-4DA8-8D68-B8A0D130CF13}"/>
    <cellStyle name="Normal 8 4 10" xfId="12294" xr:uid="{0BD6AFA7-149A-474F-A54A-84168857818B}"/>
    <cellStyle name="Normal 8 4 10 2" xfId="32635" xr:uid="{6CA45AEF-75C6-4B59-9252-799B2DCF34E9}"/>
    <cellStyle name="Normal 8 4 11" xfId="9033" xr:uid="{0337EB77-9895-4122-8A20-FA711F4223E9}"/>
    <cellStyle name="Normal 8 4 11 2" xfId="29376" xr:uid="{ED77AC7F-37E5-48C0-AA61-FBF246D5C038}"/>
    <cellStyle name="Normal 8 4 12" xfId="25882" xr:uid="{D769A4A1-B74B-4F46-8B20-A0578A266959}"/>
    <cellStyle name="Normal 8 4 2" xfId="6115" xr:uid="{99C1ADE6-EBAC-4F8D-80C1-4927216E7804}"/>
    <cellStyle name="Normal 8 4 2 2" xfId="7273" xr:uid="{68A4C73B-E84E-4AA5-AD29-BEFF7BC85219}"/>
    <cellStyle name="Normal 8 4 2 2 2" xfId="17559" xr:uid="{8593A0EA-5912-426A-8CC9-066285089729}"/>
    <cellStyle name="Normal 8 4 2 2 2 2" xfId="37899" xr:uid="{A05E2C61-3E5C-4125-9030-3A0424463601}"/>
    <cellStyle name="Normal 8 4 2 2 3" xfId="21061" xr:uid="{050B7E05-685B-47ED-9C54-D95C61039CB3}"/>
    <cellStyle name="Normal 8 4 2 2 3 2" xfId="41400" xr:uid="{2301A325-89E7-4A98-8A0A-79EEA03399B2}"/>
    <cellStyle name="Normal 8 4 2 2 4" xfId="24316" xr:uid="{D0F240E9-CD6D-47ED-9A2C-03A041DAD9F1}"/>
    <cellStyle name="Normal 8 4 2 2 4 2" xfId="44651" xr:uid="{F3832576-F5D6-417D-8193-F61A825E811C}"/>
    <cellStyle name="Normal 8 4 2 2 5" xfId="14650" xr:uid="{312E2429-AE68-477E-A109-C2433D45BE7B}"/>
    <cellStyle name="Normal 8 4 2 2 5 2" xfId="34991" xr:uid="{9898E207-40E4-4A16-B7EE-BA66BFB84F16}"/>
    <cellStyle name="Normal 8 4 2 2 6" xfId="10772" xr:uid="{C10693AB-0BB7-4197-B920-77E2C763994E}"/>
    <cellStyle name="Normal 8 4 2 2 6 2" xfId="31115" xr:uid="{FE0F82C5-1138-4DD1-9406-B24FC99A6958}"/>
    <cellStyle name="Normal 8 4 2 2 7" xfId="27621" xr:uid="{83EE3CCA-9185-4DAE-A899-2601217C93A1}"/>
    <cellStyle name="Normal 8 4 2 3" xfId="16401" xr:uid="{F1DF3CDE-A3B3-4CB2-B6D7-5055EF2F8308}"/>
    <cellStyle name="Normal 8 4 2 3 2" xfId="36741" xr:uid="{E7885BCD-59DB-4162-8E0A-589129C1103F}"/>
    <cellStyle name="Normal 8 4 2 4" xfId="19903" xr:uid="{DA02B8AA-F9E6-4A0A-849B-DC089B3C3BAD}"/>
    <cellStyle name="Normal 8 4 2 4 2" xfId="40242" xr:uid="{A3B94307-C0D2-4AE3-B2F8-9DF1307643BA}"/>
    <cellStyle name="Normal 8 4 2 5" xfId="23158" xr:uid="{06FC9ECB-0DE1-4588-9DDA-DBB8609906BF}"/>
    <cellStyle name="Normal 8 4 2 5 2" xfId="43493" xr:uid="{D3A88CEE-50D6-4126-8CD3-083704861B7F}"/>
    <cellStyle name="Normal 8 4 2 6" xfId="13492" xr:uid="{479D53C3-953C-463E-9561-91849D38335F}"/>
    <cellStyle name="Normal 8 4 2 6 2" xfId="33833" xr:uid="{8789273D-76A1-43AF-B6EA-AF033599EC4B}"/>
    <cellStyle name="Normal 8 4 2 7" xfId="9614" xr:uid="{E909CF69-CE7F-45D5-927D-7B474271BBBD}"/>
    <cellStyle name="Normal 8 4 2 7 2" xfId="29957" xr:uid="{733A65E5-B547-453F-BBF9-B5F7884F8569}"/>
    <cellStyle name="Normal 8 4 2 8" xfId="26463" xr:uid="{874E8A65-3EC6-480E-A337-087C5CFA18D2}"/>
    <cellStyle name="Normal 8 4 3" xfId="6692" xr:uid="{1DB15535-55B7-4E4A-A6E5-676F2B3A858D}"/>
    <cellStyle name="Normal 8 4 3 2" xfId="16978" xr:uid="{1BB29FCB-EDF4-4259-8012-0B449973D349}"/>
    <cellStyle name="Normal 8 4 3 2 2" xfId="37318" xr:uid="{3443618A-1C61-49C2-A6F0-19EACDF881EC}"/>
    <cellStyle name="Normal 8 4 3 3" xfId="20480" xr:uid="{28BB8BB1-E89B-4D85-A348-4CF49DD12E1E}"/>
    <cellStyle name="Normal 8 4 3 3 2" xfId="40819" xr:uid="{C14D3CEE-5B46-4235-B1F5-889EF3591552}"/>
    <cellStyle name="Normal 8 4 3 4" xfId="23735" xr:uid="{93AF6F8D-C6BD-4928-886F-E75042926068}"/>
    <cellStyle name="Normal 8 4 3 4 2" xfId="44070" xr:uid="{403CCE3A-2699-467E-B426-B1503EA09699}"/>
    <cellStyle name="Normal 8 4 3 5" xfId="14069" xr:uid="{FF310AE6-CC5A-4D96-A195-ABA806DD7361}"/>
    <cellStyle name="Normal 8 4 3 5 2" xfId="34410" xr:uid="{197812B9-CA73-433C-9474-17D98770EEC6}"/>
    <cellStyle name="Normal 8 4 3 6" xfId="10191" xr:uid="{C66A0D0B-8B11-4C50-B6A3-1DF795FB461F}"/>
    <cellStyle name="Normal 8 4 3 6 2" xfId="30534" xr:uid="{8806FE98-409F-4CC3-8BC3-B4D1D7B35D37}"/>
    <cellStyle name="Normal 8 4 3 7" xfId="27040" xr:uid="{931EC301-17D1-4E8A-8029-05965ECCCEA8}"/>
    <cellStyle name="Normal 8 4 4" xfId="7856" xr:uid="{DB3AF0F8-4764-468F-96A2-7083A0CBFFD5}"/>
    <cellStyle name="Normal 8 4 4 2" xfId="18141" xr:uid="{2D3BAEB5-2893-4963-A714-FCC950C98002}"/>
    <cellStyle name="Normal 8 4 4 2 2" xfId="38481" xr:uid="{AC504C4D-E5AB-4342-BE4E-05E1B0AA5E6E}"/>
    <cellStyle name="Normal 8 4 4 3" xfId="21643" xr:uid="{1BEBD16F-6F77-4E5B-BC4A-60160F0201D9}"/>
    <cellStyle name="Normal 8 4 4 3 2" xfId="41982" xr:uid="{3EBBF821-47A1-4F4E-8012-9604B1B5D00B}"/>
    <cellStyle name="Normal 8 4 4 4" xfId="24898" xr:uid="{4122FCB7-D7D9-45DC-AB02-23543920DD33}"/>
    <cellStyle name="Normal 8 4 4 4 2" xfId="45233" xr:uid="{3B42ABE8-7F12-49FF-A027-E52A5A8612E7}"/>
    <cellStyle name="Normal 8 4 4 5" xfId="15233" xr:uid="{35767A72-075B-4D01-94C1-DA4738BD8751}"/>
    <cellStyle name="Normal 8 4 4 5 2" xfId="35573" xr:uid="{B5C7C945-070C-4F5A-9F42-D8D09274BC44}"/>
    <cellStyle name="Normal 8 4 4 6" xfId="11354" xr:uid="{C14EF1D2-A523-40D2-AA54-19962000CE51}"/>
    <cellStyle name="Normal 8 4 4 6 2" xfId="31697" xr:uid="{01181295-AAA8-430D-BF8A-5F7C681DB7D8}"/>
    <cellStyle name="Normal 8 4 4 7" xfId="28203" xr:uid="{7EBD62C9-AB36-46B0-B4BE-340E16E8762A}"/>
    <cellStyle name="Normal 8 4 5" xfId="12923" xr:uid="{A2F16F73-A6F0-4C2D-86F2-79C790A0D502}"/>
    <cellStyle name="Normal 8 4 5 2" xfId="33264" xr:uid="{4349B4D5-206F-4BB2-A1CF-3CD383F58718}"/>
    <cellStyle name="Normal 8 4 6" xfId="15820" xr:uid="{B4FFACB7-FBB2-4C99-B1F5-FE34E3970672}"/>
    <cellStyle name="Normal 8 4 6 2" xfId="36160" xr:uid="{163B2371-4E29-496B-98B5-A25A8A60AABB}"/>
    <cellStyle name="Normal 8 4 7" xfId="18734" xr:uid="{4B279F8E-0A18-4ACA-ADB5-72D8C8E28F39}"/>
    <cellStyle name="Normal 8 4 7 2" xfId="39074" xr:uid="{8630D8FF-FA1F-4915-9833-640C0C2D81A9}"/>
    <cellStyle name="Normal 8 4 8" xfId="19322" xr:uid="{D877EEE7-A595-4459-AB0B-C06877996307}"/>
    <cellStyle name="Normal 8 4 8 2" xfId="39661" xr:uid="{0A871001-A3C0-40C0-AEB7-1D2EE0636490}"/>
    <cellStyle name="Normal 8 4 9" xfId="22577" xr:uid="{D9E8DA01-A32F-4EC8-A13B-F5F7A2EF5543}"/>
    <cellStyle name="Normal 8 4 9 2" xfId="42912" xr:uid="{EE14C6F5-5B75-403B-B95B-588B9DF2E666}"/>
    <cellStyle name="Normal 8 5" xfId="5705" xr:uid="{8CDC6FAA-3635-4796-BC46-C7BDEEBF62A5}"/>
    <cellStyle name="Normal 8 6" xfId="5771" xr:uid="{708AC2D0-EEC9-4105-A2C2-0C8FA17283C9}"/>
    <cellStyle name="Normal 8 6 2" xfId="6929" xr:uid="{6BC67F61-5844-48D0-AD8A-42FA05FB5C8A}"/>
    <cellStyle name="Normal 8 6 2 2" xfId="17215" xr:uid="{618DDCA1-BE8A-4AC5-8FE7-AD403F38E217}"/>
    <cellStyle name="Normal 8 6 2 2 2" xfId="37555" xr:uid="{566D4F45-5F71-4918-AC2A-EF540A4929B1}"/>
    <cellStyle name="Normal 8 6 2 3" xfId="20717" xr:uid="{CE0C04EC-2D0F-4B94-84EA-4B1F032991DB}"/>
    <cellStyle name="Normal 8 6 2 3 2" xfId="41056" xr:uid="{039C5570-843C-4C17-B116-0843F6A05FB3}"/>
    <cellStyle name="Normal 8 6 2 4" xfId="23972" xr:uid="{F8411E7A-411A-4EAE-B1BE-D88F330A7EA7}"/>
    <cellStyle name="Normal 8 6 2 4 2" xfId="44307" xr:uid="{B726C906-4F0C-49DD-AB01-BA84DE1A1379}"/>
    <cellStyle name="Normal 8 6 2 5" xfId="14306" xr:uid="{447E8F09-005C-4703-9BD1-A3C57AFE09A5}"/>
    <cellStyle name="Normal 8 6 2 5 2" xfId="34647" xr:uid="{3EBD5811-67CF-4AA1-9EC2-6911B2C4C694}"/>
    <cellStyle name="Normal 8 6 2 6" xfId="10428" xr:uid="{B67B8C2F-B729-4F6B-B51F-FA61B4166431}"/>
    <cellStyle name="Normal 8 6 2 6 2" xfId="30771" xr:uid="{F8F604CA-DECA-4948-9646-5EB13BDDE5A2}"/>
    <cellStyle name="Normal 8 6 2 7" xfId="27277" xr:uid="{E578942F-2ABF-4FCF-B5F9-06E68BACA1BF}"/>
    <cellStyle name="Normal 8 6 3" xfId="16057" xr:uid="{18901533-73FB-437E-9E8E-F8C6889CFFB5}"/>
    <cellStyle name="Normal 8 6 3 2" xfId="36397" xr:uid="{5EE3FA54-B672-49D8-96FA-2E6A672A56C8}"/>
    <cellStyle name="Normal 8 6 4" xfId="19559" xr:uid="{DD77F2D1-4224-4D58-863C-6D882071E5F3}"/>
    <cellStyle name="Normal 8 6 4 2" xfId="39898" xr:uid="{078A9E0D-0AAC-41A5-8F64-CD9E9B345D0F}"/>
    <cellStyle name="Normal 8 6 5" xfId="22814" xr:uid="{8683630C-D59E-4307-9C52-6DF3067126B0}"/>
    <cellStyle name="Normal 8 6 5 2" xfId="43149" xr:uid="{762B17A1-B97D-4773-BAAA-2C03E91DAA9D}"/>
    <cellStyle name="Normal 8 6 6" xfId="13159" xr:uid="{4A55C15E-C6F8-4786-B46D-669EC11ED825}"/>
    <cellStyle name="Normal 8 6 6 2" xfId="33500" xr:uid="{1C3FCB09-5A9F-4530-B950-C3EA209FA06F}"/>
    <cellStyle name="Normal 8 6 7" xfId="9270" xr:uid="{21288A09-33C4-427C-81E5-9BC2E79B4D27}"/>
    <cellStyle name="Normal 8 6 7 2" xfId="29613" xr:uid="{ED50AD2F-944D-4A88-AE0C-3971FEBF3DE0}"/>
    <cellStyle name="Normal 8 6 8" xfId="26119" xr:uid="{5D100142-59FF-417A-9E59-E7573954879B}"/>
    <cellStyle name="Normal 8 7" xfId="6348" xr:uid="{7B367363-4F73-4E1A-AB7B-4AEA50617472}"/>
    <cellStyle name="Normal 8 7 2" xfId="16634" xr:uid="{527824CA-F180-42EE-BAAB-A3D6C640D09E}"/>
    <cellStyle name="Normal 8 7 2 2" xfId="36974" xr:uid="{0347BF74-9746-4AD9-B0F7-D6A5CF2C0633}"/>
    <cellStyle name="Normal 8 7 3" xfId="20136" xr:uid="{3D717C51-BB70-4813-8008-C011CA1BF8AA}"/>
    <cellStyle name="Normal 8 7 3 2" xfId="40475" xr:uid="{E78C43C2-75D1-43CF-97F9-7BADC3629464}"/>
    <cellStyle name="Normal 8 7 4" xfId="23391" xr:uid="{7B1BF076-C0DF-40FC-AA59-E312DD597349}"/>
    <cellStyle name="Normal 8 7 4 2" xfId="43726" xr:uid="{CDD4FF79-2500-444F-910B-4F6CC26B80D8}"/>
    <cellStyle name="Normal 8 7 5" xfId="13725" xr:uid="{BBCA2713-CE17-4013-9B1C-0577AC32C348}"/>
    <cellStyle name="Normal 8 7 5 2" xfId="34066" xr:uid="{8A94FA84-6DC7-4F89-B3DB-8D0E607FC8B5}"/>
    <cellStyle name="Normal 8 7 6" xfId="9847" xr:uid="{2638C5AE-948B-4372-9A01-B48AD57984A4}"/>
    <cellStyle name="Normal 8 7 6 2" xfId="30190" xr:uid="{588CB422-0950-4C21-A871-B2BCA45EF532}"/>
    <cellStyle name="Normal 8 7 7" xfId="26696" xr:uid="{08491AE5-749A-4B30-A4CF-48C0925B8538}"/>
    <cellStyle name="Normal 8 8" xfId="7512" xr:uid="{14EC0E6C-BB92-4C58-895A-BF840CC05829}"/>
    <cellStyle name="Normal 8 8 2" xfId="17797" xr:uid="{D08A9799-B7AA-49FB-997D-FEF48365DDF3}"/>
    <cellStyle name="Normal 8 8 2 2" xfId="38137" xr:uid="{AEF4C6C2-A485-42B9-AF8A-9AE1CACE7A7F}"/>
    <cellStyle name="Normal 8 8 3" xfId="21299" xr:uid="{0BFA784E-55E5-43C4-835B-969A227AB3F0}"/>
    <cellStyle name="Normal 8 8 3 2" xfId="41638" xr:uid="{D3BE26D0-9FA9-4D53-936B-2A8F68D8301A}"/>
    <cellStyle name="Normal 8 8 4" xfId="24554" xr:uid="{5649AF91-5B9C-4524-9655-73C03DC1002C}"/>
    <cellStyle name="Normal 8 8 4 2" xfId="44889" xr:uid="{1AE63552-1E83-43F8-AA64-5A2D48BD3B8F}"/>
    <cellStyle name="Normal 8 8 5" xfId="14889" xr:uid="{1B3503F4-6F9B-4DC5-9AD1-F544FD747371}"/>
    <cellStyle name="Normal 8 8 5 2" xfId="35229" xr:uid="{D427B9A9-A1AB-4A39-BD02-EAA5A664AC27}"/>
    <cellStyle name="Normal 8 8 6" xfId="11010" xr:uid="{A5B2C90F-9FD1-41BA-A919-586BDFB5571B}"/>
    <cellStyle name="Normal 8 8 6 2" xfId="31353" xr:uid="{1FC1F9A8-72BB-4F58-9FDF-0DCBDEE676D0}"/>
    <cellStyle name="Normal 8 8 7" xfId="27859" xr:uid="{73532F63-152B-446F-9EA3-74C03BF95C7A}"/>
    <cellStyle name="Normal 8 9" xfId="12590" xr:uid="{0D9CC027-F3D7-4F34-93CD-39253A8981C7}"/>
    <cellStyle name="Normal 8 9 2" xfId="32931" xr:uid="{3DD98CC2-75BF-4D36-9A4B-EA7628FBFBDC}"/>
    <cellStyle name="Normal 9" xfId="4852" xr:uid="{2568CE57-6786-412D-A4B2-77B6FCC95189}"/>
    <cellStyle name="Normal 9 2" xfId="5071" xr:uid="{D74A5173-738F-40DB-8303-0D852A24B43A}"/>
    <cellStyle name="Normal 9 2 10" xfId="12455" xr:uid="{8B748D88-2C08-49B0-B759-B8CEC5CA90D8}"/>
    <cellStyle name="Normal 9 2 10 2" xfId="32796" xr:uid="{147C8921-C9F8-4FE5-BE94-4A0F76260EAD}"/>
    <cellStyle name="Normal 9 2 11" xfId="9194" xr:uid="{67B4B13F-6F81-432D-B6E6-2AA4E383DE9D}"/>
    <cellStyle name="Normal 9 2 11 2" xfId="29537" xr:uid="{524F06A4-D418-4EED-AD9E-A0FAE063503A}"/>
    <cellStyle name="Normal 9 2 12" xfId="26043" xr:uid="{0B41CB0A-4633-4B74-A75A-F5F96E379C80}"/>
    <cellStyle name="Normal 9 2 13" xfId="45953" xr:uid="{76F35F18-7819-447F-AE35-9AC0A79B6646}"/>
    <cellStyle name="Normal 9 2 14" xfId="46439" xr:uid="{98791C61-D6CB-4985-BD59-9B71E2E5D578}"/>
    <cellStyle name="Normal 9 2 15" xfId="46931" xr:uid="{8CB76806-A1AF-4374-A37E-D02A64BB9C68}"/>
    <cellStyle name="Normal 9 2 2" xfId="6276" xr:uid="{98DC0747-A79F-49F2-B25D-CCD87AD8F934}"/>
    <cellStyle name="Normal 9 2 2 10" xfId="46682" xr:uid="{CC42E97D-C330-4782-A821-D011E6B74FB2}"/>
    <cellStyle name="Normal 9 2 2 11" xfId="47174" xr:uid="{1D8A5F09-4EF9-46CF-8F47-69EB45B71CCC}"/>
    <cellStyle name="Normal 9 2 2 2" xfId="7434" xr:uid="{EB86CEF7-AF20-4644-A46D-F4A2670BAFB4}"/>
    <cellStyle name="Normal 9 2 2 2 2" xfId="17720" xr:uid="{2EF74BBC-1C1F-43BA-9BDD-2F522A457B8B}"/>
    <cellStyle name="Normal 9 2 2 2 2 2" xfId="38060" xr:uid="{4A78F2A4-6F69-490F-99ED-95A9B7DC267E}"/>
    <cellStyle name="Normal 9 2 2 2 3" xfId="21222" xr:uid="{F19F2E0F-12AE-4736-AA4A-4BDC8CD3D3A7}"/>
    <cellStyle name="Normal 9 2 2 2 3 2" xfId="41561" xr:uid="{B3D3004A-4AEA-4B8B-B809-BFE497ABEE63}"/>
    <cellStyle name="Normal 9 2 2 2 4" xfId="24477" xr:uid="{5652FC5F-AB26-4994-915A-7444B2C1288D}"/>
    <cellStyle name="Normal 9 2 2 2 4 2" xfId="44812" xr:uid="{EA30B827-6C1B-4485-B1C6-884C3169D30C}"/>
    <cellStyle name="Normal 9 2 2 2 5" xfId="14811" xr:uid="{522B2A4E-FCBD-40CA-AC40-0EEC386EA1D8}"/>
    <cellStyle name="Normal 9 2 2 2 5 2" xfId="35152" xr:uid="{2D6210FC-10B5-4508-8D8E-687D581560D7}"/>
    <cellStyle name="Normal 9 2 2 2 6" xfId="10933" xr:uid="{6FDFC0B5-AD55-448A-BF19-4D428A24A57F}"/>
    <cellStyle name="Normal 9 2 2 2 6 2" xfId="31276" xr:uid="{2EE8E4B7-3DAF-4738-8492-85CF8CA3A446}"/>
    <cellStyle name="Normal 9 2 2 2 7" xfId="27782" xr:uid="{CAEB2327-EAFC-4F3D-99CE-FFD7D61F1CC0}"/>
    <cellStyle name="Normal 9 2 2 3" xfId="16562" xr:uid="{00FE3D62-FA3D-45FD-8038-5EC50B74B348}"/>
    <cellStyle name="Normal 9 2 2 3 2" xfId="36902" xr:uid="{02E66154-FB32-4D7A-9653-41F3D95EBBF5}"/>
    <cellStyle name="Normal 9 2 2 4" xfId="20064" xr:uid="{580058EE-D329-42DA-9D32-73D12DF39BB6}"/>
    <cellStyle name="Normal 9 2 2 4 2" xfId="40403" xr:uid="{A60F5CA9-B610-448D-AC03-B6A7A475AF1C}"/>
    <cellStyle name="Normal 9 2 2 5" xfId="23319" xr:uid="{6190F01F-A889-4489-B987-BCED3E8B4B9D}"/>
    <cellStyle name="Normal 9 2 2 5 2" xfId="43654" xr:uid="{4FF5330A-9875-4FCB-AEE3-7124B546D055}"/>
    <cellStyle name="Normal 9 2 2 6" xfId="13653" xr:uid="{F21E585F-1D0B-4E33-8DD4-6EB170B557B2}"/>
    <cellStyle name="Normal 9 2 2 6 2" xfId="33994" xr:uid="{897946F2-0288-4A54-9E77-C9B0EB9B3CF8}"/>
    <cellStyle name="Normal 9 2 2 7" xfId="9775" xr:uid="{C9CDF963-2313-4233-B96E-756D274C8204}"/>
    <cellStyle name="Normal 9 2 2 7 2" xfId="30118" xr:uid="{0936DC43-F4DA-4237-92BC-00CB1805BCCA}"/>
    <cellStyle name="Normal 9 2 2 8" xfId="26624" xr:uid="{7CBC3F92-76F2-4148-A282-5DE348A79526}"/>
    <cellStyle name="Normal 9 2 2 9" xfId="46196" xr:uid="{7247BCA0-0587-41A5-A3A3-3F23D9651EB5}"/>
    <cellStyle name="Normal 9 2 3" xfId="6853" xr:uid="{59A1F70D-916D-435B-86F0-BB8515CD2AFA}"/>
    <cellStyle name="Normal 9 2 3 2" xfId="17139" xr:uid="{18DF606E-D6E5-4434-A58C-5B7C0350CEA5}"/>
    <cellStyle name="Normal 9 2 3 2 2" xfId="37479" xr:uid="{0C85A71A-E12C-4C4C-9C6D-324E1683A215}"/>
    <cellStyle name="Normal 9 2 3 3" xfId="20641" xr:uid="{7DE52D3E-1FFF-4953-AD5F-BE4080D12B6A}"/>
    <cellStyle name="Normal 9 2 3 3 2" xfId="40980" xr:uid="{DE6FB239-DD96-46D2-8568-B068C46510BA}"/>
    <cellStyle name="Normal 9 2 3 4" xfId="23896" xr:uid="{06B76134-D222-4260-8DA9-F25F7FF71BF7}"/>
    <cellStyle name="Normal 9 2 3 4 2" xfId="44231" xr:uid="{7F1BB142-2FEE-472A-989B-F4E31B14C786}"/>
    <cellStyle name="Normal 9 2 3 5" xfId="14230" xr:uid="{7CB89F94-2493-4495-8225-F4FAA14C41FA}"/>
    <cellStyle name="Normal 9 2 3 5 2" xfId="34571" xr:uid="{C2A6F99D-B4BF-45D0-A978-7D55D22408C3}"/>
    <cellStyle name="Normal 9 2 3 6" xfId="10352" xr:uid="{1EC06E64-5D9B-4FF0-8CEE-3F38DE57276E}"/>
    <cellStyle name="Normal 9 2 3 6 2" xfId="30695" xr:uid="{608513F4-F693-4631-A96E-B2216577DBF6}"/>
    <cellStyle name="Normal 9 2 3 7" xfId="27201" xr:uid="{28AB3E7B-B616-4267-8371-FA0AC793B6AC}"/>
    <cellStyle name="Normal 9 2 4" xfId="8017" xr:uid="{278FDED9-3145-4A34-AF15-F3742D37632D}"/>
    <cellStyle name="Normal 9 2 4 2" xfId="18302" xr:uid="{E050802A-3C64-451A-B2D6-D826779552D6}"/>
    <cellStyle name="Normal 9 2 4 2 2" xfId="38642" xr:uid="{EFF7670E-4290-484F-8403-AFB5BFF9E77E}"/>
    <cellStyle name="Normal 9 2 4 3" xfId="21804" xr:uid="{E3753D14-36B6-4746-9625-2416CDCB1DBC}"/>
    <cellStyle name="Normal 9 2 4 3 2" xfId="42143" xr:uid="{03CB6A4C-717F-45E5-B948-73EF5F705770}"/>
    <cellStyle name="Normal 9 2 4 4" xfId="25059" xr:uid="{2C3FDA4A-6A5B-452A-A96F-2C744F9A7359}"/>
    <cellStyle name="Normal 9 2 4 4 2" xfId="45394" xr:uid="{7B0F6A44-D375-4A2D-9154-73F87C1DC7AB}"/>
    <cellStyle name="Normal 9 2 4 5" xfId="15394" xr:uid="{BF7FE4AB-BF41-474D-B3C2-E5EE08CFF635}"/>
    <cellStyle name="Normal 9 2 4 5 2" xfId="35734" xr:uid="{C13D0338-0AA7-4D9E-9275-82353F6A7E35}"/>
    <cellStyle name="Normal 9 2 4 6" xfId="11515" xr:uid="{EF291B11-0E02-419B-AB7E-AD47D52D283C}"/>
    <cellStyle name="Normal 9 2 4 6 2" xfId="31858" xr:uid="{811F1B48-3BD2-48A4-B105-EAE80F16F932}"/>
    <cellStyle name="Normal 9 2 4 7" xfId="28364" xr:uid="{C43692EE-3F9C-4225-A374-9E00D9310F81}"/>
    <cellStyle name="Normal 9 2 5" xfId="8147" xr:uid="{1CC2C8E4-D1F3-4B9D-8AFD-5C48E5CB7C4F}"/>
    <cellStyle name="Normal 9 2 5 2" xfId="21934" xr:uid="{FCDCADF1-2D21-4949-8EAC-A427F169BCE1}"/>
    <cellStyle name="Normal 9 2 5 2 2" xfId="42270" xr:uid="{CED32C8E-4701-44DE-85D6-140A4BA4AEC9}"/>
    <cellStyle name="Normal 9 2 5 3" xfId="25186" xr:uid="{755C1E76-CA65-4B76-8763-03ECCC1AC27E}"/>
    <cellStyle name="Normal 9 2 5 3 2" xfId="45521" xr:uid="{B5B8A1DC-01AF-4770-BA01-DEEF8D7D1511}"/>
    <cellStyle name="Normal 9 2 5 4" xfId="13084" xr:uid="{81B542AD-F1EA-4AE4-9D6C-D3833837048E}"/>
    <cellStyle name="Normal 9 2 5 4 2" xfId="33425" xr:uid="{5678ADF4-6DD8-4444-A37A-9A5DD0469A64}"/>
    <cellStyle name="Normal 9 2 5 5" xfId="11643" xr:uid="{69825ABE-1B48-4679-AA76-76CE2B2E3E45}"/>
    <cellStyle name="Normal 9 2 5 5 2" xfId="31985" xr:uid="{EDB5BBC1-6728-4A3B-8F41-496B9DAAFE28}"/>
    <cellStyle name="Normal 9 2 5 6" xfId="28491" xr:uid="{E5019564-5201-41A2-BF0E-78242DF7E903}"/>
    <cellStyle name="Normal 9 2 6" xfId="8578" xr:uid="{474EDF06-47BC-4890-B31B-3F8CF02B6B2C}"/>
    <cellStyle name="Normal 9 2 6 2" xfId="15981" xr:uid="{A61B191D-1F8E-4C1B-92EA-F4C56428CF29}"/>
    <cellStyle name="Normal 9 2 6 2 2" xfId="36321" xr:uid="{4EDDDC82-0F59-4850-8540-695804EE0EE2}"/>
    <cellStyle name="Normal 9 2 6 3" xfId="28921" xr:uid="{F8BAE7F2-81A7-4475-85B5-52DB63B8F1B5}"/>
    <cellStyle name="Normal 9 2 7" xfId="18895" xr:uid="{4E3E26A6-621A-4F7F-A0E2-71393964D851}"/>
    <cellStyle name="Normal 9 2 7 2" xfId="39235" xr:uid="{8CA57E3A-4818-4519-86FD-769304F522E0}"/>
    <cellStyle name="Normal 9 2 8" xfId="19483" xr:uid="{DF06761E-3A45-418E-8725-B4EBF2700E21}"/>
    <cellStyle name="Normal 9 2 8 2" xfId="39822" xr:uid="{14001310-9B8D-4B96-8B1D-83B30C9CDE15}"/>
    <cellStyle name="Normal 9 2 9" xfId="22738" xr:uid="{D053D17C-D8BC-4EE3-8FC8-3EA89F7AEA30}"/>
    <cellStyle name="Normal 9 2 9 2" xfId="43073" xr:uid="{06379169-B86C-4112-93B2-3F14ED44F181}"/>
    <cellStyle name="Normal 9 3" xfId="8146" xr:uid="{6E702AA5-C9EA-4B64-9F01-C5D6EA9EFCD5}"/>
    <cellStyle name="Normal 9 3 2" xfId="25185" xr:uid="{279C9540-FA09-4E3A-8473-D562031DB714}"/>
    <cellStyle name="Normal 9 3 2 2" xfId="45520" xr:uid="{F27E5B63-D025-4E0F-9CE9-81F392D0AAFB}"/>
    <cellStyle name="Normal 9 3 3" xfId="21933" xr:uid="{C166469E-E281-412E-9928-FF03D95BDF1B}"/>
    <cellStyle name="Normal 9 3 3 2" xfId="42269" xr:uid="{C8EC982E-6570-429E-9A20-69D6512A98F0}"/>
    <cellStyle name="Normal 9 3 4" xfId="11642" xr:uid="{BB7039FE-4044-43AF-84AF-0454AB59DDD4}"/>
    <cellStyle name="Normal 9 3 4 2" xfId="31984" xr:uid="{EB7879E4-E808-4851-A0DE-2E8F6AC3A3D0}"/>
    <cellStyle name="Normal 9 3 5" xfId="28490" xr:uid="{805147B6-58FF-4A01-9980-41ABC91CA9CC}"/>
    <cellStyle name="Normal 9 3 6" xfId="46108" xr:uid="{EB5A5F7E-B0A9-4F37-97AE-10ACF1AC62A3}"/>
    <cellStyle name="Normal 9 3 7" xfId="46594" xr:uid="{7BB33DEA-1442-43F7-AFB6-25577C524ED1}"/>
    <cellStyle name="Normal 9 3 8" xfId="47086" xr:uid="{9F327338-5F4E-428C-B51E-37FD5194DBD6}"/>
    <cellStyle name="Normal 9 4" xfId="8490" xr:uid="{10F93378-C0AE-49D0-A3EE-B70E69D5D16A}"/>
    <cellStyle name="Normal 9 4 2" xfId="28833" xr:uid="{C1A96172-F12D-42B8-99A8-C91C559C5FBD}"/>
    <cellStyle name="Normal 9 5" xfId="45865" xr:uid="{F0D715EF-88F4-44FB-A997-377A5F6C04F7}"/>
    <cellStyle name="Normal 9 6" xfId="46351" xr:uid="{F2B0BD36-2421-4BCC-8C4D-517C4BB92092}"/>
    <cellStyle name="Normal 9 7" xfId="46843" xr:uid="{5F1A6667-9506-45B6-92CC-0CB9A8F3D45F}"/>
    <cellStyle name="Normal 9 8" xfId="5206" xr:uid="{0AC55E36-2080-465A-84D0-224F7345F968}"/>
    <cellStyle name="Note" xfId="99" xr:uid="{B732898F-D91D-4417-A456-0A7F1604FB43}"/>
    <cellStyle name="Note 2" xfId="5200" xr:uid="{A7A2D49E-C185-4480-B3D4-7B281AA2D321}"/>
    <cellStyle name="Note 2 2" xfId="48292" xr:uid="{F3770D44-CA92-4BE1-8F59-22FC240C0CCB}"/>
    <cellStyle name="Note 2 3" xfId="49961" xr:uid="{E091838F-DECC-4E88-8DA7-1FE720DCA20F}"/>
    <cellStyle name="Note 2 4" xfId="53256" xr:uid="{CB15EDE6-2A98-4AD1-B0DF-4103EF925A06}"/>
    <cellStyle name="Note 2 5" xfId="25514" xr:uid="{072A27D3-A106-426E-9BCA-0F3821D5D945}"/>
    <cellStyle name="Note 3" xfId="47307" xr:uid="{A23755DB-9CBD-4DAD-BECB-4B2AD982DB2E}"/>
    <cellStyle name="Note 4" xfId="47433" xr:uid="{28C12616-1434-4874-84AD-B63B4BC48D10}"/>
    <cellStyle name="Note 5" xfId="47559" xr:uid="{5D909BFE-EB8F-4612-8A48-00D7E7641976}"/>
    <cellStyle name="Note 6" xfId="48291" xr:uid="{12C974EB-06D5-4133-9CC4-A11CBDA10B41}"/>
    <cellStyle name="Note 7" xfId="49960" xr:uid="{BF5A505F-8C1D-4008-AB08-F23B0FCC68AE}"/>
    <cellStyle name="Note 8" xfId="53255" xr:uid="{A39291F0-8849-46C8-BD08-06B60FA3DE3C}"/>
    <cellStyle name="Output" xfId="100" xr:uid="{C3244B05-937B-432C-B964-4E1834747299}"/>
    <cellStyle name="Output 2" xfId="5201" xr:uid="{977DC560-EA3D-445A-818F-FE316F9556C9}"/>
    <cellStyle name="Porcentagem" xfId="2" builtinId="5"/>
    <cellStyle name="Porcentagem 10" xfId="5273" xr:uid="{4E8C5F40-6014-468C-B1C8-880499419738}"/>
    <cellStyle name="Porcentagem 10 2" xfId="5274" xr:uid="{7FAE44F0-CD52-4EAE-B358-1E425E67F3CC}"/>
    <cellStyle name="Porcentagem 11" xfId="58" xr:uid="{89A6B358-B771-4427-9569-9890FC2C7E74}"/>
    <cellStyle name="Porcentagem 11 2" xfId="5275" xr:uid="{DDF630AD-ED19-476D-8CFC-15AF8F0AA6CD}"/>
    <cellStyle name="Porcentagem 12" xfId="4787" xr:uid="{65B29720-EF4D-4DCC-96EC-0F93A12ECEDE}"/>
    <cellStyle name="Porcentagem 12 2" xfId="5276" xr:uid="{C1A6FAB6-D31C-41FA-810E-498960BC09F7}"/>
    <cellStyle name="Porcentagem 13" xfId="5277" xr:uid="{39CFFEE5-DB32-4FD0-90BF-3B1F093B83EA}"/>
    <cellStyle name="Porcentagem 14" xfId="5314" xr:uid="{DFD5D49C-C447-4BE5-ADAD-45F3B6A322BF}"/>
    <cellStyle name="Porcentagem 14 10" xfId="19072" xr:uid="{3EB8B854-92F4-48E9-9459-0128036B8D26}"/>
    <cellStyle name="Porcentagem 14 10 2" xfId="39411" xr:uid="{A7D5A8DA-6C2F-47AE-9191-5503D61769F5}"/>
    <cellStyle name="Porcentagem 14 11" xfId="22327" xr:uid="{FB6DD9C3-231C-4757-B415-71C0E63B24F0}"/>
    <cellStyle name="Porcentagem 14 11 2" xfId="42662" xr:uid="{4FB56C8C-821F-42D6-B386-5ABBFADE430D}"/>
    <cellStyle name="Porcentagem 14 12" xfId="12044" xr:uid="{69F08B23-AB44-41ED-8D1D-3A5C49F48E86}"/>
    <cellStyle name="Porcentagem 14 12 2" xfId="32385" xr:uid="{7345B737-7EF0-413E-A24D-FA97B5180905}"/>
    <cellStyle name="Porcentagem 14 13" xfId="8783" xr:uid="{50D7CADD-0FC9-41BE-B256-4EEA68DFD3A4}"/>
    <cellStyle name="Porcentagem 14 13 2" xfId="29126" xr:uid="{4A062A53-C87F-4245-86D3-414C1F0A8925}"/>
    <cellStyle name="Porcentagem 14 14" xfId="25632" xr:uid="{45B3B34D-8193-466C-A721-8671E107D848}"/>
    <cellStyle name="Porcentagem 14 2" xfId="5416" xr:uid="{18EECDF0-CF58-4FBD-AA69-A79BF3C4A3BB}"/>
    <cellStyle name="Porcentagem 14 2 10" xfId="12159" xr:uid="{95141672-FED8-4ACF-A888-84235F30A169}"/>
    <cellStyle name="Porcentagem 14 2 10 2" xfId="32500" xr:uid="{263AE1ED-D0FF-49FC-98EA-664584AC9B4D}"/>
    <cellStyle name="Porcentagem 14 2 11" xfId="8898" xr:uid="{6878B48D-D98C-4181-9813-0D58A0281A9A}"/>
    <cellStyle name="Porcentagem 14 2 11 2" xfId="29241" xr:uid="{9E3214ED-207A-4A59-9D0C-F2353D949FB4}"/>
    <cellStyle name="Porcentagem 14 2 12" xfId="25747" xr:uid="{BB13A463-3E6D-4ABB-9AC8-A8AB64E520A3}"/>
    <cellStyle name="Porcentagem 14 2 2" xfId="5980" xr:uid="{2A79CD20-F991-4A78-BCA1-90207E8C9D84}"/>
    <cellStyle name="Porcentagem 14 2 2 2" xfId="7138" xr:uid="{6DBC6728-A650-4372-9DF7-DAF1ADB131DA}"/>
    <cellStyle name="Porcentagem 14 2 2 2 2" xfId="17424" xr:uid="{59E4C41D-5823-44B4-84D5-4D1E576586CD}"/>
    <cellStyle name="Porcentagem 14 2 2 2 2 2" xfId="37764" xr:uid="{5DE0F004-B191-40E1-89D9-98340CCD9653}"/>
    <cellStyle name="Porcentagem 14 2 2 2 3" xfId="20926" xr:uid="{4A9312CD-4969-4D2F-8298-E068A66075AE}"/>
    <cellStyle name="Porcentagem 14 2 2 2 3 2" xfId="41265" xr:uid="{BEFE6E59-ADF2-4A9F-B04F-05567A21C166}"/>
    <cellStyle name="Porcentagem 14 2 2 2 4" xfId="24181" xr:uid="{934AF0A1-4700-423D-8328-2A0DA6A7705E}"/>
    <cellStyle name="Porcentagem 14 2 2 2 4 2" xfId="44516" xr:uid="{FA0D0DE8-9E62-4157-89E5-A478566ABBB0}"/>
    <cellStyle name="Porcentagem 14 2 2 2 5" xfId="14515" xr:uid="{051090B0-E527-40CC-8806-8A1F456C376D}"/>
    <cellStyle name="Porcentagem 14 2 2 2 5 2" xfId="34856" xr:uid="{4A65F063-163B-4A2F-96EB-264084E4879C}"/>
    <cellStyle name="Porcentagem 14 2 2 2 6" xfId="10637" xr:uid="{AE67F1C4-FDF1-40CB-BE52-D1F4C5181A9D}"/>
    <cellStyle name="Porcentagem 14 2 2 2 6 2" xfId="30980" xr:uid="{675069FA-053E-4E2D-903A-B20855802D25}"/>
    <cellStyle name="Porcentagem 14 2 2 2 7" xfId="27486" xr:uid="{3E1CB88F-C0C9-4853-AD47-292CF120335D}"/>
    <cellStyle name="Porcentagem 14 2 2 3" xfId="16266" xr:uid="{57253C61-2E8A-4324-9963-6838977A0F73}"/>
    <cellStyle name="Porcentagem 14 2 2 3 2" xfId="36606" xr:uid="{6B50E561-25DE-4171-9739-CEE151DD2A0D}"/>
    <cellStyle name="Porcentagem 14 2 2 4" xfId="19768" xr:uid="{3AF292CF-3A3B-4278-B3D9-EF55B53E5470}"/>
    <cellStyle name="Porcentagem 14 2 2 4 2" xfId="40107" xr:uid="{FBD4BBA3-C87D-4949-B4B5-F6DC14ED5728}"/>
    <cellStyle name="Porcentagem 14 2 2 5" xfId="23023" xr:uid="{92410C1A-EB3D-400C-B8EA-B09AF65B253D}"/>
    <cellStyle name="Porcentagem 14 2 2 5 2" xfId="43358" xr:uid="{6CE2C377-DAE4-4DED-9F6D-1F8D40EF6DEA}"/>
    <cellStyle name="Porcentagem 14 2 2 6" xfId="13357" xr:uid="{ABE3A3E8-C0C0-4781-8E0D-FE1B6D4B5C07}"/>
    <cellStyle name="Porcentagem 14 2 2 6 2" xfId="33698" xr:uid="{80B69C24-8BB6-400D-941A-E9F18E8D384D}"/>
    <cellStyle name="Porcentagem 14 2 2 7" xfId="9479" xr:uid="{669825E7-6F0E-4F50-BF57-847EDDC6CF75}"/>
    <cellStyle name="Porcentagem 14 2 2 7 2" xfId="29822" xr:uid="{1ABC2891-DEAF-4711-95AE-398D89F255EA}"/>
    <cellStyle name="Porcentagem 14 2 2 8" xfId="26328" xr:uid="{1CD2E442-DC74-4CA6-8A74-3B4F1D4E6B07}"/>
    <cellStyle name="Porcentagem 14 2 3" xfId="6557" xr:uid="{EEC77560-E142-4E01-BC13-798CA7864998}"/>
    <cellStyle name="Porcentagem 14 2 3 2" xfId="16843" xr:uid="{DDD72585-63FA-45CF-A3B0-7E3C78AE8EB3}"/>
    <cellStyle name="Porcentagem 14 2 3 2 2" xfId="37183" xr:uid="{AFA82A49-03F7-4876-8670-2234505A84CC}"/>
    <cellStyle name="Porcentagem 14 2 3 3" xfId="20345" xr:uid="{68BEB740-31F9-4A02-B190-4FA127059ED5}"/>
    <cellStyle name="Porcentagem 14 2 3 3 2" xfId="40684" xr:uid="{A32547FA-B84B-4F81-B53A-37E69CBC956A}"/>
    <cellStyle name="Porcentagem 14 2 3 4" xfId="23600" xr:uid="{C45F9834-0507-4A74-AAC2-1DDF3E7E1DF1}"/>
    <cellStyle name="Porcentagem 14 2 3 4 2" xfId="43935" xr:uid="{02B1E345-2B78-4B13-976E-FFCC92F5EDB5}"/>
    <cellStyle name="Porcentagem 14 2 3 5" xfId="13934" xr:uid="{5E5D7023-AAD5-4286-8FAD-6B459D946763}"/>
    <cellStyle name="Porcentagem 14 2 3 5 2" xfId="34275" xr:uid="{DA1F04AA-52B9-4FFB-A1F6-5DCEDC9F337A}"/>
    <cellStyle name="Porcentagem 14 2 3 6" xfId="10056" xr:uid="{38C21237-7390-414F-B1D9-E670E1CE2E6B}"/>
    <cellStyle name="Porcentagem 14 2 3 6 2" xfId="30399" xr:uid="{B9DCEB8C-FD65-4822-8786-54419B0BB9E9}"/>
    <cellStyle name="Porcentagem 14 2 3 7" xfId="26905" xr:uid="{4645C0A6-D80D-45DB-B7E3-8DA1C850E9EB}"/>
    <cellStyle name="Porcentagem 14 2 4" xfId="7721" xr:uid="{23FB5311-57F6-413B-A46D-80B39F84608E}"/>
    <cellStyle name="Porcentagem 14 2 4 2" xfId="18006" xr:uid="{FB03712D-5BB1-4942-A7DB-5584F5856E49}"/>
    <cellStyle name="Porcentagem 14 2 4 2 2" xfId="38346" xr:uid="{939C519C-D449-4CC5-8369-184E169F4029}"/>
    <cellStyle name="Porcentagem 14 2 4 3" xfId="21508" xr:uid="{8B7B0F31-51D0-42E9-8E31-743233CADE33}"/>
    <cellStyle name="Porcentagem 14 2 4 3 2" xfId="41847" xr:uid="{813176D7-6C92-4046-8522-F7071046FFD0}"/>
    <cellStyle name="Porcentagem 14 2 4 4" xfId="24763" xr:uid="{BC4E7E63-2311-49DC-A63B-DE643157C489}"/>
    <cellStyle name="Porcentagem 14 2 4 4 2" xfId="45098" xr:uid="{5EC5B0D6-C759-4490-8762-568EC7BF9F30}"/>
    <cellStyle name="Porcentagem 14 2 4 5" xfId="15098" xr:uid="{1ED2069B-30FD-425A-97E9-999E210795BF}"/>
    <cellStyle name="Porcentagem 14 2 4 5 2" xfId="35438" xr:uid="{C17D5924-2E14-4F40-A60E-BAEAE719F40E}"/>
    <cellStyle name="Porcentagem 14 2 4 6" xfId="11219" xr:uid="{92145697-1272-464B-8759-6FF7C558A5EF}"/>
    <cellStyle name="Porcentagem 14 2 4 6 2" xfId="31562" xr:uid="{E5578060-E31E-463E-9515-913D044793DD}"/>
    <cellStyle name="Porcentagem 14 2 4 7" xfId="28068" xr:uid="{393B1CF4-75F5-4502-A9DC-97B383EB0759}"/>
    <cellStyle name="Porcentagem 14 2 5" xfId="12788" xr:uid="{7C6A7303-A6C2-4674-A405-F200F6FA4089}"/>
    <cellStyle name="Porcentagem 14 2 5 2" xfId="33129" xr:uid="{065CD0F0-015B-4579-A077-55F23146F091}"/>
    <cellStyle name="Porcentagem 14 2 6" xfId="15685" xr:uid="{CB17F9A2-D11D-4C2F-AC95-722235589422}"/>
    <cellStyle name="Porcentagem 14 2 6 2" xfId="36025" xr:uid="{303EC3F1-F650-4BC0-9471-689BB08EC4B4}"/>
    <cellStyle name="Porcentagem 14 2 7" xfId="18599" xr:uid="{B5855964-416B-40B4-B5C6-14B4D35918B4}"/>
    <cellStyle name="Porcentagem 14 2 7 2" xfId="38939" xr:uid="{58D170EB-D214-478F-89B9-1AD97FAF343E}"/>
    <cellStyle name="Porcentagem 14 2 8" xfId="19187" xr:uid="{ECEC5E92-2FAA-41FA-949E-43E41B315AD0}"/>
    <cellStyle name="Porcentagem 14 2 8 2" xfId="39526" xr:uid="{5D05CA1A-7129-44EB-B91B-7CBA2261CD3B}"/>
    <cellStyle name="Porcentagem 14 2 9" xfId="22442" xr:uid="{0D355370-5F3A-4262-8B67-2587D1356F09}"/>
    <cellStyle name="Porcentagem 14 2 9 2" xfId="42777" xr:uid="{5FF31C46-A8EF-4E49-8501-4F5FE8CDE8C4}"/>
    <cellStyle name="Porcentagem 14 3" xfId="5637" xr:uid="{AC9C6419-9CA3-478B-A8AD-C9FF480A7605}"/>
    <cellStyle name="Porcentagem 14 3 10" xfId="12388" xr:uid="{6A06759F-9782-45AD-A93D-884C5D009233}"/>
    <cellStyle name="Porcentagem 14 3 10 2" xfId="32729" xr:uid="{DF8B7A6B-86D6-4B1F-93EA-CEC418E575DA}"/>
    <cellStyle name="Porcentagem 14 3 11" xfId="9127" xr:uid="{241791C2-2A12-42FC-B16D-B676BA6DD723}"/>
    <cellStyle name="Porcentagem 14 3 11 2" xfId="29470" xr:uid="{D5F873A9-AD4C-4F03-A041-1A9B412B92B0}"/>
    <cellStyle name="Porcentagem 14 3 12" xfId="25976" xr:uid="{56B885AB-543B-4DD3-9CBD-A2DFC88CF42A}"/>
    <cellStyle name="Porcentagem 14 3 2" xfId="6209" xr:uid="{4AFFE007-451E-4F3D-A65B-771818B0572E}"/>
    <cellStyle name="Porcentagem 14 3 2 2" xfId="7367" xr:uid="{96E39AE6-B34F-4540-9B4D-0A0B7F6473C6}"/>
    <cellStyle name="Porcentagem 14 3 2 2 2" xfId="17653" xr:uid="{68B65F8A-BA3F-45F3-902A-7D594558BC2C}"/>
    <cellStyle name="Porcentagem 14 3 2 2 2 2" xfId="37993" xr:uid="{C24CE488-C6A5-4E92-9FCB-47B0E7507C9A}"/>
    <cellStyle name="Porcentagem 14 3 2 2 3" xfId="21155" xr:uid="{6CFF603A-BFAB-4DFB-82F8-7951A2034C3E}"/>
    <cellStyle name="Porcentagem 14 3 2 2 3 2" xfId="41494" xr:uid="{8AEA6474-950D-41C2-88A5-A2D2232D0C0B}"/>
    <cellStyle name="Porcentagem 14 3 2 2 4" xfId="24410" xr:uid="{307EC884-69A5-459A-9A84-9C9175B92C98}"/>
    <cellStyle name="Porcentagem 14 3 2 2 4 2" xfId="44745" xr:uid="{A067EB17-395D-4E5E-98F8-56026A5FA54A}"/>
    <cellStyle name="Porcentagem 14 3 2 2 5" xfId="14744" xr:uid="{0776EF32-064D-4915-B4B7-6886EFEC4A25}"/>
    <cellStyle name="Porcentagem 14 3 2 2 5 2" xfId="35085" xr:uid="{83DE31B9-41EA-4767-9AB3-6B5AB393FAD6}"/>
    <cellStyle name="Porcentagem 14 3 2 2 6" xfId="10866" xr:uid="{057025EF-71D1-45F7-8F13-FF6496CE4990}"/>
    <cellStyle name="Porcentagem 14 3 2 2 6 2" xfId="31209" xr:uid="{05600577-609C-414E-9691-EFB962E9B1CB}"/>
    <cellStyle name="Porcentagem 14 3 2 2 7" xfId="27715" xr:uid="{EACC11D3-3C64-49C1-8DBB-327A149E1367}"/>
    <cellStyle name="Porcentagem 14 3 2 3" xfId="16495" xr:uid="{9B1708EC-5F25-47DD-9F1F-0AA99E8E6542}"/>
    <cellStyle name="Porcentagem 14 3 2 3 2" xfId="36835" xr:uid="{CD29F5C1-DF25-41F0-BFEC-C1332E134F7E}"/>
    <cellStyle name="Porcentagem 14 3 2 4" xfId="19997" xr:uid="{BE67C8F2-745F-499C-91F1-338F323E0069}"/>
    <cellStyle name="Porcentagem 14 3 2 4 2" xfId="40336" xr:uid="{4E81F5ED-0B97-492D-AE62-39B94ADB2055}"/>
    <cellStyle name="Porcentagem 14 3 2 5" xfId="23252" xr:uid="{BF1248FA-E2F7-4AF0-994F-3654788737B3}"/>
    <cellStyle name="Porcentagem 14 3 2 5 2" xfId="43587" xr:uid="{39E773CC-1F16-4254-A17D-B44D51EEE2EB}"/>
    <cellStyle name="Porcentagem 14 3 2 6" xfId="13586" xr:uid="{8AEFDFC9-C7BB-4C02-AA93-D6435A67F2F1}"/>
    <cellStyle name="Porcentagem 14 3 2 6 2" xfId="33927" xr:uid="{A7E267DC-FDCA-452A-B301-210DE26E583C}"/>
    <cellStyle name="Porcentagem 14 3 2 7" xfId="9708" xr:uid="{E3AFAFFF-8A59-4B08-8D09-ABBFB416FF08}"/>
    <cellStyle name="Porcentagem 14 3 2 7 2" xfId="30051" xr:uid="{234F8053-985A-40C8-A519-F329A3655293}"/>
    <cellStyle name="Porcentagem 14 3 2 8" xfId="26557" xr:uid="{58FDB557-8BC1-42D7-B9BE-E90E87BF67A7}"/>
    <cellStyle name="Porcentagem 14 3 3" xfId="6786" xr:uid="{D44BA405-88BB-489B-BA28-42BDD1B7574C}"/>
    <cellStyle name="Porcentagem 14 3 3 2" xfId="17072" xr:uid="{3EF4D69F-B3E8-4FFD-B62B-A7CDF03FBAA5}"/>
    <cellStyle name="Porcentagem 14 3 3 2 2" xfId="37412" xr:uid="{B9565922-FBE5-4395-8C8A-4A81226EC3AC}"/>
    <cellStyle name="Porcentagem 14 3 3 3" xfId="20574" xr:uid="{8DE2FA00-73FC-4F32-B849-675DEACA7329}"/>
    <cellStyle name="Porcentagem 14 3 3 3 2" xfId="40913" xr:uid="{4F1A258D-CAB7-4ABB-96E6-43087FC49D02}"/>
    <cellStyle name="Porcentagem 14 3 3 4" xfId="23829" xr:uid="{A9641E20-19B2-4C38-AFAD-257BA327A890}"/>
    <cellStyle name="Porcentagem 14 3 3 4 2" xfId="44164" xr:uid="{44B3AD35-01E3-4E8A-8FAB-779FDBC1BEC0}"/>
    <cellStyle name="Porcentagem 14 3 3 5" xfId="14163" xr:uid="{72CBE452-9751-45C7-AB56-99364138B11C}"/>
    <cellStyle name="Porcentagem 14 3 3 5 2" xfId="34504" xr:uid="{0F27F4EE-6D76-483E-A8BA-FAEEDB47047F}"/>
    <cellStyle name="Porcentagem 14 3 3 6" xfId="10285" xr:uid="{1CCAF764-6BF1-49F5-8015-105A1B235C6B}"/>
    <cellStyle name="Porcentagem 14 3 3 6 2" xfId="30628" xr:uid="{012C5995-336E-4F2A-B142-1C3E20A4ABA5}"/>
    <cellStyle name="Porcentagem 14 3 3 7" xfId="27134" xr:uid="{36DF5971-8B3F-47D6-A496-773B08163E16}"/>
    <cellStyle name="Porcentagem 14 3 4" xfId="7950" xr:uid="{2E7475B2-7052-45BF-8A24-CB38333FE241}"/>
    <cellStyle name="Porcentagem 14 3 4 2" xfId="18235" xr:uid="{5B99D823-B40A-4AC4-A5C8-389B43FE2692}"/>
    <cellStyle name="Porcentagem 14 3 4 2 2" xfId="38575" xr:uid="{BAEE47F3-53BF-4CFB-98FD-E80B8D2EB284}"/>
    <cellStyle name="Porcentagem 14 3 4 3" xfId="21737" xr:uid="{5D54CD41-4D7E-4239-8B31-78A552EAA0B2}"/>
    <cellStyle name="Porcentagem 14 3 4 3 2" xfId="42076" xr:uid="{4466BA09-95AC-4B12-9257-199BD398C6E8}"/>
    <cellStyle name="Porcentagem 14 3 4 4" xfId="24992" xr:uid="{239FB08D-4EC0-4D6D-A8D5-2B1AAA0B04C8}"/>
    <cellStyle name="Porcentagem 14 3 4 4 2" xfId="45327" xr:uid="{22B12C6B-BF1B-4129-B80B-48034ABDA037}"/>
    <cellStyle name="Porcentagem 14 3 4 5" xfId="15327" xr:uid="{D23E6E71-F1D9-4D5A-A65F-B250D3FA83DD}"/>
    <cellStyle name="Porcentagem 14 3 4 5 2" xfId="35667" xr:uid="{75B72135-7255-400F-B051-035F3462E0F2}"/>
    <cellStyle name="Porcentagem 14 3 4 6" xfId="11448" xr:uid="{C729F0FE-B35A-412F-AA37-6E090F215D88}"/>
    <cellStyle name="Porcentagem 14 3 4 6 2" xfId="31791" xr:uid="{9E0F3699-7E79-4A21-B4FB-07013352D107}"/>
    <cellStyle name="Porcentagem 14 3 4 7" xfId="28297" xr:uid="{1A3277BE-5263-409D-8C85-0085ACF20F8C}"/>
    <cellStyle name="Porcentagem 14 3 5" xfId="13017" xr:uid="{079779E8-2156-4350-A900-2878475DA373}"/>
    <cellStyle name="Porcentagem 14 3 5 2" xfId="33358" xr:uid="{290F5A77-ABDF-478B-93E6-5A14D7FF625D}"/>
    <cellStyle name="Porcentagem 14 3 6" xfId="15914" xr:uid="{E5E37EF0-C9A2-46D5-91C7-E3A8A7525A6F}"/>
    <cellStyle name="Porcentagem 14 3 6 2" xfId="36254" xr:uid="{40E7E46A-ADBF-4FAD-AA1E-444CEAB073A7}"/>
    <cellStyle name="Porcentagem 14 3 7" xfId="18828" xr:uid="{215811D3-E558-4BC3-A71E-A6CFE7AEBE15}"/>
    <cellStyle name="Porcentagem 14 3 7 2" xfId="39168" xr:uid="{A6099C9F-943C-4EC3-9081-7678A322529E}"/>
    <cellStyle name="Porcentagem 14 3 8" xfId="19416" xr:uid="{BCF60B61-3DB7-43FA-B859-457FD87243D7}"/>
    <cellStyle name="Porcentagem 14 3 8 2" xfId="39755" xr:uid="{715674F2-9074-48D6-ABA2-F7048701F357}"/>
    <cellStyle name="Porcentagem 14 3 9" xfId="22671" xr:uid="{D33B19A0-8DBB-422E-B6DD-33E9514385E5}"/>
    <cellStyle name="Porcentagem 14 3 9 2" xfId="43006" xr:uid="{40E397DA-B9A1-4D40-A5CE-3733821FDE72}"/>
    <cellStyle name="Porcentagem 14 4" xfId="5865" xr:uid="{BFAE5C40-2DC6-425C-AB1D-053356BB8923}"/>
    <cellStyle name="Porcentagem 14 4 2" xfId="7023" xr:uid="{1C83824D-9084-42A1-B1B1-98B006A815BE}"/>
    <cellStyle name="Porcentagem 14 4 2 2" xfId="17309" xr:uid="{FD6990D1-4B6B-4E16-8DA3-DAF021687ECA}"/>
    <cellStyle name="Porcentagem 14 4 2 2 2" xfId="37649" xr:uid="{8748ED8A-1072-423D-A5FF-1A8BC62610F4}"/>
    <cellStyle name="Porcentagem 14 4 2 3" xfId="20811" xr:uid="{394BFF6A-DEA7-44BC-970E-C2B3C9098328}"/>
    <cellStyle name="Porcentagem 14 4 2 3 2" xfId="41150" xr:uid="{33648094-509D-4669-813D-294F6F9FB758}"/>
    <cellStyle name="Porcentagem 14 4 2 4" xfId="24066" xr:uid="{A4751555-D21A-42D3-9F27-B7D710E00CCD}"/>
    <cellStyle name="Porcentagem 14 4 2 4 2" xfId="44401" xr:uid="{166D8E48-2F84-472B-9A29-287EC0E94326}"/>
    <cellStyle name="Porcentagem 14 4 2 5" xfId="14400" xr:uid="{D6F7C7BD-9C14-4463-B7B4-C68A3AA8A748}"/>
    <cellStyle name="Porcentagem 14 4 2 5 2" xfId="34741" xr:uid="{39E158C3-85D1-4BAE-9851-D395D14FDDF2}"/>
    <cellStyle name="Porcentagem 14 4 2 6" xfId="10522" xr:uid="{860DBF78-2488-4555-A21A-7087A703E4D2}"/>
    <cellStyle name="Porcentagem 14 4 2 6 2" xfId="30865" xr:uid="{AC04E3FD-26AF-45AD-B90D-802EBB6E16EC}"/>
    <cellStyle name="Porcentagem 14 4 2 7" xfId="27371" xr:uid="{CE8CBD10-0507-4D14-A05B-1DFC65895440}"/>
    <cellStyle name="Porcentagem 14 4 3" xfId="16151" xr:uid="{0E250005-B327-42DC-BDE0-806A4A2B2C26}"/>
    <cellStyle name="Porcentagem 14 4 3 2" xfId="36491" xr:uid="{2C0071BA-EED4-4403-BED8-3C7B1CE09D0D}"/>
    <cellStyle name="Porcentagem 14 4 4" xfId="19653" xr:uid="{FC5C8684-24D7-4A9B-94F5-A08CADAF8143}"/>
    <cellStyle name="Porcentagem 14 4 4 2" xfId="39992" xr:uid="{D1664005-0F9E-47C6-9DA5-A06E13C93F0C}"/>
    <cellStyle name="Porcentagem 14 4 5" xfId="22908" xr:uid="{9563FE34-110A-4DEA-A461-56FBEFE1ED09}"/>
    <cellStyle name="Porcentagem 14 4 5 2" xfId="43243" xr:uid="{FEC1EBB7-BB0B-488F-8BB9-27945230A967}"/>
    <cellStyle name="Porcentagem 14 4 6" xfId="13244" xr:uid="{40FDD14B-20DF-4C4D-B7A8-C960B01D1E14}"/>
    <cellStyle name="Porcentagem 14 4 6 2" xfId="33585" xr:uid="{E481E0BE-B77D-4506-AFC5-A50F56D0B2B8}"/>
    <cellStyle name="Porcentagem 14 4 7" xfId="9364" xr:uid="{4DFB7475-4B71-4735-ABC4-0EDE40A3DD90}"/>
    <cellStyle name="Porcentagem 14 4 7 2" xfId="29707" xr:uid="{68ADB2EB-7881-4A02-829B-285E030DBE15}"/>
    <cellStyle name="Porcentagem 14 4 8" xfId="26213" xr:uid="{F072CD6B-3893-4D31-8408-88C927B71A61}"/>
    <cellStyle name="Porcentagem 14 5" xfId="6442" xr:uid="{0543A176-D5E6-4BE3-B27A-539ACE939C09}"/>
    <cellStyle name="Porcentagem 14 5 2" xfId="16728" xr:uid="{6A4A1A1B-16EF-4A11-86D4-A00596D50619}"/>
    <cellStyle name="Porcentagem 14 5 2 2" xfId="37068" xr:uid="{0024223D-7C03-424C-8EBE-979353A2C107}"/>
    <cellStyle name="Porcentagem 14 5 3" xfId="20230" xr:uid="{D18B4862-C6D8-4861-80DB-53C8074DC372}"/>
    <cellStyle name="Porcentagem 14 5 3 2" xfId="40569" xr:uid="{51AAC10B-6681-4C8A-9D55-FC52EF14D646}"/>
    <cellStyle name="Porcentagem 14 5 4" xfId="23485" xr:uid="{0F276EBD-B42C-45F1-9773-047F93E6D31A}"/>
    <cellStyle name="Porcentagem 14 5 4 2" xfId="43820" xr:uid="{937C3CB1-475A-48A3-A17F-C54CDBC8510C}"/>
    <cellStyle name="Porcentagem 14 5 5" xfId="13819" xr:uid="{E47E31D3-63AE-4975-B2B6-FB3B8E73CA5C}"/>
    <cellStyle name="Porcentagem 14 5 5 2" xfId="34160" xr:uid="{6CAFC886-926E-4E9F-AA17-BFD3DB4D0201}"/>
    <cellStyle name="Porcentagem 14 5 6" xfId="9941" xr:uid="{BD783D83-87DC-456C-863B-BC993442AE27}"/>
    <cellStyle name="Porcentagem 14 5 6 2" xfId="30284" xr:uid="{F8A1564C-18F1-4714-A881-2A78694B171D}"/>
    <cellStyle name="Porcentagem 14 5 7" xfId="26790" xr:uid="{99B0F5C1-65F7-4309-8346-91F22F2E898A}"/>
    <cellStyle name="Porcentagem 14 6" xfId="7606" xr:uid="{81087A19-E7D4-434A-A26B-AA4F9C181AA8}"/>
    <cellStyle name="Porcentagem 14 6 2" xfId="17891" xr:uid="{D7348E04-7C9E-4C74-B680-23E69C38AF1A}"/>
    <cellStyle name="Porcentagem 14 6 2 2" xfId="38231" xr:uid="{67C1C682-0C82-40A9-9ACC-216C0CB10C70}"/>
    <cellStyle name="Porcentagem 14 6 3" xfId="21393" xr:uid="{7E7568C3-AA25-4219-B7B2-850CA58B51C5}"/>
    <cellStyle name="Porcentagem 14 6 3 2" xfId="41732" xr:uid="{A57EEFE5-0721-40E8-A86F-34FEAF43DF5B}"/>
    <cellStyle name="Porcentagem 14 6 4" xfId="24648" xr:uid="{E1DDD7CD-F982-417A-8F25-FCBD38DBE7A5}"/>
    <cellStyle name="Porcentagem 14 6 4 2" xfId="44983" xr:uid="{07E71730-E01D-4DE0-B0AC-22F68BA4B736}"/>
    <cellStyle name="Porcentagem 14 6 5" xfId="14983" xr:uid="{2864D846-B2F3-4B8B-A7DB-F7478AE8BF96}"/>
    <cellStyle name="Porcentagem 14 6 5 2" xfId="35323" xr:uid="{96A8219C-CD7A-4731-B4D7-AAB6553058CB}"/>
    <cellStyle name="Porcentagem 14 6 6" xfId="11104" xr:uid="{B1A71554-63DB-4D9C-ABFD-D38D74E43138}"/>
    <cellStyle name="Porcentagem 14 6 6 2" xfId="31447" xr:uid="{E5B5B653-528B-435B-AC22-EC01DA4E6E73}"/>
    <cellStyle name="Porcentagem 14 6 7" xfId="27953" xr:uid="{4B2DB9E2-21B0-4F0C-853C-58A1D2DE4787}"/>
    <cellStyle name="Porcentagem 14 7" xfId="12675" xr:uid="{F8EE8DFA-9E6C-4B2F-A257-49972039154E}"/>
    <cellStyle name="Porcentagem 14 7 2" xfId="33016" xr:uid="{D9114EE6-EFDA-4D9E-9EB7-4EE4BF9EE51E}"/>
    <cellStyle name="Porcentagem 14 8" xfId="15570" xr:uid="{18175A70-E0DC-45ED-B3FD-DEF66B48E9F8}"/>
    <cellStyle name="Porcentagem 14 8 2" xfId="35910" xr:uid="{67480EE8-D41A-4A9A-AC88-D51E8BBA049B}"/>
    <cellStyle name="Porcentagem 14 9" xfId="18484" xr:uid="{66F8259A-4F6E-4A25-8588-F91A77FF5373}"/>
    <cellStyle name="Porcentagem 14 9 2" xfId="38824" xr:uid="{378F527D-9F0A-4D9F-846B-40F9807B51E5}"/>
    <cellStyle name="Porcentagem 15" xfId="8084" xr:uid="{E23CB5FB-3728-486C-AC20-0102406B4EEF}"/>
    <cellStyle name="Porcentagem 15 2" xfId="15461" xr:uid="{672F2F9A-C10A-428E-9793-9FEB9005BB73}"/>
    <cellStyle name="Porcentagem 15 2 2" xfId="35801" xr:uid="{77EA1080-C152-42CA-B892-5B869BB41721}"/>
    <cellStyle name="Porcentagem 15 3" xfId="18369" xr:uid="{8776897A-DD38-4A4B-9190-9744DC2C58AB}"/>
    <cellStyle name="Porcentagem 15 3 2" xfId="38709" xr:uid="{253C0E70-41C9-40CD-892D-D17304B67D13}"/>
    <cellStyle name="Porcentagem 15 4" xfId="18962" xr:uid="{99DC7B7A-C98B-42AB-89D6-BDCDA955B7FB}"/>
    <cellStyle name="Porcentagem 15 4 2" xfId="39302" xr:uid="{CC4E3B22-01FB-4968-A4A9-306F492A7AA5}"/>
    <cellStyle name="Porcentagem 15 5" xfId="21871" xr:uid="{7F2F874F-BBB8-4D66-8309-A216ECBA97E6}"/>
    <cellStyle name="Porcentagem 15 5 2" xfId="42210" xr:uid="{92D2F6AF-971C-4944-A6E2-D720E5F6F28F}"/>
    <cellStyle name="Porcentagem 15 6" xfId="25126" xr:uid="{4DADF919-738A-4A8C-8E2F-7ADC6CFB6BB1}"/>
    <cellStyle name="Porcentagem 15 6 2" xfId="45461" xr:uid="{C8A5F632-CE0E-4E26-A6C8-5FCF886B341B}"/>
    <cellStyle name="Porcentagem 15 7" xfId="12521" xr:uid="{0AE4CEB8-12B1-4F67-9D80-D29D4FA89349}"/>
    <cellStyle name="Porcentagem 15 7 2" xfId="32862" xr:uid="{52381E6E-08F5-4519-BF34-CB3C24925F52}"/>
    <cellStyle name="Porcentagem 15 8" xfId="11582" xr:uid="{4FA276AC-A1BE-4605-A9F6-AA429E6DFF6C}"/>
    <cellStyle name="Porcentagem 15 8 2" xfId="31925" xr:uid="{A0A696AF-0F82-4D61-8F2B-80B70CAEDA81}"/>
    <cellStyle name="Porcentagem 15 9" xfId="28431" xr:uid="{C7D993BB-02C5-4089-AA95-D39DEEB15D70}"/>
    <cellStyle name="Porcentagem 16" xfId="12526" xr:uid="{67FAA01F-2BF6-4A9D-A141-135453FE6EB3}"/>
    <cellStyle name="Porcentagem 16 2" xfId="32867" xr:uid="{762565BC-CF30-42EE-A8BD-6E6349567D90}"/>
    <cellStyle name="Porcentagem 17" xfId="25471" xr:uid="{D1955548-1801-474F-B53B-ED17F43929B4}"/>
    <cellStyle name="Porcentagem 18" xfId="46782" xr:uid="{0D5FBB48-9846-439F-AAD6-A4364DEA4E00}"/>
    <cellStyle name="Porcentagem 19" xfId="47292" xr:uid="{E7349B6E-B994-4062-B1DE-CE84C1507E31}"/>
    <cellStyle name="Porcentagem 2" xfId="34" xr:uid="{448466A0-DC86-4A6F-AA47-47669F4A851A}"/>
    <cellStyle name="Porcentagem 2 2" xfId="60" xr:uid="{D20C60A8-25FB-4177-949B-EAB0549D70C8}"/>
    <cellStyle name="Porcentagem 2 2 2" xfId="5278" xr:uid="{C39FFEAD-DEC9-4D1E-A2C1-DDB7CA3764BE}"/>
    <cellStyle name="Porcentagem 2 2 2 2" xfId="5207" xr:uid="{187B8C5E-27AD-482C-932D-8C1A00EE4FAF}"/>
    <cellStyle name="Porcentagem 2 2 3" xfId="5279" xr:uid="{F45F9103-DC88-4AC7-89A1-9C3EA16E21D4}"/>
    <cellStyle name="Porcentagem 2 3" xfId="2072" xr:uid="{D19706E2-5F7C-4A39-927B-F660A0E3D9DE}"/>
    <cellStyle name="Porcentagem 2 3 3" xfId="4358" xr:uid="{74C2673F-CC59-4F28-8770-96B4803A2A90}"/>
    <cellStyle name="Porcentagem 2 4" xfId="25479" xr:uid="{AA360E9E-0AE6-4016-B01C-61C98EA76C7F}"/>
    <cellStyle name="Porcentagem 20" xfId="47418" xr:uid="{40540A2E-B59C-46AA-AEE1-649F43540DA3}"/>
    <cellStyle name="Porcentagem 21" xfId="47544" xr:uid="{FC048D90-1803-4ABF-A165-6BBA1DC7E075}"/>
    <cellStyle name="Porcentagem 22" xfId="47682" xr:uid="{BC7FD861-53F6-48F5-9540-A4DC181670E8}"/>
    <cellStyle name="Porcentagem 23" xfId="47690" xr:uid="{5F93F39C-299D-4C5E-9CDC-E428FC6A48E7}"/>
    <cellStyle name="Porcentagem 24" xfId="48293" xr:uid="{E17AD0CD-D858-40A9-AE4A-27323E5D3D0C}"/>
    <cellStyle name="Porcentagem 25" xfId="49962" xr:uid="{0E690EEF-7563-4355-82CF-476465B683B5}"/>
    <cellStyle name="Porcentagem 26" xfId="53257" xr:uid="{C67F6D26-A231-43D1-B50A-54BE305CEBD9}"/>
    <cellStyle name="Porcentagem 27" xfId="57609" xr:uid="{441860D9-734B-427F-86DC-C3EF62AF7B35}"/>
    <cellStyle name="Porcentagem 3" xfId="48" xr:uid="{72CDAD2E-4AE7-4DDF-88FD-73CC629ADCA8}"/>
    <cellStyle name="Porcentagem 3 2" xfId="4789" xr:uid="{644E7D94-79D6-4BD3-9343-B6B5946EF833}"/>
    <cellStyle name="Porcentagem 3 3" xfId="25604" xr:uid="{08C31F3C-DE08-4BB1-AE87-5934C9D011E1}"/>
    <cellStyle name="Porcentagem 3 4" xfId="25491" xr:uid="{FC5E795E-035B-4544-8B81-B62CD12422FB}"/>
    <cellStyle name="Porcentagem 4" xfId="50" xr:uid="{A622446C-6D5F-4983-906C-3562907884C2}"/>
    <cellStyle name="Porcentagem 4 2" xfId="4959" xr:uid="{406550CE-D740-40BE-BB3A-1CC403537929}"/>
    <cellStyle name="Porcentagem 4 2 2" xfId="5280" xr:uid="{DC14EFE3-0E77-43B5-9806-59F8495FE10C}"/>
    <cellStyle name="Porcentagem 4 3" xfId="5281" xr:uid="{4CEEC700-1F7F-4BE6-907A-4726E8DD8DF9}"/>
    <cellStyle name="Porcentagem 4 3 10" xfId="19048" xr:uid="{90DFE7E2-D36E-410B-B6FD-76978F01FCDB}"/>
    <cellStyle name="Porcentagem 4 3 10 2" xfId="39387" xr:uid="{6317645C-409C-4E94-942B-F3EEA37DA08B}"/>
    <cellStyle name="Porcentagem 4 3 11" xfId="22303" xr:uid="{470DB5E4-681A-477F-AD21-24FE97487C7B}"/>
    <cellStyle name="Porcentagem 4 3 11 2" xfId="42638" xr:uid="{650834FD-159E-4689-A1AC-EC7AD7FA9DEF}"/>
    <cellStyle name="Porcentagem 4 3 12" xfId="12020" xr:uid="{EF7F1787-8D5B-421D-A431-1131F8545C70}"/>
    <cellStyle name="Porcentagem 4 3 12 2" xfId="32361" xr:uid="{8177B222-61C3-4BA5-BD90-C728E6D12395}"/>
    <cellStyle name="Porcentagem 4 3 13" xfId="8759" xr:uid="{6D701689-8A19-481B-8AE2-9548AD2826E3}"/>
    <cellStyle name="Porcentagem 4 3 13 2" xfId="29102" xr:uid="{1487B0E4-49E6-405A-9459-1FA3CAE8ACBE}"/>
    <cellStyle name="Porcentagem 4 3 14" xfId="25606" xr:uid="{1D43EDE0-0FFE-426E-BBB8-892B18AFDA0E}"/>
    <cellStyle name="Porcentagem 4 3 2" xfId="5392" xr:uid="{832A11F3-90C4-4ABB-8F9F-7CA00CF73006}"/>
    <cellStyle name="Porcentagem 4 3 2 10" xfId="12135" xr:uid="{97D5C523-3EA9-4616-9BE1-25CFF3F633E1}"/>
    <cellStyle name="Porcentagem 4 3 2 10 2" xfId="32476" xr:uid="{C7BB294C-64B6-4E57-BA65-4FABDD2394DF}"/>
    <cellStyle name="Porcentagem 4 3 2 11" xfId="8874" xr:uid="{9C656F39-FD3F-4D0A-80DF-97F9C9761CD8}"/>
    <cellStyle name="Porcentagem 4 3 2 11 2" xfId="29217" xr:uid="{FED8A24D-E73A-40FF-BB1A-301346DA3347}"/>
    <cellStyle name="Porcentagem 4 3 2 12" xfId="25723" xr:uid="{F7148967-8D82-485D-8B8C-6B1396F3242D}"/>
    <cellStyle name="Porcentagem 4 3 2 2" xfId="5956" xr:uid="{B461DD3D-DF68-40EC-8B91-6C2023AEFD5F}"/>
    <cellStyle name="Porcentagem 4 3 2 2 2" xfId="7114" xr:uid="{DCB3DC56-4992-419A-9A8D-62FFF34F15FE}"/>
    <cellStyle name="Porcentagem 4 3 2 2 2 2" xfId="17400" xr:uid="{4530BB83-223E-4D89-8EAB-F8F6B8527AA5}"/>
    <cellStyle name="Porcentagem 4 3 2 2 2 2 2" xfId="37740" xr:uid="{C002A394-E6EE-4CE8-A216-1EE91BFB90B5}"/>
    <cellStyle name="Porcentagem 4 3 2 2 2 3" xfId="20902" xr:uid="{18B57CDE-C2CB-47B6-A444-7EE885B31D6A}"/>
    <cellStyle name="Porcentagem 4 3 2 2 2 3 2" xfId="41241" xr:uid="{B1196C2D-5971-408B-9EB3-C5DE56FF0E80}"/>
    <cellStyle name="Porcentagem 4 3 2 2 2 4" xfId="24157" xr:uid="{76B39F42-B82A-4E20-818B-0A851F408DAB}"/>
    <cellStyle name="Porcentagem 4 3 2 2 2 4 2" xfId="44492" xr:uid="{A45A117E-B0DE-42A7-B6C8-8F5CDA804BE8}"/>
    <cellStyle name="Porcentagem 4 3 2 2 2 5" xfId="14491" xr:uid="{F06653AD-E618-49AD-BAB1-E1D39DF3E0B0}"/>
    <cellStyle name="Porcentagem 4 3 2 2 2 5 2" xfId="34832" xr:uid="{2599D170-D79E-4160-AC43-492432006F53}"/>
    <cellStyle name="Porcentagem 4 3 2 2 2 6" xfId="10613" xr:uid="{88D39023-266D-4832-B9CD-4B590480A6E9}"/>
    <cellStyle name="Porcentagem 4 3 2 2 2 6 2" xfId="30956" xr:uid="{36079EB8-A727-4902-B481-D298716C5759}"/>
    <cellStyle name="Porcentagem 4 3 2 2 2 7" xfId="27462" xr:uid="{C4819AA4-50CC-4C6C-A6C1-4CF0B580FFF9}"/>
    <cellStyle name="Porcentagem 4 3 2 2 3" xfId="16242" xr:uid="{0E535276-0401-4B02-BD74-9A7D32C9019A}"/>
    <cellStyle name="Porcentagem 4 3 2 2 3 2" xfId="36582" xr:uid="{88DCEFD3-3974-4F46-8249-31B90A12A630}"/>
    <cellStyle name="Porcentagem 4 3 2 2 4" xfId="19744" xr:uid="{03ECEF86-9B11-4C95-8BB0-091DA7051515}"/>
    <cellStyle name="Porcentagem 4 3 2 2 4 2" xfId="40083" xr:uid="{B0F51962-DA0C-459A-B050-33FBEF15F140}"/>
    <cellStyle name="Porcentagem 4 3 2 2 5" xfId="22999" xr:uid="{CE24D529-3340-4DD5-819B-D934B78F3029}"/>
    <cellStyle name="Porcentagem 4 3 2 2 5 2" xfId="43334" xr:uid="{C483695B-4A65-462E-8CD8-FD77EA5F3DD9}"/>
    <cellStyle name="Porcentagem 4 3 2 2 6" xfId="13333" xr:uid="{D63559F5-D3C6-485A-B215-E92D2E7BF866}"/>
    <cellStyle name="Porcentagem 4 3 2 2 6 2" xfId="33674" xr:uid="{9E705FEC-1D9E-4BBC-862D-33480B8579A6}"/>
    <cellStyle name="Porcentagem 4 3 2 2 7" xfId="9455" xr:uid="{8D5ACE33-93F1-4306-A63A-8831E6A5F6FF}"/>
    <cellStyle name="Porcentagem 4 3 2 2 7 2" xfId="29798" xr:uid="{B079F815-EFDD-4307-8093-CEF28D0DF5DE}"/>
    <cellStyle name="Porcentagem 4 3 2 2 8" xfId="26304" xr:uid="{720EB5FE-EC1D-4B10-BFA1-C4A39465F780}"/>
    <cellStyle name="Porcentagem 4 3 2 3" xfId="6533" xr:uid="{ECE3042A-A8C9-4FF4-86C6-BED85E25F42F}"/>
    <cellStyle name="Porcentagem 4 3 2 3 2" xfId="16819" xr:uid="{59DC4EC3-444B-42A4-B69E-D071CB9775FF}"/>
    <cellStyle name="Porcentagem 4 3 2 3 2 2" xfId="37159" xr:uid="{F45A3138-AC52-4579-8B79-2704F9DFEADA}"/>
    <cellStyle name="Porcentagem 4 3 2 3 3" xfId="20321" xr:uid="{0B22D446-3DEC-4B77-9D8D-360393EABA2D}"/>
    <cellStyle name="Porcentagem 4 3 2 3 3 2" xfId="40660" xr:uid="{6CCEF839-2D42-40A9-A786-DF1FABE9FDB6}"/>
    <cellStyle name="Porcentagem 4 3 2 3 4" xfId="23576" xr:uid="{39934637-AED7-4DAC-8B23-205BD8C3C38B}"/>
    <cellStyle name="Porcentagem 4 3 2 3 4 2" xfId="43911" xr:uid="{D7444B59-8621-46DB-B107-A3EC98467711}"/>
    <cellStyle name="Porcentagem 4 3 2 3 5" xfId="13910" xr:uid="{50678266-B6FA-4B2D-969D-D50EB1C9AA97}"/>
    <cellStyle name="Porcentagem 4 3 2 3 5 2" xfId="34251" xr:uid="{87BE7AD0-4A19-4134-88E3-A59A5208202A}"/>
    <cellStyle name="Porcentagem 4 3 2 3 6" xfId="10032" xr:uid="{522E8F89-EB0F-4643-B0BD-B3B8836106B5}"/>
    <cellStyle name="Porcentagem 4 3 2 3 6 2" xfId="30375" xr:uid="{93DAEF29-9BC1-43B1-97A9-EFC31D02B887}"/>
    <cellStyle name="Porcentagem 4 3 2 3 7" xfId="26881" xr:uid="{70132364-77EE-44AB-9EAF-A3FD006A3252}"/>
    <cellStyle name="Porcentagem 4 3 2 4" xfId="7697" xr:uid="{55AE62D2-FFD2-4823-B968-1040B50DD91B}"/>
    <cellStyle name="Porcentagem 4 3 2 4 2" xfId="17982" xr:uid="{2B601140-326A-4E09-AABA-75107A048E29}"/>
    <cellStyle name="Porcentagem 4 3 2 4 2 2" xfId="38322" xr:uid="{391E4AEB-5209-45AB-8395-7D41679F9312}"/>
    <cellStyle name="Porcentagem 4 3 2 4 3" xfId="21484" xr:uid="{B25FEAA9-1CBC-4419-9B24-165388073832}"/>
    <cellStyle name="Porcentagem 4 3 2 4 3 2" xfId="41823" xr:uid="{3932B11F-844F-485A-95AA-240D297D5BF4}"/>
    <cellStyle name="Porcentagem 4 3 2 4 4" xfId="24739" xr:uid="{D6F24C29-BA47-4870-B7DE-10B20C74FB2C}"/>
    <cellStyle name="Porcentagem 4 3 2 4 4 2" xfId="45074" xr:uid="{A770B1F6-8087-44B0-8728-B5E5336DED8A}"/>
    <cellStyle name="Porcentagem 4 3 2 4 5" xfId="15074" xr:uid="{B9179BF1-3B75-49C1-9554-84357565075E}"/>
    <cellStyle name="Porcentagem 4 3 2 4 5 2" xfId="35414" xr:uid="{AC521F5E-2819-43AE-859A-912B639D1D17}"/>
    <cellStyle name="Porcentagem 4 3 2 4 6" xfId="11195" xr:uid="{7C118B37-4358-43E7-8253-D2C4706BD5BD}"/>
    <cellStyle name="Porcentagem 4 3 2 4 6 2" xfId="31538" xr:uid="{7915E41D-E73A-4699-8D95-29598A92ED0D}"/>
    <cellStyle name="Porcentagem 4 3 2 4 7" xfId="28044" xr:uid="{9D49D5E2-F990-4288-879F-DC68C5EDB996}"/>
    <cellStyle name="Porcentagem 4 3 2 5" xfId="12764" xr:uid="{096D3D4F-DE04-4CB3-88DA-1C5D14736ECA}"/>
    <cellStyle name="Porcentagem 4 3 2 5 2" xfId="33105" xr:uid="{1B0FD60A-E117-407A-B984-04FF0256B482}"/>
    <cellStyle name="Porcentagem 4 3 2 6" xfId="15661" xr:uid="{6BB403E6-53A1-420F-A306-7298F7DD66EF}"/>
    <cellStyle name="Porcentagem 4 3 2 6 2" xfId="36001" xr:uid="{48C2668F-B9A2-42F8-B7AE-4E0DA9B2BD08}"/>
    <cellStyle name="Porcentagem 4 3 2 7" xfId="18575" xr:uid="{58EEDB80-8B3B-4844-863A-718404BD1A96}"/>
    <cellStyle name="Porcentagem 4 3 2 7 2" xfId="38915" xr:uid="{FE4B2C34-CFFD-4037-B9B6-2AF7ED6EB1EB}"/>
    <cellStyle name="Porcentagem 4 3 2 8" xfId="19163" xr:uid="{E5915B82-F061-4A09-94D4-C566C89A2C29}"/>
    <cellStyle name="Porcentagem 4 3 2 8 2" xfId="39502" xr:uid="{88317669-EC90-46EE-9F87-9E9A7354D156}"/>
    <cellStyle name="Porcentagem 4 3 2 9" xfId="22418" xr:uid="{3C3000B8-134C-4E7E-B591-A68BBD873CA9}"/>
    <cellStyle name="Porcentagem 4 3 2 9 2" xfId="42753" xr:uid="{7978B178-800D-486D-96CA-6F0302B9A317}"/>
    <cellStyle name="Porcentagem 4 3 3" xfId="5613" xr:uid="{3344824F-2EDF-4DBF-B30E-E68705752B4E}"/>
    <cellStyle name="Porcentagem 4 3 3 10" xfId="12364" xr:uid="{7E85456E-2C6A-43AD-BF59-3BB0B7BC75D3}"/>
    <cellStyle name="Porcentagem 4 3 3 10 2" xfId="32705" xr:uid="{8E50EB4B-9ACB-47E0-A6C7-60B8FD4F3FF1}"/>
    <cellStyle name="Porcentagem 4 3 3 11" xfId="9103" xr:uid="{0BB39EE7-0236-4640-A93A-E0F45398AE7F}"/>
    <cellStyle name="Porcentagem 4 3 3 11 2" xfId="29446" xr:uid="{3C9E7EF0-A4E6-43E2-A9D3-AB973DA2C72C}"/>
    <cellStyle name="Porcentagem 4 3 3 12" xfId="25952" xr:uid="{F6C52683-D909-4E79-BBB0-D24989AB6D98}"/>
    <cellStyle name="Porcentagem 4 3 3 2" xfId="6185" xr:uid="{8DB74D18-CB93-41D7-A46D-577614F3FC59}"/>
    <cellStyle name="Porcentagem 4 3 3 2 2" xfId="7343" xr:uid="{09AFC56F-3FBA-43A5-B1A8-499F6CEB0B2C}"/>
    <cellStyle name="Porcentagem 4 3 3 2 2 2" xfId="17629" xr:uid="{A90AADED-4EBD-45A5-A3CD-C6CA66104DCA}"/>
    <cellStyle name="Porcentagem 4 3 3 2 2 2 2" xfId="37969" xr:uid="{A320F1A7-83B3-44B9-83E5-6D5E0AB03EDA}"/>
    <cellStyle name="Porcentagem 4 3 3 2 2 3" xfId="21131" xr:uid="{127A02D7-A2D1-4164-AA8A-4C98FEAE8441}"/>
    <cellStyle name="Porcentagem 4 3 3 2 2 3 2" xfId="41470" xr:uid="{4757B733-B3A9-470E-969D-AAE9AF16D91A}"/>
    <cellStyle name="Porcentagem 4 3 3 2 2 4" xfId="24386" xr:uid="{34EC63A1-76D5-4E71-B312-52AB3EE69BDE}"/>
    <cellStyle name="Porcentagem 4 3 3 2 2 4 2" xfId="44721" xr:uid="{3FB898E6-8DA0-49EB-8319-9AC9331741B2}"/>
    <cellStyle name="Porcentagem 4 3 3 2 2 5" xfId="14720" xr:uid="{B0388501-3208-4BD3-A4CE-FB1F1EC1DB71}"/>
    <cellStyle name="Porcentagem 4 3 3 2 2 5 2" xfId="35061" xr:uid="{7D34F206-A807-42EF-9555-B819F4A66DFC}"/>
    <cellStyle name="Porcentagem 4 3 3 2 2 6" xfId="10842" xr:uid="{51389280-0E96-451B-929D-1EBF5200ABDC}"/>
    <cellStyle name="Porcentagem 4 3 3 2 2 6 2" xfId="31185" xr:uid="{73855C32-D904-4B0A-A97A-3B920B3C68A2}"/>
    <cellStyle name="Porcentagem 4 3 3 2 2 7" xfId="27691" xr:uid="{F2B0E624-5FE7-4A57-86E0-C29A687722FE}"/>
    <cellStyle name="Porcentagem 4 3 3 2 3" xfId="16471" xr:uid="{76A60176-6DAF-441C-8E13-7F500C0AE7AE}"/>
    <cellStyle name="Porcentagem 4 3 3 2 3 2" xfId="36811" xr:uid="{597E96C1-B007-408E-80FF-9D3C18E6293D}"/>
    <cellStyle name="Porcentagem 4 3 3 2 4" xfId="19973" xr:uid="{E18092B6-4DDA-4461-A2B2-0D14DF621276}"/>
    <cellStyle name="Porcentagem 4 3 3 2 4 2" xfId="40312" xr:uid="{924EA7A5-58AD-446F-86F4-BDF37C6A7A8D}"/>
    <cellStyle name="Porcentagem 4 3 3 2 5" xfId="23228" xr:uid="{045EB4F1-1149-4007-AE4B-7199C22EF78F}"/>
    <cellStyle name="Porcentagem 4 3 3 2 5 2" xfId="43563" xr:uid="{5FB9C8E3-27B9-4998-B31A-1E7C9A5B9A98}"/>
    <cellStyle name="Porcentagem 4 3 3 2 6" xfId="13562" xr:uid="{B4FA31CC-8284-439C-8133-ACD67018AEAA}"/>
    <cellStyle name="Porcentagem 4 3 3 2 6 2" xfId="33903" xr:uid="{82752F38-C5A3-407D-A8D5-EF71B40A75AE}"/>
    <cellStyle name="Porcentagem 4 3 3 2 7" xfId="9684" xr:uid="{87F103DC-9152-4BF0-83A2-F7C724DFBA59}"/>
    <cellStyle name="Porcentagem 4 3 3 2 7 2" xfId="30027" xr:uid="{EDED956C-5CE5-481B-8682-D2DFAC12264F}"/>
    <cellStyle name="Porcentagem 4 3 3 2 8" xfId="26533" xr:uid="{90CFFB5A-F331-494D-9DDE-6B4A09E74321}"/>
    <cellStyle name="Porcentagem 4 3 3 3" xfId="6762" xr:uid="{3A0E42BB-E6D1-4519-A4C7-8C700EADA8F0}"/>
    <cellStyle name="Porcentagem 4 3 3 3 2" xfId="17048" xr:uid="{A7B003F0-8B87-44F9-A631-B374A1BBED87}"/>
    <cellStyle name="Porcentagem 4 3 3 3 2 2" xfId="37388" xr:uid="{F2455CA3-454C-4C9D-B43D-DC707DFEE89D}"/>
    <cellStyle name="Porcentagem 4 3 3 3 3" xfId="20550" xr:uid="{38D2BBC1-17E6-4573-9730-40FF0C868CE9}"/>
    <cellStyle name="Porcentagem 4 3 3 3 3 2" xfId="40889" xr:uid="{5E0CD0A2-588A-45A7-A11A-C49FCEE411E2}"/>
    <cellStyle name="Porcentagem 4 3 3 3 4" xfId="23805" xr:uid="{9C8E2C28-F86E-45B5-83C2-0C8A1F2298F0}"/>
    <cellStyle name="Porcentagem 4 3 3 3 4 2" xfId="44140" xr:uid="{8067145B-06E2-4996-8E35-D5B602AA19EF}"/>
    <cellStyle name="Porcentagem 4 3 3 3 5" xfId="14139" xr:uid="{80B581A0-0DB1-4F9C-BBBA-E52FEEF71CBC}"/>
    <cellStyle name="Porcentagem 4 3 3 3 5 2" xfId="34480" xr:uid="{1F4EC3EC-6228-40BA-A10F-EA74C3FFB796}"/>
    <cellStyle name="Porcentagem 4 3 3 3 6" xfId="10261" xr:uid="{733ED695-0BA3-42C8-BED2-7FDD1C0E3B6A}"/>
    <cellStyle name="Porcentagem 4 3 3 3 6 2" xfId="30604" xr:uid="{AA375761-3984-417B-87E4-6E9691BC7842}"/>
    <cellStyle name="Porcentagem 4 3 3 3 7" xfId="27110" xr:uid="{3E4747B6-6EB4-44B7-9DFF-8D1C2CF3B165}"/>
    <cellStyle name="Porcentagem 4 3 3 4" xfId="7926" xr:uid="{B75B4E24-B1B1-4741-8C65-FAC571895EF7}"/>
    <cellStyle name="Porcentagem 4 3 3 4 2" xfId="18211" xr:uid="{BEDD7F45-8D15-404C-A0A4-59914BF69961}"/>
    <cellStyle name="Porcentagem 4 3 3 4 2 2" xfId="38551" xr:uid="{1A014335-DFF7-4C31-867B-8333FF5B115E}"/>
    <cellStyle name="Porcentagem 4 3 3 4 3" xfId="21713" xr:uid="{B292A404-F147-450D-9375-42010C7D345F}"/>
    <cellStyle name="Porcentagem 4 3 3 4 3 2" xfId="42052" xr:uid="{E6FF843D-EBF6-4384-B86E-873A86A83C3F}"/>
    <cellStyle name="Porcentagem 4 3 3 4 4" xfId="24968" xr:uid="{CBD19111-532D-4230-9CCD-4F5C7B268B46}"/>
    <cellStyle name="Porcentagem 4 3 3 4 4 2" xfId="45303" xr:uid="{7D286BFC-7657-4194-9780-22C3D0C965D8}"/>
    <cellStyle name="Porcentagem 4 3 3 4 5" xfId="15303" xr:uid="{78A44E3C-1478-4C31-9B17-0FB9680144AD}"/>
    <cellStyle name="Porcentagem 4 3 3 4 5 2" xfId="35643" xr:uid="{A8B26FC6-DD72-4B18-9558-58A2AB6E3FEC}"/>
    <cellStyle name="Porcentagem 4 3 3 4 6" xfId="11424" xr:uid="{82FD4992-B426-4AD5-B403-E5B96CE88733}"/>
    <cellStyle name="Porcentagem 4 3 3 4 6 2" xfId="31767" xr:uid="{0E2E7CFA-7B92-4F68-99BF-A34038F0786E}"/>
    <cellStyle name="Porcentagem 4 3 3 4 7" xfId="28273" xr:uid="{E8B90C9A-2BF3-40D9-91BE-E2B564AD9906}"/>
    <cellStyle name="Porcentagem 4 3 3 5" xfId="12993" xr:uid="{FBEF120F-7FCA-464F-B1B7-5DF24DF0F028}"/>
    <cellStyle name="Porcentagem 4 3 3 5 2" xfId="33334" xr:uid="{C2E574D1-2741-4753-8DC4-A6B4D75826C8}"/>
    <cellStyle name="Porcentagem 4 3 3 6" xfId="15890" xr:uid="{8EE92694-5BFD-4838-BCC0-45206698B086}"/>
    <cellStyle name="Porcentagem 4 3 3 6 2" xfId="36230" xr:uid="{522E34FA-2D36-4B1E-9653-E603576C6F93}"/>
    <cellStyle name="Porcentagem 4 3 3 7" xfId="18804" xr:uid="{F4CACDC1-B4CA-47E9-BE5C-BC252285D8EE}"/>
    <cellStyle name="Porcentagem 4 3 3 7 2" xfId="39144" xr:uid="{6A859742-50F3-4B0B-9314-A8D0AB4DE254}"/>
    <cellStyle name="Porcentagem 4 3 3 8" xfId="19392" xr:uid="{131F65A4-F1E0-4666-9058-48B81776BD32}"/>
    <cellStyle name="Porcentagem 4 3 3 8 2" xfId="39731" xr:uid="{99A436FD-9CDB-4C78-AFE3-9019B7EF89A0}"/>
    <cellStyle name="Porcentagem 4 3 3 9" xfId="22647" xr:uid="{EC00B8C3-C6C5-447F-AFE3-ED5294F4124D}"/>
    <cellStyle name="Porcentagem 4 3 3 9 2" xfId="42982" xr:uid="{8CBC8819-AE4F-49E2-950E-A7D030656AF7}"/>
    <cellStyle name="Porcentagem 4 3 4" xfId="5841" xr:uid="{FF619F7F-4EF9-409C-B2E0-5D3A2E87FEDA}"/>
    <cellStyle name="Porcentagem 4 3 4 2" xfId="6999" xr:uid="{126AAFD5-E1CE-464C-8E24-2CAF9609BD22}"/>
    <cellStyle name="Porcentagem 4 3 4 2 2" xfId="17285" xr:uid="{DA16512A-1D6D-4C91-9566-8B0C5B85326F}"/>
    <cellStyle name="Porcentagem 4 3 4 2 2 2" xfId="37625" xr:uid="{AF5B8FBF-E0B0-4811-AA4B-8BB4DFF08D60}"/>
    <cellStyle name="Porcentagem 4 3 4 2 3" xfId="20787" xr:uid="{B0F38730-B506-4F21-879F-29B97F40E82C}"/>
    <cellStyle name="Porcentagem 4 3 4 2 3 2" xfId="41126" xr:uid="{F08D3FE4-A870-4B47-854A-04573397EA9D}"/>
    <cellStyle name="Porcentagem 4 3 4 2 4" xfId="24042" xr:uid="{566F62C9-E43E-434D-87B9-269E59A78838}"/>
    <cellStyle name="Porcentagem 4 3 4 2 4 2" xfId="44377" xr:uid="{32ACDFB4-3CD4-4882-BDBE-F2696C882146}"/>
    <cellStyle name="Porcentagem 4 3 4 2 5" xfId="14376" xr:uid="{B306F5C2-5567-4409-90FA-924C4F43C4E3}"/>
    <cellStyle name="Porcentagem 4 3 4 2 5 2" xfId="34717" xr:uid="{6D7C642D-7EAE-4A3F-A51D-198E18C2CC65}"/>
    <cellStyle name="Porcentagem 4 3 4 2 6" xfId="10498" xr:uid="{95251889-9D5F-4DF4-9EBE-D2E9CF934495}"/>
    <cellStyle name="Porcentagem 4 3 4 2 6 2" xfId="30841" xr:uid="{EE9FFB90-2B2A-4548-ACB7-CD47B77764DA}"/>
    <cellStyle name="Porcentagem 4 3 4 2 7" xfId="27347" xr:uid="{04C99E59-0707-46CB-9F23-67BC4A3468F0}"/>
    <cellStyle name="Porcentagem 4 3 4 3" xfId="16127" xr:uid="{7092D01B-5A5C-4170-980A-3AD059A32A04}"/>
    <cellStyle name="Porcentagem 4 3 4 3 2" xfId="36467" xr:uid="{DEABB36C-C274-4DC2-AEA9-3CE30DBB9BC4}"/>
    <cellStyle name="Porcentagem 4 3 4 4" xfId="19629" xr:uid="{3CD52832-2BF6-4E18-AF23-DE4E9619A61F}"/>
    <cellStyle name="Porcentagem 4 3 4 4 2" xfId="39968" xr:uid="{84DDFFE3-3842-4C7D-8F70-479592363828}"/>
    <cellStyle name="Porcentagem 4 3 4 5" xfId="22884" xr:uid="{360A234A-86F1-44E5-B005-70450A108C17}"/>
    <cellStyle name="Porcentagem 4 3 4 5 2" xfId="43219" xr:uid="{CEFF4FA1-3A98-4F8A-943A-08E19E29139A}"/>
    <cellStyle name="Porcentagem 4 3 4 6" xfId="13220" xr:uid="{8009360F-338C-4680-8E57-CF1C0D4E1E57}"/>
    <cellStyle name="Porcentagem 4 3 4 6 2" xfId="33561" xr:uid="{42943636-AD21-43CD-A701-8BF89CAB5BE5}"/>
    <cellStyle name="Porcentagem 4 3 4 7" xfId="9340" xr:uid="{698E0BC3-F25C-46B7-A41C-D518568FA64D}"/>
    <cellStyle name="Porcentagem 4 3 4 7 2" xfId="29683" xr:uid="{9454A4AE-5E45-4F07-A3CD-D735565A494B}"/>
    <cellStyle name="Porcentagem 4 3 4 8" xfId="26189" xr:uid="{DE03EB60-7E0C-4CBF-8A40-5D18C9A66083}"/>
    <cellStyle name="Porcentagem 4 3 5" xfId="6418" xr:uid="{213C571A-3B9A-433D-81E6-0D5D907EA12E}"/>
    <cellStyle name="Porcentagem 4 3 5 2" xfId="16704" xr:uid="{75D289F2-AB7E-4ACF-82B1-92D10621308C}"/>
    <cellStyle name="Porcentagem 4 3 5 2 2" xfId="37044" xr:uid="{9538F671-E5BC-4C19-81E9-CF7A7B742252}"/>
    <cellStyle name="Porcentagem 4 3 5 3" xfId="20206" xr:uid="{2DC97323-B715-4A55-A3E6-90039C88FD1B}"/>
    <cellStyle name="Porcentagem 4 3 5 3 2" xfId="40545" xr:uid="{5AC75111-2911-49E2-9C4E-AC9D51B98304}"/>
    <cellStyle name="Porcentagem 4 3 5 4" xfId="23461" xr:uid="{652F69EC-C419-41ED-B9F2-6AFF0733B33B}"/>
    <cellStyle name="Porcentagem 4 3 5 4 2" xfId="43796" xr:uid="{41A947AA-5EF8-4AE3-B90F-741730F2F8B6}"/>
    <cellStyle name="Porcentagem 4 3 5 5" xfId="13795" xr:uid="{266C7F25-8B82-40C3-A391-7A9EE8EDB684}"/>
    <cellStyle name="Porcentagem 4 3 5 5 2" xfId="34136" xr:uid="{7315738F-711B-46BC-B5AD-3E51D269D1FD}"/>
    <cellStyle name="Porcentagem 4 3 5 6" xfId="9917" xr:uid="{78F09D8B-C7A1-4A15-8F28-A44D6857D34E}"/>
    <cellStyle name="Porcentagem 4 3 5 6 2" xfId="30260" xr:uid="{8591F3AE-9CCE-4ADA-A19D-8673D00643F1}"/>
    <cellStyle name="Porcentagem 4 3 5 7" xfId="26766" xr:uid="{6C8068D6-3B34-4774-B88C-1B4B46B9A24A}"/>
    <cellStyle name="Porcentagem 4 3 6" xfId="7582" xr:uid="{93B03B75-CCA1-4876-88B4-830FA2B7ED41}"/>
    <cellStyle name="Porcentagem 4 3 6 2" xfId="17867" xr:uid="{B383EB44-9BAE-4C82-BCC1-731EB74414E9}"/>
    <cellStyle name="Porcentagem 4 3 6 2 2" xfId="38207" xr:uid="{7ED8FC26-A298-4D94-91F4-6F33CE1BC4E1}"/>
    <cellStyle name="Porcentagem 4 3 6 3" xfId="21369" xr:uid="{7E0B0FBF-A9A7-413E-AC8A-BC9CE23DAD3B}"/>
    <cellStyle name="Porcentagem 4 3 6 3 2" xfId="41708" xr:uid="{51104BBE-4D06-4C9F-9646-A7FCB08FCC81}"/>
    <cellStyle name="Porcentagem 4 3 6 4" xfId="24624" xr:uid="{C79AC3B8-127D-4E0C-A5D0-696878E1DA23}"/>
    <cellStyle name="Porcentagem 4 3 6 4 2" xfId="44959" xr:uid="{DEA14901-494F-4D7E-A659-9E40BA2A1E40}"/>
    <cellStyle name="Porcentagem 4 3 6 5" xfId="14959" xr:uid="{7071DBDC-A1A2-48CC-96BA-B08339243F0E}"/>
    <cellStyle name="Porcentagem 4 3 6 5 2" xfId="35299" xr:uid="{BA7E9C2A-EE90-4C6A-8C47-891A697B7D19}"/>
    <cellStyle name="Porcentagem 4 3 6 6" xfId="11080" xr:uid="{E02E050B-B14B-4D6C-9940-24D99B55F4E3}"/>
    <cellStyle name="Porcentagem 4 3 6 6 2" xfId="31423" xr:uid="{5F979B73-10BE-47E8-A66B-AFD3CB859533}"/>
    <cellStyle name="Porcentagem 4 3 6 7" xfId="27929" xr:uid="{18C9A4A1-FB1F-4CB1-B52D-AF00F2EF898D}"/>
    <cellStyle name="Porcentagem 4 3 7" xfId="12651" xr:uid="{D0E87765-9667-4B7F-B619-B6F0C21219E7}"/>
    <cellStyle name="Porcentagem 4 3 7 2" xfId="32992" xr:uid="{2B73FF73-6775-4CED-81CA-6C568D2776C6}"/>
    <cellStyle name="Porcentagem 4 3 8" xfId="15546" xr:uid="{1B9C99A1-C837-4CA6-8FCA-65FAE7894CDF}"/>
    <cellStyle name="Porcentagem 4 3 8 2" xfId="35886" xr:uid="{E721522F-E02A-4176-9278-BAC99840D504}"/>
    <cellStyle name="Porcentagem 4 3 9" xfId="18460" xr:uid="{AA02044D-BC1D-4B7F-9689-4A219BDA5143}"/>
    <cellStyle name="Porcentagem 4 3 9 2" xfId="38800" xr:uid="{EA08A839-A706-4D72-A556-5C1F823D6612}"/>
    <cellStyle name="Porcentagem 4 4" xfId="25605" xr:uid="{89E7BF0D-B579-4A59-B23F-5E9B92D32CA7}"/>
    <cellStyle name="Porcentagem 4 5" xfId="25493" xr:uid="{FCBED397-BEF7-4A85-AFEE-8F9066F565D2}"/>
    <cellStyle name="Porcentagem 5" xfId="52" xr:uid="{3EA7E545-575A-4432-B182-A13081F168BA}"/>
    <cellStyle name="Porcentagem 5 2" xfId="5283" xr:uid="{36E8557D-B07D-4667-B436-209A9BAF1801}"/>
    <cellStyle name="Porcentagem 5 3" xfId="5284" xr:uid="{948F294E-66B7-4B9C-A721-13171AE9C571}"/>
    <cellStyle name="Porcentagem 5 4" xfId="25607" xr:uid="{D4608964-56E9-433D-A094-E9863DF3A2ED}"/>
    <cellStyle name="Porcentagem 5 5" xfId="25495" xr:uid="{85A7D5C3-AFFA-4519-B5EE-78B8F3CA995B}"/>
    <cellStyle name="Porcentagem 5 6" xfId="5282" xr:uid="{17425CBE-B8C1-4272-90F9-9B57064FD406}"/>
    <cellStyle name="Porcentagem 6" xfId="104" xr:uid="{500BE783-1934-47E3-9716-6F291B4A9093}"/>
    <cellStyle name="Porcentagem 6 2" xfId="5286" xr:uid="{6296FDF2-65F3-46CF-8325-CE3C8431A825}"/>
    <cellStyle name="Porcentagem 6 3" xfId="5287" xr:uid="{C1E15899-607C-46AD-AB5A-10734F4356CF}"/>
    <cellStyle name="Porcentagem 6 4" xfId="25608" xr:uid="{B40D5D36-F8DC-44A3-8FD0-11660455BF9C}"/>
    <cellStyle name="Porcentagem 6 5" xfId="25516" xr:uid="{CCC6E73B-04D3-4F82-865F-AD9E030D9104}"/>
    <cellStyle name="Porcentagem 6 6" xfId="5285" xr:uid="{48C5B8A2-E040-4EEA-A474-CD76DE9F669F}"/>
    <cellStyle name="Porcentagem 7" xfId="5288" xr:uid="{49A89918-282A-4C06-BDC1-5F09DBA1242E}"/>
    <cellStyle name="Porcentagem 8" xfId="5289" xr:uid="{11E672D9-5492-43E6-B88D-2F9BAD16AA84}"/>
    <cellStyle name="Porcentagem 9" xfId="5290" xr:uid="{7FEC8FA8-A45B-4B8C-A4D6-FF03C9549989}"/>
    <cellStyle name="Separador de milhares 2" xfId="27" xr:uid="{8E2387A8-FD6E-422F-A0FC-35D40139F978}"/>
    <cellStyle name="Separador de milhares 2 10" xfId="49963" xr:uid="{760653B9-C4A3-42B3-8267-C2AE4B60FC5D}"/>
    <cellStyle name="Separador de milhares 2 10 2" xfId="55956" xr:uid="{03C76807-8FE9-4E76-B0AB-30D113B33370}"/>
    <cellStyle name="Separador de milhares 2 11" xfId="53258" xr:uid="{B3AD2E2B-FE9A-4593-B909-81A11908B4A2}"/>
    <cellStyle name="Separador de milhares 2 12" xfId="5204" xr:uid="{5356CE77-9609-46AE-BE23-7810B02C8E07}"/>
    <cellStyle name="Separador de milhares 2 13" xfId="4368" xr:uid="{4FF038D6-C2CD-4525-BD0E-DD8BBE290B71}"/>
    <cellStyle name="Separador de milhares 2 2" xfId="30" xr:uid="{A5266613-ADA2-4556-9DC7-17E8AA9A2CAE}"/>
    <cellStyle name="Separador de milhares 2 2 10" xfId="15470" xr:uid="{B31DC7A1-666C-45E6-B1CC-24920DD5226F}"/>
    <cellStyle name="Separador de milhares 2 2 10 2" xfId="35810" xr:uid="{8110E7E4-C454-4C3F-89C2-C9BCABA0F48C}"/>
    <cellStyle name="Separador de milhares 2 2 11" xfId="18384" xr:uid="{A56025E3-4AF9-4095-94AB-52F4B817ABE4}"/>
    <cellStyle name="Separador de milhares 2 2 11 2" xfId="38724" xr:uid="{F4F9A475-4044-4A8F-A311-FDB433C333B1}"/>
    <cellStyle name="Separador de milhares 2 2 12" xfId="18972" xr:uid="{B77D5DBD-9F88-407F-9740-DE22AD3E3A0E}"/>
    <cellStyle name="Separador de milhares 2 2 12 2" xfId="39311" xr:uid="{2C31022F-766E-4335-B607-43786D4731E7}"/>
    <cellStyle name="Separador de milhares 2 2 13" xfId="22227" xr:uid="{E977F915-CB9D-42F1-9CF9-65D4A0A426C0}"/>
    <cellStyle name="Separador de milhares 2 2 13 2" xfId="42562" xr:uid="{EF4ED531-4BBD-43A8-9EFF-0D4EBD80837D}"/>
    <cellStyle name="Separador de milhares 2 2 14" xfId="11944" xr:uid="{00CD2C61-1DBE-4E49-9FF4-1B672F34AC6B}"/>
    <cellStyle name="Separador de milhares 2 2 14 2" xfId="32285" xr:uid="{FE524F77-EDB7-45C4-9F4E-D65F3E47F4C2}"/>
    <cellStyle name="Separador de milhares 2 2 15" xfId="8683" xr:uid="{C8599438-E230-4C00-A398-47CDB85E94BB}"/>
    <cellStyle name="Separador de milhares 2 2 15 2" xfId="29026" xr:uid="{24A41655-AC18-48A4-8C4B-B83B13E96A0C}"/>
    <cellStyle name="Separador de milhares 2 2 16" xfId="25528" xr:uid="{2708BBC0-CC6E-4073-8AAA-747E935D9490}"/>
    <cellStyle name="Separador de milhares 2 2 17" xfId="25475" xr:uid="{459DA4B7-55A5-4C49-8F61-E10A4D1DC619}"/>
    <cellStyle name="Separador de milhares 2 2 18" xfId="48295" xr:uid="{8FEE4C36-34FE-4B39-880B-2C65B05E43BF}"/>
    <cellStyle name="Separador de milhares 2 2 19" xfId="49964" xr:uid="{9B956936-2F1C-4E02-AE43-FE3EC4DBFFA7}"/>
    <cellStyle name="Separador de milhares 2 2 2" xfId="44" xr:uid="{9B1E8630-7806-4FC7-BD92-EF3C9F834095}"/>
    <cellStyle name="Separador de milhares 2 2 2 10" xfId="15543" xr:uid="{597BA7A6-F553-4C67-8EAA-5D6C75CA1000}"/>
    <cellStyle name="Separador de milhares 2 2 2 10 2" xfId="35883" xr:uid="{4D6C0CD5-1227-489B-80E2-38B68C501EB2}"/>
    <cellStyle name="Separador de milhares 2 2 2 11" xfId="18457" xr:uid="{2108F92D-C0AC-47F5-B508-F60CE591F8F2}"/>
    <cellStyle name="Separador de milhares 2 2 2 11 2" xfId="38797" xr:uid="{32F02C02-35DF-428C-A281-4888DF5FF9E6}"/>
    <cellStyle name="Separador de milhares 2 2 2 12" xfId="19045" xr:uid="{0A1016B0-83D2-4140-BD8A-DB2F1CCF0CD2}"/>
    <cellStyle name="Separador de milhares 2 2 2 12 2" xfId="39384" xr:uid="{A902F2BA-BCEB-42D6-A58B-C186460BFEB3}"/>
    <cellStyle name="Separador de milhares 2 2 2 13" xfId="22300" xr:uid="{6A3F11D3-9285-4806-A5E1-718FB03125AA}"/>
    <cellStyle name="Separador de milhares 2 2 2 13 2" xfId="42635" xr:uid="{1F4AD215-28F6-4D40-84F0-9F53052357EC}"/>
    <cellStyle name="Separador de milhares 2 2 2 14" xfId="12017" xr:uid="{54D6950A-9C67-451D-B4C8-57935C044C3C}"/>
    <cellStyle name="Separador de milhares 2 2 2 14 2" xfId="32358" xr:uid="{7700C6E0-03E8-4F84-9455-3D046B38944E}"/>
    <cellStyle name="Separador de milhares 2 2 2 15" xfId="8756" xr:uid="{0C6E6D08-8D83-48D6-A66C-C84C9535175D}"/>
    <cellStyle name="Separador de milhares 2 2 2 15 2" xfId="29099" xr:uid="{1A5528E7-7720-4B88-B8A8-162202DEE22D}"/>
    <cellStyle name="Separador de milhares 2 2 2 16" xfId="25601" xr:uid="{A6F73827-AEDE-4F20-903B-D529B2E275B8}"/>
    <cellStyle name="Separador de milhares 2 2 2 17" xfId="25487" xr:uid="{420C19F1-6AB6-462D-818E-06A6A64AC85D}"/>
    <cellStyle name="Separador de milhares 2 2 2 18" xfId="48296" xr:uid="{970EA8FD-809B-46F5-82F7-1DE0B1A38037}"/>
    <cellStyle name="Separador de milhares 2 2 2 19" xfId="49965" xr:uid="{39AA457C-EA93-45FB-9E6E-642BDBD3CF81}"/>
    <cellStyle name="Separador de milhares 2 2 2 2" xfId="344" xr:uid="{2EE490CA-E051-4DC5-9346-31CAAC1F7F32}"/>
    <cellStyle name="Separador de milhares 2 2 2 2 10" xfId="19050" xr:uid="{614531A6-36A4-46DF-94B0-FE929C2D0F65}"/>
    <cellStyle name="Separador de milhares 2 2 2 2 10 2" xfId="39389" xr:uid="{A0E0AB80-2277-4DB2-B14F-66672CE50789}"/>
    <cellStyle name="Separador de milhares 2 2 2 2 11" xfId="22305" xr:uid="{43CFA1AA-F652-4031-9E16-40F1CBBA72AC}"/>
    <cellStyle name="Separador de milhares 2 2 2 2 11 2" xfId="42640" xr:uid="{1C7DF666-BDAE-4FB0-9640-AAFFD835401B}"/>
    <cellStyle name="Separador de milhares 2 2 2 2 12" xfId="12022" xr:uid="{75EDB351-B47F-4808-842D-0986606F4341}"/>
    <cellStyle name="Separador de milhares 2 2 2 2 12 2" xfId="32363" xr:uid="{7B2AE1D6-E16D-4452-B2AE-9DA326620D28}"/>
    <cellStyle name="Separador de milhares 2 2 2 2 13" xfId="8761" xr:uid="{EBFD6176-06E7-41D5-B13E-C0F6AFC87271}"/>
    <cellStyle name="Separador de milhares 2 2 2 2 13 2" xfId="29104" xr:uid="{29FFEF19-77A0-4A67-973F-D395DA03965E}"/>
    <cellStyle name="Separador de milhares 2 2 2 2 14" xfId="25610" xr:uid="{CEA48DEA-2D22-4DE8-8FF3-E47A3826643F}"/>
    <cellStyle name="Separador de milhares 2 2 2 2 15" xfId="48297" xr:uid="{F248A9DD-1D8E-4917-AC44-6814BAB2411B}"/>
    <cellStyle name="Separador de milhares 2 2 2 2 16" xfId="49966" xr:uid="{0D02A0B0-25F7-4632-91B9-68261E4325AB}"/>
    <cellStyle name="Separador de milhares 2 2 2 2 17" xfId="53261" xr:uid="{747DE772-0CA8-47E6-A48A-A230213E0CB5}"/>
    <cellStyle name="Separador de milhares 2 2 2 2 18" xfId="5292" xr:uid="{29DB62F9-C3DB-4E90-82F9-F460C44C70A3}"/>
    <cellStyle name="Separador de milhares 2 2 2 2 19" xfId="4625" xr:uid="{C66C74D2-DF11-40FA-B377-07259252F2B0}"/>
    <cellStyle name="Separador de milhares 2 2 2 2 2" xfId="1160" xr:uid="{C27D68B6-E049-45A1-8CA9-F1B0BC52C6A6}"/>
    <cellStyle name="Separador de milhares 2 2 2 2 2 10" xfId="12137" xr:uid="{63453B36-1E04-46BF-86B9-C2B6014A625A}"/>
    <cellStyle name="Separador de milhares 2 2 2 2 2 10 2" xfId="32478" xr:uid="{D4F9FC9A-B2BD-4424-A444-757196D763D1}"/>
    <cellStyle name="Separador de milhares 2 2 2 2 2 11" xfId="8876" xr:uid="{FD701CD6-90FD-42F6-97B7-883F37EA8B2E}"/>
    <cellStyle name="Separador de milhares 2 2 2 2 2 11 2" xfId="29219" xr:uid="{ECA19B76-7181-4E04-BE23-EB432AD33CD2}"/>
    <cellStyle name="Separador de milhares 2 2 2 2 2 12" xfId="25725" xr:uid="{3AC9B71F-DB7A-4432-AAD8-819A0B9129D0}"/>
    <cellStyle name="Separador de milhares 2 2 2 2 2 13" xfId="48298" xr:uid="{549C99CA-78A0-4006-993D-F241F3E94D9C}"/>
    <cellStyle name="Separador de milhares 2 2 2 2 2 14" xfId="49967" xr:uid="{5E517753-5913-4C52-9BE4-C1A313C74910}"/>
    <cellStyle name="Separador de milhares 2 2 2 2 2 15" xfId="53262" xr:uid="{2F2B8746-B024-4F63-A17D-1D7284BDA7A9}"/>
    <cellStyle name="Separador de milhares 2 2 2 2 2 16" xfId="5394" xr:uid="{0C8AB754-33D2-46AC-868E-2E7BC01FF807}"/>
    <cellStyle name="Separador de milhares 2 2 2 2 2 2" xfId="2821" xr:uid="{41692FD7-04CC-47E5-95CC-28E0770B8451}"/>
    <cellStyle name="Separador de milhares 2 2 2 2 2 2 10" xfId="54895" xr:uid="{260D54D3-8E33-4193-A3DD-69FDB757A32C}"/>
    <cellStyle name="Separador de milhares 2 2 2 2 2 2 11" xfId="5958" xr:uid="{45B86531-D90B-4370-AC98-CF4187FF335A}"/>
    <cellStyle name="Separador de milhares 2 2 2 2 2 2 2" xfId="7116" xr:uid="{2DD91391-50A0-4602-9DDD-F9455DCE5D4D}"/>
    <cellStyle name="Separador de milhares 2 2 2 2 2 2 2 2" xfId="17402" xr:uid="{E7ED096E-4C43-4FE5-AF0B-27545E95DE6B}"/>
    <cellStyle name="Separador de milhares 2 2 2 2 2 2 2 2 2" xfId="37742" xr:uid="{87F48994-D7AE-4777-910E-AC4A26808ABF}"/>
    <cellStyle name="Separador de milhares 2 2 2 2 2 2 2 3" xfId="20904" xr:uid="{CEDC367E-8060-49B3-8363-0EB2310C0281}"/>
    <cellStyle name="Separador de milhares 2 2 2 2 2 2 2 3 2" xfId="41243" xr:uid="{2F8FD585-D8E6-4545-A3CC-A72B820EF1BD}"/>
    <cellStyle name="Separador de milhares 2 2 2 2 2 2 2 4" xfId="24159" xr:uid="{0E7E4E68-B152-4AC5-9168-26A0175EB7EC}"/>
    <cellStyle name="Separador de milhares 2 2 2 2 2 2 2 4 2" xfId="44494" xr:uid="{910EB07C-D9E6-4CD3-AD0E-E4671B2C9898}"/>
    <cellStyle name="Separador de milhares 2 2 2 2 2 2 2 5" xfId="14493" xr:uid="{A658FD24-34DF-4051-B16B-B674B466CFE7}"/>
    <cellStyle name="Separador de milhares 2 2 2 2 2 2 2 5 2" xfId="34834" xr:uid="{46EFDBC7-0B3A-4AE2-85FA-1EEFB3E20B06}"/>
    <cellStyle name="Separador de milhares 2 2 2 2 2 2 2 6" xfId="10615" xr:uid="{1BD6D603-E0AD-44CB-8D1E-650E53691290}"/>
    <cellStyle name="Separador de milhares 2 2 2 2 2 2 2 6 2" xfId="30958" xr:uid="{536FCCFE-11E7-4BEF-B247-09C340064C70}"/>
    <cellStyle name="Separador de milhares 2 2 2 2 2 2 2 7" xfId="27464" xr:uid="{A80486DA-3C5A-4C44-A068-1DB80C996792}"/>
    <cellStyle name="Separador de milhares 2 2 2 2 2 2 3" xfId="16244" xr:uid="{F1DF9B55-60FB-4221-8DCF-789F7C491FE1}"/>
    <cellStyle name="Separador de milhares 2 2 2 2 2 2 3 2" xfId="36584" xr:uid="{301A4AEF-4FB3-42D4-B587-BB163B357F66}"/>
    <cellStyle name="Separador de milhares 2 2 2 2 2 2 4" xfId="19746" xr:uid="{0B3B134E-7B6D-4E2C-BDE2-2AE39CF02C65}"/>
    <cellStyle name="Separador de milhares 2 2 2 2 2 2 4 2" xfId="40085" xr:uid="{98ED547C-C300-4123-BA20-8A4CAF0C97CE}"/>
    <cellStyle name="Separador de milhares 2 2 2 2 2 2 5" xfId="23001" xr:uid="{6C163368-DD32-4036-9D99-47070CD5713C}"/>
    <cellStyle name="Separador de milhares 2 2 2 2 2 2 5 2" xfId="43336" xr:uid="{D4F989AB-B15E-434E-A987-C353CF69F5A9}"/>
    <cellStyle name="Separador de milhares 2 2 2 2 2 2 6" xfId="13335" xr:uid="{4C4C5256-875E-4726-85E9-F503E3B77820}"/>
    <cellStyle name="Separador de milhares 2 2 2 2 2 2 6 2" xfId="33676" xr:uid="{CFF44475-5E69-4ECA-AE3A-2C902D1C27CA}"/>
    <cellStyle name="Separador de milhares 2 2 2 2 2 2 7" xfId="9457" xr:uid="{DF692806-F8D3-4E5E-814D-C92540D8DA8C}"/>
    <cellStyle name="Separador de milhares 2 2 2 2 2 2 7 2" xfId="29800" xr:uid="{6B269AE0-D4A3-4E33-886C-72193FB914FE}"/>
    <cellStyle name="Separador de milhares 2 2 2 2 2 2 8" xfId="26306" xr:uid="{5C7CD0C0-B5FD-48D7-9B85-7BC63ACE5BB3}"/>
    <cellStyle name="Separador de milhares 2 2 2 2 2 2 9" xfId="51601" xr:uid="{DD12A73E-188C-4A16-BFBB-FC40D8ADF31A}"/>
    <cellStyle name="Separador de milhares 2 2 2 2 2 3" xfId="6535" xr:uid="{B2445A87-E0D0-4466-A155-851C567F8997}"/>
    <cellStyle name="Separador de milhares 2 2 2 2 2 3 2" xfId="16821" xr:uid="{3A249CDB-E861-4D03-B1F5-C12856123C9B}"/>
    <cellStyle name="Separador de milhares 2 2 2 2 2 3 2 2" xfId="37161" xr:uid="{AD77F4F5-5385-48C6-9833-ED4FD3FC968C}"/>
    <cellStyle name="Separador de milhares 2 2 2 2 2 3 3" xfId="20323" xr:uid="{C73DA14B-B053-4A62-B5A4-86895991F571}"/>
    <cellStyle name="Separador de milhares 2 2 2 2 2 3 3 2" xfId="40662" xr:uid="{C6997676-72FE-4085-8ABB-924BB25741EA}"/>
    <cellStyle name="Separador de milhares 2 2 2 2 2 3 4" xfId="23578" xr:uid="{91D7DF18-920A-47EF-AA27-E1C4A3B93A08}"/>
    <cellStyle name="Separador de milhares 2 2 2 2 2 3 4 2" xfId="43913" xr:uid="{A55B787B-E02C-4CE7-81FA-1B245963C8D6}"/>
    <cellStyle name="Separador de milhares 2 2 2 2 2 3 5" xfId="13912" xr:uid="{E919F30A-5AB0-4B6A-921D-20F62DEDB490}"/>
    <cellStyle name="Separador de milhares 2 2 2 2 2 3 5 2" xfId="34253" xr:uid="{B391F9D1-DB20-400D-B8D9-AB4DE8E1D188}"/>
    <cellStyle name="Separador de milhares 2 2 2 2 2 3 6" xfId="10034" xr:uid="{C9317B27-1AF0-4EAE-A350-76671911988A}"/>
    <cellStyle name="Separador de milhares 2 2 2 2 2 3 6 2" xfId="30377" xr:uid="{65625CD8-1637-49C3-8916-10F38D827C9D}"/>
    <cellStyle name="Separador de milhares 2 2 2 2 2 3 7" xfId="26883" xr:uid="{3554C58C-F67C-4A75-A342-3012825ABB4B}"/>
    <cellStyle name="Separador de milhares 2 2 2 2 2 3 8" xfId="57031" xr:uid="{4E9C5DD6-A2DB-42E8-80A0-A1AB77760491}"/>
    <cellStyle name="Separador de milhares 2 2 2 2 2 4" xfId="7699" xr:uid="{C15589E6-F747-4842-8F98-4D9E1B788006}"/>
    <cellStyle name="Separador de milhares 2 2 2 2 2 4 2" xfId="17984" xr:uid="{6CACF3C1-07C8-4148-98DD-9E5ABF11171D}"/>
    <cellStyle name="Separador de milhares 2 2 2 2 2 4 2 2" xfId="38324" xr:uid="{909F24E5-FF76-4AD9-810B-C62E41BB21A5}"/>
    <cellStyle name="Separador de milhares 2 2 2 2 2 4 3" xfId="21486" xr:uid="{FE448322-5207-4CB4-964E-072B7F92F2AA}"/>
    <cellStyle name="Separador de milhares 2 2 2 2 2 4 3 2" xfId="41825" xr:uid="{3B134281-B558-4F72-8E28-6D0F08594B05}"/>
    <cellStyle name="Separador de milhares 2 2 2 2 2 4 4" xfId="24741" xr:uid="{3CAABEFA-DA2A-4D4E-B132-12979100389F}"/>
    <cellStyle name="Separador de milhares 2 2 2 2 2 4 4 2" xfId="45076" xr:uid="{B6A81899-8BE3-44B4-994E-250798665C34}"/>
    <cellStyle name="Separador de milhares 2 2 2 2 2 4 5" xfId="15076" xr:uid="{07F8CF7B-2D99-4696-BB06-5AC6EECD3F02}"/>
    <cellStyle name="Separador de milhares 2 2 2 2 2 4 5 2" xfId="35416" xr:uid="{7EDDBAFC-0A98-497F-B388-A39DB33FC943}"/>
    <cellStyle name="Separador de milhares 2 2 2 2 2 4 6" xfId="11197" xr:uid="{047B5F85-B4BB-40D3-9ECB-43B1306A4682}"/>
    <cellStyle name="Separador de milhares 2 2 2 2 2 4 6 2" xfId="31540" xr:uid="{82EFF2A0-E7F6-467E-AEFA-D6D92D79F747}"/>
    <cellStyle name="Separador de milhares 2 2 2 2 2 4 7" xfId="28046" xr:uid="{61A0EA60-2CBF-4957-881C-7AA498F52A23}"/>
    <cellStyle name="Separador de milhares 2 2 2 2 2 5" xfId="12766" xr:uid="{3B3AD9B8-F9E9-4196-A741-2D3BA9D78212}"/>
    <cellStyle name="Separador de milhares 2 2 2 2 2 5 2" xfId="33107" xr:uid="{BB2566B4-DC16-4421-8525-A1D589605B92}"/>
    <cellStyle name="Separador de milhares 2 2 2 2 2 6" xfId="15663" xr:uid="{7DC5CC15-CD59-4D25-B1A4-EA9F8C354F51}"/>
    <cellStyle name="Separador de milhares 2 2 2 2 2 6 2" xfId="36003" xr:uid="{365571BE-9EB0-47A1-B4CE-FC51D7F556B0}"/>
    <cellStyle name="Separador de milhares 2 2 2 2 2 7" xfId="18577" xr:uid="{FAC47F11-10B4-4A22-9EAC-E82EA70312D1}"/>
    <cellStyle name="Separador de milhares 2 2 2 2 2 7 2" xfId="38917" xr:uid="{DDC5F310-E139-4B3F-8002-3601619CF514}"/>
    <cellStyle name="Separador de milhares 2 2 2 2 2 8" xfId="19165" xr:uid="{6679F63D-278F-4BFA-B049-5F2C0737A1B3}"/>
    <cellStyle name="Separador de milhares 2 2 2 2 2 8 2" xfId="39504" xr:uid="{E6D8F77F-CF4B-4FA1-9C63-E7062212E476}"/>
    <cellStyle name="Separador de milhares 2 2 2 2 2 9" xfId="22420" xr:uid="{F6288994-0B7B-4D9B-AD48-F5CDDBBB4796}"/>
    <cellStyle name="Separador de milhares 2 2 2 2 2 9 2" xfId="42755" xr:uid="{3224CD3C-50D4-4D88-A919-B0654107F77F}"/>
    <cellStyle name="Separador de milhares 2 2 2 2 3" xfId="1566" xr:uid="{2838857E-FF88-4C10-8B13-61CB79405D41}"/>
    <cellStyle name="Separador de milhares 2 2 2 2 3 10" xfId="12366" xr:uid="{C04762D0-2F20-4942-9177-F3275B59D922}"/>
    <cellStyle name="Separador de milhares 2 2 2 2 3 10 2" xfId="32707" xr:uid="{776535C7-23BA-49E3-8BEF-7C579CB7DFB3}"/>
    <cellStyle name="Separador de milhares 2 2 2 2 3 11" xfId="9105" xr:uid="{F934EB19-D65E-4E35-A33C-042C4665ABCE}"/>
    <cellStyle name="Separador de milhares 2 2 2 2 3 11 2" xfId="29448" xr:uid="{FD710938-8C3C-45C3-BADF-A17D364845AD}"/>
    <cellStyle name="Separador de milhares 2 2 2 2 3 12" xfId="25954" xr:uid="{21519C1D-DDE0-479E-A42B-CA695B2D3F73}"/>
    <cellStyle name="Separador de milhares 2 2 2 2 3 13" xfId="48299" xr:uid="{7633C7CA-88E4-4294-836D-023978601BF1}"/>
    <cellStyle name="Separador de milhares 2 2 2 2 3 14" xfId="49968" xr:uid="{0DA7E193-48F5-4296-BB77-62745732BA11}"/>
    <cellStyle name="Separador de milhares 2 2 2 2 3 15" xfId="53263" xr:uid="{8DE66639-76D8-466A-954F-3A426FD79FAA}"/>
    <cellStyle name="Separador de milhares 2 2 2 2 3 16" xfId="5615" xr:uid="{22903517-9863-4236-A549-D46605691073}"/>
    <cellStyle name="Separador de milhares 2 2 2 2 3 2" xfId="3226" xr:uid="{AFD19EBC-C4AF-4107-AFFD-649ACBBE24C2}"/>
    <cellStyle name="Separador de milhares 2 2 2 2 3 2 10" xfId="54896" xr:uid="{0026A62A-4F05-4A54-B5C4-6DC67DC3D789}"/>
    <cellStyle name="Separador de milhares 2 2 2 2 3 2 11" xfId="6187" xr:uid="{1F7FCF3D-71E0-40E0-94C5-0AAF2C3FBC11}"/>
    <cellStyle name="Separador de milhares 2 2 2 2 3 2 2" xfId="7345" xr:uid="{19580C30-39A6-4CBA-9DEE-9D11BF9EAE71}"/>
    <cellStyle name="Separador de milhares 2 2 2 2 3 2 2 2" xfId="17631" xr:uid="{2805BF1C-3301-4496-90E4-E3FBF72F6854}"/>
    <cellStyle name="Separador de milhares 2 2 2 2 3 2 2 2 2" xfId="37971" xr:uid="{3CAD4BDB-5980-40E4-A379-30BB5F87C620}"/>
    <cellStyle name="Separador de milhares 2 2 2 2 3 2 2 3" xfId="21133" xr:uid="{C96D0D46-39CB-4AEF-B1F6-7889DC80CD3E}"/>
    <cellStyle name="Separador de milhares 2 2 2 2 3 2 2 3 2" xfId="41472" xr:uid="{1332DFC8-B1CE-4065-BDE9-C88A135F2EC4}"/>
    <cellStyle name="Separador de milhares 2 2 2 2 3 2 2 4" xfId="24388" xr:uid="{783D7866-8882-43AC-AB99-4FCA05575B87}"/>
    <cellStyle name="Separador de milhares 2 2 2 2 3 2 2 4 2" xfId="44723" xr:uid="{4B90C935-F5E3-4CBA-8125-0DF64D61F23B}"/>
    <cellStyle name="Separador de milhares 2 2 2 2 3 2 2 5" xfId="14722" xr:uid="{702B669D-8443-4121-A29F-EFD4E9D0B8F2}"/>
    <cellStyle name="Separador de milhares 2 2 2 2 3 2 2 5 2" xfId="35063" xr:uid="{FA305174-8CA6-4DB4-9934-8C2B8288C4D0}"/>
    <cellStyle name="Separador de milhares 2 2 2 2 3 2 2 6" xfId="10844" xr:uid="{7298CED7-8DCA-41F8-AEE5-E8D0E64A9315}"/>
    <cellStyle name="Separador de milhares 2 2 2 2 3 2 2 6 2" xfId="31187" xr:uid="{04FABF3A-7BCA-4866-9881-021DAF773FE4}"/>
    <cellStyle name="Separador de milhares 2 2 2 2 3 2 2 7" xfId="27693" xr:uid="{9E59DC0C-5444-427E-81E9-FAFFE2DEECDC}"/>
    <cellStyle name="Separador de milhares 2 2 2 2 3 2 3" xfId="16473" xr:uid="{18BF59AD-0926-4FD8-9388-DFBA8051FC1F}"/>
    <cellStyle name="Separador de milhares 2 2 2 2 3 2 3 2" xfId="36813" xr:uid="{89654857-5E18-4CC4-9F73-34DD6CA61FAA}"/>
    <cellStyle name="Separador de milhares 2 2 2 2 3 2 4" xfId="19975" xr:uid="{F9001FD8-6B4F-428B-B6E3-1318FFF88239}"/>
    <cellStyle name="Separador de milhares 2 2 2 2 3 2 4 2" xfId="40314" xr:uid="{8FEC267D-0607-40AD-8373-81779FD027E2}"/>
    <cellStyle name="Separador de milhares 2 2 2 2 3 2 5" xfId="23230" xr:uid="{5F392B73-E00D-4DE0-8354-0DF7337C961F}"/>
    <cellStyle name="Separador de milhares 2 2 2 2 3 2 5 2" xfId="43565" xr:uid="{51BD70D5-155F-4046-B90D-CD757A158730}"/>
    <cellStyle name="Separador de milhares 2 2 2 2 3 2 6" xfId="13564" xr:uid="{394A22B3-1FB0-4BF6-83A2-32152B4E158A}"/>
    <cellStyle name="Separador de milhares 2 2 2 2 3 2 6 2" xfId="33905" xr:uid="{9529767B-9E86-4C3B-91D4-EFDF9BEE5F55}"/>
    <cellStyle name="Separador de milhares 2 2 2 2 3 2 7" xfId="9686" xr:uid="{08DA151B-5650-4E87-AAA0-21272046438F}"/>
    <cellStyle name="Separador de milhares 2 2 2 2 3 2 7 2" xfId="30029" xr:uid="{A6A4FD97-2599-4732-9E42-2239DEAEC68B}"/>
    <cellStyle name="Separador de milhares 2 2 2 2 3 2 8" xfId="26535" xr:uid="{F600A75E-119D-4332-B04A-EA349A5A6B36}"/>
    <cellStyle name="Separador de milhares 2 2 2 2 3 2 9" xfId="51602" xr:uid="{4C0996A0-40F3-4AE8-B917-14082C3DA79C}"/>
    <cellStyle name="Separador de milhares 2 2 2 2 3 3" xfId="6764" xr:uid="{9FA5D041-F672-4999-A7AF-D08EE2DA1976}"/>
    <cellStyle name="Separador de milhares 2 2 2 2 3 3 2" xfId="17050" xr:uid="{E63DFC36-1C74-45AB-82C0-0935E95D6AAA}"/>
    <cellStyle name="Separador de milhares 2 2 2 2 3 3 2 2" xfId="37390" xr:uid="{FD481D66-81A2-4CA2-B2C5-11B569786AF1}"/>
    <cellStyle name="Separador de milhares 2 2 2 2 3 3 3" xfId="20552" xr:uid="{C29A0094-D873-4636-B19A-CC399B054C49}"/>
    <cellStyle name="Separador de milhares 2 2 2 2 3 3 3 2" xfId="40891" xr:uid="{B0847913-E88A-4C06-B725-8151F22510AD}"/>
    <cellStyle name="Separador de milhares 2 2 2 2 3 3 4" xfId="23807" xr:uid="{6CF5F456-A97B-49B6-8EEB-EF5A915FD41E}"/>
    <cellStyle name="Separador de milhares 2 2 2 2 3 3 4 2" xfId="44142" xr:uid="{27673A78-5015-4978-A526-2D0AD6DFE9E5}"/>
    <cellStyle name="Separador de milhares 2 2 2 2 3 3 5" xfId="14141" xr:uid="{47312D7C-6643-4234-BFA5-4D24FFCFE769}"/>
    <cellStyle name="Separador de milhares 2 2 2 2 3 3 5 2" xfId="34482" xr:uid="{1A7D2463-EF2C-42E9-81E5-D8736D7D36D9}"/>
    <cellStyle name="Separador de milhares 2 2 2 2 3 3 6" xfId="10263" xr:uid="{FE46489D-D5CB-4519-AB96-E40BC2A04DCE}"/>
    <cellStyle name="Separador de milhares 2 2 2 2 3 3 6 2" xfId="30606" xr:uid="{CFAF0BBB-F8DF-4D9C-8E61-11A9303E818C}"/>
    <cellStyle name="Separador de milhares 2 2 2 2 3 3 7" xfId="27112" xr:uid="{0E1792A6-87CD-486F-90F4-8C70F8281FF1}"/>
    <cellStyle name="Separador de milhares 2 2 2 2 3 3 8" xfId="57437" xr:uid="{001043F7-AC94-4512-B249-454BB4DF58C0}"/>
    <cellStyle name="Separador de milhares 2 2 2 2 3 4" xfId="7928" xr:uid="{B98901E9-1E69-4FF9-9E5D-857C0A798D57}"/>
    <cellStyle name="Separador de milhares 2 2 2 2 3 4 2" xfId="18213" xr:uid="{E0AF90A6-F8A0-46B5-983C-4A37781D1F7D}"/>
    <cellStyle name="Separador de milhares 2 2 2 2 3 4 2 2" xfId="38553" xr:uid="{7AD8CE08-0B56-42D5-AA7C-7A91FB37C32C}"/>
    <cellStyle name="Separador de milhares 2 2 2 2 3 4 3" xfId="21715" xr:uid="{5F812145-28D4-47F7-B800-B768A43BFC70}"/>
    <cellStyle name="Separador de milhares 2 2 2 2 3 4 3 2" xfId="42054" xr:uid="{A4C8A1EB-850D-4CF1-9F58-B095BA7DD14B}"/>
    <cellStyle name="Separador de milhares 2 2 2 2 3 4 4" xfId="24970" xr:uid="{C8C2E949-0600-4553-BA5A-C8C7F43A2645}"/>
    <cellStyle name="Separador de milhares 2 2 2 2 3 4 4 2" xfId="45305" xr:uid="{59B1D7AB-68FD-455C-9934-980976F93318}"/>
    <cellStyle name="Separador de milhares 2 2 2 2 3 4 5" xfId="15305" xr:uid="{C9C536DB-A253-40F3-B228-41217E571C16}"/>
    <cellStyle name="Separador de milhares 2 2 2 2 3 4 5 2" xfId="35645" xr:uid="{B5EF9081-5FC1-49E8-919D-BA5B35496D03}"/>
    <cellStyle name="Separador de milhares 2 2 2 2 3 4 6" xfId="11426" xr:uid="{95CE1C69-D8E9-4E0C-972E-8813DA1A4A32}"/>
    <cellStyle name="Separador de milhares 2 2 2 2 3 4 6 2" xfId="31769" xr:uid="{FF1B80DF-8AA6-40C1-B02F-62A3AE21DBA7}"/>
    <cellStyle name="Separador de milhares 2 2 2 2 3 4 7" xfId="28275" xr:uid="{D3FF0CEC-19A3-442E-A67A-8F00B5DDDD94}"/>
    <cellStyle name="Separador de milhares 2 2 2 2 3 5" xfId="12995" xr:uid="{4E6AA228-1DEC-4889-B8A6-B65E08C940DE}"/>
    <cellStyle name="Separador de milhares 2 2 2 2 3 5 2" xfId="33336" xr:uid="{A8F74C03-0ADE-4E09-A7E0-052948FDD677}"/>
    <cellStyle name="Separador de milhares 2 2 2 2 3 6" xfId="15892" xr:uid="{5372DDA0-3D52-4B51-9632-35A1FC1BB26E}"/>
    <cellStyle name="Separador de milhares 2 2 2 2 3 6 2" xfId="36232" xr:uid="{F554343A-F5AF-4A5D-BEC2-243724B7CED0}"/>
    <cellStyle name="Separador de milhares 2 2 2 2 3 7" xfId="18806" xr:uid="{6C0CA001-559D-40FD-BAD9-80A0EB869BF9}"/>
    <cellStyle name="Separador de milhares 2 2 2 2 3 7 2" xfId="39146" xr:uid="{B5722794-AAB8-4331-822A-51010DE95BA8}"/>
    <cellStyle name="Separador de milhares 2 2 2 2 3 8" xfId="19394" xr:uid="{3F1D3796-C0A5-48B9-9E91-D460361EBFA1}"/>
    <cellStyle name="Separador de milhares 2 2 2 2 3 8 2" xfId="39733" xr:uid="{FE4EF6DC-E9D6-4CDA-962D-0580D4F760DB}"/>
    <cellStyle name="Separador de milhares 2 2 2 2 3 9" xfId="22649" xr:uid="{7A0A2483-5B73-4684-B286-12EA855F80F7}"/>
    <cellStyle name="Separador de milhares 2 2 2 2 3 9 2" xfId="42984" xr:uid="{3058C4A3-0362-4098-B7B5-6EDFAD06C6A6}"/>
    <cellStyle name="Separador de milhares 2 2 2 2 4" xfId="753" xr:uid="{6E105515-372E-423E-A8D5-6DB33559E85C}"/>
    <cellStyle name="Separador de milhares 2 2 2 2 4 10" xfId="49969" xr:uid="{D4309688-45BB-4D91-8164-C452C6367257}"/>
    <cellStyle name="Separador de milhares 2 2 2 2 4 11" xfId="53264" xr:uid="{A1826FCA-4891-4EC9-91A0-F573A7794A0B}"/>
    <cellStyle name="Separador de milhares 2 2 2 2 4 12" xfId="5843" xr:uid="{118CC462-7D77-4348-A8F4-FC3D4E1584B0}"/>
    <cellStyle name="Separador de milhares 2 2 2 2 4 2" xfId="2469" xr:uid="{CBAB14F0-8756-46AA-91CD-DF67170DA97F}"/>
    <cellStyle name="Separador de milhares 2 2 2 2 4 2 10" xfId="7001" xr:uid="{45CDADC1-DBB6-4AEE-B620-F1024920FD90}"/>
    <cellStyle name="Separador de milhares 2 2 2 2 4 2 2" xfId="17287" xr:uid="{E4210A0E-AA8B-4D8E-B150-03AC81BD2888}"/>
    <cellStyle name="Separador de milhares 2 2 2 2 4 2 2 2" xfId="37627" xr:uid="{AB4BA330-02CA-4596-861F-5BF4A0749EC5}"/>
    <cellStyle name="Separador de milhares 2 2 2 2 4 2 3" xfId="20789" xr:uid="{89DE9566-B6B1-41A1-B690-A0FFD17032B3}"/>
    <cellStyle name="Separador de milhares 2 2 2 2 4 2 3 2" xfId="41128" xr:uid="{FCD58A8B-DDD9-4056-983A-95B30A9077C5}"/>
    <cellStyle name="Separador de milhares 2 2 2 2 4 2 4" xfId="24044" xr:uid="{63B3E32F-7B32-4E37-8E46-ADE60759229B}"/>
    <cellStyle name="Separador de milhares 2 2 2 2 4 2 4 2" xfId="44379" xr:uid="{89B2FC8F-83AE-44F9-A98E-10BE298C389B}"/>
    <cellStyle name="Separador de milhares 2 2 2 2 4 2 5" xfId="14378" xr:uid="{C185F0F0-853F-43D8-B144-7066AE8AF1EF}"/>
    <cellStyle name="Separador de milhares 2 2 2 2 4 2 5 2" xfId="34719" xr:uid="{14D8E0E9-1DD4-44B7-86CF-2A2634CD343A}"/>
    <cellStyle name="Separador de milhares 2 2 2 2 4 2 6" xfId="10500" xr:uid="{BC786309-B6DF-4F43-854A-97E126440039}"/>
    <cellStyle name="Separador de milhares 2 2 2 2 4 2 6 2" xfId="30843" xr:uid="{C6D13005-2E8D-4E49-BDA8-857DE650CC77}"/>
    <cellStyle name="Separador de milhares 2 2 2 2 4 2 7" xfId="27349" xr:uid="{C2959BC1-97B9-49FD-9AB7-27EF3506BE8A}"/>
    <cellStyle name="Separador de milhares 2 2 2 2 4 2 8" xfId="51603" xr:uid="{6D46DD96-3F06-4BA9-B425-2805EC9B3DEE}"/>
    <cellStyle name="Separador de milhares 2 2 2 2 4 2 9" xfId="54897" xr:uid="{F1CCD01B-781B-40F1-8243-1A23496FF1AB}"/>
    <cellStyle name="Separador de milhares 2 2 2 2 4 3" xfId="16129" xr:uid="{BFD71BAA-434A-4DCD-BC06-B5B1372EEFA5}"/>
    <cellStyle name="Separador de milhares 2 2 2 2 4 3 2" xfId="36469" xr:uid="{0F2FE6AF-5848-4B6F-8FBF-2C9BB45342E4}"/>
    <cellStyle name="Separador de milhares 2 2 2 2 4 3 3" xfId="56624" xr:uid="{10CD50B4-B2AC-4332-BA07-4B63DCF3F5A5}"/>
    <cellStyle name="Separador de milhares 2 2 2 2 4 4" xfId="19631" xr:uid="{C1636A3D-F163-4E93-8841-695869FB9A98}"/>
    <cellStyle name="Separador de milhares 2 2 2 2 4 4 2" xfId="39970" xr:uid="{492FDAE9-67A1-4480-8668-2FC30EE669B4}"/>
    <cellStyle name="Separador de milhares 2 2 2 2 4 5" xfId="22886" xr:uid="{F931E53F-A47F-4644-855C-9E3C4FBB20A0}"/>
    <cellStyle name="Separador de milhares 2 2 2 2 4 5 2" xfId="43221" xr:uid="{9CF58313-1BAA-49BF-8A44-BBDEDCEA424D}"/>
    <cellStyle name="Separador de milhares 2 2 2 2 4 6" xfId="13222" xr:uid="{56C91860-88AF-4008-B20B-736DDEFDD8FA}"/>
    <cellStyle name="Separador de milhares 2 2 2 2 4 6 2" xfId="33563" xr:uid="{AE503B69-3771-4A1B-9E1D-1CE79E620C9C}"/>
    <cellStyle name="Separador de milhares 2 2 2 2 4 7" xfId="9342" xr:uid="{D0420DE6-26AF-4DD8-B842-9584518A7124}"/>
    <cellStyle name="Separador de milhares 2 2 2 2 4 7 2" xfId="29685" xr:uid="{E659B340-3901-4E29-A24A-AC8766BA3259}"/>
    <cellStyle name="Separador de milhares 2 2 2 2 4 8" xfId="26191" xr:uid="{F47A1FF1-CA76-4FAE-BD18-F1F332B82490}"/>
    <cellStyle name="Separador de milhares 2 2 2 2 4 9" xfId="48300" xr:uid="{1B475DA8-E01E-4D9C-97A7-E1EC55F9667A}"/>
    <cellStyle name="Separador de milhares 2 2 2 2 5" xfId="2131" xr:uid="{CB404FF1-5930-4307-897C-F0A3FC33FBB6}"/>
    <cellStyle name="Separador de milhares 2 2 2 2 5 10" xfId="6420" xr:uid="{A696294C-CF69-4996-AA1F-569E2F985F86}"/>
    <cellStyle name="Separador de milhares 2 2 2 2 5 2" xfId="16706" xr:uid="{7878A97B-8F9B-4FEC-A072-7B3B8CFB887E}"/>
    <cellStyle name="Separador de milhares 2 2 2 2 5 2 2" xfId="37046" xr:uid="{E01AB370-6D63-47BB-9F6C-ACAD37E54802}"/>
    <cellStyle name="Separador de milhares 2 2 2 2 5 3" xfId="20208" xr:uid="{AE0A3AAC-D138-4517-8DAD-4AB5E4A6DBAB}"/>
    <cellStyle name="Separador de milhares 2 2 2 2 5 3 2" xfId="40547" xr:uid="{7E180D17-7650-4897-92ED-C0765F11F292}"/>
    <cellStyle name="Separador de milhares 2 2 2 2 5 4" xfId="23463" xr:uid="{0B5CFBEA-3EAA-4F08-BA92-0E2EDF45D5A4}"/>
    <cellStyle name="Separador de milhares 2 2 2 2 5 4 2" xfId="43798" xr:uid="{208C4993-BE03-4FD7-9441-63BA71FD17E9}"/>
    <cellStyle name="Separador de milhares 2 2 2 2 5 5" xfId="13797" xr:uid="{E80473B3-07C6-4839-9EB8-FAABB115386D}"/>
    <cellStyle name="Separador de milhares 2 2 2 2 5 5 2" xfId="34138" xr:uid="{266647BF-C34C-4478-8311-F0ED6E93033A}"/>
    <cellStyle name="Separador de milhares 2 2 2 2 5 6" xfId="9919" xr:uid="{5E38EF8F-4FFB-4F9F-9840-A91CB175CD8F}"/>
    <cellStyle name="Separador de milhares 2 2 2 2 5 6 2" xfId="30262" xr:uid="{7F9E5970-9E32-4872-8F65-7E66FE6DECF2}"/>
    <cellStyle name="Separador de milhares 2 2 2 2 5 7" xfId="26768" xr:uid="{014E8456-4EEC-40A6-A7C1-548EA17F3955}"/>
    <cellStyle name="Separador de milhares 2 2 2 2 5 8" xfId="51600" xr:uid="{0BC834E2-1DF4-4761-948D-9CD327F02C51}"/>
    <cellStyle name="Separador de milhares 2 2 2 2 5 9" xfId="54894" xr:uid="{5CD2FB4D-EE0C-4E12-BD69-AD9E9D36C6EB}"/>
    <cellStyle name="Separador de milhares 2 2 2 2 6" xfId="7584" xr:uid="{90A97A1F-F871-4AE5-891C-9D6AA35AFBC7}"/>
    <cellStyle name="Separador de milhares 2 2 2 2 6 2" xfId="17869" xr:uid="{35730DDF-AAEA-415F-852D-019C026CB918}"/>
    <cellStyle name="Separador de milhares 2 2 2 2 6 2 2" xfId="38209" xr:uid="{FDB889EA-B240-44AB-88CA-D7C2E91840C6}"/>
    <cellStyle name="Separador de milhares 2 2 2 2 6 3" xfId="21371" xr:uid="{6358F671-D5F9-47D1-8C79-5508458D2C59}"/>
    <cellStyle name="Separador de milhares 2 2 2 2 6 3 2" xfId="41710" xr:uid="{0A5EB65C-7FED-4701-9A2F-34F050345B73}"/>
    <cellStyle name="Separador de milhares 2 2 2 2 6 4" xfId="24626" xr:uid="{A40BE7C9-8A01-4971-B2A0-95ABB552B91F}"/>
    <cellStyle name="Separador de milhares 2 2 2 2 6 4 2" xfId="44961" xr:uid="{AEFC54D3-9D89-489D-889F-54CCFE858BBB}"/>
    <cellStyle name="Separador de milhares 2 2 2 2 6 5" xfId="14961" xr:uid="{57347FA5-E509-4157-97ED-1C96CB29DC8E}"/>
    <cellStyle name="Separador de milhares 2 2 2 2 6 5 2" xfId="35301" xr:uid="{532A25C2-7657-4806-BC9F-4B2544F35725}"/>
    <cellStyle name="Separador de milhares 2 2 2 2 6 6" xfId="11082" xr:uid="{5B525112-0601-41CC-B842-CF14EA22788A}"/>
    <cellStyle name="Separador de milhares 2 2 2 2 6 6 2" xfId="31425" xr:uid="{E1B88DBE-0F76-4386-8D2C-C613E7A72BCB}"/>
    <cellStyle name="Separador de milhares 2 2 2 2 6 7" xfId="27931" xr:uid="{B1A715E2-9CCC-4261-B08F-841C14CF5C19}"/>
    <cellStyle name="Separador de milhares 2 2 2 2 6 8" xfId="56215" xr:uid="{91DC12DD-45DA-4129-8F2A-1329F40817BB}"/>
    <cellStyle name="Separador de milhares 2 2 2 2 7" xfId="12653" xr:uid="{D068D001-F0F4-4210-A750-2222E29C9C42}"/>
    <cellStyle name="Separador de milhares 2 2 2 2 7 2" xfId="32994" xr:uid="{B8C02176-DFC6-450B-9A3E-4BEA86A0DC76}"/>
    <cellStyle name="Separador de milhares 2 2 2 2 8" xfId="15548" xr:uid="{6095633B-7780-4DEA-B36F-3E80628F2513}"/>
    <cellStyle name="Separador de milhares 2 2 2 2 8 2" xfId="35888" xr:uid="{A387EDD9-F5B9-4D7F-8C19-9A5E95A4EE12}"/>
    <cellStyle name="Separador de milhares 2 2 2 2 9" xfId="18462" xr:uid="{1FE87720-D6F8-4A99-A7D3-D329A317B45E}"/>
    <cellStyle name="Separador de milhares 2 2 2 2 9 2" xfId="38802" xr:uid="{422C9F92-CCD1-40ED-AB25-A0607CE8BC87}"/>
    <cellStyle name="Separador de milhares 2 2 2 20" xfId="53260" xr:uid="{6D23E792-0D77-4D69-BABE-8F5167C5F91F}"/>
    <cellStyle name="Separador de milhares 2 2 2 21" xfId="5270" xr:uid="{844BB936-8BE9-44E7-9867-EE505145E801}"/>
    <cellStyle name="Separador de milhares 2 2 2 22" xfId="4378" xr:uid="{36B9A2FC-A236-44E6-B70C-9B164E33A265}"/>
    <cellStyle name="Separador de milhares 2 2 2 3" xfId="155" xr:uid="{0B42A1A0-152D-46FE-8033-A5EC1CB317D5}"/>
    <cellStyle name="Separador de milhares 2 2 2 3 10" xfId="19049" xr:uid="{36C75BD4-1562-472C-AFDB-BA45E0E0D403}"/>
    <cellStyle name="Separador de milhares 2 2 2 3 10 2" xfId="39388" xr:uid="{80480597-7F05-45CE-826D-EC9D9C530ED0}"/>
    <cellStyle name="Separador de milhares 2 2 2 3 11" xfId="22304" xr:uid="{6B3B441C-172B-4E6A-86C6-5D357C0E8C64}"/>
    <cellStyle name="Separador de milhares 2 2 2 3 11 2" xfId="42639" xr:uid="{B7BE4C40-1415-4A38-8754-F1F78D64606E}"/>
    <cellStyle name="Separador de milhares 2 2 2 3 12" xfId="12021" xr:uid="{1487B80D-4578-4FD0-8680-2787B95763C6}"/>
    <cellStyle name="Separador de milhares 2 2 2 3 12 2" xfId="32362" xr:uid="{DB6CBDC0-DDB9-45BD-B666-1FDD06CA6256}"/>
    <cellStyle name="Separador de milhares 2 2 2 3 13" xfId="8760" xr:uid="{17F74E5A-4B75-4388-A03E-6DEDB72F9729}"/>
    <cellStyle name="Separador de milhares 2 2 2 3 13 2" xfId="29103" xr:uid="{ACD65D82-A672-470B-B4B7-781A2779AC23}"/>
    <cellStyle name="Separador de milhares 2 2 2 3 14" xfId="25609" xr:uid="{E51D11B9-6C7D-4110-9D66-F1FCA11B1AC3}"/>
    <cellStyle name="Separador de milhares 2 2 2 3 15" xfId="48301" xr:uid="{FF2E6988-E05C-4E65-B2D4-059B6A2D66B5}"/>
    <cellStyle name="Separador de milhares 2 2 2 3 16" xfId="49970" xr:uid="{6EB409EC-7A45-4D7F-A892-67DFDE580404}"/>
    <cellStyle name="Separador de milhares 2 2 2 3 17" xfId="53265" xr:uid="{A5E34167-08AB-4B32-96AF-A7B47152EBCB}"/>
    <cellStyle name="Separador de milhares 2 2 2 3 18" xfId="5291" xr:uid="{B85FF3F7-03D8-442D-A0A0-9197C5043526}"/>
    <cellStyle name="Separador de milhares 2 2 2 3 19" xfId="4436" xr:uid="{37C15635-BA8A-4693-816C-1C1D94BAC453}"/>
    <cellStyle name="Separador de milhares 2 2 2 3 2" xfId="971" xr:uid="{8F789AF0-EC1D-4342-8164-BD8E477A8F3E}"/>
    <cellStyle name="Separador de milhares 2 2 2 3 2 10" xfId="12136" xr:uid="{36453330-F397-4E3E-8914-3E56CCD2D212}"/>
    <cellStyle name="Separador de milhares 2 2 2 3 2 10 2" xfId="32477" xr:uid="{28B75345-1F1E-459E-A40E-689DF4808A3C}"/>
    <cellStyle name="Separador de milhares 2 2 2 3 2 11" xfId="8875" xr:uid="{39CA010F-0FB6-4298-BA2B-6117F238D0D6}"/>
    <cellStyle name="Separador de milhares 2 2 2 3 2 11 2" xfId="29218" xr:uid="{802B5CD2-E00C-4C5D-9A19-19574EA60966}"/>
    <cellStyle name="Separador de milhares 2 2 2 3 2 12" xfId="25724" xr:uid="{FDED3B6E-21C4-4B1C-93D2-08E42707038A}"/>
    <cellStyle name="Separador de milhares 2 2 2 3 2 13" xfId="48302" xr:uid="{F9EB706E-DC43-4D00-9896-380E7011A1F9}"/>
    <cellStyle name="Separador de milhares 2 2 2 3 2 14" xfId="49971" xr:uid="{0DF6EDFC-2035-4771-9B22-A5C09DCEF6DE}"/>
    <cellStyle name="Separador de milhares 2 2 2 3 2 15" xfId="53266" xr:uid="{EC7C13BE-F17C-4980-B392-1026D2FAAE74}"/>
    <cellStyle name="Separador de milhares 2 2 2 3 2 16" xfId="5393" xr:uid="{2E2A2438-7328-4EFF-87DE-ABB3BC2836AD}"/>
    <cellStyle name="Separador de milhares 2 2 2 3 2 2" xfId="2686" xr:uid="{17CE3FEC-4B7B-4380-8E31-D995765220DF}"/>
    <cellStyle name="Separador de milhares 2 2 2 3 2 2 10" xfId="54899" xr:uid="{37E2B687-303D-477E-84EF-888C55A5AB15}"/>
    <cellStyle name="Separador de milhares 2 2 2 3 2 2 11" xfId="5957" xr:uid="{BF8777E4-2F11-414E-8153-F9E023ACDFD6}"/>
    <cellStyle name="Separador de milhares 2 2 2 3 2 2 2" xfId="7115" xr:uid="{8010E398-F05B-4D44-AFF3-993AB31D7490}"/>
    <cellStyle name="Separador de milhares 2 2 2 3 2 2 2 2" xfId="17401" xr:uid="{6FED1294-060A-4E72-B3F0-2EF355C6F644}"/>
    <cellStyle name="Separador de milhares 2 2 2 3 2 2 2 2 2" xfId="37741" xr:uid="{38F6DF45-2D1B-446F-B4B0-2211E5EEC43F}"/>
    <cellStyle name="Separador de milhares 2 2 2 3 2 2 2 3" xfId="20903" xr:uid="{8BF4A201-19D2-4A86-8A8D-BA291E6EA710}"/>
    <cellStyle name="Separador de milhares 2 2 2 3 2 2 2 3 2" xfId="41242" xr:uid="{A5E401DB-792E-4682-B032-E1DA46B5EBAE}"/>
    <cellStyle name="Separador de milhares 2 2 2 3 2 2 2 4" xfId="24158" xr:uid="{9EC90CBA-453A-4238-A3CE-9ED787D77C06}"/>
    <cellStyle name="Separador de milhares 2 2 2 3 2 2 2 4 2" xfId="44493" xr:uid="{D4D9477C-72CC-4182-9BFB-B17659E7D96A}"/>
    <cellStyle name="Separador de milhares 2 2 2 3 2 2 2 5" xfId="14492" xr:uid="{0E994424-8279-4379-BA5B-EF2FB6E51B1C}"/>
    <cellStyle name="Separador de milhares 2 2 2 3 2 2 2 5 2" xfId="34833" xr:uid="{57533AF3-D7A9-4C7C-8E9F-02ECFB8ED05D}"/>
    <cellStyle name="Separador de milhares 2 2 2 3 2 2 2 6" xfId="10614" xr:uid="{ECFB3382-7C62-4F83-AC46-477899283378}"/>
    <cellStyle name="Separador de milhares 2 2 2 3 2 2 2 6 2" xfId="30957" xr:uid="{C1F8E8FC-9DD9-407E-B150-FE7828EEBE4A}"/>
    <cellStyle name="Separador de milhares 2 2 2 3 2 2 2 7" xfId="27463" xr:uid="{2235EDF6-6AD5-45E2-8DD8-AFC96A870AB2}"/>
    <cellStyle name="Separador de milhares 2 2 2 3 2 2 3" xfId="16243" xr:uid="{DCD325B2-3B3C-4170-8F4E-72FD92064BED}"/>
    <cellStyle name="Separador de milhares 2 2 2 3 2 2 3 2" xfId="36583" xr:uid="{91BDA22D-6B00-45D2-99EE-F94960132822}"/>
    <cellStyle name="Separador de milhares 2 2 2 3 2 2 4" xfId="19745" xr:uid="{BE15356B-7477-4966-A324-EEDEC17C8661}"/>
    <cellStyle name="Separador de milhares 2 2 2 3 2 2 4 2" xfId="40084" xr:uid="{CC8F6AEE-F1A7-473C-8687-8828685405E7}"/>
    <cellStyle name="Separador de milhares 2 2 2 3 2 2 5" xfId="23000" xr:uid="{37366AA9-36A5-4469-8250-5389F4FEB4A2}"/>
    <cellStyle name="Separador de milhares 2 2 2 3 2 2 5 2" xfId="43335" xr:uid="{98A0C518-DFC3-4D0A-A0E8-15E51966C902}"/>
    <cellStyle name="Separador de milhares 2 2 2 3 2 2 6" xfId="13334" xr:uid="{9F361836-DAD2-4EB2-B4F2-41EE8910A8D3}"/>
    <cellStyle name="Separador de milhares 2 2 2 3 2 2 6 2" xfId="33675" xr:uid="{A65399F4-20F4-40A1-B1CD-AAEA260372F1}"/>
    <cellStyle name="Separador de milhares 2 2 2 3 2 2 7" xfId="9456" xr:uid="{86E3332D-9B22-4FA0-8B40-8C4EB6B92A38}"/>
    <cellStyle name="Separador de milhares 2 2 2 3 2 2 7 2" xfId="29799" xr:uid="{75E7D597-F79C-48EB-92D3-A49EC2D4EAC0}"/>
    <cellStyle name="Separador de milhares 2 2 2 3 2 2 8" xfId="26305" xr:uid="{54AE9721-3BE9-4BE6-B734-01F427E37FC9}"/>
    <cellStyle name="Separador de milhares 2 2 2 3 2 2 9" xfId="51605" xr:uid="{E88FDE86-5B9A-47F3-9A27-3B9A53FE1FA3}"/>
    <cellStyle name="Separador de milhares 2 2 2 3 2 3" xfId="6534" xr:uid="{8626F911-97DF-43AB-9F2E-9192FFE5BFD3}"/>
    <cellStyle name="Separador de milhares 2 2 2 3 2 3 2" xfId="16820" xr:uid="{62151A25-9520-4FFC-AD19-A9458C376F28}"/>
    <cellStyle name="Separador de milhares 2 2 2 3 2 3 2 2" xfId="37160" xr:uid="{B14CCE96-6077-4076-8397-D3AC35600BDC}"/>
    <cellStyle name="Separador de milhares 2 2 2 3 2 3 3" xfId="20322" xr:uid="{4638C162-D97D-49A4-B935-8F3ACC45CEA1}"/>
    <cellStyle name="Separador de milhares 2 2 2 3 2 3 3 2" xfId="40661" xr:uid="{3AC1EB42-28B0-40DE-9F60-C713C21B83F9}"/>
    <cellStyle name="Separador de milhares 2 2 2 3 2 3 4" xfId="23577" xr:uid="{453CEA47-DB54-4A2C-B596-7FCD278C8144}"/>
    <cellStyle name="Separador de milhares 2 2 2 3 2 3 4 2" xfId="43912" xr:uid="{72B99216-DF3B-476E-AE1E-1ADEA4A082C1}"/>
    <cellStyle name="Separador de milhares 2 2 2 3 2 3 5" xfId="13911" xr:uid="{CDB871AF-C58E-4BED-97EA-CC941943F95E}"/>
    <cellStyle name="Separador de milhares 2 2 2 3 2 3 5 2" xfId="34252" xr:uid="{0FDE90FB-EC0F-4854-B927-DD377738E650}"/>
    <cellStyle name="Separador de milhares 2 2 2 3 2 3 6" xfId="10033" xr:uid="{BE94E013-3F62-4C9A-A71F-43D2A2AA4F87}"/>
    <cellStyle name="Separador de milhares 2 2 2 3 2 3 6 2" xfId="30376" xr:uid="{6AB6F38B-FD81-4165-BB2F-F9DCEB7F4F2C}"/>
    <cellStyle name="Separador de milhares 2 2 2 3 2 3 7" xfId="26882" xr:uid="{F9FFF3BE-26E3-4DCC-A3F0-44EC995EC99A}"/>
    <cellStyle name="Separador de milhares 2 2 2 3 2 3 8" xfId="56842" xr:uid="{4A57F968-2A77-4C63-88AD-DED3D8765ADE}"/>
    <cellStyle name="Separador de milhares 2 2 2 3 2 4" xfId="7698" xr:uid="{5CFEE439-B605-44A9-B821-E88732F432FB}"/>
    <cellStyle name="Separador de milhares 2 2 2 3 2 4 2" xfId="17983" xr:uid="{42EFEC30-6B0E-4BFE-A81B-36C21F4614BE}"/>
    <cellStyle name="Separador de milhares 2 2 2 3 2 4 2 2" xfId="38323" xr:uid="{9D2FA1B2-F731-4F5F-A915-D637F4592939}"/>
    <cellStyle name="Separador de milhares 2 2 2 3 2 4 3" xfId="21485" xr:uid="{E6B50731-CB86-4CCD-8D4C-AAE474B26BB3}"/>
    <cellStyle name="Separador de milhares 2 2 2 3 2 4 3 2" xfId="41824" xr:uid="{6097A0BE-7F20-4E33-97EB-4A41ACD3DEF0}"/>
    <cellStyle name="Separador de milhares 2 2 2 3 2 4 4" xfId="24740" xr:uid="{B5F56D6D-55C8-49DD-B2B4-A55886BA8F24}"/>
    <cellStyle name="Separador de milhares 2 2 2 3 2 4 4 2" xfId="45075" xr:uid="{2E9C2DD6-2B4F-4303-9C6D-96FCFF4C99B5}"/>
    <cellStyle name="Separador de milhares 2 2 2 3 2 4 5" xfId="15075" xr:uid="{62BD8061-C55F-4AAC-A9A7-146F7F247776}"/>
    <cellStyle name="Separador de milhares 2 2 2 3 2 4 5 2" xfId="35415" xr:uid="{6D18C71D-5B03-409F-A3FC-E5FE48CEEC08}"/>
    <cellStyle name="Separador de milhares 2 2 2 3 2 4 6" xfId="11196" xr:uid="{5880C43B-39FE-461B-A329-77340FE52AE2}"/>
    <cellStyle name="Separador de milhares 2 2 2 3 2 4 6 2" xfId="31539" xr:uid="{9F43CABD-6A5A-4EF0-9C65-89353A2B36C0}"/>
    <cellStyle name="Separador de milhares 2 2 2 3 2 4 7" xfId="28045" xr:uid="{CEEBFC2B-D6F0-4C6F-899D-98456DE8F6C4}"/>
    <cellStyle name="Separador de milhares 2 2 2 3 2 5" xfId="12765" xr:uid="{9C810BB1-9EBC-4461-AFBB-67A45F552393}"/>
    <cellStyle name="Separador de milhares 2 2 2 3 2 5 2" xfId="33106" xr:uid="{1A6C4BB8-2E04-432D-A90B-30E31779E7A7}"/>
    <cellStyle name="Separador de milhares 2 2 2 3 2 6" xfId="15662" xr:uid="{9F8FF7CC-FB6E-43CC-89F8-3DCF4A9EFB9C}"/>
    <cellStyle name="Separador de milhares 2 2 2 3 2 6 2" xfId="36002" xr:uid="{95896C52-4F72-4033-8754-17EF9AF81D11}"/>
    <cellStyle name="Separador de milhares 2 2 2 3 2 7" xfId="18576" xr:uid="{4A2F2ECC-401D-41AC-BF7A-0102593F468F}"/>
    <cellStyle name="Separador de milhares 2 2 2 3 2 7 2" xfId="38916" xr:uid="{8FA89C83-1B84-45E3-B77C-F60DE9391982}"/>
    <cellStyle name="Separador de milhares 2 2 2 3 2 8" xfId="19164" xr:uid="{1FCD259B-57F7-4A70-9D32-9FD70ABE69DD}"/>
    <cellStyle name="Separador de milhares 2 2 2 3 2 8 2" xfId="39503" xr:uid="{AF251AE4-7610-4764-B412-81D11011BDDF}"/>
    <cellStyle name="Separador de milhares 2 2 2 3 2 9" xfId="22419" xr:uid="{71FCF42F-764A-4A64-89EB-4180DA6F22B4}"/>
    <cellStyle name="Separador de milhares 2 2 2 3 2 9 2" xfId="42754" xr:uid="{ED6D7ED6-C16E-4B30-8FBA-246B9C323E62}"/>
    <cellStyle name="Separador de milhares 2 2 2 3 3" xfId="1377" xr:uid="{0EF3A787-E57B-4133-84EF-57758811CF51}"/>
    <cellStyle name="Separador de milhares 2 2 2 3 3 10" xfId="12365" xr:uid="{D2293829-71F8-4453-A574-4209CD416A24}"/>
    <cellStyle name="Separador de milhares 2 2 2 3 3 10 2" xfId="32706" xr:uid="{A34C9CBB-602B-458E-9554-DC73E989F3E7}"/>
    <cellStyle name="Separador de milhares 2 2 2 3 3 11" xfId="9104" xr:uid="{B44CFE8F-FCC3-433D-8C0A-AD6C07493A9C}"/>
    <cellStyle name="Separador de milhares 2 2 2 3 3 11 2" xfId="29447" xr:uid="{8D5DE9B9-514C-43BB-BB9A-0D08B48A96D6}"/>
    <cellStyle name="Separador de milhares 2 2 2 3 3 12" xfId="25953" xr:uid="{11C739C8-B1D3-43A4-9C26-19A9E3BB60FD}"/>
    <cellStyle name="Separador de milhares 2 2 2 3 3 13" xfId="48303" xr:uid="{BE94F56E-C0C6-44C3-B13B-F137B61D0FC1}"/>
    <cellStyle name="Separador de milhares 2 2 2 3 3 14" xfId="49972" xr:uid="{98FCDDF7-64AA-4EB3-8594-24E016FA6C4F}"/>
    <cellStyle name="Separador de milhares 2 2 2 3 3 15" xfId="53267" xr:uid="{B7C261A4-5E28-40D0-BA48-F0FA2E258ED3}"/>
    <cellStyle name="Separador de milhares 2 2 2 3 3 16" xfId="5614" xr:uid="{C39722C8-AC72-42B2-B672-1ECC07AC3817}"/>
    <cellStyle name="Separador de milhares 2 2 2 3 3 2" xfId="3038" xr:uid="{DBCF8023-8EAC-40EC-8981-BAD81A4BB8C5}"/>
    <cellStyle name="Separador de milhares 2 2 2 3 3 2 10" xfId="54900" xr:uid="{F937DDEB-AF6E-4147-ACAF-DF214E5EC70E}"/>
    <cellStyle name="Separador de milhares 2 2 2 3 3 2 11" xfId="6186" xr:uid="{8EAEB8A0-8384-43BD-BA6F-4CF2CFBD6F16}"/>
    <cellStyle name="Separador de milhares 2 2 2 3 3 2 2" xfId="7344" xr:uid="{426A5656-E260-43CD-B636-9EF45F2DEA74}"/>
    <cellStyle name="Separador de milhares 2 2 2 3 3 2 2 2" xfId="17630" xr:uid="{2AD85E6C-1395-4235-938E-B9FA7554225B}"/>
    <cellStyle name="Separador de milhares 2 2 2 3 3 2 2 2 2" xfId="37970" xr:uid="{8C605929-88EC-4C6F-998F-B6FD2F8E83ED}"/>
    <cellStyle name="Separador de milhares 2 2 2 3 3 2 2 3" xfId="21132" xr:uid="{3D48526A-9454-4530-BDCE-8EEE3F9D2BE5}"/>
    <cellStyle name="Separador de milhares 2 2 2 3 3 2 2 3 2" xfId="41471" xr:uid="{A0CB81E6-A446-44D1-9EF5-1BA45EBD711B}"/>
    <cellStyle name="Separador de milhares 2 2 2 3 3 2 2 4" xfId="24387" xr:uid="{B989C140-E201-4908-9FA9-D356CF6DF516}"/>
    <cellStyle name="Separador de milhares 2 2 2 3 3 2 2 4 2" xfId="44722" xr:uid="{88F45396-9F6C-481A-B6C8-6815CF484AF3}"/>
    <cellStyle name="Separador de milhares 2 2 2 3 3 2 2 5" xfId="14721" xr:uid="{060464CD-FD62-429D-888F-88F97912787D}"/>
    <cellStyle name="Separador de milhares 2 2 2 3 3 2 2 5 2" xfId="35062" xr:uid="{FDC0CF0B-8F78-4EFB-BDFE-066D6865D634}"/>
    <cellStyle name="Separador de milhares 2 2 2 3 3 2 2 6" xfId="10843" xr:uid="{2FBCF763-6D59-4314-90F5-C67EA7DC14F1}"/>
    <cellStyle name="Separador de milhares 2 2 2 3 3 2 2 6 2" xfId="31186" xr:uid="{9C7DB610-AE4B-412E-A94E-1E7054EE31E9}"/>
    <cellStyle name="Separador de milhares 2 2 2 3 3 2 2 7" xfId="27692" xr:uid="{0ECDFF77-8C73-446E-8391-07CF28C8D78D}"/>
    <cellStyle name="Separador de milhares 2 2 2 3 3 2 3" xfId="16472" xr:uid="{D6352243-2AF6-4B0E-9467-0BF8086A310E}"/>
    <cellStyle name="Separador de milhares 2 2 2 3 3 2 3 2" xfId="36812" xr:uid="{BF90DC31-1BD9-4421-9491-C2682D205B1E}"/>
    <cellStyle name="Separador de milhares 2 2 2 3 3 2 4" xfId="19974" xr:uid="{09985985-0FA7-4D0C-B8E7-4885033990D8}"/>
    <cellStyle name="Separador de milhares 2 2 2 3 3 2 4 2" xfId="40313" xr:uid="{1631CD3A-5E41-47A7-B580-C93C43063875}"/>
    <cellStyle name="Separador de milhares 2 2 2 3 3 2 5" xfId="23229" xr:uid="{49504C1A-6BE6-4AFA-A1AB-09FAE54C3EF6}"/>
    <cellStyle name="Separador de milhares 2 2 2 3 3 2 5 2" xfId="43564" xr:uid="{3A3F2D81-37D2-4CB8-9F9B-147872ED6E85}"/>
    <cellStyle name="Separador de milhares 2 2 2 3 3 2 6" xfId="13563" xr:uid="{E581FD08-06D4-484B-B075-3A08F5703627}"/>
    <cellStyle name="Separador de milhares 2 2 2 3 3 2 6 2" xfId="33904" xr:uid="{6FC5A9F4-F5FE-4AE7-A84A-8033D79342CD}"/>
    <cellStyle name="Separador de milhares 2 2 2 3 3 2 7" xfId="9685" xr:uid="{07AC5D48-0F43-4CCE-AB1A-3E6AAA6C1DA1}"/>
    <cellStyle name="Separador de milhares 2 2 2 3 3 2 7 2" xfId="30028" xr:uid="{2DDCD744-695E-4ADF-9283-C209316D66DD}"/>
    <cellStyle name="Separador de milhares 2 2 2 3 3 2 8" xfId="26534" xr:uid="{4C25BE83-E72F-4CC7-A64B-D5294FED7E4D}"/>
    <cellStyle name="Separador de milhares 2 2 2 3 3 2 9" xfId="51606" xr:uid="{D8CB7B3A-01CC-43D8-BD03-BC33CBEFA83C}"/>
    <cellStyle name="Separador de milhares 2 2 2 3 3 3" xfId="6763" xr:uid="{69828B80-34E1-4637-8929-D0F36EA82727}"/>
    <cellStyle name="Separador de milhares 2 2 2 3 3 3 2" xfId="17049" xr:uid="{B776B197-9D02-4E72-BED1-7EBC80C14FC3}"/>
    <cellStyle name="Separador de milhares 2 2 2 3 3 3 2 2" xfId="37389" xr:uid="{84653CC4-3AFE-4A53-B817-B44BB3E71D18}"/>
    <cellStyle name="Separador de milhares 2 2 2 3 3 3 3" xfId="20551" xr:uid="{675EA6BE-8EA1-4ECA-BEC4-B5FE1E50CD9B}"/>
    <cellStyle name="Separador de milhares 2 2 2 3 3 3 3 2" xfId="40890" xr:uid="{653408BD-81E5-42A9-9495-18834C093490}"/>
    <cellStyle name="Separador de milhares 2 2 2 3 3 3 4" xfId="23806" xr:uid="{394C2EE5-A419-4FBB-987E-9F6030779CF0}"/>
    <cellStyle name="Separador de milhares 2 2 2 3 3 3 4 2" xfId="44141" xr:uid="{9115D3BB-8489-4F22-B60B-1842629D8027}"/>
    <cellStyle name="Separador de milhares 2 2 2 3 3 3 5" xfId="14140" xr:uid="{E9D7C30E-8327-4A5E-8679-876B18C46E2B}"/>
    <cellStyle name="Separador de milhares 2 2 2 3 3 3 5 2" xfId="34481" xr:uid="{E8FDA06F-45D3-4B9B-9CDC-A14BA21F9C97}"/>
    <cellStyle name="Separador de milhares 2 2 2 3 3 3 6" xfId="10262" xr:uid="{F95C9BBE-E8E1-4439-976C-E893D28B3B28}"/>
    <cellStyle name="Separador de milhares 2 2 2 3 3 3 6 2" xfId="30605" xr:uid="{82C7FF5D-C88E-493E-8EC1-1A9D2B493785}"/>
    <cellStyle name="Separador de milhares 2 2 2 3 3 3 7" xfId="27111" xr:uid="{B97C2428-E0E9-4AE0-9DFF-A95B65CC29DC}"/>
    <cellStyle name="Separador de milhares 2 2 2 3 3 3 8" xfId="57248" xr:uid="{3185729E-5372-4F31-B054-7A4FA9293EFA}"/>
    <cellStyle name="Separador de milhares 2 2 2 3 3 4" xfId="7927" xr:uid="{A8AB611E-8420-4842-896B-2E667BD2CA2E}"/>
    <cellStyle name="Separador de milhares 2 2 2 3 3 4 2" xfId="18212" xr:uid="{BA6F3157-3999-4650-B34D-F4A1F33EC565}"/>
    <cellStyle name="Separador de milhares 2 2 2 3 3 4 2 2" xfId="38552" xr:uid="{42BE5ABA-7F45-4FC1-A58F-36D32B9D2082}"/>
    <cellStyle name="Separador de milhares 2 2 2 3 3 4 3" xfId="21714" xr:uid="{5C417789-A0A7-452D-9001-4A1CA9117DB2}"/>
    <cellStyle name="Separador de milhares 2 2 2 3 3 4 3 2" xfId="42053" xr:uid="{10EF0970-B150-450D-BAD4-82DD186C918D}"/>
    <cellStyle name="Separador de milhares 2 2 2 3 3 4 4" xfId="24969" xr:uid="{75669426-D359-4B14-9EE6-ADD4E709E19A}"/>
    <cellStyle name="Separador de milhares 2 2 2 3 3 4 4 2" xfId="45304" xr:uid="{F740D8F6-935F-4524-81CB-0738C8993D81}"/>
    <cellStyle name="Separador de milhares 2 2 2 3 3 4 5" xfId="15304" xr:uid="{B030973D-F4C4-44F3-81C7-4F36284B7C7C}"/>
    <cellStyle name="Separador de milhares 2 2 2 3 3 4 5 2" xfId="35644" xr:uid="{EF7F6B73-C771-43A3-A9A7-C617DFE79DFB}"/>
    <cellStyle name="Separador de milhares 2 2 2 3 3 4 6" xfId="11425" xr:uid="{45AE8513-5DF3-465E-B839-92D492FA11FC}"/>
    <cellStyle name="Separador de milhares 2 2 2 3 3 4 6 2" xfId="31768" xr:uid="{7CE65D8A-EBD8-4062-B55A-C4DA0D7E799F}"/>
    <cellStyle name="Separador de milhares 2 2 2 3 3 4 7" xfId="28274" xr:uid="{027C3ABE-F46C-4155-B0E7-C6453ACD0E3A}"/>
    <cellStyle name="Separador de milhares 2 2 2 3 3 5" xfId="12994" xr:uid="{0D4026B9-E46C-49BB-BF7B-38BB4855DFF8}"/>
    <cellStyle name="Separador de milhares 2 2 2 3 3 5 2" xfId="33335" xr:uid="{782DB719-20F7-404A-952A-A80CDC2C8220}"/>
    <cellStyle name="Separador de milhares 2 2 2 3 3 6" xfId="15891" xr:uid="{57D1978C-89B1-4209-9735-558CA9D45AF5}"/>
    <cellStyle name="Separador de milhares 2 2 2 3 3 6 2" xfId="36231" xr:uid="{3CD63C75-F083-49EB-9FCF-909A3BD14A44}"/>
    <cellStyle name="Separador de milhares 2 2 2 3 3 7" xfId="18805" xr:uid="{C2F047EC-AB05-423E-992F-650884775348}"/>
    <cellStyle name="Separador de milhares 2 2 2 3 3 7 2" xfId="39145" xr:uid="{FA06E652-F9E1-43AA-9654-5E5FEAFF4C86}"/>
    <cellStyle name="Separador de milhares 2 2 2 3 3 8" xfId="19393" xr:uid="{B47C35B0-3B15-4153-B0EA-AEBF7A50AF5F}"/>
    <cellStyle name="Separador de milhares 2 2 2 3 3 8 2" xfId="39732" xr:uid="{3EF6A608-C82C-41A3-B028-29B41477B4F7}"/>
    <cellStyle name="Separador de milhares 2 2 2 3 3 9" xfId="22648" xr:uid="{45A0D4C0-4C8B-406E-87DC-DF5D6D9B2427}"/>
    <cellStyle name="Separador de milhares 2 2 2 3 3 9 2" xfId="42983" xr:uid="{3EAD45A9-4BC9-4CDC-9452-99181EE6E54E}"/>
    <cellStyle name="Separador de milhares 2 2 2 3 4" xfId="564" xr:uid="{8D1F3CE8-FB02-461E-860D-E4EAB5BD537C}"/>
    <cellStyle name="Separador de milhares 2 2 2 3 4 10" xfId="49973" xr:uid="{19F21C90-CCCE-4791-9575-DDA18EAD8AA8}"/>
    <cellStyle name="Separador de milhares 2 2 2 3 4 11" xfId="53268" xr:uid="{7C1AE9B0-DA35-4CA4-8C47-7E56711C3232}"/>
    <cellStyle name="Separador de milhares 2 2 2 3 4 12" xfId="5842" xr:uid="{2186ABBF-34A2-4A58-A152-B48D133C19FF}"/>
    <cellStyle name="Separador de milhares 2 2 2 3 4 2" xfId="2280" xr:uid="{1D71D863-63B0-4B33-B149-C6A77BDF2DBF}"/>
    <cellStyle name="Separador de milhares 2 2 2 3 4 2 10" xfId="7000" xr:uid="{AFF2A247-5EDF-4B84-89AF-A7D8DC5D6126}"/>
    <cellStyle name="Separador de milhares 2 2 2 3 4 2 2" xfId="17286" xr:uid="{337683C8-13A8-476C-B647-884E1B211784}"/>
    <cellStyle name="Separador de milhares 2 2 2 3 4 2 2 2" xfId="37626" xr:uid="{C8D7B2C3-598D-47C0-9058-339C1F4ED140}"/>
    <cellStyle name="Separador de milhares 2 2 2 3 4 2 3" xfId="20788" xr:uid="{5F1F9AAC-050C-4099-A6B2-BC9059A95577}"/>
    <cellStyle name="Separador de milhares 2 2 2 3 4 2 3 2" xfId="41127" xr:uid="{25E14AA5-B193-436E-8C26-E9758A9B237F}"/>
    <cellStyle name="Separador de milhares 2 2 2 3 4 2 4" xfId="24043" xr:uid="{BA436101-65FF-4CDF-9A06-79A358D657EB}"/>
    <cellStyle name="Separador de milhares 2 2 2 3 4 2 4 2" xfId="44378" xr:uid="{21790289-51F3-4305-A110-C1DF1535A300}"/>
    <cellStyle name="Separador de milhares 2 2 2 3 4 2 5" xfId="14377" xr:uid="{CA7DFEA0-1195-4B60-8193-DCA41217B9DC}"/>
    <cellStyle name="Separador de milhares 2 2 2 3 4 2 5 2" xfId="34718" xr:uid="{CD117105-59B7-4AD6-A1AC-D1100FD17032}"/>
    <cellStyle name="Separador de milhares 2 2 2 3 4 2 6" xfId="10499" xr:uid="{0BBA51CB-0BC0-4703-9489-FFAC62A00A8E}"/>
    <cellStyle name="Separador de milhares 2 2 2 3 4 2 6 2" xfId="30842" xr:uid="{AB7AFB79-FFC2-4101-8BC7-DB299E71C4D5}"/>
    <cellStyle name="Separador de milhares 2 2 2 3 4 2 7" xfId="27348" xr:uid="{A2B57799-9C05-4065-A436-745831CE7DD5}"/>
    <cellStyle name="Separador de milhares 2 2 2 3 4 2 8" xfId="51607" xr:uid="{8F56ABA8-9EA9-4AE0-BB46-23DC85C16C02}"/>
    <cellStyle name="Separador de milhares 2 2 2 3 4 2 9" xfId="54901" xr:uid="{A7EF55E1-8E26-43FB-A101-73CE3F720F30}"/>
    <cellStyle name="Separador de milhares 2 2 2 3 4 3" xfId="16128" xr:uid="{CA9D6E4C-AD7A-41E1-BC2B-B721F83F0638}"/>
    <cellStyle name="Separador de milhares 2 2 2 3 4 3 2" xfId="36468" xr:uid="{2BBA77E3-AFAF-4450-AE0B-0297B5F6258F}"/>
    <cellStyle name="Separador de milhares 2 2 2 3 4 3 3" xfId="56435" xr:uid="{C8364FE7-FA59-44F7-87DD-4BD34CC04A3D}"/>
    <cellStyle name="Separador de milhares 2 2 2 3 4 4" xfId="19630" xr:uid="{C00C3209-F887-48BE-B524-D2BAE8BFBCFC}"/>
    <cellStyle name="Separador de milhares 2 2 2 3 4 4 2" xfId="39969" xr:uid="{629B5728-84A2-4438-B649-D53202712161}"/>
    <cellStyle name="Separador de milhares 2 2 2 3 4 5" xfId="22885" xr:uid="{A1509E6B-34B9-4651-958E-A01064C38D13}"/>
    <cellStyle name="Separador de milhares 2 2 2 3 4 5 2" xfId="43220" xr:uid="{7BA451E0-F0A0-4249-A043-85BF86F178A3}"/>
    <cellStyle name="Separador de milhares 2 2 2 3 4 6" xfId="13221" xr:uid="{E063A039-4AFA-4D85-9DE7-3818A1EC7DDC}"/>
    <cellStyle name="Separador de milhares 2 2 2 3 4 6 2" xfId="33562" xr:uid="{3339AE98-1764-4EF6-B96E-3751386263A5}"/>
    <cellStyle name="Separador de milhares 2 2 2 3 4 7" xfId="9341" xr:uid="{8F6F0A34-935A-4EF1-B341-E9D82E4260A1}"/>
    <cellStyle name="Separador de milhares 2 2 2 3 4 7 2" xfId="29684" xr:uid="{041341B1-28C0-4BDD-8C4D-73F417BFFDEC}"/>
    <cellStyle name="Separador de milhares 2 2 2 3 4 8" xfId="26190" xr:uid="{085DCFFC-2DA3-44C0-8321-F09D1C01B4CD}"/>
    <cellStyle name="Separador de milhares 2 2 2 3 4 9" xfId="48304" xr:uid="{0383CDDC-72B0-4370-A56B-A1D7A5A42787}"/>
    <cellStyle name="Separador de milhares 2 2 2 3 5" xfId="2071" xr:uid="{844D68D0-59FC-4456-B688-63FEE594C81C}"/>
    <cellStyle name="Separador de milhares 2 2 2 3 5 10" xfId="6419" xr:uid="{BEFD2030-5B26-41D5-B7E0-9E2387128DE6}"/>
    <cellStyle name="Separador de milhares 2 2 2 3 5 2" xfId="16705" xr:uid="{4ACEAC5D-DD53-4C73-AF73-7ECF4702448C}"/>
    <cellStyle name="Separador de milhares 2 2 2 3 5 2 2" xfId="37045" xr:uid="{25D70530-F879-4251-A0C3-01D9A74C67CE}"/>
    <cellStyle name="Separador de milhares 2 2 2 3 5 3" xfId="20207" xr:uid="{B4F4D768-A89E-429A-AEB5-227A180F7297}"/>
    <cellStyle name="Separador de milhares 2 2 2 3 5 3 2" xfId="40546" xr:uid="{ACCD2924-76BC-406E-A3F8-EE171CBDEE8A}"/>
    <cellStyle name="Separador de milhares 2 2 2 3 5 4" xfId="23462" xr:uid="{349F9AA4-2803-4B7C-ABFB-A8B072D6F251}"/>
    <cellStyle name="Separador de milhares 2 2 2 3 5 4 2" xfId="43797" xr:uid="{E9921565-81BA-4F07-A9E4-EDC72665C55A}"/>
    <cellStyle name="Separador de milhares 2 2 2 3 5 5" xfId="13796" xr:uid="{940A146D-D80E-494E-90F2-815AE71946B0}"/>
    <cellStyle name="Separador de milhares 2 2 2 3 5 5 2" xfId="34137" xr:uid="{16761896-1DB4-4069-B430-60C6043C7BFC}"/>
    <cellStyle name="Separador de milhares 2 2 2 3 5 6" xfId="9918" xr:uid="{66033134-132E-4D00-861E-841FB35CD0AF}"/>
    <cellStyle name="Separador de milhares 2 2 2 3 5 6 2" xfId="30261" xr:uid="{110DC36C-CA19-481C-AD9E-4D8B9B72352D}"/>
    <cellStyle name="Separador de milhares 2 2 2 3 5 7" xfId="26767" xr:uid="{3492CF6A-E4B2-4D84-B7BE-4B62595EA026}"/>
    <cellStyle name="Separador de milhares 2 2 2 3 5 8" xfId="51604" xr:uid="{28DF93DB-F9B3-4CA2-9430-62F9F7203863}"/>
    <cellStyle name="Separador de milhares 2 2 2 3 5 9" xfId="54898" xr:uid="{1C682DDA-A312-47B2-BBF4-BDEBC6D183B7}"/>
    <cellStyle name="Separador de milhares 2 2 2 3 6" xfId="7583" xr:uid="{C79F62F0-98AF-4B50-BA2A-4B7DD5C68412}"/>
    <cellStyle name="Separador de milhares 2 2 2 3 6 2" xfId="17868" xr:uid="{EA7BD80E-CC57-49C3-92C7-F8413E58AF5C}"/>
    <cellStyle name="Separador de milhares 2 2 2 3 6 2 2" xfId="38208" xr:uid="{996E887F-7A49-4D1A-93A3-7207B0A0AE74}"/>
    <cellStyle name="Separador de milhares 2 2 2 3 6 3" xfId="21370" xr:uid="{F4D6088E-4F0B-4279-BFD7-0E6A801F2A4A}"/>
    <cellStyle name="Separador de milhares 2 2 2 3 6 3 2" xfId="41709" xr:uid="{609EA3AF-11B7-4F43-88F8-A5C80D35B1BB}"/>
    <cellStyle name="Separador de milhares 2 2 2 3 6 4" xfId="24625" xr:uid="{586ED69C-933A-496E-A40D-86A3B15F35C5}"/>
    <cellStyle name="Separador de milhares 2 2 2 3 6 4 2" xfId="44960" xr:uid="{6A054064-F10E-478D-955E-905C3D2BAC7F}"/>
    <cellStyle name="Separador de milhares 2 2 2 3 6 5" xfId="14960" xr:uid="{E3472A50-039D-4FEA-812A-CE7B234B1504}"/>
    <cellStyle name="Separador de milhares 2 2 2 3 6 5 2" xfId="35300" xr:uid="{48BCC206-E264-4857-ADCC-3663F14E566F}"/>
    <cellStyle name="Separador de milhares 2 2 2 3 6 6" xfId="11081" xr:uid="{5846A8BB-AB23-4072-9201-3D44ED96D37B}"/>
    <cellStyle name="Separador de milhares 2 2 2 3 6 6 2" xfId="31424" xr:uid="{D3C9BD64-2067-4C01-B0A4-B6CB348CB75F}"/>
    <cellStyle name="Separador de milhares 2 2 2 3 6 7" xfId="27930" xr:uid="{0BBAC57A-970C-4D49-B7F8-CDD9C1F9855F}"/>
    <cellStyle name="Separador de milhares 2 2 2 3 6 8" xfId="56026" xr:uid="{60EF7145-CDA8-4A63-BD1B-80D4B8D2F522}"/>
    <cellStyle name="Separador de milhares 2 2 2 3 7" xfId="12652" xr:uid="{CDDE8F34-3AA3-4EFD-90A9-7CF8212C2A06}"/>
    <cellStyle name="Separador de milhares 2 2 2 3 7 2" xfId="32993" xr:uid="{E97ED1C7-58D1-46D7-9897-5B23D257CFB1}"/>
    <cellStyle name="Separador de milhares 2 2 2 3 8" xfId="15547" xr:uid="{640BB4CB-31F1-467B-AA1D-9575ADB4E11D}"/>
    <cellStyle name="Separador de milhares 2 2 2 3 8 2" xfId="35887" xr:uid="{19EB9852-76F2-4BCE-AD07-EBC268741022}"/>
    <cellStyle name="Separador de milhares 2 2 2 3 9" xfId="18461" xr:uid="{5A677993-D917-422D-B32D-A53624FD590D}"/>
    <cellStyle name="Separador de milhares 2 2 2 3 9 2" xfId="38801" xr:uid="{9AFD3A7D-88AB-458B-840C-A89EB58BEC75}"/>
    <cellStyle name="Separador de milhares 2 2 2 4" xfId="913" xr:uid="{245A1AE9-700B-461A-BE39-415AC88C42CD}"/>
    <cellStyle name="Separador de milhares 2 2 2 4 10" xfId="12132" xr:uid="{75A27EBD-3CBF-4AA0-B864-237C7F24658C}"/>
    <cellStyle name="Separador de milhares 2 2 2 4 10 2" xfId="32473" xr:uid="{C0B0FFDD-0B5C-4663-A096-63A8D422D416}"/>
    <cellStyle name="Separador de milhares 2 2 2 4 11" xfId="8871" xr:uid="{187FA6EF-7469-44FC-8819-A062A21BAE91}"/>
    <cellStyle name="Separador de milhares 2 2 2 4 11 2" xfId="29214" xr:uid="{BAB40483-47E7-4149-AEB1-02577AC20C11}"/>
    <cellStyle name="Separador de milhares 2 2 2 4 12" xfId="25720" xr:uid="{6272A194-95EC-4C4E-9896-3042D951FF2F}"/>
    <cellStyle name="Separador de milhares 2 2 2 4 13" xfId="48305" xr:uid="{7D416442-6891-48F6-AACF-0A5C795B2E46}"/>
    <cellStyle name="Separador de milhares 2 2 2 4 14" xfId="49974" xr:uid="{B354A836-DFBC-476C-8083-974D079AAD8F}"/>
    <cellStyle name="Separador de milhares 2 2 2 4 15" xfId="53269" xr:uid="{73F0163F-4F65-4892-AA99-5D97E0825C4E}"/>
    <cellStyle name="Separador de milhares 2 2 2 4 16" xfId="5389" xr:uid="{DF933255-91F9-4D67-86F1-57127C4A3948}"/>
    <cellStyle name="Separador de milhares 2 2 2 4 2" xfId="2629" xr:uid="{19775BAF-4553-4552-AC12-9731E047E215}"/>
    <cellStyle name="Separador de milhares 2 2 2 4 2 10" xfId="54902" xr:uid="{F59D5859-DD51-4A80-A476-3664643E9F2E}"/>
    <cellStyle name="Separador de milhares 2 2 2 4 2 11" xfId="5953" xr:uid="{E53B7E8C-BEC1-492D-9DC7-38E1D328D8C3}"/>
    <cellStyle name="Separador de milhares 2 2 2 4 2 2" xfId="7111" xr:uid="{F73696B1-EF6B-4596-9579-74ADDAB500DB}"/>
    <cellStyle name="Separador de milhares 2 2 2 4 2 2 2" xfId="17397" xr:uid="{2EFC47BF-0B52-4E51-8A7A-AECC2C98C4DD}"/>
    <cellStyle name="Separador de milhares 2 2 2 4 2 2 2 2" xfId="37737" xr:uid="{6A853FC5-2775-4208-BABC-008C43D42217}"/>
    <cellStyle name="Separador de milhares 2 2 2 4 2 2 3" xfId="20899" xr:uid="{BDFF6F9C-64FF-488C-A80A-745D383F6A8E}"/>
    <cellStyle name="Separador de milhares 2 2 2 4 2 2 3 2" xfId="41238" xr:uid="{1EB8419D-6A09-4DC2-B305-135FE0937467}"/>
    <cellStyle name="Separador de milhares 2 2 2 4 2 2 4" xfId="24154" xr:uid="{F3DEFB17-8128-43A2-ABBC-170745C97647}"/>
    <cellStyle name="Separador de milhares 2 2 2 4 2 2 4 2" xfId="44489" xr:uid="{9B0C7F41-BE24-4104-9BA8-824A1EC7E574}"/>
    <cellStyle name="Separador de milhares 2 2 2 4 2 2 5" xfId="14488" xr:uid="{71AAA8D6-4A15-4663-BA55-100B86AE5DAC}"/>
    <cellStyle name="Separador de milhares 2 2 2 4 2 2 5 2" xfId="34829" xr:uid="{ED3FC5BB-8FC3-4081-8313-DEBC95CE3DBE}"/>
    <cellStyle name="Separador de milhares 2 2 2 4 2 2 6" xfId="10610" xr:uid="{8C9F9836-E4F1-455C-A0C1-AAB75355F778}"/>
    <cellStyle name="Separador de milhares 2 2 2 4 2 2 6 2" xfId="30953" xr:uid="{E63EAAF0-9A00-438A-9214-1DA10C45AD63}"/>
    <cellStyle name="Separador de milhares 2 2 2 4 2 2 7" xfId="27459" xr:uid="{9275D974-2270-48CF-8FA5-51D257883F4A}"/>
    <cellStyle name="Separador de milhares 2 2 2 4 2 3" xfId="16239" xr:uid="{E2088FB4-2901-416D-B5AC-4FE9EA0813D5}"/>
    <cellStyle name="Separador de milhares 2 2 2 4 2 3 2" xfId="36579" xr:uid="{79D13555-489A-4838-AF82-752FF68496E5}"/>
    <cellStyle name="Separador de milhares 2 2 2 4 2 4" xfId="19741" xr:uid="{A02A0850-75BC-48F3-B9AD-1CBEDFE696E8}"/>
    <cellStyle name="Separador de milhares 2 2 2 4 2 4 2" xfId="40080" xr:uid="{CCA6CE72-9D29-4E46-984F-F94AE732C032}"/>
    <cellStyle name="Separador de milhares 2 2 2 4 2 5" xfId="22996" xr:uid="{F4166CF5-F5A4-4FE1-BB20-69C7AC8A9828}"/>
    <cellStyle name="Separador de milhares 2 2 2 4 2 5 2" xfId="43331" xr:uid="{113FA7F0-9A10-4FA4-B2CA-4FDE50900072}"/>
    <cellStyle name="Separador de milhares 2 2 2 4 2 6" xfId="13330" xr:uid="{FC87E0E3-6C80-4AA5-AFFF-AF66CC13452A}"/>
    <cellStyle name="Separador de milhares 2 2 2 4 2 6 2" xfId="33671" xr:uid="{AA152F2F-C838-48FA-BFEB-BBD8EDAA162D}"/>
    <cellStyle name="Separador de milhares 2 2 2 4 2 7" xfId="9452" xr:uid="{E52763E4-654D-4BBD-87DC-04E116C4177D}"/>
    <cellStyle name="Separador de milhares 2 2 2 4 2 7 2" xfId="29795" xr:uid="{AF7571B8-2B4D-4F09-8345-DB0F1E92F22F}"/>
    <cellStyle name="Separador de milhares 2 2 2 4 2 8" xfId="26301" xr:uid="{77E1294C-A013-4EB4-813D-89712842844D}"/>
    <cellStyle name="Separador de milhares 2 2 2 4 2 9" xfId="51608" xr:uid="{18155270-C8E1-4F6A-A97A-A386973E9F09}"/>
    <cellStyle name="Separador de milhares 2 2 2 4 3" xfId="6530" xr:uid="{3B4D27DF-AA20-459B-9FB5-986F7F55E184}"/>
    <cellStyle name="Separador de milhares 2 2 2 4 3 2" xfId="16816" xr:uid="{BC02C738-46AA-43F4-95DE-0A5FAB99F8C7}"/>
    <cellStyle name="Separador de milhares 2 2 2 4 3 2 2" xfId="37156" xr:uid="{1BA4EFB5-E8D7-4FD2-BB61-74CA770B249B}"/>
    <cellStyle name="Separador de milhares 2 2 2 4 3 3" xfId="20318" xr:uid="{452C088B-8E68-4D08-8901-4EF6DA29D0AE}"/>
    <cellStyle name="Separador de milhares 2 2 2 4 3 3 2" xfId="40657" xr:uid="{4D90A5FE-1D29-4CE3-884C-D5586F8EBB38}"/>
    <cellStyle name="Separador de milhares 2 2 2 4 3 4" xfId="23573" xr:uid="{A5541162-E883-49DF-8B65-DA805A9F19B8}"/>
    <cellStyle name="Separador de milhares 2 2 2 4 3 4 2" xfId="43908" xr:uid="{C81FD8C5-353D-4D70-A270-E02A2E4EBF28}"/>
    <cellStyle name="Separador de milhares 2 2 2 4 3 5" xfId="13907" xr:uid="{3940E66E-6CF4-423F-A9AA-977457FC12D8}"/>
    <cellStyle name="Separador de milhares 2 2 2 4 3 5 2" xfId="34248" xr:uid="{44B45ED4-3B99-4688-B337-95924C109089}"/>
    <cellStyle name="Separador de milhares 2 2 2 4 3 6" xfId="10029" xr:uid="{2F8A26C3-BA3E-4442-A949-D25EB8229FE6}"/>
    <cellStyle name="Separador de milhares 2 2 2 4 3 6 2" xfId="30372" xr:uid="{F7002FD8-D5AE-410C-AF97-511AABBA3CCB}"/>
    <cellStyle name="Separador de milhares 2 2 2 4 3 7" xfId="26878" xr:uid="{1AE34616-3EEC-450B-AE91-7130D9372717}"/>
    <cellStyle name="Separador de milhares 2 2 2 4 3 8" xfId="56784" xr:uid="{FA1D61AC-7E20-4D54-BC53-F1343FE1021D}"/>
    <cellStyle name="Separador de milhares 2 2 2 4 4" xfId="7694" xr:uid="{EDF40C71-9B92-44F7-990D-F4EBB05795E7}"/>
    <cellStyle name="Separador de milhares 2 2 2 4 4 2" xfId="17979" xr:uid="{5A69D65A-AF61-4F8F-97D8-E68BD87A20D3}"/>
    <cellStyle name="Separador de milhares 2 2 2 4 4 2 2" xfId="38319" xr:uid="{B8000D2F-7083-44C0-AAF5-2FDF66597346}"/>
    <cellStyle name="Separador de milhares 2 2 2 4 4 3" xfId="21481" xr:uid="{6C2B5A61-A3CC-4132-8C91-3B6A22301C62}"/>
    <cellStyle name="Separador de milhares 2 2 2 4 4 3 2" xfId="41820" xr:uid="{E2452AF8-96EF-49EC-BA41-9BD9399ED0C9}"/>
    <cellStyle name="Separador de milhares 2 2 2 4 4 4" xfId="24736" xr:uid="{7E6A501F-FBFA-40B9-BF1B-AEF327B75835}"/>
    <cellStyle name="Separador de milhares 2 2 2 4 4 4 2" xfId="45071" xr:uid="{FB34D32F-2267-45D6-A8F0-3FE0E15233D9}"/>
    <cellStyle name="Separador de milhares 2 2 2 4 4 5" xfId="15071" xr:uid="{7EC7AE27-A1BF-4124-A832-FB9EED55251D}"/>
    <cellStyle name="Separador de milhares 2 2 2 4 4 5 2" xfId="35411" xr:uid="{833D4D16-C6E1-44A6-8E23-E61169DA6C55}"/>
    <cellStyle name="Separador de milhares 2 2 2 4 4 6" xfId="11192" xr:uid="{7571CE92-3A3F-4F6B-ABE9-55ADF9E0EA18}"/>
    <cellStyle name="Separador de milhares 2 2 2 4 4 6 2" xfId="31535" xr:uid="{A8D76E55-111C-422C-8E23-FBDD76DAD04B}"/>
    <cellStyle name="Separador de milhares 2 2 2 4 4 7" xfId="28041" xr:uid="{543CC44E-FDD2-45F4-ACB4-F23289C81EE1}"/>
    <cellStyle name="Separador de milhares 2 2 2 4 5" xfId="12761" xr:uid="{773EEA11-292D-4FFC-B2B7-00E25746FE8D}"/>
    <cellStyle name="Separador de milhares 2 2 2 4 5 2" xfId="33102" xr:uid="{EF9012D7-69D2-4D38-93E7-C4A135D233DC}"/>
    <cellStyle name="Separador de milhares 2 2 2 4 6" xfId="15658" xr:uid="{D7747B6A-6D67-45A8-AE93-6A2B4F7C421D}"/>
    <cellStyle name="Separador de milhares 2 2 2 4 6 2" xfId="35998" xr:uid="{282481A0-9776-422B-A5E4-764DE5A3DC40}"/>
    <cellStyle name="Separador de milhares 2 2 2 4 7" xfId="18572" xr:uid="{9C412363-3330-4259-A72E-289155C0A13E}"/>
    <cellStyle name="Separador de milhares 2 2 2 4 7 2" xfId="38912" xr:uid="{3F4B8CB7-971A-4E39-941F-EB30CFAD9513}"/>
    <cellStyle name="Separador de milhares 2 2 2 4 8" xfId="19160" xr:uid="{9137BB5B-4357-4899-A94D-AA838ABE6B7B}"/>
    <cellStyle name="Separador de milhares 2 2 2 4 8 2" xfId="39499" xr:uid="{C3872015-A69E-48F7-9FEA-A0DEB4D09597}"/>
    <cellStyle name="Separador de milhares 2 2 2 4 9" xfId="22415" xr:uid="{09FD8E12-C95B-4F0A-8C60-EEA68F9339A4}"/>
    <cellStyle name="Separador de milhares 2 2 2 4 9 2" xfId="42750" xr:uid="{45F3F542-89D8-4A42-BEFC-712C31307444}"/>
    <cellStyle name="Separador de milhares 2 2 2 5" xfId="1319" xr:uid="{68725643-80A3-474D-82FE-B57303D26E4B}"/>
    <cellStyle name="Separador de milhares 2 2 2 5 10" xfId="12361" xr:uid="{723971CC-EA87-43C8-8691-D8ED69DA58DE}"/>
    <cellStyle name="Separador de milhares 2 2 2 5 10 2" xfId="32702" xr:uid="{F44B4F54-8B17-46DB-A10E-B3B8085E3F8D}"/>
    <cellStyle name="Separador de milhares 2 2 2 5 11" xfId="9100" xr:uid="{F49CAAD6-DD76-462F-9850-601F213DE592}"/>
    <cellStyle name="Separador de milhares 2 2 2 5 11 2" xfId="29443" xr:uid="{1ED9D940-1AC1-4084-883B-30BAB09CE915}"/>
    <cellStyle name="Separador de milhares 2 2 2 5 12" xfId="25949" xr:uid="{CC7740DD-1055-4635-8932-235AD8417A15}"/>
    <cellStyle name="Separador de milhares 2 2 2 5 13" xfId="48306" xr:uid="{74D44BCA-E1C6-40C7-A00B-5AF233AD5B68}"/>
    <cellStyle name="Separador de milhares 2 2 2 5 14" xfId="49975" xr:uid="{E356384F-D157-4A7B-AC54-5A260246B4F1}"/>
    <cellStyle name="Separador de milhares 2 2 2 5 15" xfId="53270" xr:uid="{A174491B-4070-43F1-939F-37CBC9ADB96D}"/>
    <cellStyle name="Separador de milhares 2 2 2 5 16" xfId="5610" xr:uid="{081A3B40-FFF9-45C8-955A-8923727088C9}"/>
    <cellStyle name="Separador de milhares 2 2 2 5 2" xfId="2980" xr:uid="{46CB4540-4855-4FA1-8A0D-92B11BFBB8CB}"/>
    <cellStyle name="Separador de milhares 2 2 2 5 2 10" xfId="54903" xr:uid="{9041D0E4-2433-4A2C-992A-D1E5259CFF75}"/>
    <cellStyle name="Separador de milhares 2 2 2 5 2 11" xfId="6182" xr:uid="{2B4B903F-865E-453D-BAC6-80EF54901FA6}"/>
    <cellStyle name="Separador de milhares 2 2 2 5 2 2" xfId="7340" xr:uid="{6FB0977D-CFC3-4E13-AB17-BA2772143CC7}"/>
    <cellStyle name="Separador de milhares 2 2 2 5 2 2 2" xfId="17626" xr:uid="{FDFDA77F-D435-413F-9BC2-7131EA6F5C29}"/>
    <cellStyle name="Separador de milhares 2 2 2 5 2 2 2 2" xfId="37966" xr:uid="{D008D9E1-2172-44DA-963E-3DAC1E6F90BE}"/>
    <cellStyle name="Separador de milhares 2 2 2 5 2 2 3" xfId="21128" xr:uid="{F1B4745D-DF6A-47AE-AD8B-59734340F282}"/>
    <cellStyle name="Separador de milhares 2 2 2 5 2 2 3 2" xfId="41467" xr:uid="{9E3A1C84-ED15-4B54-94FA-0DC26A1E4AA5}"/>
    <cellStyle name="Separador de milhares 2 2 2 5 2 2 4" xfId="24383" xr:uid="{F4A90EDD-6738-4A41-8E6A-22407D68FC55}"/>
    <cellStyle name="Separador de milhares 2 2 2 5 2 2 4 2" xfId="44718" xr:uid="{BE91A0D7-C06F-4A35-8406-2EB005400E82}"/>
    <cellStyle name="Separador de milhares 2 2 2 5 2 2 5" xfId="14717" xr:uid="{89CB349F-5262-4682-958B-151BFBDC0212}"/>
    <cellStyle name="Separador de milhares 2 2 2 5 2 2 5 2" xfId="35058" xr:uid="{BDE70CB2-D027-4E2D-967C-F513DD6AB68D}"/>
    <cellStyle name="Separador de milhares 2 2 2 5 2 2 6" xfId="10839" xr:uid="{0693B46E-92DC-44A7-8307-BBEC7EE7D26B}"/>
    <cellStyle name="Separador de milhares 2 2 2 5 2 2 6 2" xfId="31182" xr:uid="{1D5E96B9-B1F8-4135-A64D-FC72FBC2EACC}"/>
    <cellStyle name="Separador de milhares 2 2 2 5 2 2 7" xfId="27688" xr:uid="{4FA58F6F-0011-4E2F-96EF-569B8CCC5469}"/>
    <cellStyle name="Separador de milhares 2 2 2 5 2 3" xfId="16468" xr:uid="{E8606BEA-CCC8-40FF-846B-C3F20362802A}"/>
    <cellStyle name="Separador de milhares 2 2 2 5 2 3 2" xfId="36808" xr:uid="{55A600AF-CAFA-43B3-AEF1-E724A87E3E94}"/>
    <cellStyle name="Separador de milhares 2 2 2 5 2 4" xfId="19970" xr:uid="{2871C476-9BDC-4F28-89AD-764C575C9623}"/>
    <cellStyle name="Separador de milhares 2 2 2 5 2 4 2" xfId="40309" xr:uid="{E32A6FEA-AFD7-4135-B741-ADA84809D341}"/>
    <cellStyle name="Separador de milhares 2 2 2 5 2 5" xfId="23225" xr:uid="{DC90F22A-B013-43E9-A40B-79253CEAF4F3}"/>
    <cellStyle name="Separador de milhares 2 2 2 5 2 5 2" xfId="43560" xr:uid="{379BF7DF-E010-4B9B-8922-6C3ECB6DCB47}"/>
    <cellStyle name="Separador de milhares 2 2 2 5 2 6" xfId="13559" xr:uid="{11DCBF39-123D-45D1-BB80-5DC8B2983080}"/>
    <cellStyle name="Separador de milhares 2 2 2 5 2 6 2" xfId="33900" xr:uid="{3A4AEAB3-DF13-490F-AB33-A94BDAF02EFD}"/>
    <cellStyle name="Separador de milhares 2 2 2 5 2 7" xfId="9681" xr:uid="{97C4E0BB-0DD8-4660-B161-63D312586092}"/>
    <cellStyle name="Separador de milhares 2 2 2 5 2 7 2" xfId="30024" xr:uid="{0024251E-DC0A-43C4-9ACD-3931B4EB6292}"/>
    <cellStyle name="Separador de milhares 2 2 2 5 2 8" xfId="26530" xr:uid="{21044FAB-066E-48B8-A472-26B02F8A27EB}"/>
    <cellStyle name="Separador de milhares 2 2 2 5 2 9" xfId="51609" xr:uid="{25166717-3B57-479D-8529-79062CC565B3}"/>
    <cellStyle name="Separador de milhares 2 2 2 5 3" xfId="6759" xr:uid="{69862BEC-C7F1-47CC-BCF2-D70F5FFE5001}"/>
    <cellStyle name="Separador de milhares 2 2 2 5 3 2" xfId="17045" xr:uid="{D5750E14-18DE-4F5A-BF96-18A0EAF72703}"/>
    <cellStyle name="Separador de milhares 2 2 2 5 3 2 2" xfId="37385" xr:uid="{5610CF3F-7DF0-4E9F-97B4-57E161A5FD09}"/>
    <cellStyle name="Separador de milhares 2 2 2 5 3 3" xfId="20547" xr:uid="{04381A0A-4A48-4D5E-80A2-249654C68917}"/>
    <cellStyle name="Separador de milhares 2 2 2 5 3 3 2" xfId="40886" xr:uid="{3AE965D7-2533-495D-ADCB-A9A42013A2E8}"/>
    <cellStyle name="Separador de milhares 2 2 2 5 3 4" xfId="23802" xr:uid="{80725E1E-EFAC-4DF0-82BD-44C93E9637F2}"/>
    <cellStyle name="Separador de milhares 2 2 2 5 3 4 2" xfId="44137" xr:uid="{6F26D47D-39D5-471F-8999-FA415270A037}"/>
    <cellStyle name="Separador de milhares 2 2 2 5 3 5" xfId="14136" xr:uid="{FFDB3927-327D-4664-A3A7-659C585BDCEF}"/>
    <cellStyle name="Separador de milhares 2 2 2 5 3 5 2" xfId="34477" xr:uid="{C396E0A5-1BD0-4FB0-9A05-3EEF70A88E1C}"/>
    <cellStyle name="Separador de milhares 2 2 2 5 3 6" xfId="10258" xr:uid="{FF9AA23A-76DF-4160-9655-3139D4EACAEC}"/>
    <cellStyle name="Separador de milhares 2 2 2 5 3 6 2" xfId="30601" xr:uid="{ACDAE22D-2C20-4435-B367-62BA84945343}"/>
    <cellStyle name="Separador de milhares 2 2 2 5 3 7" xfId="27107" xr:uid="{2CA467CD-1ABC-4E14-925E-7679C0591293}"/>
    <cellStyle name="Separador de milhares 2 2 2 5 3 8" xfId="57190" xr:uid="{31964CDA-65F8-4A48-A365-B89D979798DE}"/>
    <cellStyle name="Separador de milhares 2 2 2 5 4" xfId="7923" xr:uid="{814497B3-FA8B-449B-AE28-8299F21922BE}"/>
    <cellStyle name="Separador de milhares 2 2 2 5 4 2" xfId="18208" xr:uid="{7A638B1D-83F5-4B31-9DE1-B84DEB2B4E6C}"/>
    <cellStyle name="Separador de milhares 2 2 2 5 4 2 2" xfId="38548" xr:uid="{064531FD-1723-43EF-9CB0-30ABA8DE2B51}"/>
    <cellStyle name="Separador de milhares 2 2 2 5 4 3" xfId="21710" xr:uid="{4C212879-964F-4E2E-84CC-CA8C8D0620D1}"/>
    <cellStyle name="Separador de milhares 2 2 2 5 4 3 2" xfId="42049" xr:uid="{55FB9205-4924-4465-BA13-462DA7C0B6DA}"/>
    <cellStyle name="Separador de milhares 2 2 2 5 4 4" xfId="24965" xr:uid="{91BAA09D-D2BB-4E0A-B070-93D391A08253}"/>
    <cellStyle name="Separador de milhares 2 2 2 5 4 4 2" xfId="45300" xr:uid="{A8724729-1B75-4F2A-B708-79E8FDFC4FE2}"/>
    <cellStyle name="Separador de milhares 2 2 2 5 4 5" xfId="15300" xr:uid="{1FA5EF7A-D0F4-4790-8316-5E9258A204AA}"/>
    <cellStyle name="Separador de milhares 2 2 2 5 4 5 2" xfId="35640" xr:uid="{E630E77A-A1F1-44C5-BE71-69D11A02548E}"/>
    <cellStyle name="Separador de milhares 2 2 2 5 4 6" xfId="11421" xr:uid="{A268401E-D104-40DF-BEA8-686AA7B4F35C}"/>
    <cellStyle name="Separador de milhares 2 2 2 5 4 6 2" xfId="31764" xr:uid="{2AF2E37E-7FEE-4E18-B666-6F67653142D3}"/>
    <cellStyle name="Separador de milhares 2 2 2 5 4 7" xfId="28270" xr:uid="{FDF4BD31-8DE7-451F-A38E-B0C137C1378A}"/>
    <cellStyle name="Separador de milhares 2 2 2 5 5" xfId="12990" xr:uid="{CC0A5209-577E-4FB3-94AE-7C4DF3682F66}"/>
    <cellStyle name="Separador de milhares 2 2 2 5 5 2" xfId="33331" xr:uid="{6DAA8872-C91F-4204-B822-F931C54BBE3D}"/>
    <cellStyle name="Separador de milhares 2 2 2 5 6" xfId="15887" xr:uid="{09827295-6956-49D4-97D3-32C5DAC4EF2D}"/>
    <cellStyle name="Separador de milhares 2 2 2 5 6 2" xfId="36227" xr:uid="{CCE20742-260B-4B9E-BC5D-E12E0CD2A32C}"/>
    <cellStyle name="Separador de milhares 2 2 2 5 7" xfId="18801" xr:uid="{FF8B53AB-E18F-4B60-A356-688FF2C685FA}"/>
    <cellStyle name="Separador de milhares 2 2 2 5 7 2" xfId="39141" xr:uid="{CE88EE1F-C8F1-41C7-B9F4-F71D4B23C2A1}"/>
    <cellStyle name="Separador de milhares 2 2 2 5 8" xfId="19389" xr:uid="{6F0B0623-ED90-457F-9FA5-8037189199EC}"/>
    <cellStyle name="Separador de milhares 2 2 2 5 8 2" xfId="39728" xr:uid="{E9CBD3A6-F256-40CE-91C2-40F1B4194633}"/>
    <cellStyle name="Separador de milhares 2 2 2 5 9" xfId="22644" xr:uid="{1F0ED096-38DE-412B-8AF8-96F636E88E89}"/>
    <cellStyle name="Separador de milhares 2 2 2 5 9 2" xfId="42979" xr:uid="{1C628B5B-BF23-4DFB-90A0-496EB750B4FB}"/>
    <cellStyle name="Separador de milhares 2 2 2 6" xfId="506" xr:uid="{50E8D393-8A7C-4F82-9611-04CF545B1650}"/>
    <cellStyle name="Separador de milhares 2 2 2 6 10" xfId="49976" xr:uid="{4DEFA162-68C5-4E8C-98AE-987B66F61E39}"/>
    <cellStyle name="Separador de milhares 2 2 2 6 11" xfId="53271" xr:uid="{CED704D0-35FB-4018-8649-FFE2EB6D2448}"/>
    <cellStyle name="Separador de milhares 2 2 2 6 12" xfId="5838" xr:uid="{9E8B7EE7-79B2-4D8D-94AA-6A90752A8F8C}"/>
    <cellStyle name="Separador de milhares 2 2 2 6 2" xfId="2222" xr:uid="{961A0B23-BA04-4FF6-98F4-1726B32B0206}"/>
    <cellStyle name="Separador de milhares 2 2 2 6 2 10" xfId="6996" xr:uid="{3C5B73E4-9483-4A2A-A9B9-6103CA8CD8E0}"/>
    <cellStyle name="Separador de milhares 2 2 2 6 2 2" xfId="17282" xr:uid="{3C6DE97B-EE4B-4072-84B6-7DEFA07AB11A}"/>
    <cellStyle name="Separador de milhares 2 2 2 6 2 2 2" xfId="37622" xr:uid="{613B7BCE-0CA6-45CE-86BC-F40F0DE99C8A}"/>
    <cellStyle name="Separador de milhares 2 2 2 6 2 3" xfId="20784" xr:uid="{27112807-2A06-44E0-9E5B-28135D3493D6}"/>
    <cellStyle name="Separador de milhares 2 2 2 6 2 3 2" xfId="41123" xr:uid="{2CC03338-D830-4F03-A857-D15CE594BAF0}"/>
    <cellStyle name="Separador de milhares 2 2 2 6 2 4" xfId="24039" xr:uid="{FDD4671C-704B-4D0B-937E-270A0F72BE79}"/>
    <cellStyle name="Separador de milhares 2 2 2 6 2 4 2" xfId="44374" xr:uid="{106DEF07-A01A-41DA-93E7-9A39A5EB0B69}"/>
    <cellStyle name="Separador de milhares 2 2 2 6 2 5" xfId="14373" xr:uid="{A9E3CCCB-3856-4FDA-B849-B35EFC74A54F}"/>
    <cellStyle name="Separador de milhares 2 2 2 6 2 5 2" xfId="34714" xr:uid="{26978A5B-D243-44FC-9ADE-DF43528410C2}"/>
    <cellStyle name="Separador de milhares 2 2 2 6 2 6" xfId="10495" xr:uid="{609CDEF8-DB54-4748-A62F-2E1A07424774}"/>
    <cellStyle name="Separador de milhares 2 2 2 6 2 6 2" xfId="30838" xr:uid="{D2E744A7-6B7A-41CD-AC24-1AD485E85671}"/>
    <cellStyle name="Separador de milhares 2 2 2 6 2 7" xfId="27344" xr:uid="{7FD1A494-9CE3-4F54-B589-395EA5AE8250}"/>
    <cellStyle name="Separador de milhares 2 2 2 6 2 8" xfId="51610" xr:uid="{CB256285-4E1A-47BD-BD0D-4441C83403BB}"/>
    <cellStyle name="Separador de milhares 2 2 2 6 2 9" xfId="54904" xr:uid="{BBE1A379-088A-4634-892C-AB4AF3D6C25E}"/>
    <cellStyle name="Separador de milhares 2 2 2 6 3" xfId="16124" xr:uid="{44B89CD1-2997-42FE-AB20-A66C138B1C3B}"/>
    <cellStyle name="Separador de milhares 2 2 2 6 3 2" xfId="36464" xr:uid="{844A2E87-CD5E-4FB5-85D1-44534D6125A3}"/>
    <cellStyle name="Separador de milhares 2 2 2 6 3 3" xfId="56377" xr:uid="{6EA86F00-B81B-4A5C-B065-F9B0EBD06573}"/>
    <cellStyle name="Separador de milhares 2 2 2 6 4" xfId="19626" xr:uid="{5420B91F-38E6-4773-A44E-6D6CA2D489E1}"/>
    <cellStyle name="Separador de milhares 2 2 2 6 4 2" xfId="39965" xr:uid="{79031385-2274-4716-B983-1316B8EBF9BC}"/>
    <cellStyle name="Separador de milhares 2 2 2 6 5" xfId="22881" xr:uid="{837678F0-2D73-48C4-BE97-397F9091401F}"/>
    <cellStyle name="Separador de milhares 2 2 2 6 5 2" xfId="43216" xr:uid="{61A614ED-100A-4536-9FEE-37D3D87D492B}"/>
    <cellStyle name="Separador de milhares 2 2 2 6 6" xfId="13217" xr:uid="{44A90193-AAD9-40AB-B463-BE1835D13AA7}"/>
    <cellStyle name="Separador de milhares 2 2 2 6 6 2" xfId="33558" xr:uid="{EA916901-8DFB-4446-B4B3-26FC8C45BC55}"/>
    <cellStyle name="Separador de milhares 2 2 2 6 7" xfId="9337" xr:uid="{451E15C0-216A-40EE-8714-B751658DE6DB}"/>
    <cellStyle name="Separador de milhares 2 2 2 6 7 2" xfId="29680" xr:uid="{06F88823-3505-423D-9551-5352CEE9E55E}"/>
    <cellStyle name="Separador de milhares 2 2 2 6 8" xfId="26186" xr:uid="{F7333BD8-A008-417E-96B4-CD0F871E57B5}"/>
    <cellStyle name="Separador de milhares 2 2 2 6 9" xfId="48307" xr:uid="{94BB4C14-4DE3-409D-BE0E-30A24650DB89}"/>
    <cellStyle name="Separador de milhares 2 2 2 7" xfId="2077" xr:uid="{30C51412-FD7A-4620-8602-B61F45B0A581}"/>
    <cellStyle name="Separador de milhares 2 2 2 7 10" xfId="6415" xr:uid="{27BDF300-08DC-49E2-81E6-AB71AA8A5A9A}"/>
    <cellStyle name="Separador de milhares 2 2 2 7 2" xfId="16701" xr:uid="{63745C60-AF99-4D70-B22D-848A8A079E80}"/>
    <cellStyle name="Separador de milhares 2 2 2 7 2 2" xfId="37041" xr:uid="{2091E32E-389D-419F-BAF5-6AD3405E6715}"/>
    <cellStyle name="Separador de milhares 2 2 2 7 3" xfId="20203" xr:uid="{D458DBF5-1223-4F9D-881C-B0BE4AE2D63C}"/>
    <cellStyle name="Separador de milhares 2 2 2 7 3 2" xfId="40542" xr:uid="{C312C1BE-BCC0-48B8-B8C4-42B8867F159A}"/>
    <cellStyle name="Separador de milhares 2 2 2 7 4" xfId="23458" xr:uid="{DFBC6A8A-AB7A-46BF-84A1-4AC366C7A814}"/>
    <cellStyle name="Separador de milhares 2 2 2 7 4 2" xfId="43793" xr:uid="{CA06D659-0F7C-42E7-920C-0E9626C7A05E}"/>
    <cellStyle name="Separador de milhares 2 2 2 7 5" xfId="13792" xr:uid="{C4118DFB-1D27-4857-B0F2-D17BA3D4CEF5}"/>
    <cellStyle name="Separador de milhares 2 2 2 7 5 2" xfId="34133" xr:uid="{2EF34C47-487F-45FA-9184-440BB86BD0E5}"/>
    <cellStyle name="Separador de milhares 2 2 2 7 6" xfId="9914" xr:uid="{D0A248BE-50A0-42B0-938F-6190C061219B}"/>
    <cellStyle name="Separador de milhares 2 2 2 7 6 2" xfId="30257" xr:uid="{F8C75607-9ED1-4AFD-812F-36B004319F0B}"/>
    <cellStyle name="Separador de milhares 2 2 2 7 7" xfId="26763" xr:uid="{AF1673AF-B22E-40C2-9DEC-7A68ABAA6ACF}"/>
    <cellStyle name="Separador de milhares 2 2 2 7 8" xfId="51599" xr:uid="{0A7037E5-4DF6-4F44-BA72-78B2953523A5}"/>
    <cellStyle name="Separador de milhares 2 2 2 7 9" xfId="54893" xr:uid="{42D0D927-2C20-485C-80BB-7508AE249D48}"/>
    <cellStyle name="Separador de milhares 2 2 2 8" xfId="7579" xr:uid="{72D56151-D1E2-4E02-9D22-984E35A4C0BE}"/>
    <cellStyle name="Separador de milhares 2 2 2 8 2" xfId="17864" xr:uid="{214DA4C8-80D6-4C88-8EF0-2D89F552F72B}"/>
    <cellStyle name="Separador de milhares 2 2 2 8 2 2" xfId="38204" xr:uid="{A26A1CE0-362A-4CF2-8F94-12C4F7812854}"/>
    <cellStyle name="Separador de milhares 2 2 2 8 3" xfId="21366" xr:uid="{D5CC143B-510C-4899-BF2F-96EC51240439}"/>
    <cellStyle name="Separador de milhares 2 2 2 8 3 2" xfId="41705" xr:uid="{D3123AF2-1F81-4D9E-AFA6-AB15599650DD}"/>
    <cellStyle name="Separador de milhares 2 2 2 8 4" xfId="24621" xr:uid="{0625DA38-C897-4D23-A1D9-F28F9AF0B06E}"/>
    <cellStyle name="Separador de milhares 2 2 2 8 4 2" xfId="44956" xr:uid="{ACD39A4D-2CBB-4E7C-AD09-71A115B2DA4F}"/>
    <cellStyle name="Separador de milhares 2 2 2 8 5" xfId="14956" xr:uid="{B89A676D-B45F-430D-B7EA-1DA7B6BD6F6C}"/>
    <cellStyle name="Separador de milhares 2 2 2 8 5 2" xfId="35296" xr:uid="{B7D4D6DA-CC8E-4C55-8837-EA4D76E9AD8F}"/>
    <cellStyle name="Separador de milhares 2 2 2 8 6" xfId="11077" xr:uid="{47ECC1D8-8E9E-400B-B089-20F60B171419}"/>
    <cellStyle name="Separador de milhares 2 2 2 8 6 2" xfId="31420" xr:uid="{839D4019-65BF-4B59-95F1-8E90E0F3B66F}"/>
    <cellStyle name="Separador de milhares 2 2 2 8 7" xfId="27926" xr:uid="{84F7638C-3CAE-4988-BC32-3EFCC44AF6E2}"/>
    <cellStyle name="Separador de milhares 2 2 2 8 8" xfId="55968" xr:uid="{D306E426-C0D6-4D95-9D43-C03B001921F6}"/>
    <cellStyle name="Separador de milhares 2 2 2 9" xfId="12648" xr:uid="{756FDD4D-8FB8-45DD-9FE3-4B507E2A3E01}"/>
    <cellStyle name="Separador de milhares 2 2 2 9 2" xfId="32989" xr:uid="{1C14DE55-667B-41DB-87F8-E93536518217}"/>
    <cellStyle name="Separador de milhares 2 2 20" xfId="53259" xr:uid="{EDDD3BDA-A0F8-4A25-AE8D-17A05100A0AF}"/>
    <cellStyle name="Separador de milhares 2 2 21" xfId="5212" xr:uid="{5526B7FB-23E6-497D-B178-F54E7D52F384}"/>
    <cellStyle name="Separador de milhares 2 2 22" xfId="4369" xr:uid="{C1FD685F-6B51-4BBB-A108-BD58DB5D1585}"/>
    <cellStyle name="Separador de milhares 2 2 3" xfId="39" xr:uid="{BA27CD6E-E74B-4839-8078-D1647B999505}"/>
    <cellStyle name="Separador de milhares 2 2 3 10" xfId="19051" xr:uid="{07E428E3-9195-4062-B89A-49158199E0FD}"/>
    <cellStyle name="Separador de milhares 2 2 3 10 2" xfId="39390" xr:uid="{149F9E57-8197-4BCE-B8E5-3CAD2BAF91C2}"/>
    <cellStyle name="Separador de milhares 2 2 3 11" xfId="22306" xr:uid="{45F28C33-CBF5-4E8E-875D-DE0050A5FF69}"/>
    <cellStyle name="Separador de milhares 2 2 3 11 2" xfId="42641" xr:uid="{76090555-4F2F-4F8A-85F5-D13747AE9958}"/>
    <cellStyle name="Separador de milhares 2 2 3 12" xfId="12023" xr:uid="{B0E25344-3AF5-4C42-90BB-A2F7B733893A}"/>
    <cellStyle name="Separador de milhares 2 2 3 12 2" xfId="32364" xr:uid="{DB60C054-83B1-47F2-B126-5AD556ECDB39}"/>
    <cellStyle name="Separador de milhares 2 2 3 13" xfId="8762" xr:uid="{01689309-49AF-4462-86C8-C7FD8050304C}"/>
    <cellStyle name="Separador de milhares 2 2 3 13 2" xfId="29105" xr:uid="{34626625-6B63-49F7-8E4C-035FD1966F68}"/>
    <cellStyle name="Separador de milhares 2 2 3 14" xfId="25611" xr:uid="{2ED79B08-7B58-4FC0-AA1A-99405AB6F8C6}"/>
    <cellStyle name="Separador de milhares 2 2 3 15" xfId="25482" xr:uid="{023B1727-C52B-42B0-8121-DCF9FF59573E}"/>
    <cellStyle name="Separador de milhares 2 2 3 16" xfId="48308" xr:uid="{08CCAD56-9D67-49B1-B404-BC76BFF67A86}"/>
    <cellStyle name="Separador de milhares 2 2 3 17" xfId="49977" xr:uid="{949C06FA-39D1-4191-ABF6-372B250937A4}"/>
    <cellStyle name="Separador de milhares 2 2 3 18" xfId="53272" xr:uid="{D00E9F98-06D5-4BDA-9517-CFB18139198B}"/>
    <cellStyle name="Separador de milhares 2 2 3 19" xfId="5293" xr:uid="{645C2D14-0373-424B-AAC4-0697BBC645D4}"/>
    <cellStyle name="Separador de milhares 2 2 3 2" xfId="315" xr:uid="{F0AB4F8E-71D9-4E05-B9BC-23A09994A782}"/>
    <cellStyle name="Separador de milhares 2 2 3 2 10" xfId="12138" xr:uid="{C8F62A19-49AB-4824-8A62-3E120624F9D4}"/>
    <cellStyle name="Separador de milhares 2 2 3 2 10 2" xfId="32479" xr:uid="{AF594AC1-223C-4C6F-8B5D-0EF37D7E5C92}"/>
    <cellStyle name="Separador de milhares 2 2 3 2 11" xfId="8877" xr:uid="{36387FEE-2CCB-4125-B728-D8AA50A968EC}"/>
    <cellStyle name="Separador de milhares 2 2 3 2 11 2" xfId="29220" xr:uid="{7750FA44-CD9F-4DC9-9DF8-F4CBD4E7A257}"/>
    <cellStyle name="Separador de milhares 2 2 3 2 12" xfId="25726" xr:uid="{DC8FA328-279A-476D-950A-18535E72B95E}"/>
    <cellStyle name="Separador de milhares 2 2 3 2 13" xfId="48309" xr:uid="{9E1E7916-33B2-40F7-B9B7-A8855130B8DF}"/>
    <cellStyle name="Separador de milhares 2 2 3 2 14" xfId="49978" xr:uid="{DE3AA5EE-97D8-4579-9885-A0A392310A85}"/>
    <cellStyle name="Separador de milhares 2 2 3 2 15" xfId="53273" xr:uid="{CE93254D-7131-49AE-ABFD-9DDF4B25DD90}"/>
    <cellStyle name="Separador de milhares 2 2 3 2 16" xfId="5395" xr:uid="{A9599B2B-DA90-4FDD-8A37-0AC91EE17188}"/>
    <cellStyle name="Separador de milhares 2 2 3 2 17" xfId="4596" xr:uid="{4F369F1B-4897-4432-B16B-73F492E7BBFD}"/>
    <cellStyle name="Separador de milhares 2 2 3 2 2" xfId="1131" xr:uid="{E962A8CC-D454-4ABA-B3C3-4FA52F035389}"/>
    <cellStyle name="Separador de milhares 2 2 3 2 2 10" xfId="49979" xr:uid="{A1EF9A1C-98A0-40A4-9E26-9F1DC06BAF3B}"/>
    <cellStyle name="Separador de milhares 2 2 3 2 2 11" xfId="53274" xr:uid="{90ECD583-FD62-4878-B254-E22774783F30}"/>
    <cellStyle name="Separador de milhares 2 2 3 2 2 12" xfId="5959" xr:uid="{8EDD5A07-F99C-484C-AB3D-3EB329B9CB11}"/>
    <cellStyle name="Separador de milhares 2 2 3 2 2 2" xfId="2793" xr:uid="{8A4EBC29-362E-4342-8C51-D392274E3427}"/>
    <cellStyle name="Separador de milhares 2 2 3 2 2 2 10" xfId="7117" xr:uid="{2849A870-A532-428F-80D5-C10D34C8EC8E}"/>
    <cellStyle name="Separador de milhares 2 2 3 2 2 2 2" xfId="17403" xr:uid="{1F7BC59E-392E-43BF-B297-35FA8C8D85EF}"/>
    <cellStyle name="Separador de milhares 2 2 3 2 2 2 2 2" xfId="37743" xr:uid="{CCBD7D23-5810-4EC2-A997-2EA0A7B073D4}"/>
    <cellStyle name="Separador de milhares 2 2 3 2 2 2 3" xfId="20905" xr:uid="{7A9F4E93-CD57-487F-A9D8-C8AE2EF4CD3F}"/>
    <cellStyle name="Separador de milhares 2 2 3 2 2 2 3 2" xfId="41244" xr:uid="{B8FE34DB-A352-4625-8203-6044505141BD}"/>
    <cellStyle name="Separador de milhares 2 2 3 2 2 2 4" xfId="24160" xr:uid="{194FCCC5-DCEA-48DA-B1D6-3C2E9479FCFC}"/>
    <cellStyle name="Separador de milhares 2 2 3 2 2 2 4 2" xfId="44495" xr:uid="{6515845B-52B9-4D1F-B363-270B15A95815}"/>
    <cellStyle name="Separador de milhares 2 2 3 2 2 2 5" xfId="14494" xr:uid="{5D6F404C-F777-4B48-B34D-B7CB7D3DA540}"/>
    <cellStyle name="Separador de milhares 2 2 3 2 2 2 5 2" xfId="34835" xr:uid="{F76B2860-D010-4196-BD4C-4C2F1B967C67}"/>
    <cellStyle name="Separador de milhares 2 2 3 2 2 2 6" xfId="10616" xr:uid="{733292A9-E11C-42CC-BF50-1C0D588A0A80}"/>
    <cellStyle name="Separador de milhares 2 2 3 2 2 2 6 2" xfId="30959" xr:uid="{7ACEAE00-064D-4BBA-8FB4-431BC77504A6}"/>
    <cellStyle name="Separador de milhares 2 2 3 2 2 2 7" xfId="27465" xr:uid="{95E8C7EF-8459-4CC1-B2B8-0B7F51377C4F}"/>
    <cellStyle name="Separador de milhares 2 2 3 2 2 2 8" xfId="51613" xr:uid="{2261587F-7696-47A7-BB96-A5C5F2C3D120}"/>
    <cellStyle name="Separador de milhares 2 2 3 2 2 2 9" xfId="54907" xr:uid="{1AAAB79D-FCF9-4AA1-ACCE-0520E9EF5F08}"/>
    <cellStyle name="Separador de milhares 2 2 3 2 2 3" xfId="16245" xr:uid="{43D815D6-ECF6-4E89-90B6-E9C8949D3C2C}"/>
    <cellStyle name="Separador de milhares 2 2 3 2 2 3 2" xfId="36585" xr:uid="{14972E72-CBEB-4796-9AB2-7BF7AD6FEC98}"/>
    <cellStyle name="Separador de milhares 2 2 3 2 2 3 3" xfId="57002" xr:uid="{F644673B-F578-491B-A115-2C907247E776}"/>
    <cellStyle name="Separador de milhares 2 2 3 2 2 4" xfId="19747" xr:uid="{9A09C622-7CB2-4D6B-93C0-8203F4D55C97}"/>
    <cellStyle name="Separador de milhares 2 2 3 2 2 4 2" xfId="40086" xr:uid="{03A0CD9D-A6C2-47F5-AB2E-25654A1D6C8D}"/>
    <cellStyle name="Separador de milhares 2 2 3 2 2 5" xfId="23002" xr:uid="{B06962BC-5910-4DBE-B93A-6CE344CA8C00}"/>
    <cellStyle name="Separador de milhares 2 2 3 2 2 5 2" xfId="43337" xr:uid="{75EAF093-998A-4E26-95E8-8683C46F0DBC}"/>
    <cellStyle name="Separador de milhares 2 2 3 2 2 6" xfId="13336" xr:uid="{3C7A884F-B021-49E7-9A74-B5F5C271AEEC}"/>
    <cellStyle name="Separador de milhares 2 2 3 2 2 6 2" xfId="33677" xr:uid="{6594047F-C17A-4735-B4A0-544A7B7240B1}"/>
    <cellStyle name="Separador de milhares 2 2 3 2 2 7" xfId="9458" xr:uid="{1D35CD5D-1F31-4D74-BB4D-DF5BD5E0E321}"/>
    <cellStyle name="Separador de milhares 2 2 3 2 2 7 2" xfId="29801" xr:uid="{24518B28-6FAD-4783-BE8B-E117F70FBD75}"/>
    <cellStyle name="Separador de milhares 2 2 3 2 2 8" xfId="26307" xr:uid="{00843120-22CD-43CC-B8E0-C7F1F412208C}"/>
    <cellStyle name="Separador de milhares 2 2 3 2 2 9" xfId="48310" xr:uid="{90927BDB-040B-4C77-A73B-485679DDEBD7}"/>
    <cellStyle name="Separador de milhares 2 2 3 2 3" xfId="1537" xr:uid="{0237CF1B-DC2B-4126-986A-BE4BACC5E5F0}"/>
    <cellStyle name="Separador de milhares 2 2 3 2 3 10" xfId="53275" xr:uid="{4548EA64-E927-4DAE-A6C8-FDA831171DE6}"/>
    <cellStyle name="Separador de milhares 2 2 3 2 3 11" xfId="6536" xr:uid="{2C86DA25-B98C-44BE-BFE7-E379922D93EF}"/>
    <cellStyle name="Separador de milhares 2 2 3 2 3 2" xfId="3198" xr:uid="{BB71E3C2-44E5-46E2-B19C-E21C7347D76C}"/>
    <cellStyle name="Separador de milhares 2 2 3 2 3 2 2" xfId="37162" xr:uid="{E65EE539-DAAC-4DA5-89EB-B63841CFA1CB}"/>
    <cellStyle name="Separador de milhares 2 2 3 2 3 2 3" xfId="51614" xr:uid="{2EA194A5-7CBB-4547-845D-7DA3FA5E270C}"/>
    <cellStyle name="Separador de milhares 2 2 3 2 3 2 4" xfId="54908" xr:uid="{D5E541C6-37D9-4A20-B489-0828302B0F43}"/>
    <cellStyle name="Separador de milhares 2 2 3 2 3 2 5" xfId="16822" xr:uid="{389BF600-7EE8-40D2-B92C-C58605807352}"/>
    <cellStyle name="Separador de milhares 2 2 3 2 3 3" xfId="20324" xr:uid="{4074C0AF-D6C8-4B3F-8C7C-F9790FDDB6B9}"/>
    <cellStyle name="Separador de milhares 2 2 3 2 3 3 2" xfId="40663" xr:uid="{D6904392-2236-4095-915A-FE0851DEB524}"/>
    <cellStyle name="Separador de milhares 2 2 3 2 3 3 3" xfId="57408" xr:uid="{DD160AE0-E99D-4BED-9053-BA30952351A7}"/>
    <cellStyle name="Separador de milhares 2 2 3 2 3 4" xfId="23579" xr:uid="{6082DFE7-314E-4308-BEA9-FDF7148DAE95}"/>
    <cellStyle name="Separador de milhares 2 2 3 2 3 4 2" xfId="43914" xr:uid="{346B3A9B-E792-453D-A426-22B45A8DA43E}"/>
    <cellStyle name="Separador de milhares 2 2 3 2 3 5" xfId="13913" xr:uid="{419D6BE1-D8E3-48D8-A503-25C20386628B}"/>
    <cellStyle name="Separador de milhares 2 2 3 2 3 5 2" xfId="34254" xr:uid="{13228F1F-21C1-4453-B048-3DB0D62BB35D}"/>
    <cellStyle name="Separador de milhares 2 2 3 2 3 6" xfId="10035" xr:uid="{80C28EE1-48B3-4A45-817C-AA48523276DC}"/>
    <cellStyle name="Separador de milhares 2 2 3 2 3 6 2" xfId="30378" xr:uid="{9F3E4D79-FB1C-4BB2-BF18-77EC065C7544}"/>
    <cellStyle name="Separador de milhares 2 2 3 2 3 7" xfId="26884" xr:uid="{3F9F3892-60C2-4733-8581-42B3A3028FF7}"/>
    <cellStyle name="Separador de milhares 2 2 3 2 3 8" xfId="48311" xr:uid="{0EC7EC0D-BDE1-4C34-B4D5-1CBAE1A5566B}"/>
    <cellStyle name="Separador de milhares 2 2 3 2 3 9" xfId="49980" xr:uid="{3285DFD3-2F1F-42B0-A9C6-E80CCB7DF171}"/>
    <cellStyle name="Separador de milhares 2 2 3 2 4" xfId="724" xr:uid="{C7AA44AB-A313-4E89-8264-605B2024841E}"/>
    <cellStyle name="Separador de milhares 2 2 3 2 4 10" xfId="53276" xr:uid="{58444805-9B69-41BE-B648-9F8B4A966AA9}"/>
    <cellStyle name="Separador de milhares 2 2 3 2 4 11" xfId="7700" xr:uid="{AC218CF2-E64A-4995-BC3A-1813A50E4774}"/>
    <cellStyle name="Separador de milhares 2 2 3 2 4 2" xfId="2440" xr:uid="{244A727F-7937-43A4-9BAF-78B27F4907AB}"/>
    <cellStyle name="Separador de milhares 2 2 3 2 4 2 2" xfId="38325" xr:uid="{F0834D94-9BEC-4A19-865A-3C256CCE696E}"/>
    <cellStyle name="Separador de milhares 2 2 3 2 4 2 3" xfId="51615" xr:uid="{DFD67206-C20C-4995-9962-81A5B723D366}"/>
    <cellStyle name="Separador de milhares 2 2 3 2 4 2 4" xfId="54909" xr:uid="{3FA8BCB8-D452-4822-9EDC-A71093CC1B23}"/>
    <cellStyle name="Separador de milhares 2 2 3 2 4 2 5" xfId="17985" xr:uid="{0620975B-693A-4787-8EF9-6806865AF4ED}"/>
    <cellStyle name="Separador de milhares 2 2 3 2 4 3" xfId="21487" xr:uid="{6161F38F-A82A-4AFF-8B32-A5E7AAC9D684}"/>
    <cellStyle name="Separador de milhares 2 2 3 2 4 3 2" xfId="41826" xr:uid="{D5504653-43E3-4EB0-A1DA-EAA2B3D9C699}"/>
    <cellStyle name="Separador de milhares 2 2 3 2 4 3 3" xfId="56595" xr:uid="{E08C7812-4F46-4F77-B7A4-8BF9321FD549}"/>
    <cellStyle name="Separador de milhares 2 2 3 2 4 4" xfId="24742" xr:uid="{BB3B3E12-3CD7-4791-97A8-FE386EE28DB3}"/>
    <cellStyle name="Separador de milhares 2 2 3 2 4 4 2" xfId="45077" xr:uid="{5023B0C6-7FB1-458E-8400-7AE6BE5378C2}"/>
    <cellStyle name="Separador de milhares 2 2 3 2 4 5" xfId="15077" xr:uid="{A75E1BEA-4472-4820-A67E-83D96E5C7BEB}"/>
    <cellStyle name="Separador de milhares 2 2 3 2 4 5 2" xfId="35417" xr:uid="{4ECF3ED6-42BB-4661-8151-E270955DE56D}"/>
    <cellStyle name="Separador de milhares 2 2 3 2 4 6" xfId="11198" xr:uid="{CABA402A-044E-4F92-A3FA-F7D9C4E9F120}"/>
    <cellStyle name="Separador de milhares 2 2 3 2 4 6 2" xfId="31541" xr:uid="{B272AFB2-EA7B-4F54-819D-05B805187D4C}"/>
    <cellStyle name="Separador de milhares 2 2 3 2 4 7" xfId="28047" xr:uid="{8F93F101-7CF2-4B11-A6EB-76A604A1AABF}"/>
    <cellStyle name="Separador de milhares 2 2 3 2 4 8" xfId="48312" xr:uid="{7FCC1686-56C7-4CD9-A5CA-DA0873FE077D}"/>
    <cellStyle name="Separador de milhares 2 2 3 2 4 9" xfId="49981" xr:uid="{00E49746-DA4C-41C2-B4ED-F7026F5C9FD3}"/>
    <cellStyle name="Separador de milhares 2 2 3 2 5" xfId="2116" xr:uid="{34CBC04F-7753-457F-9288-F324A622905F}"/>
    <cellStyle name="Separador de milhares 2 2 3 2 5 2" xfId="33108" xr:uid="{67429825-C012-4F01-8507-1F90A1F448A1}"/>
    <cellStyle name="Separador de milhares 2 2 3 2 5 3" xfId="51612" xr:uid="{6841C5FE-C7B7-42AD-A0ED-9637D352630B}"/>
    <cellStyle name="Separador de milhares 2 2 3 2 5 4" xfId="54906" xr:uid="{02DFD34B-E91C-4466-9F07-BE76855103AB}"/>
    <cellStyle name="Separador de milhares 2 2 3 2 5 5" xfId="12767" xr:uid="{2B38FA7C-9639-46A7-9989-1FDE3ABC710F}"/>
    <cellStyle name="Separador de milhares 2 2 3 2 6" xfId="15664" xr:uid="{5C2A4A2F-B71B-4B10-9C0B-C5AEDACC4F1B}"/>
    <cellStyle name="Separador de milhares 2 2 3 2 6 2" xfId="36004" xr:uid="{CC67C9E8-F8DB-428C-BAA4-800254A410B5}"/>
    <cellStyle name="Separador de milhares 2 2 3 2 6 3" xfId="56186" xr:uid="{07166BE2-247A-41FE-9764-99C2669312C5}"/>
    <cellStyle name="Separador de milhares 2 2 3 2 7" xfId="18578" xr:uid="{0BF04E1A-9373-4921-95A5-BB9AA95A7693}"/>
    <cellStyle name="Separador de milhares 2 2 3 2 7 2" xfId="38918" xr:uid="{230F2900-3C50-4627-80C8-A344AA0FD619}"/>
    <cellStyle name="Separador de milhares 2 2 3 2 8" xfId="19166" xr:uid="{C0E9BC81-BB9D-4E1A-AA35-579DF1D12FF7}"/>
    <cellStyle name="Separador de milhares 2 2 3 2 8 2" xfId="39505" xr:uid="{62EC0D91-4E95-4558-A474-C5E057EEA8E8}"/>
    <cellStyle name="Separador de milhares 2 2 3 2 9" xfId="22421" xr:uid="{D3EE832F-AD5E-4085-813C-1FDB72D7B26A}"/>
    <cellStyle name="Separador de milhares 2 2 3 2 9 2" xfId="42756" xr:uid="{EE46BB08-1E0C-4BA9-BB8A-2B269AFD34E5}"/>
    <cellStyle name="Separador de milhares 2 2 3 20" xfId="4373" xr:uid="{07849468-A0B4-4037-A2DB-CAF993156058}"/>
    <cellStyle name="Separador de milhares 2 2 3 3" xfId="908" xr:uid="{E1EF31A5-D836-42A9-B6E3-CB3026B2C918}"/>
    <cellStyle name="Separador de milhares 2 2 3 3 10" xfId="12367" xr:uid="{D14063D3-1283-47EA-8C85-38EC8F5732B3}"/>
    <cellStyle name="Separador de milhares 2 2 3 3 10 2" xfId="32708" xr:uid="{C68AC9F9-A1E0-433A-9AB1-DD1EE03DB019}"/>
    <cellStyle name="Separador de milhares 2 2 3 3 11" xfId="9106" xr:uid="{CA19221F-AE08-4A2C-8C02-2F31C3A1EAC7}"/>
    <cellStyle name="Separador de milhares 2 2 3 3 11 2" xfId="29449" xr:uid="{D90B3219-C18A-4090-B981-8B2DA2A7D2AF}"/>
    <cellStyle name="Separador de milhares 2 2 3 3 12" xfId="25955" xr:uid="{EA13158F-0D70-40B7-B855-EAAAC3AD12E5}"/>
    <cellStyle name="Separador de milhares 2 2 3 3 13" xfId="48313" xr:uid="{4C85844C-9842-4E8D-84D3-E35B25128B54}"/>
    <cellStyle name="Separador de milhares 2 2 3 3 14" xfId="49982" xr:uid="{E4C05C3B-15B4-4B78-8AE5-FEB18B604420}"/>
    <cellStyle name="Separador de milhares 2 2 3 3 15" xfId="53277" xr:uid="{F29DF640-974A-4E3D-8A3E-19E69F057931}"/>
    <cellStyle name="Separador de milhares 2 2 3 3 16" xfId="5616" xr:uid="{11EE16BA-A4E7-4757-9A2A-594EF1302637}"/>
    <cellStyle name="Separador de milhares 2 2 3 3 2" xfId="2624" xr:uid="{92DE32D5-B3B4-47C0-AF89-4C000B1684A6}"/>
    <cellStyle name="Separador de milhares 2 2 3 3 2 10" xfId="54910" xr:uid="{0E534043-FCA8-4DAC-B392-2C05A49D8CAD}"/>
    <cellStyle name="Separador de milhares 2 2 3 3 2 11" xfId="6188" xr:uid="{20BFFA18-E3B3-4F79-8F3B-91454E16FF2B}"/>
    <cellStyle name="Separador de milhares 2 2 3 3 2 2" xfId="7346" xr:uid="{FF5917E9-6580-4E6A-937C-22DABDC68E94}"/>
    <cellStyle name="Separador de milhares 2 2 3 3 2 2 2" xfId="17632" xr:uid="{592C59EE-531A-45CD-B49A-83085653A4F2}"/>
    <cellStyle name="Separador de milhares 2 2 3 3 2 2 2 2" xfId="37972" xr:uid="{783646F7-DEBC-44E3-8C58-2B235A4BC111}"/>
    <cellStyle name="Separador de milhares 2 2 3 3 2 2 3" xfId="21134" xr:uid="{8436A915-B2D5-4136-8E3D-6FA164AD91AF}"/>
    <cellStyle name="Separador de milhares 2 2 3 3 2 2 3 2" xfId="41473" xr:uid="{4CC7368A-C0F8-477E-AACA-CC4FE9B021AB}"/>
    <cellStyle name="Separador de milhares 2 2 3 3 2 2 4" xfId="24389" xr:uid="{14F527E0-B21E-4D3B-A80E-95825202B4D2}"/>
    <cellStyle name="Separador de milhares 2 2 3 3 2 2 4 2" xfId="44724" xr:uid="{E9ED5B29-2B01-4735-AFC0-9986BB0A60CB}"/>
    <cellStyle name="Separador de milhares 2 2 3 3 2 2 5" xfId="14723" xr:uid="{8A882B56-7481-44A6-892D-7794F756A8D4}"/>
    <cellStyle name="Separador de milhares 2 2 3 3 2 2 5 2" xfId="35064" xr:uid="{5EB37FF5-6495-4979-9A9F-40EE93C5464D}"/>
    <cellStyle name="Separador de milhares 2 2 3 3 2 2 6" xfId="10845" xr:uid="{C0393CF1-7FA6-4705-B3C3-F59D0DA98A62}"/>
    <cellStyle name="Separador de milhares 2 2 3 3 2 2 6 2" xfId="31188" xr:uid="{7115A3A5-0CA5-4A88-9B10-79768828F5EB}"/>
    <cellStyle name="Separador de milhares 2 2 3 3 2 2 7" xfId="27694" xr:uid="{F994CE82-359B-40E9-B7F5-63DD8F4890FE}"/>
    <cellStyle name="Separador de milhares 2 2 3 3 2 3" xfId="16474" xr:uid="{A408C789-A639-47FE-85EE-F645CACDDAA6}"/>
    <cellStyle name="Separador de milhares 2 2 3 3 2 3 2" xfId="36814" xr:uid="{91C3B6ED-3935-4AB6-A80A-E7DD29A4725D}"/>
    <cellStyle name="Separador de milhares 2 2 3 3 2 4" xfId="19976" xr:uid="{A3F1AF3A-C41E-4F10-ADC1-29C82232FB41}"/>
    <cellStyle name="Separador de milhares 2 2 3 3 2 4 2" xfId="40315" xr:uid="{D4BAEF32-4596-4328-B520-352F9E4A9265}"/>
    <cellStyle name="Separador de milhares 2 2 3 3 2 5" xfId="23231" xr:uid="{9DFFC83C-4073-48C3-B010-032ABB4E4F28}"/>
    <cellStyle name="Separador de milhares 2 2 3 3 2 5 2" xfId="43566" xr:uid="{010BCF0C-D8AD-4013-B103-BDFEB6D70CA7}"/>
    <cellStyle name="Separador de milhares 2 2 3 3 2 6" xfId="13565" xr:uid="{9DB23D00-2260-4B63-BB9A-5246E2A52E75}"/>
    <cellStyle name="Separador de milhares 2 2 3 3 2 6 2" xfId="33906" xr:uid="{4AC38A65-F4E5-475A-879E-DEE0E519D22A}"/>
    <cellStyle name="Separador de milhares 2 2 3 3 2 7" xfId="9687" xr:uid="{7A544C39-93CE-4FD0-837C-0C19C7D3745F}"/>
    <cellStyle name="Separador de milhares 2 2 3 3 2 7 2" xfId="30030" xr:uid="{E93A8656-5480-4309-9C4E-D02DACF48116}"/>
    <cellStyle name="Separador de milhares 2 2 3 3 2 8" xfId="26536" xr:uid="{8ACCE65F-E097-4597-B2A7-543B1990286D}"/>
    <cellStyle name="Separador de milhares 2 2 3 3 2 9" xfId="51616" xr:uid="{BC038C2A-4153-4DE4-8918-3065EE3AC6E6}"/>
    <cellStyle name="Separador de milhares 2 2 3 3 3" xfId="6765" xr:uid="{57318133-7F1B-42CD-9BA0-BF4C488627EE}"/>
    <cellStyle name="Separador de milhares 2 2 3 3 3 2" xfId="17051" xr:uid="{7ABB2E88-8BDF-4435-B1C6-D759EB0E7E8B}"/>
    <cellStyle name="Separador de milhares 2 2 3 3 3 2 2" xfId="37391" xr:uid="{30D885F2-9C9A-48AC-A41D-BED69B450370}"/>
    <cellStyle name="Separador de milhares 2 2 3 3 3 3" xfId="20553" xr:uid="{8CDCE9C0-AEB1-497D-9DCD-B5AA6C713A27}"/>
    <cellStyle name="Separador de milhares 2 2 3 3 3 3 2" xfId="40892" xr:uid="{8E998449-5C30-439B-9A6D-F9A6DA519B11}"/>
    <cellStyle name="Separador de milhares 2 2 3 3 3 4" xfId="23808" xr:uid="{FF62E7CA-AEA7-400E-B5CA-75DB97683C46}"/>
    <cellStyle name="Separador de milhares 2 2 3 3 3 4 2" xfId="44143" xr:uid="{A4B24DEB-67C3-4078-824E-260E97142630}"/>
    <cellStyle name="Separador de milhares 2 2 3 3 3 5" xfId="14142" xr:uid="{D769198A-3B9A-4785-A29E-C65E3C424676}"/>
    <cellStyle name="Separador de milhares 2 2 3 3 3 5 2" xfId="34483" xr:uid="{81E45346-C0C7-441A-8E33-0E12C718442A}"/>
    <cellStyle name="Separador de milhares 2 2 3 3 3 6" xfId="10264" xr:uid="{E7FD7D78-6F38-421B-86DE-89B78321B85A}"/>
    <cellStyle name="Separador de milhares 2 2 3 3 3 6 2" xfId="30607" xr:uid="{9D48A652-34FF-4636-A214-F7A11DFD16DA}"/>
    <cellStyle name="Separador de milhares 2 2 3 3 3 7" xfId="27113" xr:uid="{E506F77B-C069-48A2-ACFA-650ED9BE8A69}"/>
    <cellStyle name="Separador de milhares 2 2 3 3 3 8" xfId="56779" xr:uid="{CD2D47A4-A193-4A27-AE01-A70ACCCBBC7E}"/>
    <cellStyle name="Separador de milhares 2 2 3 3 4" xfId="7929" xr:uid="{74163E4C-1D9F-4F0D-A955-2CDB88766330}"/>
    <cellStyle name="Separador de milhares 2 2 3 3 4 2" xfId="18214" xr:uid="{5246A14F-BF6D-4664-B0F4-952DA3105DD3}"/>
    <cellStyle name="Separador de milhares 2 2 3 3 4 2 2" xfId="38554" xr:uid="{6A005DF2-DF17-417A-A35E-337CE0E1FEA9}"/>
    <cellStyle name="Separador de milhares 2 2 3 3 4 3" xfId="21716" xr:uid="{37B99016-1519-4A25-8994-AD6F1C223AB2}"/>
    <cellStyle name="Separador de milhares 2 2 3 3 4 3 2" xfId="42055" xr:uid="{1839E996-DE18-49F3-B35A-0E20F5DCA0AB}"/>
    <cellStyle name="Separador de milhares 2 2 3 3 4 4" xfId="24971" xr:uid="{75B8E86C-C59A-4631-8234-265C9AED2876}"/>
    <cellStyle name="Separador de milhares 2 2 3 3 4 4 2" xfId="45306" xr:uid="{50A039D5-1BA9-4BC2-809A-BC2B046D2CC9}"/>
    <cellStyle name="Separador de milhares 2 2 3 3 4 5" xfId="15306" xr:uid="{AACD3EE2-200E-4745-93DA-E7BDF8963E48}"/>
    <cellStyle name="Separador de milhares 2 2 3 3 4 5 2" xfId="35646" xr:uid="{146F2E0E-58F4-49F0-8085-8D16B7BE65C0}"/>
    <cellStyle name="Separador de milhares 2 2 3 3 4 6" xfId="11427" xr:uid="{D08D7EA0-7689-4FE1-BBF8-DC5E22803D96}"/>
    <cellStyle name="Separador de milhares 2 2 3 3 4 6 2" xfId="31770" xr:uid="{F81AA96B-ED7A-4415-8493-42FD63728FFC}"/>
    <cellStyle name="Separador de milhares 2 2 3 3 4 7" xfId="28276" xr:uid="{3CF4FAF4-24AA-4845-9558-AA805BCBDC58}"/>
    <cellStyle name="Separador de milhares 2 2 3 3 5" xfId="12996" xr:uid="{B525E868-CA64-40AF-A925-6FCE8951F5A6}"/>
    <cellStyle name="Separador de milhares 2 2 3 3 5 2" xfId="33337" xr:uid="{C3383864-B2C0-467B-AA32-097536F47541}"/>
    <cellStyle name="Separador de milhares 2 2 3 3 6" xfId="15893" xr:uid="{CFA91232-9B31-46DD-B0C4-C1A7E044C09F}"/>
    <cellStyle name="Separador de milhares 2 2 3 3 6 2" xfId="36233" xr:uid="{BF3DDFF4-A3DF-42D9-9F50-9A36C89D0943}"/>
    <cellStyle name="Separador de milhares 2 2 3 3 7" xfId="18807" xr:uid="{D307CCFB-E5F7-40C0-AA78-310BEB4F5DE1}"/>
    <cellStyle name="Separador de milhares 2 2 3 3 7 2" xfId="39147" xr:uid="{EC236281-7C73-44F5-A2CD-AC2B9A4B9DF4}"/>
    <cellStyle name="Separador de milhares 2 2 3 3 8" xfId="19395" xr:uid="{E94A1E00-3487-4B25-9B7B-2C7997F1FA0F}"/>
    <cellStyle name="Separador de milhares 2 2 3 3 8 2" xfId="39734" xr:uid="{96E4AB7C-0934-4388-B493-50BD4776DF90}"/>
    <cellStyle name="Separador de milhares 2 2 3 3 9" xfId="22650" xr:uid="{B0A70F2D-3B52-48DD-884E-762C5F385FD3}"/>
    <cellStyle name="Separador de milhares 2 2 3 3 9 2" xfId="42985" xr:uid="{B2CBDF45-118A-4BC9-B4E7-C6F69ED22777}"/>
    <cellStyle name="Separador de milhares 2 2 3 4" xfId="1314" xr:uid="{8BC0B71F-C9EF-4052-967A-3416376F35FB}"/>
    <cellStyle name="Separador de milhares 2 2 3 4 10" xfId="49983" xr:uid="{2E05EAB8-D187-46B6-A102-809316D46B4E}"/>
    <cellStyle name="Separador de milhares 2 2 3 4 11" xfId="53278" xr:uid="{122D6458-7CB8-48AF-8689-585EB7DA7BB2}"/>
    <cellStyle name="Separador de milhares 2 2 3 4 12" xfId="5844" xr:uid="{994B72C6-4724-415B-AC2A-C45E7FDEB504}"/>
    <cellStyle name="Separador de milhares 2 2 3 4 2" xfId="2975" xr:uid="{4FB0C8F3-BE4A-4734-B853-F5CF7B0F94B7}"/>
    <cellStyle name="Separador de milhares 2 2 3 4 2 10" xfId="7002" xr:uid="{BE9F4954-83ED-464E-8B81-FE2412EC1742}"/>
    <cellStyle name="Separador de milhares 2 2 3 4 2 2" xfId="17288" xr:uid="{23E483C1-3323-4E8D-9AD1-E9702230E7D1}"/>
    <cellStyle name="Separador de milhares 2 2 3 4 2 2 2" xfId="37628" xr:uid="{E6C6015A-BF4F-40D9-8C05-34396B48B2D9}"/>
    <cellStyle name="Separador de milhares 2 2 3 4 2 3" xfId="20790" xr:uid="{65EB4934-3742-4D8B-B093-823FD835B27A}"/>
    <cellStyle name="Separador de milhares 2 2 3 4 2 3 2" xfId="41129" xr:uid="{E7EE3343-BC8A-47FE-B215-1B4A24093E65}"/>
    <cellStyle name="Separador de milhares 2 2 3 4 2 4" xfId="24045" xr:uid="{C4E46A0C-2746-4E8B-B127-2D1392DC5538}"/>
    <cellStyle name="Separador de milhares 2 2 3 4 2 4 2" xfId="44380" xr:uid="{B5CB80DF-CC71-4D41-84F7-84E8ED6A74DF}"/>
    <cellStyle name="Separador de milhares 2 2 3 4 2 5" xfId="14379" xr:uid="{FE0AB574-219A-4AA7-BE0E-823EF9F49CD4}"/>
    <cellStyle name="Separador de milhares 2 2 3 4 2 5 2" xfId="34720" xr:uid="{9906220C-CCBB-4047-B929-88BB2E217635}"/>
    <cellStyle name="Separador de milhares 2 2 3 4 2 6" xfId="10501" xr:uid="{FC170B4B-AFD0-41D5-BDCC-7A1E1145491C}"/>
    <cellStyle name="Separador de milhares 2 2 3 4 2 6 2" xfId="30844" xr:uid="{E4586FD3-59A9-4760-96BB-9EA181ADC161}"/>
    <cellStyle name="Separador de milhares 2 2 3 4 2 7" xfId="27350" xr:uid="{896783E5-09DA-4FFA-B7FC-7E481E451221}"/>
    <cellStyle name="Separador de milhares 2 2 3 4 2 8" xfId="51617" xr:uid="{9204D690-68A7-4F99-866B-AB40B64D783C}"/>
    <cellStyle name="Separador de milhares 2 2 3 4 2 9" xfId="54911" xr:uid="{0E30F84B-7B61-4D9A-8761-DEA7E15CE65B}"/>
    <cellStyle name="Separador de milhares 2 2 3 4 3" xfId="16130" xr:uid="{249CA91D-BEB4-4035-B8B7-24FC025C16BE}"/>
    <cellStyle name="Separador de milhares 2 2 3 4 3 2" xfId="36470" xr:uid="{3EDB1D4C-963E-4E49-9716-EEC7BF5DBF5E}"/>
    <cellStyle name="Separador de milhares 2 2 3 4 3 3" xfId="57185" xr:uid="{501B719C-BA24-41E6-AFA2-3692C7C1953B}"/>
    <cellStyle name="Separador de milhares 2 2 3 4 4" xfId="19632" xr:uid="{8986161C-A09B-43C3-B9FA-75D3FF3B89BA}"/>
    <cellStyle name="Separador de milhares 2 2 3 4 4 2" xfId="39971" xr:uid="{124F0292-D2F1-4764-AF11-EB627894A95F}"/>
    <cellStyle name="Separador de milhares 2 2 3 4 5" xfId="22887" xr:uid="{13EB8575-947E-45A5-8DF4-B83FC303A951}"/>
    <cellStyle name="Separador de milhares 2 2 3 4 5 2" xfId="43222" xr:uid="{286B5A3D-FC5A-42DC-9395-3E9084A4AB59}"/>
    <cellStyle name="Separador de milhares 2 2 3 4 6" xfId="13223" xr:uid="{94EF1645-1720-454D-9458-56F7B5E27862}"/>
    <cellStyle name="Separador de milhares 2 2 3 4 6 2" xfId="33564" xr:uid="{EDA33A64-81FF-4B58-B095-F4D99C6744C6}"/>
    <cellStyle name="Separador de milhares 2 2 3 4 7" xfId="9343" xr:uid="{FD02B2D2-000D-4D17-9925-9D1A7F00F2B7}"/>
    <cellStyle name="Separador de milhares 2 2 3 4 7 2" xfId="29686" xr:uid="{8BB4D47B-FF29-4DDF-BA26-53D2260C69DA}"/>
    <cellStyle name="Separador de milhares 2 2 3 4 8" xfId="26192" xr:uid="{7510FD04-40DF-497F-A92B-2938EABBF9A9}"/>
    <cellStyle name="Separador de milhares 2 2 3 4 9" xfId="48314" xr:uid="{6E9A2ADB-F063-4E61-9DF0-7ECC5376C205}"/>
    <cellStyle name="Separador de milhares 2 2 3 5" xfId="501" xr:uid="{A3DF7CE8-A844-4319-8FF2-4AC7E5FC35F4}"/>
    <cellStyle name="Separador de milhares 2 2 3 5 10" xfId="53279" xr:uid="{1EC69CE8-7E2F-48FB-A2F9-C3A50ED9449D}"/>
    <cellStyle name="Separador de milhares 2 2 3 5 11" xfId="6421" xr:uid="{B449DC6F-7953-43EC-9338-DA0490772E85}"/>
    <cellStyle name="Separador de milhares 2 2 3 5 2" xfId="2217" xr:uid="{5ADCA946-683C-4700-9810-0389FF9D3BA6}"/>
    <cellStyle name="Separador de milhares 2 2 3 5 2 2" xfId="37047" xr:uid="{C9AD6D3C-4CE4-4786-842A-AB94BED0360E}"/>
    <cellStyle name="Separador de milhares 2 2 3 5 2 3" xfId="51618" xr:uid="{26DD84CE-1881-4D8A-8A87-DCEF2D14CA31}"/>
    <cellStyle name="Separador de milhares 2 2 3 5 2 4" xfId="54912" xr:uid="{C6F7D58D-4397-4917-B6EC-D9A721D9BFF2}"/>
    <cellStyle name="Separador de milhares 2 2 3 5 2 5" xfId="16707" xr:uid="{F15A6A87-13FB-4553-A134-0CB54C9C6DFF}"/>
    <cellStyle name="Separador de milhares 2 2 3 5 3" xfId="20209" xr:uid="{7176C9CA-44F1-4966-9195-C14615632B40}"/>
    <cellStyle name="Separador de milhares 2 2 3 5 3 2" xfId="40548" xr:uid="{DB1FE66E-A8FE-4F12-8126-765853F7C6FB}"/>
    <cellStyle name="Separador de milhares 2 2 3 5 3 3" xfId="56372" xr:uid="{A1A64728-7A46-4F40-8EC7-804DA301FA18}"/>
    <cellStyle name="Separador de milhares 2 2 3 5 4" xfId="23464" xr:uid="{C1A53411-0313-4CD3-AD65-D1CC09A49153}"/>
    <cellStyle name="Separador de milhares 2 2 3 5 4 2" xfId="43799" xr:uid="{9F26C8B1-C87D-43BA-A6B6-1827FF4E064C}"/>
    <cellStyle name="Separador de milhares 2 2 3 5 5" xfId="13798" xr:uid="{65554F3B-9FC5-4158-BDFD-D510CFE423A1}"/>
    <cellStyle name="Separador de milhares 2 2 3 5 5 2" xfId="34139" xr:uid="{37D4C579-FC96-4BD5-BA68-2CEE9AB87489}"/>
    <cellStyle name="Separador de milhares 2 2 3 5 6" xfId="9920" xr:uid="{9FF4B5D3-EDA0-4D1B-943E-47A68AF2DD91}"/>
    <cellStyle name="Separador de milhares 2 2 3 5 6 2" xfId="30263" xr:uid="{D7DC9FD9-D03F-49ED-B133-0FD4FFA0C4A5}"/>
    <cellStyle name="Separador de milhares 2 2 3 5 7" xfId="26769" xr:uid="{73C72326-B6E9-4923-BF22-E3BB05650C74}"/>
    <cellStyle name="Separador de milhares 2 2 3 5 8" xfId="48315" xr:uid="{963E7C7D-BB24-4A05-B5C0-50875AEC6A98}"/>
    <cellStyle name="Separador de milhares 2 2 3 5 9" xfId="49984" xr:uid="{5BCB48D4-FB89-44DB-81FE-1B1A3010A79D}"/>
    <cellStyle name="Separador de milhares 2 2 3 6" xfId="2063" xr:uid="{A33C5770-D9F5-4833-8142-3AC786EDF107}"/>
    <cellStyle name="Separador de milhares 2 2 3 6 10" xfId="7585" xr:uid="{833D60EF-A78D-415E-9383-BE2CD5EEFC56}"/>
    <cellStyle name="Separador de milhares 2 2 3 6 2" xfId="17870" xr:uid="{E6853981-6EBE-4BBD-94F2-EB68636BE5EE}"/>
    <cellStyle name="Separador de milhares 2 2 3 6 2 2" xfId="38210" xr:uid="{C8630ADE-6893-4771-9CDB-49BD02C8994A}"/>
    <cellStyle name="Separador de milhares 2 2 3 6 3" xfId="21372" xr:uid="{8C3946E2-999A-419F-AC4D-5B91C4A44882}"/>
    <cellStyle name="Separador de milhares 2 2 3 6 3 2" xfId="41711" xr:uid="{A4D984BB-C5C7-47CB-A9B3-3D35E72AAA0C}"/>
    <cellStyle name="Separador de milhares 2 2 3 6 4" xfId="24627" xr:uid="{AF99C88D-5B09-4B1C-9C93-E40A76A78764}"/>
    <cellStyle name="Separador de milhares 2 2 3 6 4 2" xfId="44962" xr:uid="{769A65CD-7BD3-42DA-9F58-2EF2C2CBFF84}"/>
    <cellStyle name="Separador de milhares 2 2 3 6 5" xfId="14962" xr:uid="{29864FE7-0BF3-4A38-B0BB-391464D5A82E}"/>
    <cellStyle name="Separador de milhares 2 2 3 6 5 2" xfId="35302" xr:uid="{3074517F-3D4D-4509-9498-B4951B18ED6C}"/>
    <cellStyle name="Separador de milhares 2 2 3 6 6" xfId="11083" xr:uid="{A368B343-2E88-4FCA-8721-739493722833}"/>
    <cellStyle name="Separador de milhares 2 2 3 6 6 2" xfId="31426" xr:uid="{0BFF8F4B-A7D5-4A2D-BCB9-38C00CC4A2CC}"/>
    <cellStyle name="Separador de milhares 2 2 3 6 7" xfId="27932" xr:uid="{3F045AB0-2077-4783-845C-5751781AF10C}"/>
    <cellStyle name="Separador de milhares 2 2 3 6 8" xfId="51611" xr:uid="{FFF2075A-FE52-45B5-834D-3E995B1B5D3C}"/>
    <cellStyle name="Separador de milhares 2 2 3 6 9" xfId="54905" xr:uid="{4A4AB2FB-4E3B-4E4F-993E-AE86C0AC2CB6}"/>
    <cellStyle name="Separador de milhares 2 2 3 7" xfId="12654" xr:uid="{6926B4C9-B205-4238-8372-C2BC742944B2}"/>
    <cellStyle name="Separador de milhares 2 2 3 7 2" xfId="32995" xr:uid="{075D7B7C-1C3A-4447-BC75-3DEA21EBFE4B}"/>
    <cellStyle name="Separador de milhares 2 2 3 7 3" xfId="55963" xr:uid="{9B9DB39F-E2E4-4E45-B2C2-5CF1184443DF}"/>
    <cellStyle name="Separador de milhares 2 2 3 8" xfId="15549" xr:uid="{5DB0907E-BB79-488B-9696-7B3FCBDA2910}"/>
    <cellStyle name="Separador de milhares 2 2 3 8 2" xfId="35889" xr:uid="{18A8E132-74E2-46A4-9911-1C08E42786F6}"/>
    <cellStyle name="Separador de milhares 2 2 3 9" xfId="18463" xr:uid="{7C3CDB44-A6FB-4DD9-92E5-72ABD36A2CE0}"/>
    <cellStyle name="Separador de milhares 2 2 3 9 2" xfId="38803" xr:uid="{210E8337-2BF8-427E-8732-9B271E4FCE3D}"/>
    <cellStyle name="Separador de milhares 2 2 4" xfId="126" xr:uid="{CDCE4686-9F32-4BCA-A244-F67AA4A8C743}"/>
    <cellStyle name="Separador de milhares 2 2 4 10" xfId="12059" xr:uid="{8678893A-F01C-4A57-A848-890DB05E35F5}"/>
    <cellStyle name="Separador de milhares 2 2 4 10 2" xfId="32400" xr:uid="{B5CE05ED-2EE9-42D1-ACFF-83CE778651AA}"/>
    <cellStyle name="Separador de milhares 2 2 4 11" xfId="8798" xr:uid="{B6557524-B5DB-4F12-9291-1FC5AF49505A}"/>
    <cellStyle name="Separador de milhares 2 2 4 11 2" xfId="29141" xr:uid="{5F9E7EF0-DEF0-4C29-8CF6-CE24AFCF901A}"/>
    <cellStyle name="Separador de milhares 2 2 4 12" xfId="25647" xr:uid="{0BBD68F4-FE1C-4205-BB44-B0F5CEE25B1B}"/>
    <cellStyle name="Separador de milhares 2 2 4 13" xfId="48316" xr:uid="{B26B11AE-5616-4437-B05F-8147127DBF3F}"/>
    <cellStyle name="Separador de milhares 2 2 4 14" xfId="49985" xr:uid="{BDFC49A9-6D05-4EC8-801A-9AE0AC20BED4}"/>
    <cellStyle name="Separador de milhares 2 2 4 15" xfId="53280" xr:uid="{4C1BE070-E61A-4335-ACF3-C00DE32F1E1B}"/>
    <cellStyle name="Separador de milhares 2 2 4 16" xfId="5329" xr:uid="{22645CF8-F416-4CE7-BBEF-59577F3CDDD0}"/>
    <cellStyle name="Separador de milhares 2 2 4 17" xfId="4407" xr:uid="{FF5932B7-DD36-4B73-B8A6-08A634BECFC6}"/>
    <cellStyle name="Separador de milhares 2 2 4 2" xfId="942" xr:uid="{ADEE3C2E-1B4F-499F-9CA6-848CD44B0495}"/>
    <cellStyle name="Separador de milhares 2 2 4 2 10" xfId="49986" xr:uid="{7FA37122-95A5-4F40-B139-66B2BD10427E}"/>
    <cellStyle name="Separador de milhares 2 2 4 2 11" xfId="53281" xr:uid="{06EBB2F1-F13F-4F7D-947A-D6062EFE5169}"/>
    <cellStyle name="Separador de milhares 2 2 4 2 12" xfId="5880" xr:uid="{1BBF1338-6F61-4141-868E-9AC00DC58710}"/>
    <cellStyle name="Separador de milhares 2 2 4 2 2" xfId="2657" xr:uid="{D11CE978-CC1A-469A-BF90-D7ED0B5D0E48}"/>
    <cellStyle name="Separador de milhares 2 2 4 2 2 10" xfId="7038" xr:uid="{DE5F8580-FAA6-43D4-8C89-CCFE9B57CFD5}"/>
    <cellStyle name="Separador de milhares 2 2 4 2 2 2" xfId="17324" xr:uid="{16FC32B1-7F2B-4F99-A0AE-287D573D528E}"/>
    <cellStyle name="Separador de milhares 2 2 4 2 2 2 2" xfId="37664" xr:uid="{7CB1179F-7962-4B2C-BB8B-4245A5D85071}"/>
    <cellStyle name="Separador de milhares 2 2 4 2 2 3" xfId="20826" xr:uid="{BFAB6906-5E99-4E67-81F2-AB9C17AB439D}"/>
    <cellStyle name="Separador de milhares 2 2 4 2 2 3 2" xfId="41165" xr:uid="{85AC071D-D592-4434-8C72-B53AF8EAE34A}"/>
    <cellStyle name="Separador de milhares 2 2 4 2 2 4" xfId="24081" xr:uid="{D2E92258-0DD4-4C67-91C4-9BE07203B073}"/>
    <cellStyle name="Separador de milhares 2 2 4 2 2 4 2" xfId="44416" xr:uid="{3D93F5F9-1FB0-4812-A8AB-03CDD23D724C}"/>
    <cellStyle name="Separador de milhares 2 2 4 2 2 5" xfId="14415" xr:uid="{50BFD595-1E33-4436-AD2A-0834D72DA988}"/>
    <cellStyle name="Separador de milhares 2 2 4 2 2 5 2" xfId="34756" xr:uid="{96A81219-2E96-45B4-B1F9-5342F9F0A8D5}"/>
    <cellStyle name="Separador de milhares 2 2 4 2 2 6" xfId="10537" xr:uid="{EEC34DB1-B538-4B16-BEA6-BE4CF2CE2EE4}"/>
    <cellStyle name="Separador de milhares 2 2 4 2 2 6 2" xfId="30880" xr:uid="{6BE50E45-8F23-46FC-8A0C-9AD3613CAA43}"/>
    <cellStyle name="Separador de milhares 2 2 4 2 2 7" xfId="27386" xr:uid="{A724EC08-519F-4B97-A756-AD0F2ABB57D8}"/>
    <cellStyle name="Separador de milhares 2 2 4 2 2 8" xfId="51620" xr:uid="{9DB7297F-AE03-4B7D-8D0F-76517B0140C8}"/>
    <cellStyle name="Separador de milhares 2 2 4 2 2 9" xfId="54914" xr:uid="{AE530D2F-6B2C-4047-9BE9-9E76BBED29AD}"/>
    <cellStyle name="Separador de milhares 2 2 4 2 3" xfId="16166" xr:uid="{9FBBEBB4-C5DB-49A7-AC12-20316260E122}"/>
    <cellStyle name="Separador de milhares 2 2 4 2 3 2" xfId="36506" xr:uid="{74D1BA2B-EFCC-43B3-8D42-AD2A69AF0FE7}"/>
    <cellStyle name="Separador de milhares 2 2 4 2 3 3" xfId="56813" xr:uid="{A9CA7A03-5B88-4FA4-ABD4-5BA18A7F9C2A}"/>
    <cellStyle name="Separador de milhares 2 2 4 2 4" xfId="19668" xr:uid="{23230310-4003-41FC-AEC1-A455E33A2EB1}"/>
    <cellStyle name="Separador de milhares 2 2 4 2 4 2" xfId="40007" xr:uid="{FA356BCB-1163-4F43-AE6D-95ED7F90D335}"/>
    <cellStyle name="Separador de milhares 2 2 4 2 5" xfId="22923" xr:uid="{343B347F-CED0-4889-8465-51C0ADE387BC}"/>
    <cellStyle name="Separador de milhares 2 2 4 2 5 2" xfId="43258" xr:uid="{C2075ABD-3EF4-4470-AF67-764FA1E46737}"/>
    <cellStyle name="Separador de milhares 2 2 4 2 6" xfId="13259" xr:uid="{0E01B0E2-F26A-458B-BA06-AB6C46C724FA}"/>
    <cellStyle name="Separador de milhares 2 2 4 2 6 2" xfId="33600" xr:uid="{A310A41F-0D04-4A5A-8C0B-83C3C3BBE0AB}"/>
    <cellStyle name="Separador de milhares 2 2 4 2 7" xfId="9379" xr:uid="{B4502369-28A1-4A65-8144-E4AB55060657}"/>
    <cellStyle name="Separador de milhares 2 2 4 2 7 2" xfId="29722" xr:uid="{D2AFFFAF-829A-4E00-B457-30A0A6093663}"/>
    <cellStyle name="Separador de milhares 2 2 4 2 8" xfId="26228" xr:uid="{F7193B2B-F962-4269-B964-550944C528A0}"/>
    <cellStyle name="Separador de milhares 2 2 4 2 9" xfId="48317" xr:uid="{16CFF6F8-030F-42F0-8627-66CC97A6D47F}"/>
    <cellStyle name="Separador de milhares 2 2 4 3" xfId="1348" xr:uid="{1A8AF331-88DD-4E40-A3E2-CFAE10ADB9EF}"/>
    <cellStyle name="Separador de milhares 2 2 4 3 10" xfId="53282" xr:uid="{8AC886A9-3D82-4C66-975E-F930ECB183E7}"/>
    <cellStyle name="Separador de milhares 2 2 4 3 11" xfId="6457" xr:uid="{4652BA47-1E92-4AA1-8EC0-CD125ACA3E6F}"/>
    <cellStyle name="Separador de milhares 2 2 4 3 2" xfId="3009" xr:uid="{A725AFA8-FE79-4634-942D-7258C3A0271A}"/>
    <cellStyle name="Separador de milhares 2 2 4 3 2 2" xfId="37083" xr:uid="{9739A75E-1A3A-42C4-A3BE-C34916E66EFA}"/>
    <cellStyle name="Separador de milhares 2 2 4 3 2 3" xfId="51621" xr:uid="{1091FF62-9A66-47E3-B526-4F23A470EDF2}"/>
    <cellStyle name="Separador de milhares 2 2 4 3 2 4" xfId="54915" xr:uid="{CC8A143D-2A5A-4B05-9B60-50A918E369CA}"/>
    <cellStyle name="Separador de milhares 2 2 4 3 2 5" xfId="16743" xr:uid="{C610C445-F270-46C9-80C9-AE1599DE7E3E}"/>
    <cellStyle name="Separador de milhares 2 2 4 3 3" xfId="20245" xr:uid="{7987D94D-5691-4FDE-8882-97D81FB2D241}"/>
    <cellStyle name="Separador de milhares 2 2 4 3 3 2" xfId="40584" xr:uid="{82D045F5-92E9-4FC3-8308-FAF6DAD8C4D4}"/>
    <cellStyle name="Separador de milhares 2 2 4 3 3 3" xfId="57219" xr:uid="{46869D87-BB1B-4E29-9429-872EB0FBF1CF}"/>
    <cellStyle name="Separador de milhares 2 2 4 3 4" xfId="23500" xr:uid="{4B35309A-1E7E-402F-8077-C08CCF639300}"/>
    <cellStyle name="Separador de milhares 2 2 4 3 4 2" xfId="43835" xr:uid="{F65F67D4-4270-4DCD-A625-55B26D84A64B}"/>
    <cellStyle name="Separador de milhares 2 2 4 3 5" xfId="13834" xr:uid="{85C53AA9-08B6-42D4-819F-5F61B1192EA7}"/>
    <cellStyle name="Separador de milhares 2 2 4 3 5 2" xfId="34175" xr:uid="{6817B26B-C29F-4456-B057-A6C21F03B38A}"/>
    <cellStyle name="Separador de milhares 2 2 4 3 6" xfId="9956" xr:uid="{368C6804-C0F8-421D-96AE-FB9448A68D5E}"/>
    <cellStyle name="Separador de milhares 2 2 4 3 6 2" xfId="30299" xr:uid="{1F8CF0EB-0964-43DC-9933-C69862579A36}"/>
    <cellStyle name="Separador de milhares 2 2 4 3 7" xfId="26805" xr:uid="{9F314E99-B972-49AF-A4A0-FFDD6293BF4D}"/>
    <cellStyle name="Separador de milhares 2 2 4 3 8" xfId="48318" xr:uid="{3B23D27E-CF03-43D2-93C9-40B2082E883A}"/>
    <cellStyle name="Separador de milhares 2 2 4 3 9" xfId="49987" xr:uid="{44FC4EE8-D78E-42F8-8C97-E06E39B62C7C}"/>
    <cellStyle name="Separador de milhares 2 2 4 4" xfId="535" xr:uid="{9CD793DB-238B-4282-8177-7FB486247EB3}"/>
    <cellStyle name="Separador de milhares 2 2 4 4 10" xfId="53283" xr:uid="{012ED913-E198-4A39-8E55-7225C31027D9}"/>
    <cellStyle name="Separador de milhares 2 2 4 4 11" xfId="7621" xr:uid="{5906B3E9-D08B-45B6-9BD8-10C5CA655382}"/>
    <cellStyle name="Separador de milhares 2 2 4 4 2" xfId="2251" xr:uid="{E4064F7F-1DFE-4F10-9DA5-90EA1C0720E4}"/>
    <cellStyle name="Separador de milhares 2 2 4 4 2 2" xfId="38246" xr:uid="{54CC1464-920F-4B21-87B5-D192DC489777}"/>
    <cellStyle name="Separador de milhares 2 2 4 4 2 3" xfId="51622" xr:uid="{1289FCCF-1568-41FC-AD43-A2EDB8D38921}"/>
    <cellStyle name="Separador de milhares 2 2 4 4 2 4" xfId="54916" xr:uid="{C5CFE7C2-5F30-4C1E-AA20-13A1559F7C1F}"/>
    <cellStyle name="Separador de milhares 2 2 4 4 2 5" xfId="17906" xr:uid="{3DDBD771-DA05-4CA5-80AB-5C4F13121FBE}"/>
    <cellStyle name="Separador de milhares 2 2 4 4 3" xfId="21408" xr:uid="{C665D075-8FEC-4A86-9B8C-71AA9C2F2B95}"/>
    <cellStyle name="Separador de milhares 2 2 4 4 3 2" xfId="41747" xr:uid="{3A0CCD73-1E73-4B98-B662-2A9CBC7DD73C}"/>
    <cellStyle name="Separador de milhares 2 2 4 4 3 3" xfId="56406" xr:uid="{80E5D599-1CC0-4A31-A0F2-0A3AF9E24DEA}"/>
    <cellStyle name="Separador de milhares 2 2 4 4 4" xfId="24663" xr:uid="{8F9348B8-0969-4A4B-AC80-9A2653F2722B}"/>
    <cellStyle name="Separador de milhares 2 2 4 4 4 2" xfId="44998" xr:uid="{A4C504D2-F197-4E10-9B32-69D7DCAE972D}"/>
    <cellStyle name="Separador de milhares 2 2 4 4 5" xfId="14998" xr:uid="{9F87759E-EB1A-458C-9515-126F2BF179E8}"/>
    <cellStyle name="Separador de milhares 2 2 4 4 5 2" xfId="35338" xr:uid="{087266BD-FBD8-4A30-B26E-78CC8A3CC4AF}"/>
    <cellStyle name="Separador de milhares 2 2 4 4 6" xfId="11119" xr:uid="{B1F4E91C-598E-451E-839C-5AF0893F0F7E}"/>
    <cellStyle name="Separador de milhares 2 2 4 4 6 2" xfId="31462" xr:uid="{170A3E2B-1C5E-4339-ABFC-F40B811617C0}"/>
    <cellStyle name="Separador de milhares 2 2 4 4 7" xfId="27968" xr:uid="{CA04A4CC-9568-4B3A-8BF5-AF2C94CB6838}"/>
    <cellStyle name="Separador de milhares 2 2 4 4 8" xfId="48319" xr:uid="{39F560E0-9776-4B03-B247-979BAB14E6BE}"/>
    <cellStyle name="Separador de milhares 2 2 4 4 9" xfId="49988" xr:uid="{30D508AB-4856-48EE-BAC0-4F2E4D61A8D7}"/>
    <cellStyle name="Separador de milhares 2 2 4 5" xfId="2095" xr:uid="{5CDBCF92-15D8-4793-9A33-4FD7B26703F5}"/>
    <cellStyle name="Separador de milhares 2 2 4 5 2" xfId="33031" xr:uid="{47A9F7DE-D41E-490B-86B4-AC0CFEAEC37A}"/>
    <cellStyle name="Separador de milhares 2 2 4 5 3" xfId="51619" xr:uid="{45E4A0FC-3D48-48DB-9AD2-F6CED9DC75DA}"/>
    <cellStyle name="Separador de milhares 2 2 4 5 4" xfId="54913" xr:uid="{0EA6D9F3-706F-4105-BA29-9EBDB3C32AD2}"/>
    <cellStyle name="Separador de milhares 2 2 4 5 5" xfId="12690" xr:uid="{CE0154F8-5537-4163-85AB-3EDFE290F0B9}"/>
    <cellStyle name="Separador de milhares 2 2 4 6" xfId="15585" xr:uid="{1222723B-B311-48E9-85DA-27B198B2B207}"/>
    <cellStyle name="Separador de milhares 2 2 4 6 2" xfId="35925" xr:uid="{BAFC25DF-DAB9-452D-AD37-CB5ACE009265}"/>
    <cellStyle name="Separador de milhares 2 2 4 6 3" xfId="55997" xr:uid="{2FACFB03-DEC0-4088-BFD0-9B92797791E5}"/>
    <cellStyle name="Separador de milhares 2 2 4 7" xfId="18499" xr:uid="{DD652648-A81F-4A97-A696-5108520F601F}"/>
    <cellStyle name="Separador de milhares 2 2 4 7 2" xfId="38839" xr:uid="{170714E1-62F6-4D5A-8A2B-63833C78F977}"/>
    <cellStyle name="Separador de milhares 2 2 4 8" xfId="19087" xr:uid="{94C35607-9D6C-493E-87DC-AC87FFE1399E}"/>
    <cellStyle name="Separador de milhares 2 2 4 8 2" xfId="39426" xr:uid="{9C797B82-5127-4176-859B-B5AF16B36AF3}"/>
    <cellStyle name="Separador de milhares 2 2 4 9" xfId="22342" xr:uid="{213823DC-E0FF-4636-9CD0-6BF29AF65D50}"/>
    <cellStyle name="Separador de milhares 2 2 4 9 2" xfId="42677" xr:uid="{FC1BC3FF-3C5D-4384-9302-38F06CB24695}"/>
    <cellStyle name="Separador de milhares 2 2 5" xfId="903" xr:uid="{FA3D94CE-D10A-48C4-857F-B453D620A43C}"/>
    <cellStyle name="Separador de milhares 2 2 5 10" xfId="12288" xr:uid="{F0A38556-D4EA-4F03-82C8-D23297D2A2B1}"/>
    <cellStyle name="Separador de milhares 2 2 5 10 2" xfId="32629" xr:uid="{73844C36-BE98-4172-82E5-83177B5D3409}"/>
    <cellStyle name="Separador de milhares 2 2 5 11" xfId="9027" xr:uid="{6C39E943-9D1A-46B4-BF18-923B8EE283D2}"/>
    <cellStyle name="Separador de milhares 2 2 5 11 2" xfId="29370" xr:uid="{C7EC1ED7-3589-4B14-B640-731959EDEE31}"/>
    <cellStyle name="Separador de milhares 2 2 5 12" xfId="25876" xr:uid="{1402FFDA-3432-4D05-B96F-AF0776245B01}"/>
    <cellStyle name="Separador de milhares 2 2 5 13" xfId="48320" xr:uid="{046E94AE-1040-4E99-A027-E931E818CE14}"/>
    <cellStyle name="Separador de milhares 2 2 5 14" xfId="49989" xr:uid="{2F75D880-E524-45C5-9918-69BE554D3519}"/>
    <cellStyle name="Separador de milhares 2 2 5 15" xfId="53284" xr:uid="{007DE2A2-D150-4269-BB45-8B95C6DD1695}"/>
    <cellStyle name="Separador de milhares 2 2 5 16" xfId="5537" xr:uid="{E1375AE2-89C4-421D-B00E-C5435DEACD70}"/>
    <cellStyle name="Separador de milhares 2 2 5 2" xfId="2619" xr:uid="{0FFF41B4-494E-459E-BF7B-F0BC92453B5C}"/>
    <cellStyle name="Separador de milhares 2 2 5 2 10" xfId="54917" xr:uid="{BEC67873-577F-4174-857C-EB3497FA39E9}"/>
    <cellStyle name="Separador de milhares 2 2 5 2 11" xfId="6109" xr:uid="{99BC9035-5AD5-4BCA-A6A7-2A17A6359F26}"/>
    <cellStyle name="Separador de milhares 2 2 5 2 2" xfId="7267" xr:uid="{1C62AE35-D291-4D8E-83C1-CBD45A14B018}"/>
    <cellStyle name="Separador de milhares 2 2 5 2 2 2" xfId="17553" xr:uid="{F18BCC7C-EC46-4440-AF96-E247AAAC4D19}"/>
    <cellStyle name="Separador de milhares 2 2 5 2 2 2 2" xfId="37893" xr:uid="{7DAFEA80-F29B-42E2-A631-0440BF0C7E89}"/>
    <cellStyle name="Separador de milhares 2 2 5 2 2 3" xfId="21055" xr:uid="{E808DDBD-0898-47E4-9B47-A7AFDF0D9E2F}"/>
    <cellStyle name="Separador de milhares 2 2 5 2 2 3 2" xfId="41394" xr:uid="{616AC1F8-904C-4D56-B29A-769E680025F6}"/>
    <cellStyle name="Separador de milhares 2 2 5 2 2 4" xfId="24310" xr:uid="{103164C9-223C-467C-BBE0-75B3B6EDC4D0}"/>
    <cellStyle name="Separador de milhares 2 2 5 2 2 4 2" xfId="44645" xr:uid="{96EF4B57-59D5-471B-A184-C88DA77826FB}"/>
    <cellStyle name="Separador de milhares 2 2 5 2 2 5" xfId="14644" xr:uid="{1698148E-4F93-491A-9CFA-568485335A5F}"/>
    <cellStyle name="Separador de milhares 2 2 5 2 2 5 2" xfId="34985" xr:uid="{2F97B73B-363B-43D7-B43F-B8C9C9286E49}"/>
    <cellStyle name="Separador de milhares 2 2 5 2 2 6" xfId="10766" xr:uid="{83FFC757-26EB-41FB-9904-2CAC58AB421E}"/>
    <cellStyle name="Separador de milhares 2 2 5 2 2 6 2" xfId="31109" xr:uid="{E4166D4C-2D26-4578-B5AC-FC2E38FBDCD2}"/>
    <cellStyle name="Separador de milhares 2 2 5 2 2 7" xfId="27615" xr:uid="{38608FCA-4E93-4F08-A3F2-858B4694AA6E}"/>
    <cellStyle name="Separador de milhares 2 2 5 2 3" xfId="16395" xr:uid="{C1670D7C-B050-43F5-9FF8-42A8C62D5D81}"/>
    <cellStyle name="Separador de milhares 2 2 5 2 3 2" xfId="36735" xr:uid="{C527BED8-0630-498D-832C-1B36EDDBCE20}"/>
    <cellStyle name="Separador de milhares 2 2 5 2 4" xfId="19897" xr:uid="{23002465-72B1-416A-B186-F1A0DC5DD8A6}"/>
    <cellStyle name="Separador de milhares 2 2 5 2 4 2" xfId="40236" xr:uid="{799A7547-3A7C-47FD-A83F-32274D46C1E1}"/>
    <cellStyle name="Separador de milhares 2 2 5 2 5" xfId="23152" xr:uid="{8526B940-B0CD-4E78-9FA7-8E794171249D}"/>
    <cellStyle name="Separador de milhares 2 2 5 2 5 2" xfId="43487" xr:uid="{A8AD1F63-0B3B-486B-8937-13D898A1A818}"/>
    <cellStyle name="Separador de milhares 2 2 5 2 6" xfId="13486" xr:uid="{D5A5E9BE-29BF-4EAE-BFD9-955B23FE1ACE}"/>
    <cellStyle name="Separador de milhares 2 2 5 2 6 2" xfId="33827" xr:uid="{2C251F31-BD0F-4014-A7C2-076F4EA1BE26}"/>
    <cellStyle name="Separador de milhares 2 2 5 2 7" xfId="9608" xr:uid="{2D113D00-78FF-4E5A-AB8B-2F52456DF2B3}"/>
    <cellStyle name="Separador de milhares 2 2 5 2 7 2" xfId="29951" xr:uid="{312E7B78-5E78-4660-95B2-5DB3227DCB89}"/>
    <cellStyle name="Separador de milhares 2 2 5 2 8" xfId="26457" xr:uid="{F74DD15C-65DD-4CE0-B4E0-BC6BEAEB250C}"/>
    <cellStyle name="Separador de milhares 2 2 5 2 9" xfId="51623" xr:uid="{021F62AD-BA37-4055-AC85-0F6855DD631D}"/>
    <cellStyle name="Separador de milhares 2 2 5 3" xfId="6686" xr:uid="{59A163B5-E28A-4342-A396-6B66CB0AC8EF}"/>
    <cellStyle name="Separador de milhares 2 2 5 3 2" xfId="16972" xr:uid="{D9F25C27-50D0-441F-B9AD-3786197D5889}"/>
    <cellStyle name="Separador de milhares 2 2 5 3 2 2" xfId="37312" xr:uid="{7D636D09-543D-4919-953A-2510D4F6AEE3}"/>
    <cellStyle name="Separador de milhares 2 2 5 3 3" xfId="20474" xr:uid="{AD7F17CA-F92D-4D96-B1B7-3BC728727E11}"/>
    <cellStyle name="Separador de milhares 2 2 5 3 3 2" xfId="40813" xr:uid="{B9109B5A-0BBA-4DEB-AA1F-D6651C234463}"/>
    <cellStyle name="Separador de milhares 2 2 5 3 4" xfId="23729" xr:uid="{1FE092E8-BE0F-4DB7-8249-0B9580F63A2E}"/>
    <cellStyle name="Separador de milhares 2 2 5 3 4 2" xfId="44064" xr:uid="{D228ADAE-341C-4557-A12A-50661D676E3F}"/>
    <cellStyle name="Separador de milhares 2 2 5 3 5" xfId="14063" xr:uid="{63692CDD-E7CB-42D9-A95B-5BC5E2276285}"/>
    <cellStyle name="Separador de milhares 2 2 5 3 5 2" xfId="34404" xr:uid="{7E104A29-14F7-4612-8B2B-21367662E1E0}"/>
    <cellStyle name="Separador de milhares 2 2 5 3 6" xfId="10185" xr:uid="{BF3A1C9C-AAD4-47CC-892F-A6409B52891D}"/>
    <cellStyle name="Separador de milhares 2 2 5 3 6 2" xfId="30528" xr:uid="{157C4EFC-67BE-419D-BD2C-21880CB699D5}"/>
    <cellStyle name="Separador de milhares 2 2 5 3 7" xfId="27034" xr:uid="{B4D70569-BA4A-4411-98CE-A7F2D84C2565}"/>
    <cellStyle name="Separador de milhares 2 2 5 3 8" xfId="56774" xr:uid="{416132EF-B518-4623-A735-7F5A3932981F}"/>
    <cellStyle name="Separador de milhares 2 2 5 4" xfId="7850" xr:uid="{A26EBBCB-DB31-4FD3-BF60-E74D2CC6373A}"/>
    <cellStyle name="Separador de milhares 2 2 5 4 2" xfId="18135" xr:uid="{0DC386AD-B4EF-4E69-BAC8-B679293F4A9D}"/>
    <cellStyle name="Separador de milhares 2 2 5 4 2 2" xfId="38475" xr:uid="{A6FB9E43-4EF4-42C8-989B-3C5B73C4AEEF}"/>
    <cellStyle name="Separador de milhares 2 2 5 4 3" xfId="21637" xr:uid="{92D5F324-AD9C-40AA-9433-0792A8C72886}"/>
    <cellStyle name="Separador de milhares 2 2 5 4 3 2" xfId="41976" xr:uid="{BFAA7FC3-0E6A-4EE7-A28E-431A92ED8E56}"/>
    <cellStyle name="Separador de milhares 2 2 5 4 4" xfId="24892" xr:uid="{0422F4E2-5EE2-462D-9159-20235B5B9FD4}"/>
    <cellStyle name="Separador de milhares 2 2 5 4 4 2" xfId="45227" xr:uid="{BB1F01D6-1DAA-4214-B920-C36FA44B5685}"/>
    <cellStyle name="Separador de milhares 2 2 5 4 5" xfId="15227" xr:uid="{448112F5-96B9-483E-91C3-4CA0E0DFCD4B}"/>
    <cellStyle name="Separador de milhares 2 2 5 4 5 2" xfId="35567" xr:uid="{88FA24EB-7BDC-4005-8811-41AE01A06779}"/>
    <cellStyle name="Separador de milhares 2 2 5 4 6" xfId="11348" xr:uid="{67D84447-0BE8-4E1B-85DA-8269F6FEB01A}"/>
    <cellStyle name="Separador de milhares 2 2 5 4 6 2" xfId="31691" xr:uid="{D46B0FCB-88AF-47A1-A17D-088647843401}"/>
    <cellStyle name="Separador de milhares 2 2 5 4 7" xfId="28197" xr:uid="{4732454F-5EFF-45B4-9993-A8E218FF040D}"/>
    <cellStyle name="Separador de milhares 2 2 5 5" xfId="12917" xr:uid="{B5F439CD-E89C-4BDD-AB76-8A3AAE16EEBA}"/>
    <cellStyle name="Separador de milhares 2 2 5 5 2" xfId="33258" xr:uid="{6FC52450-8644-4A44-9C19-7660615CCFBF}"/>
    <cellStyle name="Separador de milhares 2 2 5 6" xfId="15814" xr:uid="{E2AB231D-D8B4-4C37-AB40-A8A399BC4D6E}"/>
    <cellStyle name="Separador de milhares 2 2 5 6 2" xfId="36154" xr:uid="{521F86CF-62EC-41F0-97FF-444610764955}"/>
    <cellStyle name="Separador de milhares 2 2 5 7" xfId="18728" xr:uid="{90252141-C778-4E6F-88E3-BF22D7770E08}"/>
    <cellStyle name="Separador de milhares 2 2 5 7 2" xfId="39068" xr:uid="{C9CA36F3-BC0B-40EF-A434-14CBEF867933}"/>
    <cellStyle name="Separador de milhares 2 2 5 8" xfId="19316" xr:uid="{CC8BA536-914F-4599-ACE6-27E2552851D7}"/>
    <cellStyle name="Separador de milhares 2 2 5 8 2" xfId="39655" xr:uid="{18C17563-8217-48C3-96F9-C2699C36BAAE}"/>
    <cellStyle name="Separador de milhares 2 2 5 9" xfId="22571" xr:uid="{77F4440D-2E26-416E-9D4E-31CEDA3ACC1A}"/>
    <cellStyle name="Separador de milhares 2 2 5 9 2" xfId="42906" xr:uid="{11A60770-A253-4D0A-985C-19F5DC8115BB}"/>
    <cellStyle name="Separador de milhares 2 2 6" xfId="1309" xr:uid="{4E0B6A48-BDA4-41B9-9D44-07BBC96D9AAA}"/>
    <cellStyle name="Separador de milhares 2 2 6 10" xfId="49990" xr:uid="{AF56DC07-94F4-435A-833C-67B025F6E485}"/>
    <cellStyle name="Separador de milhares 2 2 6 11" xfId="53285" xr:uid="{860C3D2C-49EC-4A2F-A159-1073E81FA3C7}"/>
    <cellStyle name="Separador de milhares 2 2 6 12" xfId="5765" xr:uid="{0785C84B-58B3-46B4-BE84-F56862123A76}"/>
    <cellStyle name="Separador de milhares 2 2 6 2" xfId="2970" xr:uid="{3725CA62-A673-4FF1-B622-F163A8DE4F41}"/>
    <cellStyle name="Separador de milhares 2 2 6 2 10" xfId="6923" xr:uid="{CA90AF4D-59F4-4CFB-AD21-7DA3A11748B4}"/>
    <cellStyle name="Separador de milhares 2 2 6 2 2" xfId="17209" xr:uid="{FC54CA94-11AB-444F-AEEC-C3F990C058AB}"/>
    <cellStyle name="Separador de milhares 2 2 6 2 2 2" xfId="37549" xr:uid="{C72B6651-8EFC-47C1-A20B-B51D59864059}"/>
    <cellStyle name="Separador de milhares 2 2 6 2 3" xfId="20711" xr:uid="{D81D2ECC-650D-43E9-8DA6-F9A075C08052}"/>
    <cellStyle name="Separador de milhares 2 2 6 2 3 2" xfId="41050" xr:uid="{81ED188D-48BC-4DBB-A8D8-A1F06864DE2F}"/>
    <cellStyle name="Separador de milhares 2 2 6 2 4" xfId="23966" xr:uid="{97EBF334-9674-4C5A-B485-BB6C1AC36C6B}"/>
    <cellStyle name="Separador de milhares 2 2 6 2 4 2" xfId="44301" xr:uid="{805CA1D5-5CBC-40E1-9BB5-CBEB6B088B48}"/>
    <cellStyle name="Separador de milhares 2 2 6 2 5" xfId="14300" xr:uid="{D0DC5557-D7BB-4749-8ECA-96040F3D1474}"/>
    <cellStyle name="Separador de milhares 2 2 6 2 5 2" xfId="34641" xr:uid="{8F3983E5-DAEF-437E-BAC4-98CFBF4978A0}"/>
    <cellStyle name="Separador de milhares 2 2 6 2 6" xfId="10422" xr:uid="{FE0B353A-5F97-4FB6-8919-547BBFAB58A3}"/>
    <cellStyle name="Separador de milhares 2 2 6 2 6 2" xfId="30765" xr:uid="{3AB094C4-14A3-42C7-BD3C-141E7B595202}"/>
    <cellStyle name="Separador de milhares 2 2 6 2 7" xfId="27271" xr:uid="{2044E83E-518D-4DED-A4AF-CE117AB50536}"/>
    <cellStyle name="Separador de milhares 2 2 6 2 8" xfId="51624" xr:uid="{35951D44-1A4A-4BDA-8ACC-F63638FA2F66}"/>
    <cellStyle name="Separador de milhares 2 2 6 2 9" xfId="54918" xr:uid="{64D2E93E-42B9-4853-94A6-751A085DA041}"/>
    <cellStyle name="Separador de milhares 2 2 6 3" xfId="16051" xr:uid="{03F7F5BD-5416-46A9-BCD2-D2024A2FA81E}"/>
    <cellStyle name="Separador de milhares 2 2 6 3 2" xfId="36391" xr:uid="{1EC40DD3-7716-40D4-B3EF-0B7C81D3FC4D}"/>
    <cellStyle name="Separador de milhares 2 2 6 3 3" xfId="57180" xr:uid="{1F9FE5FC-5823-4D58-B404-3F465E133306}"/>
    <cellStyle name="Separador de milhares 2 2 6 4" xfId="19553" xr:uid="{54BFE415-57FA-4586-8EFF-6E9740A35734}"/>
    <cellStyle name="Separador de milhares 2 2 6 4 2" xfId="39892" xr:uid="{DEBA74F7-2FE5-4355-A14F-0E659B873ED8}"/>
    <cellStyle name="Separador de milhares 2 2 6 5" xfId="22808" xr:uid="{A3AB0CF7-2FBB-4628-A010-C2578630F38B}"/>
    <cellStyle name="Separador de milhares 2 2 6 5 2" xfId="43143" xr:uid="{C3392DCB-A04A-4753-9177-DD320CE416CC}"/>
    <cellStyle name="Separador de milhares 2 2 6 6" xfId="13154" xr:uid="{95807781-95FC-4F28-A70A-B7D8046C050B}"/>
    <cellStyle name="Separador de milhares 2 2 6 6 2" xfId="33495" xr:uid="{6660A91E-1A29-4079-B03F-97A542A7D98F}"/>
    <cellStyle name="Separador de milhares 2 2 6 7" xfId="9264" xr:uid="{C123993C-5312-4526-BB97-45BD9B31D204}"/>
    <cellStyle name="Separador de milhares 2 2 6 7 2" xfId="29607" xr:uid="{D347E87A-674E-4BEC-B612-5B84FE19C52C}"/>
    <cellStyle name="Separador de milhares 2 2 6 8" xfId="26113" xr:uid="{55691449-CAFD-438A-BFD1-E59AF09C8310}"/>
    <cellStyle name="Separador de milhares 2 2 6 9" xfId="48321" xr:uid="{217F6F8C-B392-4BE2-BC20-F705C5342FDE}"/>
    <cellStyle name="Separador de milhares 2 2 7" xfId="496" xr:uid="{EA12212A-1819-49DC-9934-622E8A23F0C4}"/>
    <cellStyle name="Separador de milhares 2 2 7 10" xfId="53286" xr:uid="{3C186453-2351-4DD1-B8B6-65901611701A}"/>
    <cellStyle name="Separador de milhares 2 2 7 11" xfId="6342" xr:uid="{0E318D1A-54F3-4B4E-98B7-0AEA65787F94}"/>
    <cellStyle name="Separador de milhares 2 2 7 2" xfId="2212" xr:uid="{35C4514F-DE61-46D5-B62C-C0A188659771}"/>
    <cellStyle name="Separador de milhares 2 2 7 2 2" xfId="36968" xr:uid="{36CD5550-AAE7-4240-9E21-6DE869048171}"/>
    <cellStyle name="Separador de milhares 2 2 7 2 3" xfId="51625" xr:uid="{7C75D4EC-67F6-4ADC-AB21-B0BC80D06B80}"/>
    <cellStyle name="Separador de milhares 2 2 7 2 4" xfId="54919" xr:uid="{8A24B9C2-5053-4C94-816F-61681E44089D}"/>
    <cellStyle name="Separador de milhares 2 2 7 2 5" xfId="16628" xr:uid="{4B639FBB-E0DA-474B-81E0-91042A5B8B57}"/>
    <cellStyle name="Separador de milhares 2 2 7 3" xfId="20130" xr:uid="{C2BC7931-2977-4872-B9D3-53CDEEC6B8E5}"/>
    <cellStyle name="Separador de milhares 2 2 7 3 2" xfId="40469" xr:uid="{F7C7A420-C6B6-447B-9045-9688A39DA982}"/>
    <cellStyle name="Separador de milhares 2 2 7 3 3" xfId="56367" xr:uid="{99DC9596-6F0D-405E-AA0D-63D30B9F7E6A}"/>
    <cellStyle name="Separador de milhares 2 2 7 4" xfId="23385" xr:uid="{746A1EB5-3A22-4316-BC13-A823FBEC4AFD}"/>
    <cellStyle name="Separador de milhares 2 2 7 4 2" xfId="43720" xr:uid="{A6C2744E-D5FC-4C6E-ACB9-50DC01319305}"/>
    <cellStyle name="Separador de milhares 2 2 7 5" xfId="13719" xr:uid="{AAD49384-0708-4E3A-9CA2-108AEA0AA08E}"/>
    <cellStyle name="Separador de milhares 2 2 7 5 2" xfId="34060" xr:uid="{1AD12D1F-0B09-4D7A-8348-98549610E0F7}"/>
    <cellStyle name="Separador de milhares 2 2 7 6" xfId="9841" xr:uid="{6D40672D-BF12-43B9-9497-759918A578A9}"/>
    <cellStyle name="Separador de milhares 2 2 7 6 2" xfId="30184" xr:uid="{6530D669-42EE-4C8A-9239-C4D5B930AC16}"/>
    <cellStyle name="Separador de milhares 2 2 7 7" xfId="26690" xr:uid="{F05339E6-D366-46AB-B2F1-0EBF51F93D94}"/>
    <cellStyle name="Separador de milhares 2 2 7 8" xfId="48322" xr:uid="{32EC95CD-863D-4D90-B598-854325F7ECFD}"/>
    <cellStyle name="Separador de milhares 2 2 7 9" xfId="49991" xr:uid="{68FE6556-4530-417E-9D45-CAAA119A7BA3}"/>
    <cellStyle name="Separador de milhares 2 2 8" xfId="2059" xr:uid="{44D7BAE2-1C39-42AB-BE86-E8726F30DB64}"/>
    <cellStyle name="Separador de milhares 2 2 8 10" xfId="7506" xr:uid="{E1A3A8C4-7F61-49B2-82B3-E48079ACA127}"/>
    <cellStyle name="Separador de milhares 2 2 8 2" xfId="17791" xr:uid="{E4694560-C33C-4CCD-A1C3-3611EA642BA3}"/>
    <cellStyle name="Separador de milhares 2 2 8 2 2" xfId="38131" xr:uid="{FC281891-99DD-4227-B440-41E17C63D6BF}"/>
    <cellStyle name="Separador de milhares 2 2 8 3" xfId="21293" xr:uid="{A45E63E8-78CC-40C4-9864-EA7306866FF3}"/>
    <cellStyle name="Separador de milhares 2 2 8 3 2" xfId="41632" xr:uid="{211B4F07-D821-43E7-9B70-75CA71AC03A5}"/>
    <cellStyle name="Separador de milhares 2 2 8 4" xfId="24548" xr:uid="{A737F9A8-FEED-43EC-BBDC-E14420DBCF4A}"/>
    <cellStyle name="Separador de milhares 2 2 8 4 2" xfId="44883" xr:uid="{83885762-509B-49C2-A963-B916F4D3FC47}"/>
    <cellStyle name="Separador de milhares 2 2 8 5" xfId="14883" xr:uid="{8464F153-174A-40B9-A383-3BD2C7C804E0}"/>
    <cellStyle name="Separador de milhares 2 2 8 5 2" xfId="35223" xr:uid="{6F12EF63-2239-4314-A5B7-27BC315ECE47}"/>
    <cellStyle name="Separador de milhares 2 2 8 6" xfId="11004" xr:uid="{9D2A32A2-8758-4036-8E7E-08DB25944B9E}"/>
    <cellStyle name="Separador de milhares 2 2 8 6 2" xfId="31347" xr:uid="{82D2FC64-87A2-4267-BB83-5846C1730498}"/>
    <cellStyle name="Separador de milhares 2 2 8 7" xfId="27853" xr:uid="{4B484523-5182-40FF-9418-B3956633217D}"/>
    <cellStyle name="Separador de milhares 2 2 8 8" xfId="51598" xr:uid="{124BB494-445C-4F82-92AF-AA396BAC9F55}"/>
    <cellStyle name="Separador de milhares 2 2 8 9" xfId="54892" xr:uid="{6145AB39-CF03-40DD-9DB0-7D8763AAE73E}"/>
    <cellStyle name="Separador de milhares 2 2 9" xfId="12585" xr:uid="{7AAFAD77-844F-4A30-ABB8-9229104B0130}"/>
    <cellStyle name="Separador de milhares 2 2 9 2" xfId="32926" xr:uid="{48AC2917-E037-4B73-9554-F1DC99AC364B}"/>
    <cellStyle name="Separador de milhares 2 2 9 3" xfId="55958" xr:uid="{30C8D019-742C-42E1-9364-6903C83CDC79}"/>
    <cellStyle name="Separador de milhares 2 3" xfId="43" xr:uid="{B80CE9AE-20AC-4E02-87BA-4045AAE36508}"/>
    <cellStyle name="Separador de milhares 2 3 10" xfId="19052" xr:uid="{AF18C95F-DE85-428E-BF94-C89855F2181B}"/>
    <cellStyle name="Separador de milhares 2 3 10 2" xfId="39391" xr:uid="{22AFF3C6-D7F8-4290-96BC-AF93E4DA923B}"/>
    <cellStyle name="Separador de milhares 2 3 11" xfId="22307" xr:uid="{74EDDFEB-53DE-4951-B6C9-F61F0FDAC1D6}"/>
    <cellStyle name="Separador de milhares 2 3 11 2" xfId="42642" xr:uid="{F807491C-57B1-4563-AF69-2A2D43552B30}"/>
    <cellStyle name="Separador de milhares 2 3 12" xfId="12024" xr:uid="{88449E3C-89A1-4E2C-8D31-EB8CCF203AE3}"/>
    <cellStyle name="Separador de milhares 2 3 12 2" xfId="32365" xr:uid="{83B97D74-D340-4646-825E-322F3ABD1A90}"/>
    <cellStyle name="Separador de milhares 2 3 13" xfId="8763" xr:uid="{0B2715C9-8B8F-4C1B-BACC-CB7A2A0A35AA}"/>
    <cellStyle name="Separador de milhares 2 3 13 2" xfId="29106" xr:uid="{FAE203FE-337B-48FD-9D0F-58EF7A7F0A6F}"/>
    <cellStyle name="Separador de milhares 2 3 14" xfId="25612" xr:uid="{3DAAE121-B511-4ADB-8DE3-6F4B73066F3A}"/>
    <cellStyle name="Separador de milhares 2 3 15" xfId="25486" xr:uid="{DF43B625-FD4C-464A-8632-874B660DBD17}"/>
    <cellStyle name="Separador de milhares 2 3 16" xfId="48323" xr:uid="{7E7EDB87-302D-4CD7-9C99-5180B5821F95}"/>
    <cellStyle name="Separador de milhares 2 3 17" xfId="49992" xr:uid="{18FF3151-78EA-4BE9-86C5-EEBAB0F789BB}"/>
    <cellStyle name="Separador de milhares 2 3 18" xfId="53287" xr:uid="{2FC3F4BD-AAEA-45BB-99BD-B5B76B795455}"/>
    <cellStyle name="Separador de milhares 2 3 19" xfId="5294" xr:uid="{0865D8EF-A84F-42C5-A895-6FC9DF7D5D12}"/>
    <cellStyle name="Separador de milhares 2 3 2" xfId="330" xr:uid="{B2F19579-CC8C-4DF3-8942-F83C39E193F1}"/>
    <cellStyle name="Separador de milhares 2 3 2 10" xfId="12139" xr:uid="{02AFE0A7-EAED-4434-95A0-AEB4AAACC441}"/>
    <cellStyle name="Separador de milhares 2 3 2 10 2" xfId="32480" xr:uid="{A52AB671-115B-465D-A79D-9A6CC0A22C86}"/>
    <cellStyle name="Separador de milhares 2 3 2 11" xfId="8878" xr:uid="{5C2CB8EF-3625-4812-955D-7600FA536AFD}"/>
    <cellStyle name="Separador de milhares 2 3 2 11 2" xfId="29221" xr:uid="{EA56D376-6F09-432A-87E0-E6C1F4169937}"/>
    <cellStyle name="Separador de milhares 2 3 2 12" xfId="25727" xr:uid="{F3EAA5AC-8EB1-443E-806A-2E4829C2DC0F}"/>
    <cellStyle name="Separador de milhares 2 3 2 13" xfId="48324" xr:uid="{FD33F4B6-92B4-46FD-B055-2C21BFCF9B8A}"/>
    <cellStyle name="Separador de milhares 2 3 2 14" xfId="49993" xr:uid="{5B39685D-6F28-4976-8656-19FB97D3B130}"/>
    <cellStyle name="Separador de milhares 2 3 2 15" xfId="53288" xr:uid="{328B91A5-6891-4415-B555-B93D5AF69486}"/>
    <cellStyle name="Separador de milhares 2 3 2 16" xfId="5396" xr:uid="{83690859-6759-47BE-BD94-748F4DB48B72}"/>
    <cellStyle name="Separador de milhares 2 3 2 17" xfId="4611" xr:uid="{BEA759DD-85A9-46CE-BD85-4EF50769A597}"/>
    <cellStyle name="Separador de milhares 2 3 2 2" xfId="1146" xr:uid="{B9F560DC-B7A7-4C45-8843-E4BA126156FC}"/>
    <cellStyle name="Separador de milhares 2 3 2 2 10" xfId="49994" xr:uid="{9FA66309-0C39-45EC-8B54-41136845885A}"/>
    <cellStyle name="Separador de milhares 2 3 2 2 11" xfId="53289" xr:uid="{360C04B1-D905-43BF-9F55-36671267A9E1}"/>
    <cellStyle name="Separador de milhares 2 3 2 2 12" xfId="5960" xr:uid="{EB0A7B1D-C6DB-4493-92F2-83B4599F6128}"/>
    <cellStyle name="Separador de milhares 2 3 2 2 2" xfId="2807" xr:uid="{194C03F3-6890-47A5-943F-5075042B2823}"/>
    <cellStyle name="Separador de milhares 2 3 2 2 2 10" xfId="7118" xr:uid="{A2E62AE7-E94E-479F-989C-39BAFEF24A35}"/>
    <cellStyle name="Separador de milhares 2 3 2 2 2 2" xfId="17404" xr:uid="{E5FFAD31-B045-491F-B383-B3D536ABDAE1}"/>
    <cellStyle name="Separador de milhares 2 3 2 2 2 2 2" xfId="37744" xr:uid="{97F27BFA-FCA6-4BD2-BBF7-E0213AAF0930}"/>
    <cellStyle name="Separador de milhares 2 3 2 2 2 3" xfId="20906" xr:uid="{2CBCD6DD-34D9-4860-B80B-DC4EB7A889EA}"/>
    <cellStyle name="Separador de milhares 2 3 2 2 2 3 2" xfId="41245" xr:uid="{7E43F05A-8D30-4F26-B8FF-23944A12E70A}"/>
    <cellStyle name="Separador de milhares 2 3 2 2 2 4" xfId="24161" xr:uid="{8ED5C2F3-4269-44D0-9ABF-8569860C2D78}"/>
    <cellStyle name="Separador de milhares 2 3 2 2 2 4 2" xfId="44496" xr:uid="{B1F48E3B-D00A-4F3A-B431-9B6499853E60}"/>
    <cellStyle name="Separador de milhares 2 3 2 2 2 5" xfId="14495" xr:uid="{FE7469E5-452D-4751-8909-20EEA02A6389}"/>
    <cellStyle name="Separador de milhares 2 3 2 2 2 5 2" xfId="34836" xr:uid="{3A2DAF75-BF2C-4FC3-9A71-9406E7476D90}"/>
    <cellStyle name="Separador de milhares 2 3 2 2 2 6" xfId="10617" xr:uid="{B2EEDDF3-0719-4CAF-B55D-10769863BB79}"/>
    <cellStyle name="Separador de milhares 2 3 2 2 2 6 2" xfId="30960" xr:uid="{F9408504-A7C9-4851-B3C6-A733AFD21B6C}"/>
    <cellStyle name="Separador de milhares 2 3 2 2 2 7" xfId="27466" xr:uid="{D10264FC-2C13-4240-8D96-C53D66A4E5A5}"/>
    <cellStyle name="Separador de milhares 2 3 2 2 2 8" xfId="51628" xr:uid="{CE3A22D4-DE39-4601-B3DB-8C3172D0DBE5}"/>
    <cellStyle name="Separador de milhares 2 3 2 2 2 9" xfId="54922" xr:uid="{2D84EF00-3099-4957-BA74-50A621B784A6}"/>
    <cellStyle name="Separador de milhares 2 3 2 2 3" xfId="16246" xr:uid="{AC88230F-FA67-4FC6-AA54-2F9481AF8D61}"/>
    <cellStyle name="Separador de milhares 2 3 2 2 3 2" xfId="36586" xr:uid="{649D30D3-9126-4AD7-8D02-588E9B6DD96C}"/>
    <cellStyle name="Separador de milhares 2 3 2 2 3 3" xfId="57017" xr:uid="{DAA6F477-DAF6-4F1D-AF01-E2DA2E1C8F16}"/>
    <cellStyle name="Separador de milhares 2 3 2 2 4" xfId="19748" xr:uid="{DCAAC888-4903-4365-9A2E-81594B19B953}"/>
    <cellStyle name="Separador de milhares 2 3 2 2 4 2" xfId="40087" xr:uid="{091E9891-A110-4AA3-A87B-D6AE44D7DFD8}"/>
    <cellStyle name="Separador de milhares 2 3 2 2 5" xfId="23003" xr:uid="{1EC53663-10BF-450F-AA00-596B7B1BFCD9}"/>
    <cellStyle name="Separador de milhares 2 3 2 2 5 2" xfId="43338" xr:uid="{59E84BF0-0262-4867-AB02-E0ACFD6A4346}"/>
    <cellStyle name="Separador de milhares 2 3 2 2 6" xfId="13337" xr:uid="{3B018CBE-5626-4454-BCF5-48E617259024}"/>
    <cellStyle name="Separador de milhares 2 3 2 2 6 2" xfId="33678" xr:uid="{21A64425-85C9-41F6-AFAF-D200F0696D9C}"/>
    <cellStyle name="Separador de milhares 2 3 2 2 7" xfId="9459" xr:uid="{037952C9-58CF-42F4-99D6-99CA0DB1F35D}"/>
    <cellStyle name="Separador de milhares 2 3 2 2 7 2" xfId="29802" xr:uid="{10B9D88B-A131-4265-9BAC-DDB53DD23098}"/>
    <cellStyle name="Separador de milhares 2 3 2 2 8" xfId="26308" xr:uid="{B930E1DF-E1F5-4969-8518-A3AB06422649}"/>
    <cellStyle name="Separador de milhares 2 3 2 2 9" xfId="48325" xr:uid="{7BD87604-C243-4CF5-B94E-F5BD50ADDA65}"/>
    <cellStyle name="Separador de milhares 2 3 2 3" xfId="1552" xr:uid="{003FD89B-4805-483B-95CA-411AA14ADA18}"/>
    <cellStyle name="Separador de milhares 2 3 2 3 10" xfId="53290" xr:uid="{33095414-345B-4DEA-B440-886DE904F884}"/>
    <cellStyle name="Separador de milhares 2 3 2 3 11" xfId="6537" xr:uid="{F32B1D98-309B-43C2-8F97-B2CA2D09B47F}"/>
    <cellStyle name="Separador de milhares 2 3 2 3 2" xfId="3212" xr:uid="{6DA9F269-1320-42DD-A308-59B5583F51F1}"/>
    <cellStyle name="Separador de milhares 2 3 2 3 2 2" xfId="37163" xr:uid="{8ED3DE07-16B0-42C7-965E-584246037CC1}"/>
    <cellStyle name="Separador de milhares 2 3 2 3 2 3" xfId="51629" xr:uid="{7F87C656-9135-4948-BD05-C18E5CBBEB94}"/>
    <cellStyle name="Separador de milhares 2 3 2 3 2 4" xfId="54923" xr:uid="{0BADC713-6AA0-44E3-AA8C-9154B65EB075}"/>
    <cellStyle name="Separador de milhares 2 3 2 3 2 5" xfId="16823" xr:uid="{234855D5-D855-4397-A233-7128E295EBFC}"/>
    <cellStyle name="Separador de milhares 2 3 2 3 3" xfId="20325" xr:uid="{9456D48A-91FC-4700-9B94-6BDE76A6B00F}"/>
    <cellStyle name="Separador de milhares 2 3 2 3 3 2" xfId="40664" xr:uid="{449CDFCE-AB93-449C-A6D6-2FEBE7312BC3}"/>
    <cellStyle name="Separador de milhares 2 3 2 3 3 3" xfId="57423" xr:uid="{ABCAC680-9FF5-4309-B7F7-1D95193535DD}"/>
    <cellStyle name="Separador de milhares 2 3 2 3 4" xfId="23580" xr:uid="{77F0FE37-62A1-4194-B958-B42852DCA624}"/>
    <cellStyle name="Separador de milhares 2 3 2 3 4 2" xfId="43915" xr:uid="{7E270077-29DA-4CC1-9B8E-6EDFAAD27723}"/>
    <cellStyle name="Separador de milhares 2 3 2 3 5" xfId="13914" xr:uid="{52D9E796-FB6A-4E25-95FC-D2CF4491D29A}"/>
    <cellStyle name="Separador de milhares 2 3 2 3 5 2" xfId="34255" xr:uid="{8D8B623E-32F7-4B51-9AFF-7691B3DA436F}"/>
    <cellStyle name="Separador de milhares 2 3 2 3 6" xfId="10036" xr:uid="{FA78222B-606E-4204-B63E-A4D1376B8581}"/>
    <cellStyle name="Separador de milhares 2 3 2 3 6 2" xfId="30379" xr:uid="{5228707F-E393-4210-86D5-4D84D4C92C64}"/>
    <cellStyle name="Separador de milhares 2 3 2 3 7" xfId="26885" xr:uid="{9225E636-79AA-43B1-B468-58FEFDF44B83}"/>
    <cellStyle name="Separador de milhares 2 3 2 3 8" xfId="48326" xr:uid="{A0E3B643-C95E-4708-B3C5-6453AD92CD60}"/>
    <cellStyle name="Separador de milhares 2 3 2 3 9" xfId="49995" xr:uid="{95A6D490-7462-44E0-903D-CECB90887ABF}"/>
    <cellStyle name="Separador de milhares 2 3 2 4" xfId="739" xr:uid="{0FD559B0-77FC-4816-8A38-40D16E4788FD}"/>
    <cellStyle name="Separador de milhares 2 3 2 4 10" xfId="53291" xr:uid="{BC98ED7D-9F09-4C63-A05C-2437DEB9CAEA}"/>
    <cellStyle name="Separador de milhares 2 3 2 4 11" xfId="7701" xr:uid="{66AC461E-252E-4E91-AC53-2F4D1C5C494E}"/>
    <cellStyle name="Separador de milhares 2 3 2 4 2" xfId="2455" xr:uid="{3FF781C5-8C2B-4C11-8BFD-AEE27035A056}"/>
    <cellStyle name="Separador de milhares 2 3 2 4 2 2" xfId="38326" xr:uid="{70EA34EF-92C8-4AE9-9DC7-2EE1F13D47CD}"/>
    <cellStyle name="Separador de milhares 2 3 2 4 2 3" xfId="51630" xr:uid="{76356F23-9685-46DB-B89F-AFAEF9702D80}"/>
    <cellStyle name="Separador de milhares 2 3 2 4 2 4" xfId="54924" xr:uid="{FA0248C5-32C9-42F5-A55B-37C859DBEEE6}"/>
    <cellStyle name="Separador de milhares 2 3 2 4 2 5" xfId="17986" xr:uid="{B82C8477-DDD4-4673-BBA0-903AF923CC15}"/>
    <cellStyle name="Separador de milhares 2 3 2 4 3" xfId="21488" xr:uid="{6867D3BE-8147-471D-A50F-78215318F0D9}"/>
    <cellStyle name="Separador de milhares 2 3 2 4 3 2" xfId="41827" xr:uid="{97CCDD81-812E-40ED-9116-B422F291F351}"/>
    <cellStyle name="Separador de milhares 2 3 2 4 3 3" xfId="56610" xr:uid="{CA36B537-1999-4612-B4F2-61BF6F86889C}"/>
    <cellStyle name="Separador de milhares 2 3 2 4 4" xfId="24743" xr:uid="{423C06D2-60B8-4919-BDBE-E6B84C5D0A7C}"/>
    <cellStyle name="Separador de milhares 2 3 2 4 4 2" xfId="45078" xr:uid="{408E1229-2372-4F69-BF3D-E443F7E18870}"/>
    <cellStyle name="Separador de milhares 2 3 2 4 5" xfId="15078" xr:uid="{47A69A78-C89A-4579-B08D-1F4D11E788DE}"/>
    <cellStyle name="Separador de milhares 2 3 2 4 5 2" xfId="35418" xr:uid="{F9DD54C3-6A37-44EC-BEF5-032148BBF303}"/>
    <cellStyle name="Separador de milhares 2 3 2 4 6" xfId="11199" xr:uid="{02067525-42C4-4F49-AD2C-88604EC84A3A}"/>
    <cellStyle name="Separador de milhares 2 3 2 4 6 2" xfId="31542" xr:uid="{A2B43BD9-8626-4689-917F-46E97927FD3E}"/>
    <cellStyle name="Separador de milhares 2 3 2 4 7" xfId="28048" xr:uid="{3EA479B3-9493-41A4-A53E-BB6C13B49BC7}"/>
    <cellStyle name="Separador de milhares 2 3 2 4 8" xfId="48327" xr:uid="{5E04EDC6-D5F6-4876-AD77-8CABE6461FB4}"/>
    <cellStyle name="Separador de milhares 2 3 2 4 9" xfId="49996" xr:uid="{97EC72DB-547A-4BC8-8D9E-3941D7F43062}"/>
    <cellStyle name="Separador de milhares 2 3 2 5" xfId="2130" xr:uid="{2984412D-A032-4958-9EE2-46DA62DE1D1B}"/>
    <cellStyle name="Separador de milhares 2 3 2 5 2" xfId="33109" xr:uid="{91635D19-A221-40E6-93CC-393C373A6B84}"/>
    <cellStyle name="Separador de milhares 2 3 2 5 3" xfId="51627" xr:uid="{65183AE3-B9B7-4CD9-BB0C-131E697FFE64}"/>
    <cellStyle name="Separador de milhares 2 3 2 5 4" xfId="54921" xr:uid="{6F1E44D4-4E86-4B44-AAE6-B6FD3A12675C}"/>
    <cellStyle name="Separador de milhares 2 3 2 5 5" xfId="12768" xr:uid="{4BA88303-8A97-4787-988F-D703E1E1EBED}"/>
    <cellStyle name="Separador de milhares 2 3 2 6" xfId="15665" xr:uid="{1C30909E-4400-4B02-9D13-76F51BEF82DC}"/>
    <cellStyle name="Separador de milhares 2 3 2 6 2" xfId="36005" xr:uid="{1788B88F-4411-4570-8596-E277D6F490FA}"/>
    <cellStyle name="Separador de milhares 2 3 2 6 3" xfId="56201" xr:uid="{1714E651-9CF9-4A47-82A2-A884DBE13A28}"/>
    <cellStyle name="Separador de milhares 2 3 2 7" xfId="18579" xr:uid="{2BE3A1A0-0B67-4C68-BBC8-4B3A4DDB04A2}"/>
    <cellStyle name="Separador de milhares 2 3 2 7 2" xfId="38919" xr:uid="{C9972014-FC56-43A7-AB22-091563EFFF22}"/>
    <cellStyle name="Separador de milhares 2 3 2 8" xfId="19167" xr:uid="{ED3569F9-AFF5-4182-B518-D30903D68FE4}"/>
    <cellStyle name="Separador de milhares 2 3 2 8 2" xfId="39506" xr:uid="{09F6969C-5FDA-4C78-80EC-8E95B14C3D55}"/>
    <cellStyle name="Separador de milhares 2 3 2 9" xfId="22422" xr:uid="{7AE8407C-BA5F-4629-93BA-FBADC41292C9}"/>
    <cellStyle name="Separador de milhares 2 3 2 9 2" xfId="42757" xr:uid="{4DAD3C49-677D-4F18-8930-6E4FA40A9003}"/>
    <cellStyle name="Separador de milhares 2 3 20" xfId="4377" xr:uid="{E3775DB8-1F5E-4422-850E-47F3482654BE}"/>
    <cellStyle name="Separador de milhares 2 3 3" xfId="141" xr:uid="{81FB8A33-ED1D-47F5-818B-5F5AFBCC4B7B}"/>
    <cellStyle name="Separador de milhares 2 3 3 10" xfId="12368" xr:uid="{3362D6D9-9B1D-4C1D-A5CF-84BB31AB7CD8}"/>
    <cellStyle name="Separador de milhares 2 3 3 10 2" xfId="32709" xr:uid="{B2389277-4854-4A85-88D7-BB0F31A88A7C}"/>
    <cellStyle name="Separador de milhares 2 3 3 11" xfId="9107" xr:uid="{93349F30-0F5C-432B-B0D0-D5D81692D625}"/>
    <cellStyle name="Separador de milhares 2 3 3 11 2" xfId="29450" xr:uid="{82488BAC-DEED-4F05-9472-64D27CBEAAE9}"/>
    <cellStyle name="Separador de milhares 2 3 3 12" xfId="25956" xr:uid="{B15BBA7F-9355-4EAF-B08E-03DFAE00FDDB}"/>
    <cellStyle name="Separador de milhares 2 3 3 13" xfId="48328" xr:uid="{A16D6710-AF66-4D4A-9570-E082EC4B5667}"/>
    <cellStyle name="Separador de milhares 2 3 3 14" xfId="49997" xr:uid="{3384AC99-8A53-48C0-B649-05FB81B2185E}"/>
    <cellStyle name="Separador de milhares 2 3 3 15" xfId="53292" xr:uid="{97FAD455-5A85-493F-B40A-47A22CC92742}"/>
    <cellStyle name="Separador de milhares 2 3 3 16" xfId="5617" xr:uid="{27DB38FC-7BC5-40BA-B780-F5A19C4F8F0E}"/>
    <cellStyle name="Separador de milhares 2 3 3 17" xfId="4422" xr:uid="{B3D1DE4B-CBE6-46D7-BCF1-9EB5D38E7906}"/>
    <cellStyle name="Separador de milhares 2 3 3 2" xfId="957" xr:uid="{5CAEF039-B46B-488C-BFE7-E61DF02ABC64}"/>
    <cellStyle name="Separador de milhares 2 3 3 2 10" xfId="49998" xr:uid="{56ACA485-B892-467E-9D93-DE3052E05B15}"/>
    <cellStyle name="Separador de milhares 2 3 3 2 11" xfId="53293" xr:uid="{C9F756C0-B2EB-4D77-AEF2-BA023B690579}"/>
    <cellStyle name="Separador de milhares 2 3 3 2 12" xfId="6189" xr:uid="{4E200A1A-8C7F-46C8-9DDA-F10DCE429DBD}"/>
    <cellStyle name="Separador de milhares 2 3 3 2 2" xfId="2672" xr:uid="{A9A208F7-6188-4494-BDD6-94DDC7E95BA4}"/>
    <cellStyle name="Separador de milhares 2 3 3 2 2 10" xfId="7347" xr:uid="{8874A637-97DC-4D69-A797-45A660C61CAF}"/>
    <cellStyle name="Separador de milhares 2 3 3 2 2 2" xfId="17633" xr:uid="{CC767772-A0B1-461F-B69D-F2EA043EA3C7}"/>
    <cellStyle name="Separador de milhares 2 3 3 2 2 2 2" xfId="37973" xr:uid="{58AB6CBD-C5F9-4333-A822-E5D2C8DB11EB}"/>
    <cellStyle name="Separador de milhares 2 3 3 2 2 3" xfId="21135" xr:uid="{E4484E82-2BD7-4FCC-A1DC-5192FACDABC7}"/>
    <cellStyle name="Separador de milhares 2 3 3 2 2 3 2" xfId="41474" xr:uid="{D64A2AE3-9C49-4CBC-8A20-A611F07A2B1F}"/>
    <cellStyle name="Separador de milhares 2 3 3 2 2 4" xfId="24390" xr:uid="{C9390D01-A21F-4944-ADC3-8470BAD00447}"/>
    <cellStyle name="Separador de milhares 2 3 3 2 2 4 2" xfId="44725" xr:uid="{6D67662D-21C3-4FDE-A461-1CD8569A658F}"/>
    <cellStyle name="Separador de milhares 2 3 3 2 2 5" xfId="14724" xr:uid="{F45F6266-0934-42E4-A021-71B52B22AE3D}"/>
    <cellStyle name="Separador de milhares 2 3 3 2 2 5 2" xfId="35065" xr:uid="{6E4D968D-2715-4B9E-860A-C8501C4D44EB}"/>
    <cellStyle name="Separador de milhares 2 3 3 2 2 6" xfId="10846" xr:uid="{492C7BBF-A356-4FAF-895D-0C2208581B5B}"/>
    <cellStyle name="Separador de milhares 2 3 3 2 2 6 2" xfId="31189" xr:uid="{EC0E5177-1C91-41E1-8797-417F769B6CCA}"/>
    <cellStyle name="Separador de milhares 2 3 3 2 2 7" xfId="27695" xr:uid="{1F0472AC-F302-4FC2-93E9-C6C14E083CD4}"/>
    <cellStyle name="Separador de milhares 2 3 3 2 2 8" xfId="51632" xr:uid="{4413F471-AF52-4A06-A461-3DA47676AA27}"/>
    <cellStyle name="Separador de milhares 2 3 3 2 2 9" xfId="54926" xr:uid="{CE1D502F-B87E-4B18-91F5-EA3E3078AE6B}"/>
    <cellStyle name="Separador de milhares 2 3 3 2 3" xfId="16475" xr:uid="{9E47C4B3-E946-4BB3-B5C8-55952D47887B}"/>
    <cellStyle name="Separador de milhares 2 3 3 2 3 2" xfId="36815" xr:uid="{E334E580-DA0B-4BC8-B761-F8C451763B50}"/>
    <cellStyle name="Separador de milhares 2 3 3 2 3 3" xfId="56828" xr:uid="{8729837F-1138-4136-AC07-EA8FD7B7FF4E}"/>
    <cellStyle name="Separador de milhares 2 3 3 2 4" xfId="19977" xr:uid="{810ED5BC-AD0B-4EF4-BA7D-34577D928412}"/>
    <cellStyle name="Separador de milhares 2 3 3 2 4 2" xfId="40316" xr:uid="{855A6662-C3C1-457E-A983-1DF205048BB1}"/>
    <cellStyle name="Separador de milhares 2 3 3 2 5" xfId="23232" xr:uid="{A54B4845-D0F1-4F63-811D-5D37EC338F4C}"/>
    <cellStyle name="Separador de milhares 2 3 3 2 5 2" xfId="43567" xr:uid="{C943CD13-3C58-4201-9DE3-39263C85F8FB}"/>
    <cellStyle name="Separador de milhares 2 3 3 2 6" xfId="13566" xr:uid="{63669441-E3D6-4474-8C63-1E296A91BB36}"/>
    <cellStyle name="Separador de milhares 2 3 3 2 6 2" xfId="33907" xr:uid="{B61EB8EF-B868-421E-ABD9-F36CE5445DF9}"/>
    <cellStyle name="Separador de milhares 2 3 3 2 7" xfId="9688" xr:uid="{9B01D205-77D8-4990-9AFC-2E990F581221}"/>
    <cellStyle name="Separador de milhares 2 3 3 2 7 2" xfId="30031" xr:uid="{0CF4BEAB-C183-4A38-99D5-4081B7191814}"/>
    <cellStyle name="Separador de milhares 2 3 3 2 8" xfId="26537" xr:uid="{54F8D62D-C6D0-4039-983D-71DFB4912FFF}"/>
    <cellStyle name="Separador de milhares 2 3 3 2 9" xfId="48329" xr:uid="{E4FE500A-51C3-4A46-8DF9-4F993D318066}"/>
    <cellStyle name="Separador de milhares 2 3 3 3" xfId="1363" xr:uid="{C42AFC94-87E4-4DD1-A224-57388DA9DD50}"/>
    <cellStyle name="Separador de milhares 2 3 3 3 10" xfId="53294" xr:uid="{2EDD2ABB-8BB3-4A45-9BC8-8CA35941A832}"/>
    <cellStyle name="Separador de milhares 2 3 3 3 11" xfId="6766" xr:uid="{DA94C7D4-C19D-45A4-9C99-549E13986F7D}"/>
    <cellStyle name="Separador de milhares 2 3 3 3 2" xfId="3024" xr:uid="{DF97E555-74D3-454A-BB09-2E2FF43326E0}"/>
    <cellStyle name="Separador de milhares 2 3 3 3 2 2" xfId="37392" xr:uid="{F0F37823-C297-48BB-8AE1-9EC6452AB46F}"/>
    <cellStyle name="Separador de milhares 2 3 3 3 2 3" xfId="51633" xr:uid="{DE182467-B449-497B-91F8-AB95F1A6E8A7}"/>
    <cellStyle name="Separador de milhares 2 3 3 3 2 4" xfId="54927" xr:uid="{FF0F0AD9-3FB9-4B43-82AE-BDDFE5E421D6}"/>
    <cellStyle name="Separador de milhares 2 3 3 3 2 5" xfId="17052" xr:uid="{DC3FE752-43CB-4FAB-9A50-C851EEFD7AEC}"/>
    <cellStyle name="Separador de milhares 2 3 3 3 3" xfId="20554" xr:uid="{9D6E5A32-C0D3-4B42-A383-FC382AFD34D7}"/>
    <cellStyle name="Separador de milhares 2 3 3 3 3 2" xfId="40893" xr:uid="{5DF33D4C-1047-4AE5-801C-0B8D76D23419}"/>
    <cellStyle name="Separador de milhares 2 3 3 3 3 3" xfId="57234" xr:uid="{9FDFE4B5-4FF2-4BB6-BB4E-DD435E2534BB}"/>
    <cellStyle name="Separador de milhares 2 3 3 3 4" xfId="23809" xr:uid="{CB1172EF-6DB1-43DA-87B1-71E7AF965D30}"/>
    <cellStyle name="Separador de milhares 2 3 3 3 4 2" xfId="44144" xr:uid="{E7C0F433-E927-4376-A092-0098E2B77234}"/>
    <cellStyle name="Separador de milhares 2 3 3 3 5" xfId="14143" xr:uid="{44A986D8-1956-4B88-9609-D7EAF8D8222A}"/>
    <cellStyle name="Separador de milhares 2 3 3 3 5 2" xfId="34484" xr:uid="{E9277F3D-753A-4739-B5F1-A0614FD51E53}"/>
    <cellStyle name="Separador de milhares 2 3 3 3 6" xfId="10265" xr:uid="{64914FC6-E53B-41ED-B173-ACCAC42CD8F4}"/>
    <cellStyle name="Separador de milhares 2 3 3 3 6 2" xfId="30608" xr:uid="{0DCDDC6F-F121-4EC8-856D-CA433D0313E8}"/>
    <cellStyle name="Separador de milhares 2 3 3 3 7" xfId="27114" xr:uid="{23145231-E9A5-49D5-8AFD-4FF81A860090}"/>
    <cellStyle name="Separador de milhares 2 3 3 3 8" xfId="48330" xr:uid="{16FD8EA0-1FCA-4DF6-BA03-F5BCB17EFDA3}"/>
    <cellStyle name="Separador de milhares 2 3 3 3 9" xfId="49999" xr:uid="{0C51C03C-2B99-4520-BE9A-0EFCF215D26C}"/>
    <cellStyle name="Separador de milhares 2 3 3 4" xfId="550" xr:uid="{DD5B9086-4858-44D1-915D-45BB94CF05F3}"/>
    <cellStyle name="Separador de milhares 2 3 3 4 10" xfId="53295" xr:uid="{88CC9698-539B-4493-9D80-9C1D162B400F}"/>
    <cellStyle name="Separador de milhares 2 3 3 4 11" xfId="7930" xr:uid="{AEDCCEE8-43D0-45DC-9A20-234A6AEE3A2E}"/>
    <cellStyle name="Separador de milhares 2 3 3 4 2" xfId="2266" xr:uid="{58E7F726-B0EA-4511-B380-B0FC899EF990}"/>
    <cellStyle name="Separador de milhares 2 3 3 4 2 2" xfId="38555" xr:uid="{8BDC1E72-118B-40D4-91AC-5F38E8DFD6A5}"/>
    <cellStyle name="Separador de milhares 2 3 3 4 2 3" xfId="51634" xr:uid="{4E3F50F2-3364-4002-9D6B-8064F6FF6BF6}"/>
    <cellStyle name="Separador de milhares 2 3 3 4 2 4" xfId="54928" xr:uid="{020E93CC-BE41-488B-8153-BDCED7C5C827}"/>
    <cellStyle name="Separador de milhares 2 3 3 4 2 5" xfId="18215" xr:uid="{CD94D7A9-D1B7-4C09-A686-3E9413090DF0}"/>
    <cellStyle name="Separador de milhares 2 3 3 4 3" xfId="21717" xr:uid="{05BEDA1C-75A9-43B4-B1C3-068166212220}"/>
    <cellStyle name="Separador de milhares 2 3 3 4 3 2" xfId="42056" xr:uid="{F0C4F157-EB17-4F23-BDCA-F18EDE58AB9C}"/>
    <cellStyle name="Separador de milhares 2 3 3 4 3 3" xfId="56421" xr:uid="{880210D4-1DFF-4E79-BE66-985AEF84DF7C}"/>
    <cellStyle name="Separador de milhares 2 3 3 4 4" xfId="24972" xr:uid="{3D2D3FB1-0E7C-401C-B4A4-909BB9CE4698}"/>
    <cellStyle name="Separador de milhares 2 3 3 4 4 2" xfId="45307" xr:uid="{56A09FB5-C512-4961-A2D9-C362E41B4F59}"/>
    <cellStyle name="Separador de milhares 2 3 3 4 5" xfId="15307" xr:uid="{DD7B1B56-4254-4E86-90A9-67454F119881}"/>
    <cellStyle name="Separador de milhares 2 3 3 4 5 2" xfId="35647" xr:uid="{A634DA68-216D-4CD5-9C56-ACF5E300FCF0}"/>
    <cellStyle name="Separador de milhares 2 3 3 4 6" xfId="11428" xr:uid="{E914F8BD-8634-4B8F-B0C9-37754BDCC21F}"/>
    <cellStyle name="Separador de milhares 2 3 3 4 6 2" xfId="31771" xr:uid="{684BCC7F-75C8-4F49-8D8C-C0349AEDE0E4}"/>
    <cellStyle name="Separador de milhares 2 3 3 4 7" xfId="28277" xr:uid="{1FFB0B62-2A03-4FAA-83C5-FE25D06C9BD0}"/>
    <cellStyle name="Separador de milhares 2 3 3 4 8" xfId="48331" xr:uid="{3AE0F0B6-0E58-44F2-8F1B-33426801655D}"/>
    <cellStyle name="Separador de milhares 2 3 3 4 9" xfId="50000" xr:uid="{2E66F579-B0E8-4BBF-88A7-FE8F7DCF49D2}"/>
    <cellStyle name="Separador de milhares 2 3 3 5" xfId="2079" xr:uid="{78810575-6B17-4629-BAD7-E7DDA54ED58C}"/>
    <cellStyle name="Separador de milhares 2 3 3 5 2" xfId="33338" xr:uid="{8442121A-CFE8-4ADF-9FF4-AE04BF922F0F}"/>
    <cellStyle name="Separador de milhares 2 3 3 5 3" xfId="51631" xr:uid="{9760B193-AB9E-4B83-A594-3F56A7D186C2}"/>
    <cellStyle name="Separador de milhares 2 3 3 5 4" xfId="54925" xr:uid="{723B51A6-D130-47CC-8819-A9D2FBF21C3B}"/>
    <cellStyle name="Separador de milhares 2 3 3 5 5" xfId="12997" xr:uid="{A751F7AC-47D4-4124-99C1-ED0909020B48}"/>
    <cellStyle name="Separador de milhares 2 3 3 6" xfId="15894" xr:uid="{434B743C-C376-4D17-A161-0E8F4D701937}"/>
    <cellStyle name="Separador de milhares 2 3 3 6 2" xfId="36234" xr:uid="{21D5322F-1D3A-4D40-8AD5-BB9E69530D5B}"/>
    <cellStyle name="Separador de milhares 2 3 3 6 3" xfId="56012" xr:uid="{506542E3-554C-4B4E-8BED-92872920A1AF}"/>
    <cellStyle name="Separador de milhares 2 3 3 7" xfId="18808" xr:uid="{46FF863F-5F7E-4A93-9CE3-30E32099C37C}"/>
    <cellStyle name="Separador de milhares 2 3 3 7 2" xfId="39148" xr:uid="{72335783-C586-4C22-8555-4D683BA7E3F1}"/>
    <cellStyle name="Separador de milhares 2 3 3 8" xfId="19396" xr:uid="{5653BAF0-DBA6-4E1F-98D7-1E5769E6FFCE}"/>
    <cellStyle name="Separador de milhares 2 3 3 8 2" xfId="39735" xr:uid="{76556043-D418-4825-B0A5-63BC4D49AB06}"/>
    <cellStyle name="Separador de milhares 2 3 3 9" xfId="22651" xr:uid="{F57FBF5A-6D18-4BB8-BA58-A77CE35A4EC6}"/>
    <cellStyle name="Separador de milhares 2 3 3 9 2" xfId="42986" xr:uid="{D08705E7-69D4-43E1-A51E-2D2E1254EC1B}"/>
    <cellStyle name="Separador de milhares 2 3 4" xfId="912" xr:uid="{65755721-C448-4571-BB87-1BC9D330C88B}"/>
    <cellStyle name="Separador de milhares 2 3 4 10" xfId="50001" xr:uid="{4F10BF3C-F969-4703-8647-44ACD8D72CC2}"/>
    <cellStyle name="Separador de milhares 2 3 4 11" xfId="53296" xr:uid="{F016C340-8625-42F8-BAE9-058A751A126E}"/>
    <cellStyle name="Separador de milhares 2 3 4 12" xfId="5845" xr:uid="{40AD133B-FBDD-4226-80AD-842B6693BAB6}"/>
    <cellStyle name="Separador de milhares 2 3 4 2" xfId="2628" xr:uid="{A1B9DB0E-0A46-4845-A6EF-739F34CCC578}"/>
    <cellStyle name="Separador de milhares 2 3 4 2 10" xfId="7003" xr:uid="{8C026EFC-1CEC-4FAA-AB86-2DD4C17E104C}"/>
    <cellStyle name="Separador de milhares 2 3 4 2 2" xfId="17289" xr:uid="{36AABC33-350C-4A28-B340-A911293D192E}"/>
    <cellStyle name="Separador de milhares 2 3 4 2 2 2" xfId="37629" xr:uid="{6A2A3BFD-2FB1-48AB-BC5C-FAAE75DC5D1C}"/>
    <cellStyle name="Separador de milhares 2 3 4 2 3" xfId="20791" xr:uid="{BE0459F5-8088-466F-BA7F-EAB185A89C87}"/>
    <cellStyle name="Separador de milhares 2 3 4 2 3 2" xfId="41130" xr:uid="{C63C0100-B2B0-4FAC-9591-83AA967784F1}"/>
    <cellStyle name="Separador de milhares 2 3 4 2 4" xfId="24046" xr:uid="{B4745786-708D-47F2-83D9-FDD0FDDFB26F}"/>
    <cellStyle name="Separador de milhares 2 3 4 2 4 2" xfId="44381" xr:uid="{88C84862-F67C-4B68-9D33-1AF9FA22ACDC}"/>
    <cellStyle name="Separador de milhares 2 3 4 2 5" xfId="14380" xr:uid="{0BA832D6-188E-4E6D-8F94-145D0D2F7237}"/>
    <cellStyle name="Separador de milhares 2 3 4 2 5 2" xfId="34721" xr:uid="{F251345D-039F-4274-9059-5DFF3764B670}"/>
    <cellStyle name="Separador de milhares 2 3 4 2 6" xfId="10502" xr:uid="{F9712086-0945-4DF6-B8CC-AE9D452F437A}"/>
    <cellStyle name="Separador de milhares 2 3 4 2 6 2" xfId="30845" xr:uid="{41ACECCD-207E-403C-8299-C2B3F9ED217C}"/>
    <cellStyle name="Separador de milhares 2 3 4 2 7" xfId="27351" xr:uid="{EBDBAEF3-A6B5-4999-9BD6-DB4324D83854}"/>
    <cellStyle name="Separador de milhares 2 3 4 2 8" xfId="51635" xr:uid="{487B3210-EC86-438D-BC2F-363D96037AAD}"/>
    <cellStyle name="Separador de milhares 2 3 4 2 9" xfId="54929" xr:uid="{CB5851C7-D521-48EA-9082-784900BC1CF5}"/>
    <cellStyle name="Separador de milhares 2 3 4 3" xfId="16131" xr:uid="{41D56A51-4D05-4FFD-91A6-0BED3549BCAE}"/>
    <cellStyle name="Separador de milhares 2 3 4 3 2" xfId="36471" xr:uid="{80A4B51E-D430-4CEC-9D5A-C5B7845B126D}"/>
    <cellStyle name="Separador de milhares 2 3 4 3 3" xfId="56783" xr:uid="{5D00CFD9-8256-4BA7-BD13-BC9FAB07D811}"/>
    <cellStyle name="Separador de milhares 2 3 4 4" xfId="19633" xr:uid="{3E3249C3-D9C9-4FEE-982B-446D3D6F2613}"/>
    <cellStyle name="Separador de milhares 2 3 4 4 2" xfId="39972" xr:uid="{13549495-4EAA-4411-8BE3-CD16C7F98D9A}"/>
    <cellStyle name="Separador de milhares 2 3 4 5" xfId="22888" xr:uid="{D4AB0F31-2369-45C9-AE5F-C036D0C8AB21}"/>
    <cellStyle name="Separador de milhares 2 3 4 5 2" xfId="43223" xr:uid="{52E6F1D9-0192-4F00-9659-56FFEA0F84A5}"/>
    <cellStyle name="Separador de milhares 2 3 4 6" xfId="13224" xr:uid="{B3BDCD1A-3F6A-418A-9E16-813C73F0AA14}"/>
    <cellStyle name="Separador de milhares 2 3 4 6 2" xfId="33565" xr:uid="{042E7C1D-D4F2-4DE8-B23E-0C55B5C34342}"/>
    <cellStyle name="Separador de milhares 2 3 4 7" xfId="9344" xr:uid="{ABF08D48-8898-446D-88E3-F3D46DACE853}"/>
    <cellStyle name="Separador de milhares 2 3 4 7 2" xfId="29687" xr:uid="{9B3DFF51-7493-46EC-9670-18335A3031F3}"/>
    <cellStyle name="Separador de milhares 2 3 4 8" xfId="26193" xr:uid="{DBC50E27-FFCB-4736-9502-53EB5C9D21DE}"/>
    <cellStyle name="Separador de milhares 2 3 4 9" xfId="48332" xr:uid="{385AFC43-DE2D-4DC5-A63D-2E4305298D34}"/>
    <cellStyle name="Separador de milhares 2 3 5" xfId="1318" xr:uid="{CE8F8132-6A3C-426D-A78E-72D157798285}"/>
    <cellStyle name="Separador de milhares 2 3 5 10" xfId="53297" xr:uid="{271282F2-C0E7-4A42-BB99-9F5D67DFA9B1}"/>
    <cellStyle name="Separador de milhares 2 3 5 11" xfId="6422" xr:uid="{02294AF6-1A3F-4F08-93F4-D176D63E0D34}"/>
    <cellStyle name="Separador de milhares 2 3 5 2" xfId="2979" xr:uid="{0B1874C0-EB59-4BFE-96EF-1D007C89E1EE}"/>
    <cellStyle name="Separador de milhares 2 3 5 2 2" xfId="37048" xr:uid="{B14B5E11-0A6C-45E6-82AC-F556CCB877C2}"/>
    <cellStyle name="Separador de milhares 2 3 5 2 3" xfId="51636" xr:uid="{B5C698F3-931C-4848-AF66-869DE21DEF72}"/>
    <cellStyle name="Separador de milhares 2 3 5 2 4" xfId="54930" xr:uid="{656A9480-1072-4256-9B61-4FD87B45C753}"/>
    <cellStyle name="Separador de milhares 2 3 5 2 5" xfId="16708" xr:uid="{2C2B40C6-A0E1-4EDB-8107-00461CCF92A1}"/>
    <cellStyle name="Separador de milhares 2 3 5 3" xfId="20210" xr:uid="{2AD5C39D-4688-4A64-9ADA-BD7C31731C5A}"/>
    <cellStyle name="Separador de milhares 2 3 5 3 2" xfId="40549" xr:uid="{1A32F30C-6177-410F-AB7E-B6BA22F432B5}"/>
    <cellStyle name="Separador de milhares 2 3 5 3 3" xfId="57189" xr:uid="{F0527803-A46C-47E6-ADD6-04294E0495E9}"/>
    <cellStyle name="Separador de milhares 2 3 5 4" xfId="23465" xr:uid="{5C237E30-B2DF-42A8-AC0D-D21B1E3463D5}"/>
    <cellStyle name="Separador de milhares 2 3 5 4 2" xfId="43800" xr:uid="{25622177-E261-46D5-A091-79BF95F880E6}"/>
    <cellStyle name="Separador de milhares 2 3 5 5" xfId="13799" xr:uid="{84ECBA5C-84AB-4427-82DB-51ADFBE2C947}"/>
    <cellStyle name="Separador de milhares 2 3 5 5 2" xfId="34140" xr:uid="{3A08F397-27FA-4FF3-B827-57E62C998E3B}"/>
    <cellStyle name="Separador de milhares 2 3 5 6" xfId="9921" xr:uid="{230D8719-EB6E-4A3A-8715-CA9BF3147C21}"/>
    <cellStyle name="Separador de milhares 2 3 5 6 2" xfId="30264" xr:uid="{70F3F7A0-9DA5-4116-8733-569EEE8D6BDE}"/>
    <cellStyle name="Separador de milhares 2 3 5 7" xfId="26770" xr:uid="{51D6B418-D20E-45DD-AAEF-DFC7EE42BEF7}"/>
    <cellStyle name="Separador de milhares 2 3 5 8" xfId="48333" xr:uid="{B0D54E97-D6A7-4095-88B7-021E68B2A55B}"/>
    <cellStyle name="Separador de milhares 2 3 5 9" xfId="50002" xr:uid="{63F43704-42E9-45D3-BE73-2A9536B45DA3}"/>
    <cellStyle name="Separador de milhares 2 3 6" xfId="505" xr:uid="{80F162CF-F129-4E64-B0BF-CC5015C385BC}"/>
    <cellStyle name="Separador de milhares 2 3 6 10" xfId="53298" xr:uid="{679C1CCD-BFED-441C-80B2-1DB172F00734}"/>
    <cellStyle name="Separador de milhares 2 3 6 11" xfId="7586" xr:uid="{E3AF3778-F48D-4E27-B974-49E496BAED82}"/>
    <cellStyle name="Separador de milhares 2 3 6 2" xfId="2221" xr:uid="{47CCF1BB-B3D3-440E-B047-32FB83AF5528}"/>
    <cellStyle name="Separador de milhares 2 3 6 2 2" xfId="38211" xr:uid="{F3E88BDA-EC46-462A-83FE-9FF3BA71828C}"/>
    <cellStyle name="Separador de milhares 2 3 6 2 3" xfId="51637" xr:uid="{53AE0590-ABE4-41BE-A58F-683D327C98F9}"/>
    <cellStyle name="Separador de milhares 2 3 6 2 4" xfId="54931" xr:uid="{98EDF1B3-7EC3-45CE-A37A-B54737C1F607}"/>
    <cellStyle name="Separador de milhares 2 3 6 2 5" xfId="17871" xr:uid="{0790FBF2-C994-430C-852D-D6508F9D999E}"/>
    <cellStyle name="Separador de milhares 2 3 6 3" xfId="21373" xr:uid="{74C9E53A-E2C1-4D2A-9435-B6E6AC2ECEB1}"/>
    <cellStyle name="Separador de milhares 2 3 6 3 2" xfId="41712" xr:uid="{57641441-A529-432F-88D2-C95225749A72}"/>
    <cellStyle name="Separador de milhares 2 3 6 3 3" xfId="56376" xr:uid="{E7083B4C-EB32-47A7-8443-499CFD269548}"/>
    <cellStyle name="Separador de milhares 2 3 6 4" xfId="24628" xr:uid="{5FE17E7B-799A-4C2D-951F-229D25BAFF56}"/>
    <cellStyle name="Separador de milhares 2 3 6 4 2" xfId="44963" xr:uid="{B36B332B-2012-4D43-B7E3-5E5EF82BD7B7}"/>
    <cellStyle name="Separador de milhares 2 3 6 5" xfId="14963" xr:uid="{3CF732CC-1500-4908-911D-1FC234E1ECB6}"/>
    <cellStyle name="Separador de milhares 2 3 6 5 2" xfId="35303" xr:uid="{DD4CD059-5436-4C6B-8CD3-444FA912843F}"/>
    <cellStyle name="Separador de milhares 2 3 6 6" xfId="11084" xr:uid="{51F4D51A-22BE-4833-99BC-DE65F41BB0E4}"/>
    <cellStyle name="Separador de milhares 2 3 6 6 2" xfId="31427" xr:uid="{C6961BFB-EDA5-4EF9-A370-8AA68D7F0C04}"/>
    <cellStyle name="Separador de milhares 2 3 6 7" xfId="27933" xr:uid="{0FABC62A-2A6A-46B9-89EE-6DEF1985E2DF}"/>
    <cellStyle name="Separador de milhares 2 3 6 8" xfId="48334" xr:uid="{6F4915C9-E29B-4ADA-9B84-9ADCC3C03113}"/>
    <cellStyle name="Separador de milhares 2 3 6 9" xfId="50003" xr:uid="{9EDCFCBD-8E64-4188-819D-12E4F041B39F}"/>
    <cellStyle name="Separador de milhares 2 3 7" xfId="2099" xr:uid="{E7FE3468-FFEF-40C7-8FAE-3FCD8B8EFEFC}"/>
    <cellStyle name="Separador de milhares 2 3 7 2" xfId="32996" xr:uid="{16CAEE15-B31C-46A2-81D9-6A0F432E84D4}"/>
    <cellStyle name="Separador de milhares 2 3 7 3" xfId="51626" xr:uid="{F1A61428-18D8-433C-9B70-0D74D0D1E6B0}"/>
    <cellStyle name="Separador de milhares 2 3 7 4" xfId="54920" xr:uid="{28AF1A47-C294-4B12-BB56-DCF93067EE31}"/>
    <cellStyle name="Separador de milhares 2 3 7 5" xfId="12655" xr:uid="{785E420E-BCEF-4EAD-A19D-6133ACDE17DE}"/>
    <cellStyle name="Separador de milhares 2 3 8" xfId="15550" xr:uid="{101134AF-9F48-44E3-916C-DD97D54E059B}"/>
    <cellStyle name="Separador de milhares 2 3 8 2" xfId="35890" xr:uid="{61AEFB5E-2D4C-4720-B9C6-67C6FA9C385B}"/>
    <cellStyle name="Separador de milhares 2 3 8 3" xfId="55967" xr:uid="{8C142AF0-920D-44DA-B7A8-B27AEE4709D8}"/>
    <cellStyle name="Separador de milhares 2 3 9" xfId="18464" xr:uid="{C9460268-684A-4865-97C2-2F3DF8D7829E}"/>
    <cellStyle name="Separador de milhares 2 3 9 2" xfId="38804" xr:uid="{546A1F38-E2F0-43A2-B2B4-217E9F54311A}"/>
    <cellStyle name="Separador de milhares 2 4" xfId="38" xr:uid="{1FBDAB96-0E40-4539-9FCF-FB08A5828705}"/>
    <cellStyle name="Separador de milhares 2 4 10" xfId="50004" xr:uid="{D6D97BC9-3F34-4481-8022-C0ACD8C6171D}"/>
    <cellStyle name="Separador de milhares 2 4 11" xfId="53299" xr:uid="{29BA7485-5DF0-475C-AC20-2814779482A1}"/>
    <cellStyle name="Separador de milhares 2 4 12" xfId="7499" xr:uid="{7D2A9999-0F6A-4783-B214-C44D464C9736}"/>
    <cellStyle name="Separador de milhares 2 4 13" xfId="4372" xr:uid="{D2EC967F-57CD-4569-BF12-A03AD679676F}"/>
    <cellStyle name="Separador de milhares 2 4 2" xfId="301" xr:uid="{7A807C0E-B40B-4745-8E5C-21A31E8373AD}"/>
    <cellStyle name="Separador de milhares 2 4 2 2" xfId="1117" xr:uid="{586A1AF3-D1BE-4417-A08E-9FB815B327DE}"/>
    <cellStyle name="Separador de milhares 2 4 2 2 2" xfId="2779" xr:uid="{E6FF29B5-C1BE-47A9-9FFD-806C792317FE}"/>
    <cellStyle name="Separador de milhares 2 4 2 2 2 2" xfId="51640" xr:uid="{B2088F0E-8416-439E-97E8-69D021512E8D}"/>
    <cellStyle name="Separador de milhares 2 4 2 2 2 3" xfId="54934" xr:uid="{0F06CFCF-66CE-478C-A126-4BDDCBE082E7}"/>
    <cellStyle name="Separador de milhares 2 4 2 2 2 4" xfId="48337" xr:uid="{A7C9EEA5-E6DB-4F0F-9472-68D9D66468C7}"/>
    <cellStyle name="Separador de milhares 2 4 2 2 3" xfId="50006" xr:uid="{0EEFB882-065D-4385-A285-F5E9AF3A958D}"/>
    <cellStyle name="Separador de milhares 2 4 2 2 3 2" xfId="56988" xr:uid="{59567E57-1264-49E2-A332-68F649F79FEC}"/>
    <cellStyle name="Separador de milhares 2 4 2 2 4" xfId="53301" xr:uid="{5F680E4C-E3A0-4B17-8EEF-8D1D53B32D24}"/>
    <cellStyle name="Separador de milhares 2 4 2 2 5" xfId="38124" xr:uid="{BF9E0D86-CE4D-4379-B5D9-B01A3550AC30}"/>
    <cellStyle name="Separador de milhares 2 4 2 3" xfId="1523" xr:uid="{FE339CC3-7BFA-4E7B-976A-FD69565F5F51}"/>
    <cellStyle name="Separador de milhares 2 4 2 3 2" xfId="3184" xr:uid="{A73CCD77-4CBB-4989-9699-C60C1BB638A8}"/>
    <cellStyle name="Separador de milhares 2 4 2 3 2 2" xfId="54935" xr:uid="{CDBD1B28-6304-45B7-9E6D-C31D2B456824}"/>
    <cellStyle name="Separador de milhares 2 4 2 3 2 3" xfId="51641" xr:uid="{91CCA317-54A8-4705-8C8D-9258112AA744}"/>
    <cellStyle name="Separador de milhares 2 4 2 3 3" xfId="50007" xr:uid="{20931A3D-32F9-46A7-947E-FC2D9B0B61C3}"/>
    <cellStyle name="Separador de milhares 2 4 2 3 3 2" xfId="57394" xr:uid="{66C8C4AD-82C5-4867-9379-2063B15858F6}"/>
    <cellStyle name="Separador de milhares 2 4 2 3 4" xfId="53302" xr:uid="{3739900C-CF67-4BC2-BA71-8726763902FD}"/>
    <cellStyle name="Separador de milhares 2 4 2 3 5" xfId="48338" xr:uid="{F2DFDFCF-B8F8-49F2-BD25-89E5E12001EF}"/>
    <cellStyle name="Separador de milhares 2 4 2 4" xfId="710" xr:uid="{1593546C-B2FC-411D-94BC-0CCDE11C79BA}"/>
    <cellStyle name="Separador de milhares 2 4 2 4 2" xfId="2426" xr:uid="{C4EA6B5E-447F-4CF5-830A-A2CFEB0129A6}"/>
    <cellStyle name="Separador de milhares 2 4 2 4 2 2" xfId="54936" xr:uid="{4F499DBC-D8F3-4192-B8C7-062C794E498D}"/>
    <cellStyle name="Separador de milhares 2 4 2 4 2 3" xfId="51642" xr:uid="{3C2BF6DB-63DF-43BB-BE71-1CB76CCD9E49}"/>
    <cellStyle name="Separador de milhares 2 4 2 4 3" xfId="50008" xr:uid="{A96A20C9-7F9A-4E0E-8D3B-CEAD36F893E9}"/>
    <cellStyle name="Separador de milhares 2 4 2 4 3 2" xfId="56581" xr:uid="{00E8D71F-1320-4DCF-8D23-BA38BB191C46}"/>
    <cellStyle name="Separador de milhares 2 4 2 4 4" xfId="53303" xr:uid="{09DC96DF-82F4-4903-BCCB-8140DCA23AE9}"/>
    <cellStyle name="Separador de milhares 2 4 2 4 5" xfId="48339" xr:uid="{201C7E50-41F5-427A-B4B7-DAF9A6A9A6E4}"/>
    <cellStyle name="Separador de milhares 2 4 2 5" xfId="2102" xr:uid="{C3BF4131-CC9F-4828-9B43-C84C46B9AC40}"/>
    <cellStyle name="Separador de milhares 2 4 2 5 2" xfId="51639" xr:uid="{570A2C63-769C-418E-9F56-0EAF1FDE25A1}"/>
    <cellStyle name="Separador de milhares 2 4 2 5 3" xfId="54933" xr:uid="{11A04E32-A24D-4697-8765-2A680B297AB9}"/>
    <cellStyle name="Separador de milhares 2 4 2 5 4" xfId="48336" xr:uid="{95087FDF-C6FB-435A-BAA3-3E768F2D99ED}"/>
    <cellStyle name="Separador de milhares 2 4 2 6" xfId="50005" xr:uid="{6B10A28D-8A54-41E8-906A-F0199B36C841}"/>
    <cellStyle name="Separador de milhares 2 4 2 6 2" xfId="56172" xr:uid="{DDFE2EB3-C6B4-4BF7-934A-FBDE3AF62C6C}"/>
    <cellStyle name="Separador de milhares 2 4 2 7" xfId="53300" xr:uid="{B8108A44-17D1-48E3-BCAD-913D9B7F7954}"/>
    <cellStyle name="Separador de milhares 2 4 2 8" xfId="17784" xr:uid="{092C7CD9-E6A4-466F-9B20-E30DF0E72D81}"/>
    <cellStyle name="Separador de milhares 2 4 2 9" xfId="4582" xr:uid="{89F431F4-303E-4AAA-A0C1-DE2E61CCE214}"/>
    <cellStyle name="Separador de milhares 2 4 3" xfId="907" xr:uid="{EABDE3A0-0363-406F-B765-84C12287EAA5}"/>
    <cellStyle name="Separador de milhares 2 4 3 2" xfId="2623" xr:uid="{79CDB46F-44E0-4B35-B343-D713E3AB8A2B}"/>
    <cellStyle name="Separador de milhares 2 4 3 2 2" xfId="51643" xr:uid="{87A49EC7-200D-49D9-9AF2-27D02B2EE5F1}"/>
    <cellStyle name="Separador de milhares 2 4 3 2 3" xfId="54937" xr:uid="{37FB44DD-8F32-41A5-8944-2E91F43DC052}"/>
    <cellStyle name="Separador de milhares 2 4 3 2 4" xfId="41625" xr:uid="{CCD05215-9134-46CB-85C5-9F3B4CF0317C}"/>
    <cellStyle name="Separador de milhares 2 4 3 3" xfId="48340" xr:uid="{D6825E96-CD3A-436D-9D15-06F172FF4B05}"/>
    <cellStyle name="Separador de milhares 2 4 3 3 2" xfId="56778" xr:uid="{484D3069-9D1C-41D2-A031-7697E74C8022}"/>
    <cellStyle name="Separador de milhares 2 4 3 4" xfId="50009" xr:uid="{FCCACA4F-457C-4E1A-BF48-4FBA1856D4D2}"/>
    <cellStyle name="Separador de milhares 2 4 3 5" xfId="53304" xr:uid="{CA06CC81-3425-478B-9DC4-B46E2B53E96B}"/>
    <cellStyle name="Separador de milhares 2 4 3 6" xfId="21286" xr:uid="{A5CAAD5E-3F9E-4D19-A445-2AC6A68B2BCD}"/>
    <cellStyle name="Separador de milhares 2 4 4" xfId="1313" xr:uid="{29BA02DD-9F6C-44EE-B8D3-EA6E3389A0E4}"/>
    <cellStyle name="Separador de milhares 2 4 4 2" xfId="2974" xr:uid="{1DA1778E-97BB-488C-8A38-252488D5B130}"/>
    <cellStyle name="Separador de milhares 2 4 4 2 2" xfId="51644" xr:uid="{6AFA5379-F326-46C3-985A-D2DD0C56818D}"/>
    <cellStyle name="Separador de milhares 2 4 4 2 3" xfId="54938" xr:uid="{C518A6CA-E4FD-425E-84C4-3219D04FA16F}"/>
    <cellStyle name="Separador de milhares 2 4 4 2 4" xfId="44876" xr:uid="{FB027983-8390-4F58-B401-37888AA2362E}"/>
    <cellStyle name="Separador de milhares 2 4 4 3" xfId="48341" xr:uid="{DB0108D2-8442-4F6A-9594-E27E2560EC7D}"/>
    <cellStyle name="Separador de milhares 2 4 4 3 2" xfId="57184" xr:uid="{90F2DB55-948C-4EF6-BD33-2902887094B3}"/>
    <cellStyle name="Separador de milhares 2 4 4 4" xfId="50010" xr:uid="{8BD7EC03-A870-4962-8BF9-E7D1D7C06913}"/>
    <cellStyle name="Separador de milhares 2 4 4 5" xfId="53305" xr:uid="{28785FFA-004A-44CD-A185-0B025C7E8214}"/>
    <cellStyle name="Separador de milhares 2 4 4 6" xfId="24541" xr:uid="{42B0395D-CA26-424D-9949-9415380232C7}"/>
    <cellStyle name="Separador de milhares 2 4 5" xfId="500" xr:uid="{57DDEEBB-63DD-4D3D-BC91-68677AC4DD2C}"/>
    <cellStyle name="Separador de milhares 2 4 5 2" xfId="2216" xr:uid="{A276C6F7-A930-4D09-A0B2-844D65FE4F75}"/>
    <cellStyle name="Separador de milhares 2 4 5 2 2" xfId="51645" xr:uid="{BFF43017-7139-4A1A-B402-E8FD3F6A2981}"/>
    <cellStyle name="Separador de milhares 2 4 5 2 3" xfId="54939" xr:uid="{6E1B324E-BEDD-4907-98B4-74B3B0819B4A}"/>
    <cellStyle name="Separador de milhares 2 4 5 2 4" xfId="35216" xr:uid="{C5F4B06D-C0AF-4433-8613-E555E217A7ED}"/>
    <cellStyle name="Separador de milhares 2 4 5 3" xfId="48342" xr:uid="{5A273D78-135F-48D7-9AA9-5AE1328419F0}"/>
    <cellStyle name="Separador de milhares 2 4 5 3 2" xfId="56371" xr:uid="{CBE0ECE4-6D28-4597-93C7-F02455F9B6DB}"/>
    <cellStyle name="Separador de milhares 2 4 5 4" xfId="50011" xr:uid="{F6AC4515-44FD-4B37-83A3-446CFC1C555C}"/>
    <cellStyle name="Separador de milhares 2 4 5 5" xfId="53306" xr:uid="{5E694040-3E48-4A4D-A5C8-0DA5DFEC65B9}"/>
    <cellStyle name="Separador de milhares 2 4 5 6" xfId="14876" xr:uid="{F4C43F09-2850-4E66-8F6E-9DF07F23E894}"/>
    <cellStyle name="Separador de milhares 2 4 6" xfId="2069" xr:uid="{3512AFED-9A11-4B41-821E-07F63A758404}"/>
    <cellStyle name="Separador de milhares 2 4 6 2" xfId="31340" xr:uid="{51A03D34-41D3-4D4F-9001-A892C39D735F}"/>
    <cellStyle name="Separador de milhares 2 4 6 3" xfId="51638" xr:uid="{9C273E7F-D5E0-431A-8352-16804254D838}"/>
    <cellStyle name="Separador de milhares 2 4 6 4" xfId="54932" xr:uid="{35FD22D6-4840-429C-8BCC-6C800CBCAA93}"/>
    <cellStyle name="Separador de milhares 2 4 6 5" xfId="10997" xr:uid="{32958BFA-813B-4CF2-A065-649582A7EB0E}"/>
    <cellStyle name="Separador de milhares 2 4 7" xfId="27846" xr:uid="{44CE6AF7-950A-4590-8833-53147B791512}"/>
    <cellStyle name="Separador de milhares 2 4 7 2" xfId="55962" xr:uid="{997F01AE-E044-4E94-81D1-D030F94CAC3A}"/>
    <cellStyle name="Separador de milhares 2 4 8" xfId="25481" xr:uid="{F401C6AC-B3F8-4A36-96BE-1535FF509EFF}"/>
    <cellStyle name="Separador de milhares 2 4 9" xfId="48335" xr:uid="{C6A77AD2-BE2F-4F5D-9BE5-5D203727AD9B}"/>
    <cellStyle name="Separador de milhares 2 5" xfId="110" xr:uid="{BF80A4B1-BF0C-469E-9B27-38D38357EF72}"/>
    <cellStyle name="Separador de milhares 2 5 2" xfId="928" xr:uid="{A7774A29-9D8C-48FE-B5FA-5AC4E9E00507}"/>
    <cellStyle name="Separador de milhares 2 5 2 2" xfId="2643" xr:uid="{57F083CF-F35D-4861-BE84-81E16025EF78}"/>
    <cellStyle name="Separador de milhares 2 5 2 2 2" xfId="51647" xr:uid="{1835A1E7-6E47-47F8-8439-7283CD7CD822}"/>
    <cellStyle name="Separador de milhares 2 5 2 2 3" xfId="54941" xr:uid="{7FDB4D5D-61E0-4EA3-BA02-30B5B151001C}"/>
    <cellStyle name="Separador de milhares 2 5 2 2 4" xfId="48344" xr:uid="{BB80A46D-9787-4905-A721-AD4CFADE79EA}"/>
    <cellStyle name="Separador de milhares 2 5 2 3" xfId="50013" xr:uid="{03FE2967-C0BC-47B2-AACB-8EF958002658}"/>
    <cellStyle name="Separador de milhares 2 5 2 3 2" xfId="56799" xr:uid="{F1B15A3A-005C-4312-AF6A-D6B712A3A4D6}"/>
    <cellStyle name="Separador de milhares 2 5 2 4" xfId="53308" xr:uid="{B5E965BE-F9AB-4360-840F-84794F85326B}"/>
    <cellStyle name="Separador de milhares 2 5 2 5" xfId="38717" xr:uid="{42CFD0BB-B7EA-45F2-BF31-6AA099FC04C0}"/>
    <cellStyle name="Separador de milhares 2 5 3" xfId="1334" xr:uid="{DE5FF98D-703C-4481-B04B-A97E68E1C456}"/>
    <cellStyle name="Separador de milhares 2 5 3 2" xfId="2995" xr:uid="{1B1D26C1-BBCA-4587-86BD-7EC4BC85456F}"/>
    <cellStyle name="Separador de milhares 2 5 3 2 2" xfId="54942" xr:uid="{826CA942-7737-4E9B-BC5F-E4A55E92E4AD}"/>
    <cellStyle name="Separador de milhares 2 5 3 2 3" xfId="51648" xr:uid="{3BA7EE84-CFC4-42F8-9B99-357187DFD77D}"/>
    <cellStyle name="Separador de milhares 2 5 3 3" xfId="50014" xr:uid="{853B1666-52D7-43B4-B073-65CDE833BC45}"/>
    <cellStyle name="Separador de milhares 2 5 3 3 2" xfId="57205" xr:uid="{E36F8143-92B9-4D2F-A481-6301C139BA82}"/>
    <cellStyle name="Separador de milhares 2 5 3 4" xfId="53309" xr:uid="{AF11F93C-6D69-454B-8A62-E2241964068F}"/>
    <cellStyle name="Separador de milhares 2 5 3 5" xfId="48345" xr:uid="{3FDD1BD8-74CD-4F50-BAE6-C465CB40C847}"/>
    <cellStyle name="Separador de milhares 2 5 4" xfId="521" xr:uid="{14C361B1-BF1F-45AE-B4D5-D620FF4D20A5}"/>
    <cellStyle name="Separador de milhares 2 5 4 2" xfId="2237" xr:uid="{9B79AF37-0100-46AB-A4C3-37F249D602D7}"/>
    <cellStyle name="Separador de milhares 2 5 4 2 2" xfId="54943" xr:uid="{0B590363-0C31-4B96-9539-63DD7DCC1CEB}"/>
    <cellStyle name="Separador de milhares 2 5 4 2 3" xfId="51649" xr:uid="{4DA74877-701E-4BB5-BF52-8A1F50691204}"/>
    <cellStyle name="Separador de milhares 2 5 4 3" xfId="50015" xr:uid="{E9BF6820-39C1-4656-8897-04EC354F2C53}"/>
    <cellStyle name="Separador de milhares 2 5 4 3 2" xfId="56392" xr:uid="{C2254870-53F0-4CA2-8444-2CF59991E382}"/>
    <cellStyle name="Separador de milhares 2 5 4 4" xfId="53310" xr:uid="{C53EFB32-79A7-4704-9DDF-B95B5D78C118}"/>
    <cellStyle name="Separador de milhares 2 5 4 5" xfId="48346" xr:uid="{759182D4-837F-4896-94A4-6042DE446177}"/>
    <cellStyle name="Separador de milhares 2 5 5" xfId="2062" xr:uid="{D7E92FE0-2E84-4855-9966-FF22C7C02A56}"/>
    <cellStyle name="Separador de milhares 2 5 5 2" xfId="51646" xr:uid="{45EEC301-4DD9-4C0C-A66D-80EF5933E2BF}"/>
    <cellStyle name="Separador de milhares 2 5 5 3" xfId="54940" xr:uid="{AFE14F1C-39F6-4F40-9E08-BA1D71E91B96}"/>
    <cellStyle name="Separador de milhares 2 5 5 4" xfId="48343" xr:uid="{671F0260-396D-40C9-A90B-473B0C7F1857}"/>
    <cellStyle name="Separador de milhares 2 5 6" xfId="50012" xr:uid="{769FBC51-BD81-4746-8CBB-E3E73747299A}"/>
    <cellStyle name="Separador de milhares 2 5 6 2" xfId="55983" xr:uid="{8D3F342A-9E6F-4215-84E1-B87C8E7DE3F7}"/>
    <cellStyle name="Separador de milhares 2 5 7" xfId="53307" xr:uid="{EA12AF63-477A-4E74-907B-E5B4D5D01867}"/>
    <cellStyle name="Separador de milhares 2 5 8" xfId="18377" xr:uid="{236A58D2-798F-4304-B13C-3E500EA22FEB}"/>
    <cellStyle name="Separador de milhares 2 5 9" xfId="4393" xr:uid="{62390048-B6FE-4178-A229-1C539B195F89}"/>
    <cellStyle name="Separador de milhares 2 6" xfId="901" xr:uid="{FDBFAFB2-3E11-489C-8FD7-2A423230852D}"/>
    <cellStyle name="Separador de milhares 2 6 2" xfId="2617" xr:uid="{062F8D5E-AD07-4992-8413-63F821E88C17}"/>
    <cellStyle name="Separador de milhares 2 6 2 2" xfId="51650" xr:uid="{D94F25B6-662C-427A-BF34-420A781F363B}"/>
    <cellStyle name="Separador de milhares 2 6 2 3" xfId="54944" xr:uid="{4B610453-F9B7-4235-AA69-1622EF8FEF08}"/>
    <cellStyle name="Separador de milhares 2 6 2 4" xfId="32278" xr:uid="{C4283BBC-F73A-48B6-9030-9BE47851ECA2}"/>
    <cellStyle name="Separador de milhares 2 6 3" xfId="48347" xr:uid="{95663F57-6DCB-4C3A-BDAA-AC2E5509E3C8}"/>
    <cellStyle name="Separador de milhares 2 6 3 2" xfId="56772" xr:uid="{2DFC82A2-9CF7-431A-ABAC-19BCC3A40F4C}"/>
    <cellStyle name="Separador de milhares 2 6 4" xfId="50016" xr:uid="{53F3F8E9-72C0-4514-B3DE-1FB4069293DF}"/>
    <cellStyle name="Separador de milhares 2 6 5" xfId="53311" xr:uid="{AA99C731-30BE-4085-932D-80358B6E680F}"/>
    <cellStyle name="Separador de milhares 2 6 6" xfId="11937" xr:uid="{E444C6A0-3C36-435C-9607-0D7FBD0C72AC}"/>
    <cellStyle name="Separador de milhares 2 7" xfId="1307" xr:uid="{37BF6EFA-A07C-4E26-8C08-0C627CF150B9}"/>
    <cellStyle name="Separador de milhares 2 7 2" xfId="2968" xr:uid="{A74E766F-7AAF-4F61-AF86-32784599D842}"/>
    <cellStyle name="Separador de milhares 2 7 2 2" xfId="51651" xr:uid="{8A02CD82-ACF2-4F47-AA2D-B66B4308702A}"/>
    <cellStyle name="Separador de milhares 2 7 2 3" xfId="54945" xr:uid="{DFFFBF0B-23FD-4433-80DC-6497A75487DA}"/>
    <cellStyle name="Separador de milhares 2 7 2 4" xfId="48348" xr:uid="{4ED046A5-8792-4C94-9895-39F1BE1E3DA6}"/>
    <cellStyle name="Separador de milhares 2 7 3" xfId="50017" xr:uid="{D9AF08DD-D52F-4932-BC9D-5E4BF521B91B}"/>
    <cellStyle name="Separador de milhares 2 7 3 2" xfId="57178" xr:uid="{E189DD65-EDB7-4392-AF04-6ED07946775C}"/>
    <cellStyle name="Separador de milhares 2 7 4" xfId="53312" xr:uid="{A5BF3A5F-E67F-4456-BC67-86CB5CF6348E}"/>
    <cellStyle name="Separador de milhares 2 7 5" xfId="25521" xr:uid="{CD341CCB-3A2C-4FAB-82C7-8E99627E154D}"/>
    <cellStyle name="Separador de milhares 2 8" xfId="494" xr:uid="{878903EC-4DD6-46FF-BE8D-3DCC9B002E4E}"/>
    <cellStyle name="Separador de milhares 2 8 2" xfId="2210" xr:uid="{F23208DC-278E-4EAA-BB3C-D62055B41707}"/>
    <cellStyle name="Separador de milhares 2 8 2 2" xfId="51652" xr:uid="{C0158C1A-7ADD-40CF-8AAB-64056C94EB12}"/>
    <cellStyle name="Separador de milhares 2 8 2 3" xfId="54946" xr:uid="{C5E0B415-B264-44C3-B542-4718E732A01F}"/>
    <cellStyle name="Separador de milhares 2 8 2 4" xfId="48349" xr:uid="{2EBB5801-25CF-4D0B-88DE-AA10AC44F706}"/>
    <cellStyle name="Separador de milhares 2 8 3" xfId="50018" xr:uid="{18B873A4-F9F0-4A78-B4A7-6A05B0D0C3CD}"/>
    <cellStyle name="Separador de milhares 2 8 3 2" xfId="56365" xr:uid="{5E5970CC-8B99-47D6-B7B0-7BD9EAF3B01B}"/>
    <cellStyle name="Separador de milhares 2 8 4" xfId="53313" xr:uid="{64D85890-C4BD-41BE-8DF3-68FBBF559875}"/>
    <cellStyle name="Separador de milhares 2 8 5" xfId="25472" xr:uid="{FAFFE355-468A-4EDD-8507-1BC6C3303D1C}"/>
    <cellStyle name="Separador de milhares 2 9" xfId="2087" xr:uid="{64598BAE-6C52-4958-AEAB-A946E66FBC02}"/>
    <cellStyle name="Separador de milhares 2 9 2" xfId="51597" xr:uid="{536A9379-D357-4487-BE93-3DF3ECE662B2}"/>
    <cellStyle name="Separador de milhares 2 9 3" xfId="54891" xr:uid="{A47FC7D7-78CF-42A4-9048-77A37AAC04D6}"/>
    <cellStyle name="Separador de milhares 2 9 4" xfId="48294" xr:uid="{7A210728-AD10-4CF8-BD04-CE3A223A67BF}"/>
    <cellStyle name="Separador de milhares 3" xfId="5295" xr:uid="{E04C8B2D-C96E-469B-AF69-267026281281}"/>
    <cellStyle name="Separador de milhares 3 10" xfId="19053" xr:uid="{3A609D9C-8A44-4E63-B65B-8253751FCBBA}"/>
    <cellStyle name="Separador de milhares 3 10 2" xfId="39392" xr:uid="{9CC6A95A-969B-4D05-BDD2-9CCACE0004A7}"/>
    <cellStyle name="Separador de milhares 3 11" xfId="22308" xr:uid="{6D2738E4-C102-4EED-933A-83428DFF9CCD}"/>
    <cellStyle name="Separador de milhares 3 11 2" xfId="42643" xr:uid="{EABCB148-5AF8-4F9F-BFA1-436346696D2C}"/>
    <cellStyle name="Separador de milhares 3 12" xfId="12025" xr:uid="{F788360A-6C03-4C1D-9F2A-8473EC7AAAA9}"/>
    <cellStyle name="Separador de milhares 3 12 2" xfId="32366" xr:uid="{AC47C173-2CDB-42D9-A424-5015A556B4A3}"/>
    <cellStyle name="Separador de milhares 3 13" xfId="8764" xr:uid="{CF872778-929D-4375-96C6-6DC177891ADF}"/>
    <cellStyle name="Separador de milhares 3 13 2" xfId="29107" xr:uid="{2896D2EF-A0EB-4BE0-B89A-4E0BF4DFEF0D}"/>
    <cellStyle name="Separador de milhares 3 14" xfId="25613" xr:uid="{29BD40EB-7FBA-46EE-92F6-3BAAA2E6FE21}"/>
    <cellStyle name="Separador de milhares 3 2" xfId="5397" xr:uid="{E42C8EDD-AABE-4893-A9F7-7307B9B8E290}"/>
    <cellStyle name="Separador de milhares 3 2 10" xfId="12140" xr:uid="{16BFBB14-0063-41A3-97CE-C388DB819259}"/>
    <cellStyle name="Separador de milhares 3 2 10 2" xfId="32481" xr:uid="{42FDB4C3-0760-4CD9-B41A-E5480ABE0E98}"/>
    <cellStyle name="Separador de milhares 3 2 11" xfId="8879" xr:uid="{F146C3E0-09F3-4ED8-A023-3E5EC5029043}"/>
    <cellStyle name="Separador de milhares 3 2 11 2" xfId="29222" xr:uid="{78C4D63F-9010-484A-B01A-056315F4E6BE}"/>
    <cellStyle name="Separador de milhares 3 2 12" xfId="25728" xr:uid="{7030B5C4-D07B-4C86-81F7-F99A9F3353CF}"/>
    <cellStyle name="Separador de milhares 3 2 2" xfId="5961" xr:uid="{F292CF24-9F3E-4441-BAAD-6CF325E73647}"/>
    <cellStyle name="Separador de milhares 3 2 2 2" xfId="7119" xr:uid="{61FC7149-A004-4257-86BF-8EE05236735C}"/>
    <cellStyle name="Separador de milhares 3 2 2 2 2" xfId="17405" xr:uid="{593193FD-6234-4184-A490-18BAF3021CFD}"/>
    <cellStyle name="Separador de milhares 3 2 2 2 2 2" xfId="37745" xr:uid="{9BDA8FAE-CA5C-4278-A78D-D6ECBE51CBD5}"/>
    <cellStyle name="Separador de milhares 3 2 2 2 3" xfId="20907" xr:uid="{F45DE50F-2A5F-448F-ACF6-75BBEA8D03F6}"/>
    <cellStyle name="Separador de milhares 3 2 2 2 3 2" xfId="41246" xr:uid="{21D7CD5C-774F-4749-91D8-E630C1DC734E}"/>
    <cellStyle name="Separador de milhares 3 2 2 2 4" xfId="24162" xr:uid="{B032069D-1200-48F1-952D-03B27B3FBDEB}"/>
    <cellStyle name="Separador de milhares 3 2 2 2 4 2" xfId="44497" xr:uid="{54DF359E-B20B-40D1-BA33-0D7A3B4D6D4B}"/>
    <cellStyle name="Separador de milhares 3 2 2 2 5" xfId="14496" xr:uid="{1EA4FEDC-53B0-4CE8-8E11-C86B1C7AD089}"/>
    <cellStyle name="Separador de milhares 3 2 2 2 5 2" xfId="34837" xr:uid="{C060E528-3533-418A-8802-99D5D953B1A4}"/>
    <cellStyle name="Separador de milhares 3 2 2 2 6" xfId="10618" xr:uid="{C73D921D-34CD-4E22-A550-7FFB01755AE6}"/>
    <cellStyle name="Separador de milhares 3 2 2 2 6 2" xfId="30961" xr:uid="{0BD42ACB-39D9-4F2D-BBDF-4119DD9B17C0}"/>
    <cellStyle name="Separador de milhares 3 2 2 2 7" xfId="27467" xr:uid="{68BE52E9-015B-4FC0-A110-6C1E61DF088B}"/>
    <cellStyle name="Separador de milhares 3 2 2 3" xfId="16247" xr:uid="{FF74BCBE-E602-4CFB-8868-2F8A13379BC8}"/>
    <cellStyle name="Separador de milhares 3 2 2 3 2" xfId="36587" xr:uid="{17C57F81-41B1-42C0-944A-4CCFA85E6EFD}"/>
    <cellStyle name="Separador de milhares 3 2 2 4" xfId="19749" xr:uid="{0BE71579-FC2B-4400-978E-3794044A88BB}"/>
    <cellStyle name="Separador de milhares 3 2 2 4 2" xfId="40088" xr:uid="{CC66AB6A-C68B-4670-A414-5B9081931B4D}"/>
    <cellStyle name="Separador de milhares 3 2 2 5" xfId="23004" xr:uid="{6CB6905E-4E1C-4DC5-BBCE-939D4979972D}"/>
    <cellStyle name="Separador de milhares 3 2 2 5 2" xfId="43339" xr:uid="{2F958BE3-5557-408E-89BD-EDCFDD0820FB}"/>
    <cellStyle name="Separador de milhares 3 2 2 6" xfId="13338" xr:uid="{C12DFF22-DF5C-4253-BCC5-CEC1DCDC68B9}"/>
    <cellStyle name="Separador de milhares 3 2 2 6 2" xfId="33679" xr:uid="{DE399F8B-E6A3-4FF9-94A4-291F0387DCB0}"/>
    <cellStyle name="Separador de milhares 3 2 2 7" xfId="9460" xr:uid="{4CDE596E-1B31-4965-877A-644D7D9E368C}"/>
    <cellStyle name="Separador de milhares 3 2 2 7 2" xfId="29803" xr:uid="{BC03C57A-B459-4AFD-8DFD-E0EC2623A41A}"/>
    <cellStyle name="Separador de milhares 3 2 2 8" xfId="26309" xr:uid="{748FD973-2638-4B2E-A05E-92AB53BB6617}"/>
    <cellStyle name="Separador de milhares 3 2 3" xfId="6538" xr:uid="{7A8E3721-AA54-4705-9792-0064DE323B9B}"/>
    <cellStyle name="Separador de milhares 3 2 3 2" xfId="16824" xr:uid="{12C1EEDC-7A6C-48A2-9EE1-0A198E81D1DD}"/>
    <cellStyle name="Separador de milhares 3 2 3 2 2" xfId="37164" xr:uid="{06C7B53E-A627-4656-8AFE-27C2646857B6}"/>
    <cellStyle name="Separador de milhares 3 2 3 3" xfId="20326" xr:uid="{A46BE43C-C694-4D79-A2A0-F9EB996145DD}"/>
    <cellStyle name="Separador de milhares 3 2 3 3 2" xfId="40665" xr:uid="{B63F8B15-95B0-4D40-9D48-3FAB475329C3}"/>
    <cellStyle name="Separador de milhares 3 2 3 4" xfId="23581" xr:uid="{4C46E832-5C1B-4077-BE6C-3731449A2E53}"/>
    <cellStyle name="Separador de milhares 3 2 3 4 2" xfId="43916" xr:uid="{F19C6CA2-203E-4A21-A807-999892777CC8}"/>
    <cellStyle name="Separador de milhares 3 2 3 5" xfId="13915" xr:uid="{3A0FCBE6-2C19-449A-BFBC-A66580F65049}"/>
    <cellStyle name="Separador de milhares 3 2 3 5 2" xfId="34256" xr:uid="{4BD58507-5292-41EB-A88D-56C085393B02}"/>
    <cellStyle name="Separador de milhares 3 2 3 6" xfId="10037" xr:uid="{BB223AF1-0562-4984-9F07-C4B1456BEC67}"/>
    <cellStyle name="Separador de milhares 3 2 3 6 2" xfId="30380" xr:uid="{8D52B45E-E2B3-485B-B5E2-CC193EA20F4D}"/>
    <cellStyle name="Separador de milhares 3 2 3 7" xfId="26886" xr:uid="{EFDEB855-33B0-45FB-9C6C-4466E72D1DDC}"/>
    <cellStyle name="Separador de milhares 3 2 4" xfId="7702" xr:uid="{8EBC3674-A462-4239-9EFB-B2DABAE7724D}"/>
    <cellStyle name="Separador de milhares 3 2 4 2" xfId="17987" xr:uid="{4A2FEECB-51F3-456E-BA4B-0846DC4BD0E5}"/>
    <cellStyle name="Separador de milhares 3 2 4 2 2" xfId="38327" xr:uid="{DBD057CC-C027-49EF-B944-6BDE463B20BF}"/>
    <cellStyle name="Separador de milhares 3 2 4 3" xfId="21489" xr:uid="{F9E79E89-1ED7-4BAD-A7DE-3F1F7949A303}"/>
    <cellStyle name="Separador de milhares 3 2 4 3 2" xfId="41828" xr:uid="{233043BE-6809-48A6-9631-702815C82842}"/>
    <cellStyle name="Separador de milhares 3 2 4 4" xfId="24744" xr:uid="{C2B2E115-E319-4B15-8FB3-B76822640B18}"/>
    <cellStyle name="Separador de milhares 3 2 4 4 2" xfId="45079" xr:uid="{A1914E63-C0D5-42C4-8390-3DA5581D7D94}"/>
    <cellStyle name="Separador de milhares 3 2 4 5" xfId="15079" xr:uid="{C182868C-1ECE-4DB1-833D-B41015D61774}"/>
    <cellStyle name="Separador de milhares 3 2 4 5 2" xfId="35419" xr:uid="{51871EA0-AE8C-4005-9B09-3F3C40FF1685}"/>
    <cellStyle name="Separador de milhares 3 2 4 6" xfId="11200" xr:uid="{BA1B9137-87E0-41E5-9734-C531018E074C}"/>
    <cellStyle name="Separador de milhares 3 2 4 6 2" xfId="31543" xr:uid="{11E1BB33-EFBF-4F42-923D-80297952E855}"/>
    <cellStyle name="Separador de milhares 3 2 4 7" xfId="28049" xr:uid="{DA4FD227-B098-425B-84B8-FAEA794FB1D9}"/>
    <cellStyle name="Separador de milhares 3 2 5" xfId="12769" xr:uid="{9DD7EFAA-A0F8-42AD-B733-F795DA0A42D7}"/>
    <cellStyle name="Separador de milhares 3 2 5 2" xfId="33110" xr:uid="{ED1E9A14-FFC5-4E79-8A47-6540F3490557}"/>
    <cellStyle name="Separador de milhares 3 2 6" xfId="15666" xr:uid="{29D7DC0C-BCAB-4161-8A73-F9869C758684}"/>
    <cellStyle name="Separador de milhares 3 2 6 2" xfId="36006" xr:uid="{789B3EDA-BE9C-400A-8FE2-939EC02D73F6}"/>
    <cellStyle name="Separador de milhares 3 2 7" xfId="18580" xr:uid="{4392BB77-8D8D-49D5-9CAC-B5A7CCD99CC3}"/>
    <cellStyle name="Separador de milhares 3 2 7 2" xfId="38920" xr:uid="{3A64C286-5283-4589-844F-DA6B68F3D496}"/>
    <cellStyle name="Separador de milhares 3 2 8" xfId="19168" xr:uid="{FD8A7B30-7CF7-428D-9903-168853E63AF5}"/>
    <cellStyle name="Separador de milhares 3 2 8 2" xfId="39507" xr:uid="{788A9F87-CE32-457A-9F16-FEDC6CFBD660}"/>
    <cellStyle name="Separador de milhares 3 2 9" xfId="22423" xr:uid="{C32A7154-A92C-4A03-92A3-CBCAAA98C467}"/>
    <cellStyle name="Separador de milhares 3 2 9 2" xfId="42758" xr:uid="{A7237144-FD51-4AF7-A14A-ABEB48109325}"/>
    <cellStyle name="Separador de milhares 3 3" xfId="5618" xr:uid="{437C4388-C6EC-4213-94D1-81DCDF5F0D94}"/>
    <cellStyle name="Separador de milhares 3 3 10" xfId="12369" xr:uid="{64FAFA8A-B631-49D8-8B87-C5F42B7074C1}"/>
    <cellStyle name="Separador de milhares 3 3 10 2" xfId="32710" xr:uid="{498C6EA4-4F3E-46DE-B478-C85D6217AFBF}"/>
    <cellStyle name="Separador de milhares 3 3 11" xfId="9108" xr:uid="{90EBF23D-4C79-4954-8A7B-96198298E47F}"/>
    <cellStyle name="Separador de milhares 3 3 11 2" xfId="29451" xr:uid="{855C188C-7607-42D2-965E-935A4395EA20}"/>
    <cellStyle name="Separador de milhares 3 3 12" xfId="25957" xr:uid="{81D5B4A7-520D-45D7-B898-053E1DCEEC42}"/>
    <cellStyle name="Separador de milhares 3 3 2" xfId="6190" xr:uid="{56AC1111-196F-4753-9978-8F4C606A62A4}"/>
    <cellStyle name="Separador de milhares 3 3 2 2" xfId="7348" xr:uid="{102672EB-ECDB-4F54-9113-8EA253257E68}"/>
    <cellStyle name="Separador de milhares 3 3 2 2 2" xfId="17634" xr:uid="{7AABE5F5-714C-4E09-9C51-5A044660DC7E}"/>
    <cellStyle name="Separador de milhares 3 3 2 2 2 2" xfId="37974" xr:uid="{901CD6BF-34B0-4EEB-8077-AE9E4D54B731}"/>
    <cellStyle name="Separador de milhares 3 3 2 2 3" xfId="21136" xr:uid="{197C59F6-C2B9-4195-ADEF-24DDC5A173E0}"/>
    <cellStyle name="Separador de milhares 3 3 2 2 3 2" xfId="41475" xr:uid="{7D32BA8D-20FA-475A-ADE9-E9294929D195}"/>
    <cellStyle name="Separador de milhares 3 3 2 2 4" xfId="24391" xr:uid="{8A862DA8-7B79-4157-B1DA-7EBAD8C9B993}"/>
    <cellStyle name="Separador de milhares 3 3 2 2 4 2" xfId="44726" xr:uid="{BD6755E3-F020-499F-AB02-53A1ADC1D932}"/>
    <cellStyle name="Separador de milhares 3 3 2 2 5" xfId="14725" xr:uid="{5877BAAC-30E1-43C2-A898-4E8A5BE04DE3}"/>
    <cellStyle name="Separador de milhares 3 3 2 2 5 2" xfId="35066" xr:uid="{E8FDA557-8156-4D60-B746-7F556F51AC60}"/>
    <cellStyle name="Separador de milhares 3 3 2 2 6" xfId="10847" xr:uid="{0EFC2FC5-9FC8-4A25-A986-33D5B1EF2765}"/>
    <cellStyle name="Separador de milhares 3 3 2 2 6 2" xfId="31190" xr:uid="{E1566260-90B3-4F13-8EEE-8A01A20F0651}"/>
    <cellStyle name="Separador de milhares 3 3 2 2 7" xfId="27696" xr:uid="{DE7515FA-5342-4919-83F7-D4DE26DADD6D}"/>
    <cellStyle name="Separador de milhares 3 3 2 3" xfId="16476" xr:uid="{6A90108B-02A2-4D90-80DA-3EE0A8395B10}"/>
    <cellStyle name="Separador de milhares 3 3 2 3 2" xfId="36816" xr:uid="{FD4C4F0D-3AB9-4F98-9115-8FF9BDA10B52}"/>
    <cellStyle name="Separador de milhares 3 3 2 4" xfId="19978" xr:uid="{A680F08B-CA5B-469A-B85B-89C4E2DA3E58}"/>
    <cellStyle name="Separador de milhares 3 3 2 4 2" xfId="40317" xr:uid="{649B7772-8AD3-4DF5-A9BB-A0F9BF157AD2}"/>
    <cellStyle name="Separador de milhares 3 3 2 5" xfId="23233" xr:uid="{6E1D3AE3-B766-4C45-9268-79714B2CCDCC}"/>
    <cellStyle name="Separador de milhares 3 3 2 5 2" xfId="43568" xr:uid="{0ED50A48-4912-4E4A-BBF8-E4F45C9112FE}"/>
    <cellStyle name="Separador de milhares 3 3 2 6" xfId="13567" xr:uid="{DE38A512-A054-449E-8ECA-BFE3DD7BD401}"/>
    <cellStyle name="Separador de milhares 3 3 2 6 2" xfId="33908" xr:uid="{9D37BC6E-9748-4055-A395-4459923B7D61}"/>
    <cellStyle name="Separador de milhares 3 3 2 7" xfId="9689" xr:uid="{DC61E69C-BAF9-48A8-AD2D-B5675CBA2A6D}"/>
    <cellStyle name="Separador de milhares 3 3 2 7 2" xfId="30032" xr:uid="{929D8D55-C0FF-4A56-B4BA-1504C6CAEA2C}"/>
    <cellStyle name="Separador de milhares 3 3 2 8" xfId="26538" xr:uid="{5D73AD3F-3B83-4D61-9684-CCC0670EA9B9}"/>
    <cellStyle name="Separador de milhares 3 3 3" xfId="6767" xr:uid="{3B6005CE-88ED-4A31-AC3E-632C0E84BC44}"/>
    <cellStyle name="Separador de milhares 3 3 3 2" xfId="17053" xr:uid="{4D03B3F0-B02B-4C52-B1DC-65912ECA35D4}"/>
    <cellStyle name="Separador de milhares 3 3 3 2 2" xfId="37393" xr:uid="{E73F0482-F3A2-485B-A964-C3A6DC1E7EAE}"/>
    <cellStyle name="Separador de milhares 3 3 3 3" xfId="20555" xr:uid="{C75C3EB3-BB9D-4944-A9BB-229B5EB28816}"/>
    <cellStyle name="Separador de milhares 3 3 3 3 2" xfId="40894" xr:uid="{8D03D56E-94B8-452B-9408-3D2BF2C4279B}"/>
    <cellStyle name="Separador de milhares 3 3 3 4" xfId="23810" xr:uid="{E3B3991F-900C-4A78-8319-BC9CCC48A4CA}"/>
    <cellStyle name="Separador de milhares 3 3 3 4 2" xfId="44145" xr:uid="{8F70D1F7-46C9-41A7-85DC-D714638DF04A}"/>
    <cellStyle name="Separador de milhares 3 3 3 5" xfId="14144" xr:uid="{851EC904-8832-4453-A6DD-4A2107E428C8}"/>
    <cellStyle name="Separador de milhares 3 3 3 5 2" xfId="34485" xr:uid="{8DF6887D-99DC-44C3-A84A-A16E9AD5458B}"/>
    <cellStyle name="Separador de milhares 3 3 3 6" xfId="10266" xr:uid="{78B96781-E04E-440B-800F-23801DE5ACB9}"/>
    <cellStyle name="Separador de milhares 3 3 3 6 2" xfId="30609" xr:uid="{AF230420-582C-4936-B490-E1464E02F024}"/>
    <cellStyle name="Separador de milhares 3 3 3 7" xfId="27115" xr:uid="{517E5F90-6E14-4387-8551-E25984CFAB61}"/>
    <cellStyle name="Separador de milhares 3 3 4" xfId="7931" xr:uid="{3F59A0E9-747D-41E5-A2F2-DCD8581DC2A9}"/>
    <cellStyle name="Separador de milhares 3 3 4 2" xfId="18216" xr:uid="{F1932856-E969-41FB-87C0-164670B74DA7}"/>
    <cellStyle name="Separador de milhares 3 3 4 2 2" xfId="38556" xr:uid="{E08E84EE-D012-4DD5-AA85-ADF9A3BF6673}"/>
    <cellStyle name="Separador de milhares 3 3 4 3" xfId="21718" xr:uid="{8611EB57-BE29-4D38-8B5E-19F72090BA47}"/>
    <cellStyle name="Separador de milhares 3 3 4 3 2" xfId="42057" xr:uid="{12B2D696-F5B0-46AB-9264-91B06A10268B}"/>
    <cellStyle name="Separador de milhares 3 3 4 4" xfId="24973" xr:uid="{5CD2FA45-4913-47DC-B524-F3C57ACB36E8}"/>
    <cellStyle name="Separador de milhares 3 3 4 4 2" xfId="45308" xr:uid="{E8ED4D90-A3C8-4209-9EA3-4652AB88B773}"/>
    <cellStyle name="Separador de milhares 3 3 4 5" xfId="15308" xr:uid="{2BD74D31-A14F-4809-9AA2-197364E4B29D}"/>
    <cellStyle name="Separador de milhares 3 3 4 5 2" xfId="35648" xr:uid="{C74A8862-EC49-421A-B69E-A9D52DF30E22}"/>
    <cellStyle name="Separador de milhares 3 3 4 6" xfId="11429" xr:uid="{649D765D-B1A8-487C-9E5D-5E2BC88034BF}"/>
    <cellStyle name="Separador de milhares 3 3 4 6 2" xfId="31772" xr:uid="{4D39FEE4-0CEC-4315-8731-E5D7E202ADE1}"/>
    <cellStyle name="Separador de milhares 3 3 4 7" xfId="28278" xr:uid="{8F5461D5-60E0-42BD-B72F-35C83D727624}"/>
    <cellStyle name="Separador de milhares 3 3 5" xfId="12998" xr:uid="{8000AFA4-57C4-4F16-95E2-B08D20C9784C}"/>
    <cellStyle name="Separador de milhares 3 3 5 2" xfId="33339" xr:uid="{1B114B2B-B78D-4F9A-812C-CC2AB552D61F}"/>
    <cellStyle name="Separador de milhares 3 3 6" xfId="15895" xr:uid="{A91DA343-FE04-4A1F-B6C7-1699CDE2BBDE}"/>
    <cellStyle name="Separador de milhares 3 3 6 2" xfId="36235" xr:uid="{A46DBEF0-9540-4B8F-92B3-52353DA23578}"/>
    <cellStyle name="Separador de milhares 3 3 7" xfId="18809" xr:uid="{C7C951C8-38A5-4BE5-B3E9-8ADBE6BBE3F3}"/>
    <cellStyle name="Separador de milhares 3 3 7 2" xfId="39149" xr:uid="{9A16C760-0C61-405F-AD1D-1E16F7D18A1F}"/>
    <cellStyle name="Separador de milhares 3 3 8" xfId="19397" xr:uid="{FA3A86FD-E4E1-48D7-A346-1DC9F6A17809}"/>
    <cellStyle name="Separador de milhares 3 3 8 2" xfId="39736" xr:uid="{C5370816-195C-4C79-A641-771FE19158E8}"/>
    <cellStyle name="Separador de milhares 3 3 9" xfId="22652" xr:uid="{BA2BFC06-8F26-4C68-9E0B-9001CE4E9540}"/>
    <cellStyle name="Separador de milhares 3 3 9 2" xfId="42987" xr:uid="{8A0C2B68-0688-433D-8E3A-67FDEFDA2B1A}"/>
    <cellStyle name="Separador de milhares 3 4" xfId="5846" xr:uid="{DB5206AF-D882-4FE4-A11E-BD82A8643676}"/>
    <cellStyle name="Separador de milhares 3 4 2" xfId="7004" xr:uid="{FF427F77-B51B-4544-BD9E-32FF13CADE25}"/>
    <cellStyle name="Separador de milhares 3 4 2 2" xfId="17290" xr:uid="{FDB8B9D3-E048-44A6-A64B-A1297C29EE36}"/>
    <cellStyle name="Separador de milhares 3 4 2 2 2" xfId="37630" xr:uid="{DEF70F7D-C4B0-4D5F-B967-0C1F8BA91011}"/>
    <cellStyle name="Separador de milhares 3 4 2 3" xfId="20792" xr:uid="{72D142FE-6EE1-4FF8-80B9-F35FFC682BAD}"/>
    <cellStyle name="Separador de milhares 3 4 2 3 2" xfId="41131" xr:uid="{C927B911-9C46-4D2F-9471-A1A118622113}"/>
    <cellStyle name="Separador de milhares 3 4 2 4" xfId="24047" xr:uid="{F957E8DE-7309-42DB-A191-250DF154E6C5}"/>
    <cellStyle name="Separador de milhares 3 4 2 4 2" xfId="44382" xr:uid="{D53FD0B7-1658-4084-8B94-D212ED1DA858}"/>
    <cellStyle name="Separador de milhares 3 4 2 5" xfId="14381" xr:uid="{916B541C-4987-4360-A0E3-33126356B97F}"/>
    <cellStyle name="Separador de milhares 3 4 2 5 2" xfId="34722" xr:uid="{08295A53-B02B-43EE-BE8D-B0442B4829F1}"/>
    <cellStyle name="Separador de milhares 3 4 2 6" xfId="10503" xr:uid="{76A7DB25-E8FC-4C29-90A0-988E8289C13C}"/>
    <cellStyle name="Separador de milhares 3 4 2 6 2" xfId="30846" xr:uid="{C56F74BD-7FC4-4244-98CD-9774C9E1D767}"/>
    <cellStyle name="Separador de milhares 3 4 2 7" xfId="27352" xr:uid="{475FF0B7-E199-44C3-9F86-F2D961CAD14F}"/>
    <cellStyle name="Separador de milhares 3 4 3" xfId="16132" xr:uid="{801C11C3-FB27-4595-AE36-919A2C098252}"/>
    <cellStyle name="Separador de milhares 3 4 3 2" xfId="36472" xr:uid="{5FEE0E4B-2684-438A-A10C-08C4D405B452}"/>
    <cellStyle name="Separador de milhares 3 4 4" xfId="19634" xr:uid="{89D0FB6F-6449-452E-A697-585521F72CAE}"/>
    <cellStyle name="Separador de milhares 3 4 4 2" xfId="39973" xr:uid="{F96F6798-B4DD-4F7B-92FB-385A28108759}"/>
    <cellStyle name="Separador de milhares 3 4 5" xfId="22889" xr:uid="{05F9DD14-82E1-48AC-A918-C5BBAE2A39B7}"/>
    <cellStyle name="Separador de milhares 3 4 5 2" xfId="43224" xr:uid="{FCE94278-6B35-4F2B-B977-2CC476109877}"/>
    <cellStyle name="Separador de milhares 3 4 6" xfId="13225" xr:uid="{EA351F66-9C12-4820-ADA7-14ABC7577C9C}"/>
    <cellStyle name="Separador de milhares 3 4 6 2" xfId="33566" xr:uid="{7EA66639-576B-4C47-AA82-818CA702504F}"/>
    <cellStyle name="Separador de milhares 3 4 7" xfId="9345" xr:uid="{16C274ED-F767-4690-A834-37C8C57294FB}"/>
    <cellStyle name="Separador de milhares 3 4 7 2" xfId="29688" xr:uid="{9356F129-D20D-4009-A864-9A7624B92C1A}"/>
    <cellStyle name="Separador de milhares 3 4 8" xfId="26194" xr:uid="{F50461A6-7319-4009-9C46-95AB400183BA}"/>
    <cellStyle name="Separador de milhares 3 5" xfId="6423" xr:uid="{091477BC-59F2-43F3-A0AE-FCF4ACFD6A80}"/>
    <cellStyle name="Separador de milhares 3 5 2" xfId="16709" xr:uid="{BB130756-699A-4082-BD65-C571A18E77AA}"/>
    <cellStyle name="Separador de milhares 3 5 2 2" xfId="37049" xr:uid="{CADFF843-CF1B-4348-8FC8-C5CF1802C8DA}"/>
    <cellStyle name="Separador de milhares 3 5 3" xfId="20211" xr:uid="{0FF773BB-5A94-4049-BCB6-3FAD9EB6212D}"/>
    <cellStyle name="Separador de milhares 3 5 3 2" xfId="40550" xr:uid="{62886B6B-EB48-4FFE-A6EE-8DD686275628}"/>
    <cellStyle name="Separador de milhares 3 5 4" xfId="23466" xr:uid="{00949AA1-B964-4A41-9EB0-5E358DF09D02}"/>
    <cellStyle name="Separador de milhares 3 5 4 2" xfId="43801" xr:uid="{9515E4FF-C7BB-4BB6-950C-28FD48DAFBA3}"/>
    <cellStyle name="Separador de milhares 3 5 5" xfId="13800" xr:uid="{B3E564AC-0618-4165-9B28-6E4AF8C6CA5F}"/>
    <cellStyle name="Separador de milhares 3 5 5 2" xfId="34141" xr:uid="{E1BB4B83-7B26-436E-9347-4482F0E3E8D1}"/>
    <cellStyle name="Separador de milhares 3 5 6" xfId="9922" xr:uid="{147EC209-B119-4C6F-BCC3-772F012C36AF}"/>
    <cellStyle name="Separador de milhares 3 5 6 2" xfId="30265" xr:uid="{3E184D86-11DC-4570-94C2-4B64467BC80C}"/>
    <cellStyle name="Separador de milhares 3 5 7" xfId="26771" xr:uid="{A67E7B73-4764-4C3C-87F3-08B691F8688F}"/>
    <cellStyle name="Separador de milhares 3 6" xfId="7587" xr:uid="{2DA4607B-91CF-420D-A6CD-C556FA220DA4}"/>
    <cellStyle name="Separador de milhares 3 6 2" xfId="17872" xr:uid="{7A1330CA-DD86-4E81-A03B-5B1BA3C542C7}"/>
    <cellStyle name="Separador de milhares 3 6 2 2" xfId="38212" xr:uid="{BEC2EA3A-2E81-4AAC-9B95-CF6DFAFC7811}"/>
    <cellStyle name="Separador de milhares 3 6 3" xfId="21374" xr:uid="{27111410-F7D3-4013-BF02-2B52107EAA3D}"/>
    <cellStyle name="Separador de milhares 3 6 3 2" xfId="41713" xr:uid="{A4AE4DE5-E94F-4227-B63A-C95E57410D2B}"/>
    <cellStyle name="Separador de milhares 3 6 4" xfId="24629" xr:uid="{66BA29BE-280A-4DBD-95EA-013543442868}"/>
    <cellStyle name="Separador de milhares 3 6 4 2" xfId="44964" xr:uid="{E765E713-8AAF-4C30-BCFD-D1708C1C1150}"/>
    <cellStyle name="Separador de milhares 3 6 5" xfId="14964" xr:uid="{B23ABF97-AE0D-46CD-93F7-0B4F90DBA588}"/>
    <cellStyle name="Separador de milhares 3 6 5 2" xfId="35304" xr:uid="{D04E4F63-EB73-40B7-B6C7-3F8720CFC084}"/>
    <cellStyle name="Separador de milhares 3 6 6" xfId="11085" xr:uid="{714DAA06-E6F3-44D2-B46D-516C639018DF}"/>
    <cellStyle name="Separador de milhares 3 6 6 2" xfId="31428" xr:uid="{A21AC3DA-12F5-4F11-BC22-83E04A0AEE92}"/>
    <cellStyle name="Separador de milhares 3 6 7" xfId="27934" xr:uid="{B1A0D5C0-B54A-4F66-8C31-56307EC1ED32}"/>
    <cellStyle name="Separador de milhares 3 7" xfId="12656" xr:uid="{F19217E5-A1F7-49E9-A66F-91F27AE30698}"/>
    <cellStyle name="Separador de milhares 3 7 2" xfId="32997" xr:uid="{746A2918-DFDF-4EAE-8A98-B173B22E9147}"/>
    <cellStyle name="Separador de milhares 3 8" xfId="15551" xr:uid="{31E31EB4-03E6-4180-A75F-05C7D4134341}"/>
    <cellStyle name="Separador de milhares 3 8 2" xfId="35891" xr:uid="{A1DC0D8D-1BAA-444A-A54D-386DCDE32339}"/>
    <cellStyle name="Separador de milhares 3 9" xfId="18465" xr:uid="{1832BB13-CAEC-44C9-AED4-42FF87BA1480}"/>
    <cellStyle name="Separador de milhares 3 9 2" xfId="38805" xr:uid="{DEBD1E54-4AA1-4580-BF5B-6535CA154D84}"/>
    <cellStyle name="Separador de milhares 4" xfId="5296" xr:uid="{1CE7F003-8147-4914-806E-CA29E760A175}"/>
    <cellStyle name="Separador de milhares 4 10" xfId="19054" xr:uid="{B1F58074-0EF6-4DDC-8BC6-A9177B673624}"/>
    <cellStyle name="Separador de milhares 4 10 2" xfId="39393" xr:uid="{0DC9F5DE-7068-4097-9406-F516B0A1CB37}"/>
    <cellStyle name="Separador de milhares 4 11" xfId="22309" xr:uid="{9D5DCA1E-FC5F-49A2-BF2C-5A0EA4996692}"/>
    <cellStyle name="Separador de milhares 4 11 2" xfId="42644" xr:uid="{EADB3473-5E3D-4952-91D8-0603154085FC}"/>
    <cellStyle name="Separador de milhares 4 12" xfId="12026" xr:uid="{CDF5CA10-4D8E-4061-82D5-55C18FEC3E8C}"/>
    <cellStyle name="Separador de milhares 4 12 2" xfId="32367" xr:uid="{4181C427-756A-415A-93B8-A180B8AD8612}"/>
    <cellStyle name="Separador de milhares 4 13" xfId="8765" xr:uid="{92D04CE4-7F4A-4722-82A3-9EAD87B665DE}"/>
    <cellStyle name="Separador de milhares 4 13 2" xfId="29108" xr:uid="{ED88DA64-0977-4773-A9C7-A8C8A424498A}"/>
    <cellStyle name="Separador de milhares 4 14" xfId="25614" xr:uid="{23BE2056-26D7-4EEC-8508-B58918ADE12F}"/>
    <cellStyle name="Separador de milhares 4 2" xfId="5398" xr:uid="{B3947AC3-5FB5-4996-9660-B4BC4E8065B0}"/>
    <cellStyle name="Separador de milhares 4 2 10" xfId="12141" xr:uid="{8FC38DE5-6933-4A22-B02C-327C45E4F90E}"/>
    <cellStyle name="Separador de milhares 4 2 10 2" xfId="32482" xr:uid="{2CC329F8-C293-46CA-A9BD-D59571289248}"/>
    <cellStyle name="Separador de milhares 4 2 11" xfId="8880" xr:uid="{293D0062-D87B-46E8-80D4-D8B5854ABFBC}"/>
    <cellStyle name="Separador de milhares 4 2 11 2" xfId="29223" xr:uid="{E30B4804-24B5-44C9-AB82-7E421FE0D9D7}"/>
    <cellStyle name="Separador de milhares 4 2 12" xfId="25729" xr:uid="{DB09137E-EE1D-45A1-B252-FA5F3B4F55C2}"/>
    <cellStyle name="Separador de milhares 4 2 2" xfId="5962" xr:uid="{E6EC4F21-FEF3-4659-958C-075811FBBD0F}"/>
    <cellStyle name="Separador de milhares 4 2 2 2" xfId="7120" xr:uid="{7D44160C-A298-4132-AB81-0156E1744EEA}"/>
    <cellStyle name="Separador de milhares 4 2 2 2 2" xfId="17406" xr:uid="{CE9BAB41-7B84-4615-A01F-998A4681C30B}"/>
    <cellStyle name="Separador de milhares 4 2 2 2 2 2" xfId="37746" xr:uid="{75D07778-F99E-425F-B7F5-D6034F93CA81}"/>
    <cellStyle name="Separador de milhares 4 2 2 2 3" xfId="20908" xr:uid="{AF761D73-3766-49B9-A959-1CF25F078A05}"/>
    <cellStyle name="Separador de milhares 4 2 2 2 3 2" xfId="41247" xr:uid="{1F14A37C-45C5-42F7-A50C-0566ABE52238}"/>
    <cellStyle name="Separador de milhares 4 2 2 2 4" xfId="24163" xr:uid="{CA101E4F-99C1-4609-9DD0-C8BA7AB377EB}"/>
    <cellStyle name="Separador de milhares 4 2 2 2 4 2" xfId="44498" xr:uid="{73FFE8D0-25DF-4705-B5DF-1A789237C440}"/>
    <cellStyle name="Separador de milhares 4 2 2 2 5" xfId="14497" xr:uid="{008EC5AE-6B68-41D8-BC8A-D4918D10A4FC}"/>
    <cellStyle name="Separador de milhares 4 2 2 2 5 2" xfId="34838" xr:uid="{570FF1B4-A7A5-4E93-B717-23D06C38ECEA}"/>
    <cellStyle name="Separador de milhares 4 2 2 2 6" xfId="10619" xr:uid="{46988688-787D-4942-813F-038E1872603B}"/>
    <cellStyle name="Separador de milhares 4 2 2 2 6 2" xfId="30962" xr:uid="{2F29AED9-9B83-4C0A-97E3-966BD91373CB}"/>
    <cellStyle name="Separador de milhares 4 2 2 2 7" xfId="27468" xr:uid="{70BD278B-D4A0-4166-9404-9B73C0EF45F5}"/>
    <cellStyle name="Separador de milhares 4 2 2 3" xfId="16248" xr:uid="{A2E2071D-21DC-4280-A687-4B2F21A5FB7E}"/>
    <cellStyle name="Separador de milhares 4 2 2 3 2" xfId="36588" xr:uid="{7D91CE7B-3D4E-4C6C-BC01-BC1A733EA878}"/>
    <cellStyle name="Separador de milhares 4 2 2 4" xfId="19750" xr:uid="{87F9D7F3-A578-4F27-A523-BB3538547D91}"/>
    <cellStyle name="Separador de milhares 4 2 2 4 2" xfId="40089" xr:uid="{F4BDD17B-A0AF-4984-9A50-E445B8C77881}"/>
    <cellStyle name="Separador de milhares 4 2 2 5" xfId="23005" xr:uid="{FC91734D-2412-4E6B-AA36-4ED74E902DCE}"/>
    <cellStyle name="Separador de milhares 4 2 2 5 2" xfId="43340" xr:uid="{C809189C-EBD6-4681-A214-F7083BB54CC3}"/>
    <cellStyle name="Separador de milhares 4 2 2 6" xfId="13339" xr:uid="{0122914A-C70A-4CDC-AC52-AC27F3E6D2B2}"/>
    <cellStyle name="Separador de milhares 4 2 2 6 2" xfId="33680" xr:uid="{4C004D12-1D9B-4F39-8EEB-6A6BE91942E3}"/>
    <cellStyle name="Separador de milhares 4 2 2 7" xfId="9461" xr:uid="{389B3A47-60FD-4DB7-89A9-C5EBFD91B8E6}"/>
    <cellStyle name="Separador de milhares 4 2 2 7 2" xfId="29804" xr:uid="{ED16A848-52C9-45A6-8ECE-1BABB12B1FD1}"/>
    <cellStyle name="Separador de milhares 4 2 2 8" xfId="26310" xr:uid="{67C7B318-26BA-4156-8008-8CB22E84470E}"/>
    <cellStyle name="Separador de milhares 4 2 3" xfId="6539" xr:uid="{2E2EA5DB-9443-4A6E-88DC-AB61E9FC7937}"/>
    <cellStyle name="Separador de milhares 4 2 3 2" xfId="16825" xr:uid="{4EBE5D8D-AF6E-4B62-A921-DFB6B87CD117}"/>
    <cellStyle name="Separador de milhares 4 2 3 2 2" xfId="37165" xr:uid="{D1EEE08B-5904-4776-A875-585D194AC5C9}"/>
    <cellStyle name="Separador de milhares 4 2 3 3" xfId="20327" xr:uid="{BE006FEC-D935-4B50-9DA5-57C850558541}"/>
    <cellStyle name="Separador de milhares 4 2 3 3 2" xfId="40666" xr:uid="{6510F1BB-0B1A-427E-9CB2-03B28AB0622E}"/>
    <cellStyle name="Separador de milhares 4 2 3 4" xfId="23582" xr:uid="{32B7D21D-B932-4460-86EB-F15AB33584E8}"/>
    <cellStyle name="Separador de milhares 4 2 3 4 2" xfId="43917" xr:uid="{6AF0FE5D-82E1-4025-BD6A-A975510D4194}"/>
    <cellStyle name="Separador de milhares 4 2 3 5" xfId="13916" xr:uid="{AADAF0A4-EB21-4D52-A68B-3B0F5BB607BC}"/>
    <cellStyle name="Separador de milhares 4 2 3 5 2" xfId="34257" xr:uid="{6F036EC1-B5F1-478C-935F-32CDCCDA18B9}"/>
    <cellStyle name="Separador de milhares 4 2 3 6" xfId="10038" xr:uid="{18C77679-943B-4D1E-B0A3-9F316265F789}"/>
    <cellStyle name="Separador de milhares 4 2 3 6 2" xfId="30381" xr:uid="{A234B58D-D0B4-4324-BD2B-702F56E10D03}"/>
    <cellStyle name="Separador de milhares 4 2 3 7" xfId="26887" xr:uid="{FE52FF43-72CE-4AD3-8D89-ACE8A79F12B0}"/>
    <cellStyle name="Separador de milhares 4 2 4" xfId="7703" xr:uid="{555762E1-F16A-4E83-9E4D-E6E7F45B1C35}"/>
    <cellStyle name="Separador de milhares 4 2 4 2" xfId="17988" xr:uid="{A020272F-4603-4793-B1ED-A7D617807683}"/>
    <cellStyle name="Separador de milhares 4 2 4 2 2" xfId="38328" xr:uid="{D2FE6447-EFDC-4A9E-BAF5-136EF85A2AA2}"/>
    <cellStyle name="Separador de milhares 4 2 4 3" xfId="21490" xr:uid="{6CC00B14-A1D8-4250-865D-E69D3EFFAB0E}"/>
    <cellStyle name="Separador de milhares 4 2 4 3 2" xfId="41829" xr:uid="{9ECF34BD-F5AA-4AA5-B24B-21DB83A0E740}"/>
    <cellStyle name="Separador de milhares 4 2 4 4" xfId="24745" xr:uid="{1E3ED2E8-D14F-4B82-9B13-D696FD7A026A}"/>
    <cellStyle name="Separador de milhares 4 2 4 4 2" xfId="45080" xr:uid="{2A5C5AC1-B066-4709-AC51-CBFBC3346387}"/>
    <cellStyle name="Separador de milhares 4 2 4 5" xfId="15080" xr:uid="{C1247A52-19CC-48EC-81B3-7E87D4C5164A}"/>
    <cellStyle name="Separador de milhares 4 2 4 5 2" xfId="35420" xr:uid="{43BAF427-06A5-488D-962C-D20FF2671E8A}"/>
    <cellStyle name="Separador de milhares 4 2 4 6" xfId="11201" xr:uid="{AFB947E1-8F6E-46A2-AE38-A9E5378DB37B}"/>
    <cellStyle name="Separador de milhares 4 2 4 6 2" xfId="31544" xr:uid="{E602CFD8-3C84-449C-8244-1D52A62D303D}"/>
    <cellStyle name="Separador de milhares 4 2 4 7" xfId="28050" xr:uid="{477BE129-1B19-4EFC-B03F-048309E193AF}"/>
    <cellStyle name="Separador de milhares 4 2 5" xfId="12770" xr:uid="{399153F6-A775-4D22-9164-880288AF7014}"/>
    <cellStyle name="Separador de milhares 4 2 5 2" xfId="33111" xr:uid="{8ED5421D-0209-4DC1-8597-FA0CEB5600DB}"/>
    <cellStyle name="Separador de milhares 4 2 6" xfId="15667" xr:uid="{C07E4A15-AB06-4CC6-AB8F-ECFDBD282007}"/>
    <cellStyle name="Separador de milhares 4 2 6 2" xfId="36007" xr:uid="{27917914-3736-4E22-88C9-4A136EF11CB3}"/>
    <cellStyle name="Separador de milhares 4 2 7" xfId="18581" xr:uid="{896A2FDD-C1AC-49CD-BD4D-2961AFF1704A}"/>
    <cellStyle name="Separador de milhares 4 2 7 2" xfId="38921" xr:uid="{BC45F02A-A920-4CE3-A677-5B78718D30CB}"/>
    <cellStyle name="Separador de milhares 4 2 8" xfId="19169" xr:uid="{8F80E78D-3CDC-48D8-B45E-B48737D2A235}"/>
    <cellStyle name="Separador de milhares 4 2 8 2" xfId="39508" xr:uid="{C72FB119-9575-4DCB-A94F-76F071E0AEC7}"/>
    <cellStyle name="Separador de milhares 4 2 9" xfId="22424" xr:uid="{D512F6AD-FA93-470D-944F-1EFE12BE7E80}"/>
    <cellStyle name="Separador de milhares 4 2 9 2" xfId="42759" xr:uid="{D5D607C9-4A89-4CF1-8916-13623BEABAEF}"/>
    <cellStyle name="Separador de milhares 4 3" xfId="5619" xr:uid="{C9A8F990-28C0-4A7A-9857-9F0D6484CB6F}"/>
    <cellStyle name="Separador de milhares 4 3 10" xfId="12370" xr:uid="{D0DB6021-DA05-4D6A-A0C7-70DE2B208C75}"/>
    <cellStyle name="Separador de milhares 4 3 10 2" xfId="32711" xr:uid="{DC03CB67-090D-45B6-BAA7-EA8A24328A8D}"/>
    <cellStyle name="Separador de milhares 4 3 11" xfId="9109" xr:uid="{B5BA2049-AE00-491B-984F-79717B1AE7D0}"/>
    <cellStyle name="Separador de milhares 4 3 11 2" xfId="29452" xr:uid="{A821636F-9D2E-44A0-A441-2BEB273DA655}"/>
    <cellStyle name="Separador de milhares 4 3 12" xfId="25958" xr:uid="{577E76DF-9739-4F9A-8AB2-B69191B14A08}"/>
    <cellStyle name="Separador de milhares 4 3 2" xfId="6191" xr:uid="{6FF19570-B5B9-4951-9041-E7F63EE9857C}"/>
    <cellStyle name="Separador de milhares 4 3 2 2" xfId="7349" xr:uid="{4A8E1DF7-ACBF-43A9-A927-3EC61E541F9D}"/>
    <cellStyle name="Separador de milhares 4 3 2 2 2" xfId="17635" xr:uid="{086C09F2-7E36-4E12-9925-9A7E9EF5B2A0}"/>
    <cellStyle name="Separador de milhares 4 3 2 2 2 2" xfId="37975" xr:uid="{F6BE11EA-BB17-490C-89F5-B74FDA154698}"/>
    <cellStyle name="Separador de milhares 4 3 2 2 3" xfId="21137" xr:uid="{981820C6-A48E-4F42-8EDA-8223140F55A7}"/>
    <cellStyle name="Separador de milhares 4 3 2 2 3 2" xfId="41476" xr:uid="{CB281AD7-8DF9-4FA6-B824-8D60565C7F7A}"/>
    <cellStyle name="Separador de milhares 4 3 2 2 4" xfId="24392" xr:uid="{7DC589DC-C44A-41B0-81FC-832708297F59}"/>
    <cellStyle name="Separador de milhares 4 3 2 2 4 2" xfId="44727" xr:uid="{6D18BE6F-688C-4D78-94EB-2A0CE74827D5}"/>
    <cellStyle name="Separador de milhares 4 3 2 2 5" xfId="14726" xr:uid="{BBD5DCB0-6C5C-4CAB-B515-71B185B962D0}"/>
    <cellStyle name="Separador de milhares 4 3 2 2 5 2" xfId="35067" xr:uid="{67BA5CA5-165C-4B95-8172-C6F1F1AFD3EA}"/>
    <cellStyle name="Separador de milhares 4 3 2 2 6" xfId="10848" xr:uid="{4DF819FC-1A1C-47D8-B06C-33444536444E}"/>
    <cellStyle name="Separador de milhares 4 3 2 2 6 2" xfId="31191" xr:uid="{E668FE4D-116B-42F4-9BCC-F038EC8676C5}"/>
    <cellStyle name="Separador de milhares 4 3 2 2 7" xfId="27697" xr:uid="{5E1D9FCE-BCE0-4578-9527-0070C5D1D71B}"/>
    <cellStyle name="Separador de milhares 4 3 2 3" xfId="16477" xr:uid="{C7D10732-A3FE-443F-903A-2DD2F019E616}"/>
    <cellStyle name="Separador de milhares 4 3 2 3 2" xfId="36817" xr:uid="{E9E52F7E-5263-4235-A6BD-115BE0C38F86}"/>
    <cellStyle name="Separador de milhares 4 3 2 4" xfId="19979" xr:uid="{35E059D0-1EF3-4583-9CEB-4E213562420C}"/>
    <cellStyle name="Separador de milhares 4 3 2 4 2" xfId="40318" xr:uid="{92209343-77D9-40DD-8937-968DBDE8BE88}"/>
    <cellStyle name="Separador de milhares 4 3 2 5" xfId="23234" xr:uid="{57A553AA-99F1-43EA-BE97-60CD8794BACE}"/>
    <cellStyle name="Separador de milhares 4 3 2 5 2" xfId="43569" xr:uid="{1BCB12C9-A436-4EA0-B3D6-3877E2904608}"/>
    <cellStyle name="Separador de milhares 4 3 2 6" xfId="13568" xr:uid="{F33A7950-9CA8-431F-B715-582FFDD9D550}"/>
    <cellStyle name="Separador de milhares 4 3 2 6 2" xfId="33909" xr:uid="{80B76A78-4714-4B02-B779-02B3027FD2A4}"/>
    <cellStyle name="Separador de milhares 4 3 2 7" xfId="9690" xr:uid="{69F5B01C-BF3E-42C9-B68D-C86BB61AF7F2}"/>
    <cellStyle name="Separador de milhares 4 3 2 7 2" xfId="30033" xr:uid="{B47F3510-77D8-4BDA-AD6F-CB3D88B16ACC}"/>
    <cellStyle name="Separador de milhares 4 3 2 8" xfId="26539" xr:uid="{FF53C782-7333-4672-9508-6545C8FAD0BD}"/>
    <cellStyle name="Separador de milhares 4 3 3" xfId="6768" xr:uid="{2A288646-5780-4D7A-B2C9-4C2E9E1D39BF}"/>
    <cellStyle name="Separador de milhares 4 3 3 2" xfId="17054" xr:uid="{A6F5AA22-FA49-4663-9646-40D9576689E2}"/>
    <cellStyle name="Separador de milhares 4 3 3 2 2" xfId="37394" xr:uid="{BF717A84-1311-4A51-9DA4-E93AB83CC1D7}"/>
    <cellStyle name="Separador de milhares 4 3 3 3" xfId="20556" xr:uid="{DEB0DEA1-4CE1-497D-906D-06E1E5C76057}"/>
    <cellStyle name="Separador de milhares 4 3 3 3 2" xfId="40895" xr:uid="{BB414294-B3D9-4619-B4D0-812D8F567628}"/>
    <cellStyle name="Separador de milhares 4 3 3 4" xfId="23811" xr:uid="{4EDCCF68-9FD4-4F17-9911-6C5CD3882325}"/>
    <cellStyle name="Separador de milhares 4 3 3 4 2" xfId="44146" xr:uid="{BD61D1D8-F96D-4494-8F32-8FF4F20D1524}"/>
    <cellStyle name="Separador de milhares 4 3 3 5" xfId="14145" xr:uid="{7259F6BE-6A71-4644-ACB2-82D8F61F3842}"/>
    <cellStyle name="Separador de milhares 4 3 3 5 2" xfId="34486" xr:uid="{44679EC4-7050-43C0-855B-2AF581CE7905}"/>
    <cellStyle name="Separador de milhares 4 3 3 6" xfId="10267" xr:uid="{7456FEDA-6628-440C-A6DA-98EF43520F9F}"/>
    <cellStyle name="Separador de milhares 4 3 3 6 2" xfId="30610" xr:uid="{2C3126AF-A5E0-44A0-A1B3-B4A11F83140E}"/>
    <cellStyle name="Separador de milhares 4 3 3 7" xfId="27116" xr:uid="{D4ADD528-4691-4F43-863B-EE04FC66E7CA}"/>
    <cellStyle name="Separador de milhares 4 3 4" xfId="7932" xr:uid="{5E131954-2366-4A80-9965-FFF5F4E7A012}"/>
    <cellStyle name="Separador de milhares 4 3 4 2" xfId="18217" xr:uid="{D90D2A04-F19D-4FC6-9434-1A6E73938AF7}"/>
    <cellStyle name="Separador de milhares 4 3 4 2 2" xfId="38557" xr:uid="{2EF0F43C-02EE-45E0-9CEA-62075262FB0D}"/>
    <cellStyle name="Separador de milhares 4 3 4 3" xfId="21719" xr:uid="{DC531EB0-E2FB-4CCE-A8C2-895B5957C972}"/>
    <cellStyle name="Separador de milhares 4 3 4 3 2" xfId="42058" xr:uid="{6BF070C4-930F-4207-94F3-DC0F1B811EF0}"/>
    <cellStyle name="Separador de milhares 4 3 4 4" xfId="24974" xr:uid="{702616A7-CC1D-477A-AE93-1F112509C028}"/>
    <cellStyle name="Separador de milhares 4 3 4 4 2" xfId="45309" xr:uid="{09DAAFCB-C81A-4C19-89A6-EB8794A80533}"/>
    <cellStyle name="Separador de milhares 4 3 4 5" xfId="15309" xr:uid="{44ADBC3B-8733-4821-9182-C339B0CCD6DE}"/>
    <cellStyle name="Separador de milhares 4 3 4 5 2" xfId="35649" xr:uid="{E44C0126-8982-407A-97CE-C70AEE79226C}"/>
    <cellStyle name="Separador de milhares 4 3 4 6" xfId="11430" xr:uid="{06EFAEB2-BECF-4C3B-8912-52BDA0032A61}"/>
    <cellStyle name="Separador de milhares 4 3 4 6 2" xfId="31773" xr:uid="{6B661D72-1AF8-4F17-B562-499119E11CC6}"/>
    <cellStyle name="Separador de milhares 4 3 4 7" xfId="28279" xr:uid="{C5CE4001-D92F-42F7-AD73-1C5E08D8DFF2}"/>
    <cellStyle name="Separador de milhares 4 3 5" xfId="12999" xr:uid="{9D289FA0-3483-4FA1-8803-8F2A54B9716F}"/>
    <cellStyle name="Separador de milhares 4 3 5 2" xfId="33340" xr:uid="{F81E03C1-0D05-46A3-87B6-43614E564920}"/>
    <cellStyle name="Separador de milhares 4 3 6" xfId="15896" xr:uid="{76913505-FF67-4066-B6A4-D78EEA6C55E6}"/>
    <cellStyle name="Separador de milhares 4 3 6 2" xfId="36236" xr:uid="{81849F13-9955-4295-B044-B5C88224986A}"/>
    <cellStyle name="Separador de milhares 4 3 7" xfId="18810" xr:uid="{1CD520EA-0AAD-4508-BF19-E31E2A185ECE}"/>
    <cellStyle name="Separador de milhares 4 3 7 2" xfId="39150" xr:uid="{465313F9-BEC1-4695-8418-8D410B7B01C7}"/>
    <cellStyle name="Separador de milhares 4 3 8" xfId="19398" xr:uid="{4E52CD49-D610-49FC-B2CB-EC897BDB223E}"/>
    <cellStyle name="Separador de milhares 4 3 8 2" xfId="39737" xr:uid="{029CB57C-2491-43EF-9ABF-33F65A8ACA15}"/>
    <cellStyle name="Separador de milhares 4 3 9" xfId="22653" xr:uid="{9A3EF51A-6C08-4E18-B902-07D5638A14D3}"/>
    <cellStyle name="Separador de milhares 4 3 9 2" xfId="42988" xr:uid="{721FF912-A360-4FF1-BFAF-78A21321C599}"/>
    <cellStyle name="Separador de milhares 4 4" xfId="5847" xr:uid="{3FDFD308-8059-498E-BF4F-3FA83CDAB73F}"/>
    <cellStyle name="Separador de milhares 4 4 2" xfId="7005" xr:uid="{1A7AAC7B-D858-4C8E-9A72-593944C554A8}"/>
    <cellStyle name="Separador de milhares 4 4 2 2" xfId="17291" xr:uid="{ABF47946-1AE5-4528-B421-B8B4B644A664}"/>
    <cellStyle name="Separador de milhares 4 4 2 2 2" xfId="37631" xr:uid="{4DC1AFC5-5C18-439D-B66D-13117FB7833F}"/>
    <cellStyle name="Separador de milhares 4 4 2 3" xfId="20793" xr:uid="{19B6060A-2CA4-4A41-A2AE-E86E2D0C63E4}"/>
    <cellStyle name="Separador de milhares 4 4 2 3 2" xfId="41132" xr:uid="{A3766769-B828-45E8-AB3E-ED496F954EE5}"/>
    <cellStyle name="Separador de milhares 4 4 2 4" xfId="24048" xr:uid="{21D4CC91-6484-4577-9787-8DCF627BA58D}"/>
    <cellStyle name="Separador de milhares 4 4 2 4 2" xfId="44383" xr:uid="{99262471-3D7C-45DD-AA5B-5423A22BD20D}"/>
    <cellStyle name="Separador de milhares 4 4 2 5" xfId="14382" xr:uid="{A6F2A22F-BC34-4B39-A361-72FC8629F402}"/>
    <cellStyle name="Separador de milhares 4 4 2 5 2" xfId="34723" xr:uid="{5D3EA990-770F-4650-AB3A-BF7747C21107}"/>
    <cellStyle name="Separador de milhares 4 4 2 6" xfId="10504" xr:uid="{334122CF-F791-4E78-BC24-367DBE13FDF6}"/>
    <cellStyle name="Separador de milhares 4 4 2 6 2" xfId="30847" xr:uid="{3D2A1A2A-6140-44D0-926D-D62A3719223F}"/>
    <cellStyle name="Separador de milhares 4 4 2 7" xfId="27353" xr:uid="{A83E314B-E839-474C-96F9-17262623D098}"/>
    <cellStyle name="Separador de milhares 4 4 3" xfId="16133" xr:uid="{0E72253A-C82B-420D-AF93-A6E4A246C127}"/>
    <cellStyle name="Separador de milhares 4 4 3 2" xfId="36473" xr:uid="{3C5DC95C-50DD-424C-A0AF-C92C3371301A}"/>
    <cellStyle name="Separador de milhares 4 4 4" xfId="19635" xr:uid="{A53425AD-6BC6-42F1-B7D8-BF983CF58E21}"/>
    <cellStyle name="Separador de milhares 4 4 4 2" xfId="39974" xr:uid="{544C003D-1267-4909-8D1D-3AA4315787A2}"/>
    <cellStyle name="Separador de milhares 4 4 5" xfId="22890" xr:uid="{D25CCD50-5140-4A7F-9B6E-6D9EFCB49CD5}"/>
    <cellStyle name="Separador de milhares 4 4 5 2" xfId="43225" xr:uid="{A692717F-FE92-4827-90CC-6628108D2F93}"/>
    <cellStyle name="Separador de milhares 4 4 6" xfId="13226" xr:uid="{D6000DEC-16C9-4F06-B9E0-CC098146B9A0}"/>
    <cellStyle name="Separador de milhares 4 4 6 2" xfId="33567" xr:uid="{D36D04D7-571F-44F3-B0B6-185FBF95281E}"/>
    <cellStyle name="Separador de milhares 4 4 7" xfId="9346" xr:uid="{3AD695A5-ED9A-487D-8B08-7306956CC803}"/>
    <cellStyle name="Separador de milhares 4 4 7 2" xfId="29689" xr:uid="{6BB103AA-2891-4BD9-A2FF-293375FBCD4A}"/>
    <cellStyle name="Separador de milhares 4 4 8" xfId="26195" xr:uid="{3376EAA2-3209-437C-BBCF-9CE2D81006A5}"/>
    <cellStyle name="Separador de milhares 4 5" xfId="6424" xr:uid="{432A3375-EAFB-4904-82A2-421DCD684A81}"/>
    <cellStyle name="Separador de milhares 4 5 2" xfId="16710" xr:uid="{40182813-5E5F-46AB-9DAB-E239B84270D7}"/>
    <cellStyle name="Separador de milhares 4 5 2 2" xfId="37050" xr:uid="{6C44CE60-8FE1-4F8D-BC33-AFE1C15A3EB7}"/>
    <cellStyle name="Separador de milhares 4 5 3" xfId="20212" xr:uid="{2D5296A1-1250-45C3-976E-76D02C200BEF}"/>
    <cellStyle name="Separador de milhares 4 5 3 2" xfId="40551" xr:uid="{18CF36E5-11F0-4531-A511-78A2C20BBAEA}"/>
    <cellStyle name="Separador de milhares 4 5 4" xfId="23467" xr:uid="{D88944AC-97A1-43C5-9F06-03D531F11BD3}"/>
    <cellStyle name="Separador de milhares 4 5 4 2" xfId="43802" xr:uid="{808AF0CB-7928-40D3-83C3-ACA7A2A532DE}"/>
    <cellStyle name="Separador de milhares 4 5 5" xfId="13801" xr:uid="{9D4F171A-408D-4F0E-BA49-027205C9B814}"/>
    <cellStyle name="Separador de milhares 4 5 5 2" xfId="34142" xr:uid="{2DB4C4D5-0D25-4226-B826-6AFE3FD3474D}"/>
    <cellStyle name="Separador de milhares 4 5 6" xfId="9923" xr:uid="{A078F4CF-0EB1-48F0-9172-CF57E0B454BF}"/>
    <cellStyle name="Separador de milhares 4 5 6 2" xfId="30266" xr:uid="{75D96F70-CD2E-4135-A36C-4CF9ED6C49F2}"/>
    <cellStyle name="Separador de milhares 4 5 7" xfId="26772" xr:uid="{10FA731D-4D53-404B-A8E0-9C460F861A89}"/>
    <cellStyle name="Separador de milhares 4 6" xfId="7588" xr:uid="{5E90ED9E-DA7C-421A-B37C-7800CAA59D95}"/>
    <cellStyle name="Separador de milhares 4 6 2" xfId="17873" xr:uid="{C54D913E-C6E3-48F6-88BC-CCEFF83C939B}"/>
    <cellStyle name="Separador de milhares 4 6 2 2" xfId="38213" xr:uid="{B7EC4E7D-1291-428F-A018-5353AAC8CFEA}"/>
    <cellStyle name="Separador de milhares 4 6 3" xfId="21375" xr:uid="{B0C6D739-32BC-4C55-A3A9-4FB11E3CC9AE}"/>
    <cellStyle name="Separador de milhares 4 6 3 2" xfId="41714" xr:uid="{AEBC5816-6F8E-4CF0-90D1-3C581DB53A19}"/>
    <cellStyle name="Separador de milhares 4 6 4" xfId="24630" xr:uid="{5CC57F49-E912-443A-8D82-3813A5AECF69}"/>
    <cellStyle name="Separador de milhares 4 6 4 2" xfId="44965" xr:uid="{755462C3-8AEB-4768-BA5A-E2757C04366C}"/>
    <cellStyle name="Separador de milhares 4 6 5" xfId="14965" xr:uid="{F4FD7E71-53E2-4AE1-AFE4-EE3792C62B1C}"/>
    <cellStyle name="Separador de milhares 4 6 5 2" xfId="35305" xr:uid="{B9C14140-0D8B-438B-8D73-7558DAB60F06}"/>
    <cellStyle name="Separador de milhares 4 6 6" xfId="11086" xr:uid="{D80C58BB-EB60-435E-9BB9-ABEF048E90D0}"/>
    <cellStyle name="Separador de milhares 4 6 6 2" xfId="31429" xr:uid="{7ABB4E74-79B0-466F-8F16-7C71D6F953FB}"/>
    <cellStyle name="Separador de milhares 4 6 7" xfId="27935" xr:uid="{ADE60243-2D85-465B-9E5B-AB9AA6B88991}"/>
    <cellStyle name="Separador de milhares 4 7" xfId="12657" xr:uid="{05336D05-ADF2-40F6-8900-6C1EFE0275D7}"/>
    <cellStyle name="Separador de milhares 4 7 2" xfId="32998" xr:uid="{0E34577F-7197-4B44-BC46-553FA5D05EFC}"/>
    <cellStyle name="Separador de milhares 4 8" xfId="15552" xr:uid="{67228C31-DB3E-4A45-9B9B-7D0A97A37D49}"/>
    <cellStyle name="Separador de milhares 4 8 2" xfId="35892" xr:uid="{EFD3507D-503B-41B6-804B-E45D78FA023E}"/>
    <cellStyle name="Separador de milhares 4 9" xfId="18466" xr:uid="{22541804-E725-4E31-B6E6-96DE1A92ECDF}"/>
    <cellStyle name="Separador de milhares 4 9 2" xfId="38806" xr:uid="{E20A3AA0-CA9F-42B8-852F-D9675F96220F}"/>
    <cellStyle name="Separador de milhares 5" xfId="5297" xr:uid="{E6754CB6-AC2E-4360-938A-75CE52D9588B}"/>
    <cellStyle name="Separador de milhares 5 10" xfId="19055" xr:uid="{C4E116DA-415B-47CA-9B1A-99E08CE3197A}"/>
    <cellStyle name="Separador de milhares 5 10 2" xfId="39394" xr:uid="{B321E476-2303-4EB6-8A36-B1ABEB0E7FE2}"/>
    <cellStyle name="Separador de milhares 5 11" xfId="22310" xr:uid="{E8F6254D-14FF-4A50-B317-8324E8B6E484}"/>
    <cellStyle name="Separador de milhares 5 11 2" xfId="42645" xr:uid="{9A68119C-E346-46F5-A34E-9EE3F87B14D1}"/>
    <cellStyle name="Separador de milhares 5 12" xfId="12027" xr:uid="{A2354BD0-443F-4E51-A0C7-94B6EA699049}"/>
    <cellStyle name="Separador de milhares 5 12 2" xfId="32368" xr:uid="{2FBE8A24-43A8-4C7C-A447-C14F50A51C38}"/>
    <cellStyle name="Separador de milhares 5 13" xfId="8766" xr:uid="{3C1F7F0C-849D-48FE-94DB-8F3E81AD93D8}"/>
    <cellStyle name="Separador de milhares 5 13 2" xfId="29109" xr:uid="{A851830F-C6B6-4EDC-8EB9-A83F2BEC392B}"/>
    <cellStyle name="Separador de milhares 5 14" xfId="25615" xr:uid="{5E574B46-76E9-464A-BC71-1074FB023C96}"/>
    <cellStyle name="Separador de milhares 5 2" xfId="5399" xr:uid="{7B924E36-B32D-4034-9BD1-3C6133AEE3DB}"/>
    <cellStyle name="Separador de milhares 5 2 10" xfId="12142" xr:uid="{E2E81B42-4518-4CD9-9A40-C2BC124BB923}"/>
    <cellStyle name="Separador de milhares 5 2 10 2" xfId="32483" xr:uid="{960E7AE9-D8A7-40BB-A313-8965CACBDDF9}"/>
    <cellStyle name="Separador de milhares 5 2 11" xfId="8881" xr:uid="{7113C01B-51DE-45E3-9AC7-E8A35F11F182}"/>
    <cellStyle name="Separador de milhares 5 2 11 2" xfId="29224" xr:uid="{D5E02B6F-F7E8-4F99-9C48-7DABD75284DA}"/>
    <cellStyle name="Separador de milhares 5 2 12" xfId="25730" xr:uid="{D43A9A02-CE7E-4A53-947E-B8CDD6CA4985}"/>
    <cellStyle name="Separador de milhares 5 2 2" xfId="5963" xr:uid="{C46F6E28-E914-47DE-901E-E18D625B9DA8}"/>
    <cellStyle name="Separador de milhares 5 2 2 2" xfId="7121" xr:uid="{CB51116D-89C5-4CC7-8377-C6B9551B20B0}"/>
    <cellStyle name="Separador de milhares 5 2 2 2 2" xfId="17407" xr:uid="{D5D41C18-67D8-4DFF-9BC8-7C5951F372A0}"/>
    <cellStyle name="Separador de milhares 5 2 2 2 2 2" xfId="37747" xr:uid="{9E60994C-67F9-4C90-8F34-C20C9F19BC67}"/>
    <cellStyle name="Separador de milhares 5 2 2 2 3" xfId="20909" xr:uid="{D02447F5-9A26-4504-B43A-26C6522C06FF}"/>
    <cellStyle name="Separador de milhares 5 2 2 2 3 2" xfId="41248" xr:uid="{75D79DAE-F445-4C0A-8C83-5B9EF68A580C}"/>
    <cellStyle name="Separador de milhares 5 2 2 2 4" xfId="24164" xr:uid="{9B6714B6-C1B6-4013-8E83-8CE7502DD517}"/>
    <cellStyle name="Separador de milhares 5 2 2 2 4 2" xfId="44499" xr:uid="{5971E646-4E1F-4141-8581-493F67DDA2A0}"/>
    <cellStyle name="Separador de milhares 5 2 2 2 5" xfId="14498" xr:uid="{C4272E30-7A61-46EA-8C2C-21EE576047C2}"/>
    <cellStyle name="Separador de milhares 5 2 2 2 5 2" xfId="34839" xr:uid="{7052400C-D3BF-47F8-BEFC-785D58096649}"/>
    <cellStyle name="Separador de milhares 5 2 2 2 6" xfId="10620" xr:uid="{6503399A-49DE-417D-8278-5AB9F794D675}"/>
    <cellStyle name="Separador de milhares 5 2 2 2 6 2" xfId="30963" xr:uid="{A9929B55-ACCB-43FA-8C78-2017557C17A3}"/>
    <cellStyle name="Separador de milhares 5 2 2 2 7" xfId="27469" xr:uid="{C7A0A797-5B6A-42A8-938C-2D7009D83753}"/>
    <cellStyle name="Separador de milhares 5 2 2 3" xfId="16249" xr:uid="{000A8D37-2FF8-4980-9C72-74C9236EC568}"/>
    <cellStyle name="Separador de milhares 5 2 2 3 2" xfId="36589" xr:uid="{8D20EAE7-C13F-4A9E-B97E-1B6B651AEFBB}"/>
    <cellStyle name="Separador de milhares 5 2 2 4" xfId="19751" xr:uid="{BCE8FDCC-E3FB-4AF2-B308-E90E48E018FC}"/>
    <cellStyle name="Separador de milhares 5 2 2 4 2" xfId="40090" xr:uid="{21883025-7296-4E43-883C-40C230D0F040}"/>
    <cellStyle name="Separador de milhares 5 2 2 5" xfId="23006" xr:uid="{7CBF494A-8687-4B13-8026-B55100A95C0D}"/>
    <cellStyle name="Separador de milhares 5 2 2 5 2" xfId="43341" xr:uid="{624B6479-29FC-4DEA-BB2C-3107BF1E4A1E}"/>
    <cellStyle name="Separador de milhares 5 2 2 6" xfId="13340" xr:uid="{2DD61C9B-ADC3-4111-A1C1-00066B2CF40D}"/>
    <cellStyle name="Separador de milhares 5 2 2 6 2" xfId="33681" xr:uid="{0BF1DE61-7464-45CE-9B9D-9D5A3E13285B}"/>
    <cellStyle name="Separador de milhares 5 2 2 7" xfId="9462" xr:uid="{E442DA41-7C5F-4AE7-A8B3-223F5C989BE6}"/>
    <cellStyle name="Separador de milhares 5 2 2 7 2" xfId="29805" xr:uid="{FDD701B7-BD13-4E80-A0A8-B5C272283479}"/>
    <cellStyle name="Separador de milhares 5 2 2 8" xfId="26311" xr:uid="{56777054-2D01-4A3C-AB2C-B00776FB7776}"/>
    <cellStyle name="Separador de milhares 5 2 3" xfId="6540" xr:uid="{D24CB1EC-9014-427E-9671-C44292C7520D}"/>
    <cellStyle name="Separador de milhares 5 2 3 2" xfId="16826" xr:uid="{EA486ADA-DBF7-4AD9-8518-69911519A273}"/>
    <cellStyle name="Separador de milhares 5 2 3 2 2" xfId="37166" xr:uid="{E65DAD76-FFD5-4690-A5AE-FC270180555E}"/>
    <cellStyle name="Separador de milhares 5 2 3 3" xfId="20328" xr:uid="{3671B337-C7CD-4D0C-BAC6-CAD00E8ECBF7}"/>
    <cellStyle name="Separador de milhares 5 2 3 3 2" xfId="40667" xr:uid="{97C45B58-7455-4808-96FC-DA269F3CBF88}"/>
    <cellStyle name="Separador de milhares 5 2 3 4" xfId="23583" xr:uid="{E0F390C9-2E48-41AA-AE2D-18A5D463A07D}"/>
    <cellStyle name="Separador de milhares 5 2 3 4 2" xfId="43918" xr:uid="{B4794F17-61D2-43C2-814D-8C9FB9CF7F4F}"/>
    <cellStyle name="Separador de milhares 5 2 3 5" xfId="13917" xr:uid="{7C09958F-C11A-45D4-87C2-4D07B658899C}"/>
    <cellStyle name="Separador de milhares 5 2 3 5 2" xfId="34258" xr:uid="{A5E6756E-BBF1-420B-AA27-13C5E6A68593}"/>
    <cellStyle name="Separador de milhares 5 2 3 6" xfId="10039" xr:uid="{A8052ECF-4875-45F7-916C-1662C4B2DEFC}"/>
    <cellStyle name="Separador de milhares 5 2 3 6 2" xfId="30382" xr:uid="{719B6E4B-14BC-47E1-9ECC-3B5D264CFFCD}"/>
    <cellStyle name="Separador de milhares 5 2 3 7" xfId="26888" xr:uid="{DF781260-EB9D-4747-9BB8-5B6A22E20465}"/>
    <cellStyle name="Separador de milhares 5 2 4" xfId="7704" xr:uid="{D46B8C01-0E53-4549-8C74-41F079511EC2}"/>
    <cellStyle name="Separador de milhares 5 2 4 2" xfId="17989" xr:uid="{B3D17E5D-0EAA-4E14-9EE7-856D8BE281E7}"/>
    <cellStyle name="Separador de milhares 5 2 4 2 2" xfId="38329" xr:uid="{1ED4D659-3764-46B8-BC78-B378270E1EB0}"/>
    <cellStyle name="Separador de milhares 5 2 4 3" xfId="21491" xr:uid="{909351F8-F5EF-4937-B48F-C07E9054765A}"/>
    <cellStyle name="Separador de milhares 5 2 4 3 2" xfId="41830" xr:uid="{CE0FFD6F-79D3-4600-97DC-1AE94866FAA9}"/>
    <cellStyle name="Separador de milhares 5 2 4 4" xfId="24746" xr:uid="{5703B3AD-48B7-4023-80D3-B432E8150A39}"/>
    <cellStyle name="Separador de milhares 5 2 4 4 2" xfId="45081" xr:uid="{9964EFA9-FD4C-4F33-A898-5C20C6DF35C1}"/>
    <cellStyle name="Separador de milhares 5 2 4 5" xfId="15081" xr:uid="{42C536AD-4320-4F69-B821-60A5BFF29220}"/>
    <cellStyle name="Separador de milhares 5 2 4 5 2" xfId="35421" xr:uid="{9BB7C120-5B34-4358-8CD4-425DB0DFFE96}"/>
    <cellStyle name="Separador de milhares 5 2 4 6" xfId="11202" xr:uid="{896578D9-E998-404D-A46C-BD561650EFFC}"/>
    <cellStyle name="Separador de milhares 5 2 4 6 2" xfId="31545" xr:uid="{ACCF4799-A4CC-4DB2-A3CD-C22F7DF505B9}"/>
    <cellStyle name="Separador de milhares 5 2 4 7" xfId="28051" xr:uid="{096B7FB9-88D3-4DB6-ADA6-AC37EEEE9982}"/>
    <cellStyle name="Separador de milhares 5 2 5" xfId="12771" xr:uid="{AC41E16C-F55F-4892-8079-96B197778784}"/>
    <cellStyle name="Separador de milhares 5 2 5 2" xfId="33112" xr:uid="{F502E413-FB79-486F-A694-A73DF85622B5}"/>
    <cellStyle name="Separador de milhares 5 2 6" xfId="15668" xr:uid="{35539C00-6B14-40F2-A3D1-30703F28CF62}"/>
    <cellStyle name="Separador de milhares 5 2 6 2" xfId="36008" xr:uid="{95E0FE40-6F45-4594-8576-EA059972EA05}"/>
    <cellStyle name="Separador de milhares 5 2 7" xfId="18582" xr:uid="{8537D134-48AC-46D0-B38B-9C32838DA609}"/>
    <cellStyle name="Separador de milhares 5 2 7 2" xfId="38922" xr:uid="{8A11CB13-3A89-434C-8E64-C3F24B90F99C}"/>
    <cellStyle name="Separador de milhares 5 2 8" xfId="19170" xr:uid="{55CAD788-1775-409D-A00C-178058DCED89}"/>
    <cellStyle name="Separador de milhares 5 2 8 2" xfId="39509" xr:uid="{0E0BCDCC-5F1A-4323-A110-695E86BE9E90}"/>
    <cellStyle name="Separador de milhares 5 2 9" xfId="22425" xr:uid="{FBE2A072-0BA6-48AA-BFFB-44D80EA72540}"/>
    <cellStyle name="Separador de milhares 5 2 9 2" xfId="42760" xr:uid="{4F7F1570-35A5-42B7-A94B-6D082FDD60D7}"/>
    <cellStyle name="Separador de milhares 5 3" xfId="5620" xr:uid="{28A6BCE3-1D49-4989-8638-2E28F72EEEF3}"/>
    <cellStyle name="Separador de milhares 5 3 10" xfId="12371" xr:uid="{E6801DB3-7E13-4D28-8050-E2DF17CF1823}"/>
    <cellStyle name="Separador de milhares 5 3 10 2" xfId="32712" xr:uid="{1CDBFCFA-7DFD-4526-932A-D1DEAFE2FD94}"/>
    <cellStyle name="Separador de milhares 5 3 11" xfId="9110" xr:uid="{421C31B7-1910-434D-A7D0-74D82519BCBB}"/>
    <cellStyle name="Separador de milhares 5 3 11 2" xfId="29453" xr:uid="{B4DE3F90-503F-44C9-A1A6-AED3739CEB64}"/>
    <cellStyle name="Separador de milhares 5 3 12" xfId="25959" xr:uid="{712C0BBA-7877-44E6-9171-CE592639E1C8}"/>
    <cellStyle name="Separador de milhares 5 3 2" xfId="6192" xr:uid="{113D20DE-6369-42C0-9B7A-5769F2BEDD3D}"/>
    <cellStyle name="Separador de milhares 5 3 2 2" xfId="7350" xr:uid="{30D67BF6-B42D-4DB5-972E-A425A2554970}"/>
    <cellStyle name="Separador de milhares 5 3 2 2 2" xfId="17636" xr:uid="{F6F255C1-BE0B-4E21-962E-7B06AB9E8226}"/>
    <cellStyle name="Separador de milhares 5 3 2 2 2 2" xfId="37976" xr:uid="{4253B1F3-3A50-4FF2-9891-65B4D024D3FA}"/>
    <cellStyle name="Separador de milhares 5 3 2 2 3" xfId="21138" xr:uid="{C169A7FA-D2C1-4D8D-B9CC-58900E4C4162}"/>
    <cellStyle name="Separador de milhares 5 3 2 2 3 2" xfId="41477" xr:uid="{9DAA5528-F3C2-45D9-AE1A-DDF18084438D}"/>
    <cellStyle name="Separador de milhares 5 3 2 2 4" xfId="24393" xr:uid="{049126D2-F591-49BF-B0E9-85C20D8A76F3}"/>
    <cellStyle name="Separador de milhares 5 3 2 2 4 2" xfId="44728" xr:uid="{D494A728-3DB3-40BB-B25F-BED292893FD8}"/>
    <cellStyle name="Separador de milhares 5 3 2 2 5" xfId="14727" xr:uid="{B0464A7D-2A05-40C4-980B-64E4BA7EB72D}"/>
    <cellStyle name="Separador de milhares 5 3 2 2 5 2" xfId="35068" xr:uid="{85F90A40-F792-410D-B529-B70066A34E56}"/>
    <cellStyle name="Separador de milhares 5 3 2 2 6" xfId="10849" xr:uid="{16D81C2A-577C-44C5-9E2C-8068B820A64B}"/>
    <cellStyle name="Separador de milhares 5 3 2 2 6 2" xfId="31192" xr:uid="{83E5AB29-4885-4480-90B2-570F9F517880}"/>
    <cellStyle name="Separador de milhares 5 3 2 2 7" xfId="27698" xr:uid="{A2AAFA23-9593-4325-8AD9-4F86C7297E18}"/>
    <cellStyle name="Separador de milhares 5 3 2 3" xfId="16478" xr:uid="{95A37235-2455-43D4-9DE2-BD71D0F2C427}"/>
    <cellStyle name="Separador de milhares 5 3 2 3 2" xfId="36818" xr:uid="{376E72DC-5560-46F6-A317-EB7EE6237CF0}"/>
    <cellStyle name="Separador de milhares 5 3 2 4" xfId="19980" xr:uid="{6E32C9BD-31E7-4FEF-AECB-EB2FA04056D5}"/>
    <cellStyle name="Separador de milhares 5 3 2 4 2" xfId="40319" xr:uid="{0590FF82-7ABB-44D7-B45A-3369C4B24033}"/>
    <cellStyle name="Separador de milhares 5 3 2 5" xfId="23235" xr:uid="{DD70BC58-534F-4BE4-BF71-DB2A01A63B0E}"/>
    <cellStyle name="Separador de milhares 5 3 2 5 2" xfId="43570" xr:uid="{1129989D-5A22-4691-8F0E-E8A78AC104AA}"/>
    <cellStyle name="Separador de milhares 5 3 2 6" xfId="13569" xr:uid="{407ED97A-3700-40BE-ADE2-20AEAB54F065}"/>
    <cellStyle name="Separador de milhares 5 3 2 6 2" xfId="33910" xr:uid="{B3ED3506-AB94-485F-9101-9271E28E03CD}"/>
    <cellStyle name="Separador de milhares 5 3 2 7" xfId="9691" xr:uid="{EEC302C5-D1D7-453B-A7A2-4231EE231F92}"/>
    <cellStyle name="Separador de milhares 5 3 2 7 2" xfId="30034" xr:uid="{1FC9A65F-5268-4479-BDF6-D53D62793B06}"/>
    <cellStyle name="Separador de milhares 5 3 2 8" xfId="26540" xr:uid="{5DD48B71-6F19-437C-836B-A979E7720AFB}"/>
    <cellStyle name="Separador de milhares 5 3 3" xfId="6769" xr:uid="{3A8908EF-FFAC-43E2-9ECF-F70A87D2388F}"/>
    <cellStyle name="Separador de milhares 5 3 3 2" xfId="17055" xr:uid="{2E497044-5BDC-475E-A5EE-93BF4AD47430}"/>
    <cellStyle name="Separador de milhares 5 3 3 2 2" xfId="37395" xr:uid="{D1C3BFC6-7C7E-4DA3-965F-A875C77A0B78}"/>
    <cellStyle name="Separador de milhares 5 3 3 3" xfId="20557" xr:uid="{8299842C-231F-42E2-B102-9019FFC90DA6}"/>
    <cellStyle name="Separador de milhares 5 3 3 3 2" xfId="40896" xr:uid="{8A8C8AD5-4268-42FF-9CC2-132375DFF9D6}"/>
    <cellStyle name="Separador de milhares 5 3 3 4" xfId="23812" xr:uid="{7C0A51B2-21A8-463B-9637-8CAC63E24149}"/>
    <cellStyle name="Separador de milhares 5 3 3 4 2" xfId="44147" xr:uid="{B73F53B3-ED13-4E80-B598-5263759F4E20}"/>
    <cellStyle name="Separador de milhares 5 3 3 5" xfId="14146" xr:uid="{85FCE337-54E3-4955-A1A5-BC5743F6EE5D}"/>
    <cellStyle name="Separador de milhares 5 3 3 5 2" xfId="34487" xr:uid="{7B9E3219-84A8-434D-9661-7300849F16B9}"/>
    <cellStyle name="Separador de milhares 5 3 3 6" xfId="10268" xr:uid="{3FFFC340-D940-46DB-86EE-2AB09339A216}"/>
    <cellStyle name="Separador de milhares 5 3 3 6 2" xfId="30611" xr:uid="{CFA4E224-6C76-4F3E-BA71-AA14DB8975FD}"/>
    <cellStyle name="Separador de milhares 5 3 3 7" xfId="27117" xr:uid="{15E13C25-2E08-4DCC-A09D-22F1FAA6C496}"/>
    <cellStyle name="Separador de milhares 5 3 4" xfId="7933" xr:uid="{33938469-3D1F-4CD8-B9E1-E4A937BA4135}"/>
    <cellStyle name="Separador de milhares 5 3 4 2" xfId="18218" xr:uid="{7987BC13-0D79-4BB3-833A-D4D6BF936E30}"/>
    <cellStyle name="Separador de milhares 5 3 4 2 2" xfId="38558" xr:uid="{895615D1-87E6-4762-A5AA-A52251482B61}"/>
    <cellStyle name="Separador de milhares 5 3 4 3" xfId="21720" xr:uid="{BE4D1F7A-BF91-48FB-8D15-753680E36B1F}"/>
    <cellStyle name="Separador de milhares 5 3 4 3 2" xfId="42059" xr:uid="{C526BEC3-89A5-44E4-9669-61634044ABFF}"/>
    <cellStyle name="Separador de milhares 5 3 4 4" xfId="24975" xr:uid="{C98D58B7-8A78-4563-B608-84874C99BC2E}"/>
    <cellStyle name="Separador de milhares 5 3 4 4 2" xfId="45310" xr:uid="{E33613BA-3F85-4E5F-9ACC-9151CE669CE0}"/>
    <cellStyle name="Separador de milhares 5 3 4 5" xfId="15310" xr:uid="{A021A86B-2B99-49EE-A0C2-92B2EB9D0DE2}"/>
    <cellStyle name="Separador de milhares 5 3 4 5 2" xfId="35650" xr:uid="{2D24170C-7BF0-4C25-90F4-C14E28B7C5FE}"/>
    <cellStyle name="Separador de milhares 5 3 4 6" xfId="11431" xr:uid="{904D1DDD-2F8C-4098-BF94-29070597B75F}"/>
    <cellStyle name="Separador de milhares 5 3 4 6 2" xfId="31774" xr:uid="{BC9F9392-7753-4C4E-B8D9-78B1CD26E05C}"/>
    <cellStyle name="Separador de milhares 5 3 4 7" xfId="28280" xr:uid="{A185C67D-2518-4443-B82C-5F5EDFDC12F6}"/>
    <cellStyle name="Separador de milhares 5 3 5" xfId="13000" xr:uid="{0AE117D0-10F0-4275-8C09-23B8347279B9}"/>
    <cellStyle name="Separador de milhares 5 3 5 2" xfId="33341" xr:uid="{0EF4AFB6-C505-4C5C-BB82-BFB0B20EF192}"/>
    <cellStyle name="Separador de milhares 5 3 6" xfId="15897" xr:uid="{271F08CA-472C-4221-A07D-991A6D65A343}"/>
    <cellStyle name="Separador de milhares 5 3 6 2" xfId="36237" xr:uid="{C097E56F-3664-4F37-BADD-153BEEFBEB3B}"/>
    <cellStyle name="Separador de milhares 5 3 7" xfId="18811" xr:uid="{3437FB6F-3546-481F-9F99-8DEE65CDB73F}"/>
    <cellStyle name="Separador de milhares 5 3 7 2" xfId="39151" xr:uid="{8A567360-D6D2-4BE5-A76B-441B7DB32F4B}"/>
    <cellStyle name="Separador de milhares 5 3 8" xfId="19399" xr:uid="{144CA1C3-13AF-4436-A3F5-08A93356F425}"/>
    <cellStyle name="Separador de milhares 5 3 8 2" xfId="39738" xr:uid="{B0BA5569-42BE-4E6D-A902-90E57746EE0D}"/>
    <cellStyle name="Separador de milhares 5 3 9" xfId="22654" xr:uid="{925710B8-B698-4EDB-9AAA-74126D9B94E0}"/>
    <cellStyle name="Separador de milhares 5 3 9 2" xfId="42989" xr:uid="{C86CB89B-4181-48EB-BB8A-BECCE534723F}"/>
    <cellStyle name="Separador de milhares 5 4" xfId="5848" xr:uid="{4924E140-816C-4E2A-BFD7-FD1DC4194844}"/>
    <cellStyle name="Separador de milhares 5 4 2" xfId="7006" xr:uid="{99724D6B-E1F4-4086-B4B3-8C9A20C53F3C}"/>
    <cellStyle name="Separador de milhares 5 4 2 2" xfId="17292" xr:uid="{84592133-1CBA-44BD-AA7C-A7C08165745D}"/>
    <cellStyle name="Separador de milhares 5 4 2 2 2" xfId="37632" xr:uid="{DCF2D143-D4DF-4015-ACDC-DB0E299F4BD8}"/>
    <cellStyle name="Separador de milhares 5 4 2 3" xfId="20794" xr:uid="{50321C5A-6450-4D2B-B564-24A687766023}"/>
    <cellStyle name="Separador de milhares 5 4 2 3 2" xfId="41133" xr:uid="{F3DBA51D-6E1A-4727-8EE3-65C99DAF6B1C}"/>
    <cellStyle name="Separador de milhares 5 4 2 4" xfId="24049" xr:uid="{27115395-92E1-4BBD-B139-3F49763E2A5D}"/>
    <cellStyle name="Separador de milhares 5 4 2 4 2" xfId="44384" xr:uid="{5FF76BC6-1C5C-4658-9C3B-B5A4D34AEF2A}"/>
    <cellStyle name="Separador de milhares 5 4 2 5" xfId="14383" xr:uid="{4874D3F6-FADA-431D-9138-439DC75457D6}"/>
    <cellStyle name="Separador de milhares 5 4 2 5 2" xfId="34724" xr:uid="{CD84BC86-A450-4240-9B57-6A15A4B20B2C}"/>
    <cellStyle name="Separador de milhares 5 4 2 6" xfId="10505" xr:uid="{579679BC-18DE-4128-A235-109D7A2FD839}"/>
    <cellStyle name="Separador de milhares 5 4 2 6 2" xfId="30848" xr:uid="{D49FD0F3-B9D5-4D61-AC1F-D36E8DE1F578}"/>
    <cellStyle name="Separador de milhares 5 4 2 7" xfId="27354" xr:uid="{31885C4F-1B49-490C-8F43-60C237E7A1C4}"/>
    <cellStyle name="Separador de milhares 5 4 3" xfId="16134" xr:uid="{166961A2-AEB4-4335-8360-CA130B7F45C4}"/>
    <cellStyle name="Separador de milhares 5 4 3 2" xfId="36474" xr:uid="{F927E47D-6DE1-4C98-813D-AADC24BDE472}"/>
    <cellStyle name="Separador de milhares 5 4 4" xfId="19636" xr:uid="{D4A363F4-9D8B-4055-90B0-29CB84E430D7}"/>
    <cellStyle name="Separador de milhares 5 4 4 2" xfId="39975" xr:uid="{97DD8AD4-AD55-44A7-93CB-B443DFF8D5F6}"/>
    <cellStyle name="Separador de milhares 5 4 5" xfId="22891" xr:uid="{7629A30E-865F-4AA8-95C8-0EDE5B79FC7E}"/>
    <cellStyle name="Separador de milhares 5 4 5 2" xfId="43226" xr:uid="{AFE2AC0A-BAD9-4CC7-BEFC-0B546D88FD6F}"/>
    <cellStyle name="Separador de milhares 5 4 6" xfId="13227" xr:uid="{44495791-CF6B-4EF4-80F2-D82FFEFBC106}"/>
    <cellStyle name="Separador de milhares 5 4 6 2" xfId="33568" xr:uid="{7A3AA165-C270-4E42-8599-777E7E68BC7A}"/>
    <cellStyle name="Separador de milhares 5 4 7" xfId="9347" xr:uid="{49DEA69C-6C94-4E5A-B877-EBB78876BBEB}"/>
    <cellStyle name="Separador de milhares 5 4 7 2" xfId="29690" xr:uid="{4C97BDFA-2EA8-4215-86A9-2DAD07C015A0}"/>
    <cellStyle name="Separador de milhares 5 4 8" xfId="26196" xr:uid="{B705E609-932B-4C3A-8D98-079290ABBBE3}"/>
    <cellStyle name="Separador de milhares 5 5" xfId="6425" xr:uid="{1C0845FC-4CEC-4171-A6E2-2AA27BA320D0}"/>
    <cellStyle name="Separador de milhares 5 5 2" xfId="16711" xr:uid="{128AA7BA-A400-4EC6-B109-5651060CD2F3}"/>
    <cellStyle name="Separador de milhares 5 5 2 2" xfId="37051" xr:uid="{ECA09404-C168-40B4-AFED-B9285A0B9514}"/>
    <cellStyle name="Separador de milhares 5 5 3" xfId="20213" xr:uid="{AAA5B7A6-B5AB-4A6E-9F53-B2639E1D38DC}"/>
    <cellStyle name="Separador de milhares 5 5 3 2" xfId="40552" xr:uid="{754BF396-7333-4B36-BB9E-3666FBC97044}"/>
    <cellStyle name="Separador de milhares 5 5 4" xfId="23468" xr:uid="{9932D38E-2387-4CD9-93F3-D033F89B9B4D}"/>
    <cellStyle name="Separador de milhares 5 5 4 2" xfId="43803" xr:uid="{2E5ED3C2-01C2-4147-992D-9E10CE8A85D0}"/>
    <cellStyle name="Separador de milhares 5 5 5" xfId="13802" xr:uid="{2798940E-FFFF-44E6-91BC-5AE4E7E362D5}"/>
    <cellStyle name="Separador de milhares 5 5 5 2" xfId="34143" xr:uid="{D6DEC866-0EC4-4C0B-B009-2EA8E703AB95}"/>
    <cellStyle name="Separador de milhares 5 5 6" xfId="9924" xr:uid="{1C36AED1-EBFB-4EF7-B4BA-FFAB1C8C93C8}"/>
    <cellStyle name="Separador de milhares 5 5 6 2" xfId="30267" xr:uid="{C64B9695-8A66-47FE-BC6E-86D06B70A5D4}"/>
    <cellStyle name="Separador de milhares 5 5 7" xfId="26773" xr:uid="{47E4FF43-E07C-4FDC-BA4F-371108C534F2}"/>
    <cellStyle name="Separador de milhares 5 6" xfId="7589" xr:uid="{06E9A330-63BE-4718-A163-C114A1D9B685}"/>
    <cellStyle name="Separador de milhares 5 6 2" xfId="17874" xr:uid="{7B9E1ECF-F4CF-4B95-B576-DCC17BB43EFD}"/>
    <cellStyle name="Separador de milhares 5 6 2 2" xfId="38214" xr:uid="{FEAE9614-2AA9-4B0D-9B2C-BCB7C11927E0}"/>
    <cellStyle name="Separador de milhares 5 6 3" xfId="21376" xr:uid="{1F44B8E2-3FEE-4B22-B5B8-2471907B3F79}"/>
    <cellStyle name="Separador de milhares 5 6 3 2" xfId="41715" xr:uid="{07FE3D21-70BB-4E7A-A8F4-5DE694F82643}"/>
    <cellStyle name="Separador de milhares 5 6 4" xfId="24631" xr:uid="{A06A6CE7-18B3-4626-A0F0-AB7EDD5E6C0A}"/>
    <cellStyle name="Separador de milhares 5 6 4 2" xfId="44966" xr:uid="{1521BFC3-E475-470D-A564-7EF6A6D58988}"/>
    <cellStyle name="Separador de milhares 5 6 5" xfId="14966" xr:uid="{698C3387-6E75-41B1-BB8A-27CCE32F3AF0}"/>
    <cellStyle name="Separador de milhares 5 6 5 2" xfId="35306" xr:uid="{259D0AF6-89C2-417D-843B-C0B201BE5EFA}"/>
    <cellStyle name="Separador de milhares 5 6 6" xfId="11087" xr:uid="{1AA458D2-5BAC-4DE1-ABAF-B19780AFB5D6}"/>
    <cellStyle name="Separador de milhares 5 6 6 2" xfId="31430" xr:uid="{EA5D2803-9275-4B0E-B9E0-DCA5463C5CCB}"/>
    <cellStyle name="Separador de milhares 5 6 7" xfId="27936" xr:uid="{F36A7342-0048-47F3-AA20-49771DE0C41E}"/>
    <cellStyle name="Separador de milhares 5 7" xfId="12658" xr:uid="{540EB911-D99E-4EF6-ABDA-AC473887545F}"/>
    <cellStyle name="Separador de milhares 5 7 2" xfId="32999" xr:uid="{C1F68680-4C8E-4990-A200-1138146CCB6F}"/>
    <cellStyle name="Separador de milhares 5 8" xfId="15553" xr:uid="{444D71C3-724C-42D2-910A-7C6389CDA610}"/>
    <cellStyle name="Separador de milhares 5 8 2" xfId="35893" xr:uid="{C4FCA625-E731-468F-B078-CD0BA7F63567}"/>
    <cellStyle name="Separador de milhares 5 9" xfId="18467" xr:uid="{8ADEAD3B-AD83-4391-965C-5CF75E1CE0C6}"/>
    <cellStyle name="Separador de milhares 5 9 2" xfId="38807" xr:uid="{1117FE08-9F36-4AE1-8288-CFF4C052B53B}"/>
    <cellStyle name="Separador de milhares 6" xfId="5298" xr:uid="{5026E0B8-883F-421D-A845-5E71650B4834}"/>
    <cellStyle name="Separador de milhares 6 10" xfId="19056" xr:uid="{7F8BD22E-47B3-42E8-9D4C-483A54A9D4F5}"/>
    <cellStyle name="Separador de milhares 6 10 2" xfId="39395" xr:uid="{29485949-3C40-49B7-9265-ED87B118741A}"/>
    <cellStyle name="Separador de milhares 6 11" xfId="22311" xr:uid="{CB9EAB30-5BB4-402E-9500-5B25138E095E}"/>
    <cellStyle name="Separador de milhares 6 11 2" xfId="42646" xr:uid="{67D4A7D7-4179-48D7-811F-673979123895}"/>
    <cellStyle name="Separador de milhares 6 12" xfId="12028" xr:uid="{86547A23-89E0-4AA7-80C5-FCFD6DD694CC}"/>
    <cellStyle name="Separador de milhares 6 12 2" xfId="32369" xr:uid="{ADAB95F4-22DD-4319-BEED-06EEA656AED4}"/>
    <cellStyle name="Separador de milhares 6 13" xfId="8767" xr:uid="{CDCFFE32-3035-426E-8FA6-1D4F81E97359}"/>
    <cellStyle name="Separador de milhares 6 13 2" xfId="29110" xr:uid="{1BA561F7-ED8B-49FF-A490-554CBACAA275}"/>
    <cellStyle name="Separador de milhares 6 14" xfId="25616" xr:uid="{9894F1F1-5941-433D-A226-CBFDC3B91AAB}"/>
    <cellStyle name="Separador de milhares 6 2" xfId="5400" xr:uid="{C1BB15C7-CF74-4FE4-B4F0-976B2DAA4F7F}"/>
    <cellStyle name="Separador de milhares 6 2 10" xfId="12143" xr:uid="{40548215-DCBA-4DC9-B878-CD544B69768B}"/>
    <cellStyle name="Separador de milhares 6 2 10 2" xfId="32484" xr:uid="{E2CCB178-273E-4E23-8599-414A46C7B352}"/>
    <cellStyle name="Separador de milhares 6 2 11" xfId="8882" xr:uid="{6C093FA3-32E3-4D25-A1E6-65ABD1ECF744}"/>
    <cellStyle name="Separador de milhares 6 2 11 2" xfId="29225" xr:uid="{A23E65B6-4FFA-47C1-A064-E0FB872DDA82}"/>
    <cellStyle name="Separador de milhares 6 2 12" xfId="25731" xr:uid="{E30A193D-9FC8-4F23-AF18-7E532E18FCCC}"/>
    <cellStyle name="Separador de milhares 6 2 2" xfId="5964" xr:uid="{E4F28611-82CA-415F-A983-CE3EBABC8034}"/>
    <cellStyle name="Separador de milhares 6 2 2 2" xfId="7122" xr:uid="{B7E9C7FB-34D2-4816-8DB7-01E2D13E6D08}"/>
    <cellStyle name="Separador de milhares 6 2 2 2 2" xfId="17408" xr:uid="{E59BBF88-D64F-4507-A49E-7C2B1816DDA2}"/>
    <cellStyle name="Separador de milhares 6 2 2 2 2 2" xfId="37748" xr:uid="{276C7212-D023-48E2-A38F-3644F4870837}"/>
    <cellStyle name="Separador de milhares 6 2 2 2 3" xfId="20910" xr:uid="{3A794AED-140E-4101-88E8-65405736662C}"/>
    <cellStyle name="Separador de milhares 6 2 2 2 3 2" xfId="41249" xr:uid="{A70635D6-E68A-4E3B-B5A3-0117E8D22A00}"/>
    <cellStyle name="Separador de milhares 6 2 2 2 4" xfId="24165" xr:uid="{82263DE4-1E99-4BED-BAF6-5109EE5C1B99}"/>
    <cellStyle name="Separador de milhares 6 2 2 2 4 2" xfId="44500" xr:uid="{B90D5B13-FF3D-4D6F-94A7-BC514AA00804}"/>
    <cellStyle name="Separador de milhares 6 2 2 2 5" xfId="14499" xr:uid="{0B163BE5-0AED-49CE-AA1C-16087F6DF85C}"/>
    <cellStyle name="Separador de milhares 6 2 2 2 5 2" xfId="34840" xr:uid="{361B8C11-C847-495E-97D7-0186602C1798}"/>
    <cellStyle name="Separador de milhares 6 2 2 2 6" xfId="10621" xr:uid="{80FF5A98-CB09-4ABE-9CC3-27394073CF09}"/>
    <cellStyle name="Separador de milhares 6 2 2 2 6 2" xfId="30964" xr:uid="{072D334E-69CB-4029-A0CE-CF92E7568489}"/>
    <cellStyle name="Separador de milhares 6 2 2 2 7" xfId="27470" xr:uid="{0088EDCA-EF78-46A2-9AE0-E8BFFB622D75}"/>
    <cellStyle name="Separador de milhares 6 2 2 3" xfId="16250" xr:uid="{775F40D4-B80E-47FA-A7E3-C56853E388F3}"/>
    <cellStyle name="Separador de milhares 6 2 2 3 2" xfId="36590" xr:uid="{A92B0B22-2781-4214-B33A-621B45B38D30}"/>
    <cellStyle name="Separador de milhares 6 2 2 4" xfId="19752" xr:uid="{9647C752-A96C-4012-8C74-CD8A265B7274}"/>
    <cellStyle name="Separador de milhares 6 2 2 4 2" xfId="40091" xr:uid="{803A227E-786C-421F-A310-83EA98CF4958}"/>
    <cellStyle name="Separador de milhares 6 2 2 5" xfId="23007" xr:uid="{DA3BAD0A-486B-44CB-B53A-A7AEC8B54640}"/>
    <cellStyle name="Separador de milhares 6 2 2 5 2" xfId="43342" xr:uid="{0E09010D-E178-488C-8942-5C03511C6809}"/>
    <cellStyle name="Separador de milhares 6 2 2 6" xfId="13341" xr:uid="{22124AB9-0BC8-49E8-B36A-35786A61F320}"/>
    <cellStyle name="Separador de milhares 6 2 2 6 2" xfId="33682" xr:uid="{E2146595-C714-4EF2-8160-E27ADFB452FC}"/>
    <cellStyle name="Separador de milhares 6 2 2 7" xfId="9463" xr:uid="{7FB8F088-B8C2-44BC-9F08-2B4E54F2D5FE}"/>
    <cellStyle name="Separador de milhares 6 2 2 7 2" xfId="29806" xr:uid="{7E027DE0-8D83-4879-A3AB-915D359CE6C9}"/>
    <cellStyle name="Separador de milhares 6 2 2 8" xfId="26312" xr:uid="{3D44232B-E5A2-445F-9597-45396CC5D1CB}"/>
    <cellStyle name="Separador de milhares 6 2 3" xfId="6541" xr:uid="{950EA5E3-8C3E-423F-970C-57F6B7E5ADE6}"/>
    <cellStyle name="Separador de milhares 6 2 3 2" xfId="16827" xr:uid="{3086F8CD-3A26-47EB-84B5-48EE9029A7BC}"/>
    <cellStyle name="Separador de milhares 6 2 3 2 2" xfId="37167" xr:uid="{F92B9A9A-E9D8-4230-A814-B3F6D03BD786}"/>
    <cellStyle name="Separador de milhares 6 2 3 3" xfId="20329" xr:uid="{D5A25C10-109B-43BF-858D-1BA487B00755}"/>
    <cellStyle name="Separador de milhares 6 2 3 3 2" xfId="40668" xr:uid="{42171813-F917-49FA-A04F-7A3DA4F1AA55}"/>
    <cellStyle name="Separador de milhares 6 2 3 4" xfId="23584" xr:uid="{9B26AFFA-2C9C-4D9B-A420-D977A2B6870B}"/>
    <cellStyle name="Separador de milhares 6 2 3 4 2" xfId="43919" xr:uid="{24947613-014E-457F-B0E6-827E3AF3F9B2}"/>
    <cellStyle name="Separador de milhares 6 2 3 5" xfId="13918" xr:uid="{774184A7-074B-466C-B21D-C8023979D99E}"/>
    <cellStyle name="Separador de milhares 6 2 3 5 2" xfId="34259" xr:uid="{87503C08-189D-4C7A-BFF0-EA242468CC80}"/>
    <cellStyle name="Separador de milhares 6 2 3 6" xfId="10040" xr:uid="{49AF8A7A-837F-4B8F-8FDA-FFD0E849D5C9}"/>
    <cellStyle name="Separador de milhares 6 2 3 6 2" xfId="30383" xr:uid="{6021F55E-347A-4F84-BD9B-3AD25E30B7B3}"/>
    <cellStyle name="Separador de milhares 6 2 3 7" xfId="26889" xr:uid="{04684B76-D3A8-43D7-A369-23B95DD0829B}"/>
    <cellStyle name="Separador de milhares 6 2 4" xfId="7705" xr:uid="{11C8E71A-60E8-4F8D-9065-EC25DBC5BE7A}"/>
    <cellStyle name="Separador de milhares 6 2 4 2" xfId="17990" xr:uid="{658985FB-933F-4BF3-97EF-36A353E4F0C9}"/>
    <cellStyle name="Separador de milhares 6 2 4 2 2" xfId="38330" xr:uid="{43E4F3F3-9D69-4216-9163-3954DF490DD3}"/>
    <cellStyle name="Separador de milhares 6 2 4 3" xfId="21492" xr:uid="{0BA73475-7232-45D1-ABC1-E0CB138F7E2E}"/>
    <cellStyle name="Separador de milhares 6 2 4 3 2" xfId="41831" xr:uid="{894F440D-1191-4780-9081-65057A51F378}"/>
    <cellStyle name="Separador de milhares 6 2 4 4" xfId="24747" xr:uid="{C070D914-5DED-4D03-AAB0-9E7F3DF94C77}"/>
    <cellStyle name="Separador de milhares 6 2 4 4 2" xfId="45082" xr:uid="{D8BD98D0-B190-41EC-951E-1F20EA0B7767}"/>
    <cellStyle name="Separador de milhares 6 2 4 5" xfId="15082" xr:uid="{D6CDC881-0AFD-4543-82AA-A70847557EC0}"/>
    <cellStyle name="Separador de milhares 6 2 4 5 2" xfId="35422" xr:uid="{3047D75B-6A70-4C8A-99FD-157FED55AA82}"/>
    <cellStyle name="Separador de milhares 6 2 4 6" xfId="11203" xr:uid="{A273F090-AE83-4244-8C45-AD2EC373AB80}"/>
    <cellStyle name="Separador de milhares 6 2 4 6 2" xfId="31546" xr:uid="{BEFC418E-5DCB-4636-B241-54009278C68F}"/>
    <cellStyle name="Separador de milhares 6 2 4 7" xfId="28052" xr:uid="{96FDBB68-B6EF-43D1-9E1F-0A49547AC511}"/>
    <cellStyle name="Separador de milhares 6 2 5" xfId="12772" xr:uid="{E1BD0CDF-5A10-4586-B224-C36947C4ACCD}"/>
    <cellStyle name="Separador de milhares 6 2 5 2" xfId="33113" xr:uid="{FADED18C-994F-4AE0-A24D-444E78A5EA53}"/>
    <cellStyle name="Separador de milhares 6 2 6" xfId="15669" xr:uid="{A568C2F1-749D-431D-9022-4013AA892608}"/>
    <cellStyle name="Separador de milhares 6 2 6 2" xfId="36009" xr:uid="{BAB152C8-5FE6-41AE-A96C-8ACBD76DE292}"/>
    <cellStyle name="Separador de milhares 6 2 7" xfId="18583" xr:uid="{80C098F6-1A87-427B-B144-44FFCD22DE09}"/>
    <cellStyle name="Separador de milhares 6 2 7 2" xfId="38923" xr:uid="{5E0F4CE3-BA9A-480D-B92A-278703FDD597}"/>
    <cellStyle name="Separador de milhares 6 2 8" xfId="19171" xr:uid="{2A5D7463-FB71-4B02-8331-56CE0199F208}"/>
    <cellStyle name="Separador de milhares 6 2 8 2" xfId="39510" xr:uid="{E27B8B90-3351-4D4B-99B3-A9E3B14E9B21}"/>
    <cellStyle name="Separador de milhares 6 2 9" xfId="22426" xr:uid="{C5ED3ADC-5888-4664-A66C-FB419DB29367}"/>
    <cellStyle name="Separador de milhares 6 2 9 2" xfId="42761" xr:uid="{57CA6BA9-50B0-4D41-B40D-4263F149B4A7}"/>
    <cellStyle name="Separador de milhares 6 3" xfId="5621" xr:uid="{EF93B2E9-31DB-4563-B20A-BD0DF095920C}"/>
    <cellStyle name="Separador de milhares 6 3 10" xfId="12372" xr:uid="{A301FA6E-C2C0-4DB6-8933-0CF68E2C90CB}"/>
    <cellStyle name="Separador de milhares 6 3 10 2" xfId="32713" xr:uid="{A837A456-1826-4578-A835-C0A962C351FA}"/>
    <cellStyle name="Separador de milhares 6 3 11" xfId="9111" xr:uid="{F01EF794-6F7F-4E55-B46B-AAA42C42B9C2}"/>
    <cellStyle name="Separador de milhares 6 3 11 2" xfId="29454" xr:uid="{EC440C3D-CC31-4912-A402-D4C27C3706F2}"/>
    <cellStyle name="Separador de milhares 6 3 12" xfId="25960" xr:uid="{E85D4ADB-BC6C-41B4-BBD0-1421770CCCB2}"/>
    <cellStyle name="Separador de milhares 6 3 2" xfId="6193" xr:uid="{869C689B-A6DD-4BA3-ACA5-05784D0D2785}"/>
    <cellStyle name="Separador de milhares 6 3 2 2" xfId="7351" xr:uid="{2D6AE8F4-3817-4CBA-8C61-9AFD8D6EEEB2}"/>
    <cellStyle name="Separador de milhares 6 3 2 2 2" xfId="17637" xr:uid="{9CC71AF8-2117-480B-81DF-4AFB20BF4887}"/>
    <cellStyle name="Separador de milhares 6 3 2 2 2 2" xfId="37977" xr:uid="{FF521A32-5D69-4A16-AD6B-EA39C59AEF2F}"/>
    <cellStyle name="Separador de milhares 6 3 2 2 3" xfId="21139" xr:uid="{D893922D-80E1-4DA8-ABA9-F66F45289513}"/>
    <cellStyle name="Separador de milhares 6 3 2 2 3 2" xfId="41478" xr:uid="{6E90BDAF-7CBE-479F-9F2A-22A3B3EE7B5F}"/>
    <cellStyle name="Separador de milhares 6 3 2 2 4" xfId="24394" xr:uid="{83C1C9AF-4E56-40A0-B297-D5787EE25933}"/>
    <cellStyle name="Separador de milhares 6 3 2 2 4 2" xfId="44729" xr:uid="{416ABD9E-3FC2-4140-AB18-1CA26DD0910B}"/>
    <cellStyle name="Separador de milhares 6 3 2 2 5" xfId="14728" xr:uid="{47C855C0-42BD-4453-9C17-DF877489994E}"/>
    <cellStyle name="Separador de milhares 6 3 2 2 5 2" xfId="35069" xr:uid="{D63821EA-C746-4269-91E3-313DAF0B8FE6}"/>
    <cellStyle name="Separador de milhares 6 3 2 2 6" xfId="10850" xr:uid="{D0CE7912-A5B7-4AEC-BB78-B2838355E969}"/>
    <cellStyle name="Separador de milhares 6 3 2 2 6 2" xfId="31193" xr:uid="{7542A658-510A-4AE5-A916-5036CA6959A9}"/>
    <cellStyle name="Separador de milhares 6 3 2 2 7" xfId="27699" xr:uid="{973EEC80-FF9F-4FC8-B392-BAC945C920D1}"/>
    <cellStyle name="Separador de milhares 6 3 2 3" xfId="16479" xr:uid="{5AC9A174-45D6-46F5-AC70-8F936F9B7468}"/>
    <cellStyle name="Separador de milhares 6 3 2 3 2" xfId="36819" xr:uid="{FBA98003-1316-4D63-86D1-77FFEEEDBE13}"/>
    <cellStyle name="Separador de milhares 6 3 2 4" xfId="19981" xr:uid="{35E9BBA9-3783-4386-B945-F8C0F9743066}"/>
    <cellStyle name="Separador de milhares 6 3 2 4 2" xfId="40320" xr:uid="{A094F7B9-D789-4978-A749-B77F01A36B84}"/>
    <cellStyle name="Separador de milhares 6 3 2 5" xfId="23236" xr:uid="{51D8D32B-53CB-49D0-B621-E403F38725EE}"/>
    <cellStyle name="Separador de milhares 6 3 2 5 2" xfId="43571" xr:uid="{6CD7A33F-2325-4956-AFE9-90A5435F7DAB}"/>
    <cellStyle name="Separador de milhares 6 3 2 6" xfId="13570" xr:uid="{C73B1C75-5C2C-4628-849B-9315253B409E}"/>
    <cellStyle name="Separador de milhares 6 3 2 6 2" xfId="33911" xr:uid="{A542144D-76B8-4603-9754-3F44DF544E37}"/>
    <cellStyle name="Separador de milhares 6 3 2 7" xfId="9692" xr:uid="{8F3D7955-B9BB-4D10-BF80-1C4A4F28AE05}"/>
    <cellStyle name="Separador de milhares 6 3 2 7 2" xfId="30035" xr:uid="{44296BA5-7DD2-47DC-BD40-D348D29A8B23}"/>
    <cellStyle name="Separador de milhares 6 3 2 8" xfId="26541" xr:uid="{D14367A7-19E9-4615-A1B7-043914517C46}"/>
    <cellStyle name="Separador de milhares 6 3 3" xfId="6770" xr:uid="{A95566EE-AB82-481F-BD45-0F2784A5D3AF}"/>
    <cellStyle name="Separador de milhares 6 3 3 2" xfId="17056" xr:uid="{CD20E985-5E68-47B8-97F6-D322963451F7}"/>
    <cellStyle name="Separador de milhares 6 3 3 2 2" xfId="37396" xr:uid="{5D95FB50-EC5E-43EB-8780-E5D621C49E45}"/>
    <cellStyle name="Separador de milhares 6 3 3 3" xfId="20558" xr:uid="{57BE31FE-7831-4C04-A535-15A0A1DC9295}"/>
    <cellStyle name="Separador de milhares 6 3 3 3 2" xfId="40897" xr:uid="{0EFDDE9D-9357-4072-BA7A-9D6178DD69A9}"/>
    <cellStyle name="Separador de milhares 6 3 3 4" xfId="23813" xr:uid="{272B9E85-B339-46B8-9AD8-0B6977C3F8F2}"/>
    <cellStyle name="Separador de milhares 6 3 3 4 2" xfId="44148" xr:uid="{8C45F2DB-28B7-4605-BC61-7FDA5CC1EC7A}"/>
    <cellStyle name="Separador de milhares 6 3 3 5" xfId="14147" xr:uid="{8B6FAD99-D8D1-40DD-AFFF-6A1A3CF742D3}"/>
    <cellStyle name="Separador de milhares 6 3 3 5 2" xfId="34488" xr:uid="{C7CAFF82-6278-4368-A13E-02535CCB4E5C}"/>
    <cellStyle name="Separador de milhares 6 3 3 6" xfId="10269" xr:uid="{7DE8C41C-4FCC-41A4-8197-B9AC8170CC54}"/>
    <cellStyle name="Separador de milhares 6 3 3 6 2" xfId="30612" xr:uid="{79CE2DCF-1EC9-4EC0-8853-7C30FC7F814D}"/>
    <cellStyle name="Separador de milhares 6 3 3 7" xfId="27118" xr:uid="{52439D5B-24F0-4906-8682-9790CBE7441B}"/>
    <cellStyle name="Separador de milhares 6 3 4" xfId="7934" xr:uid="{FA72173B-0777-4349-A79C-DE68B0353922}"/>
    <cellStyle name="Separador de milhares 6 3 4 2" xfId="18219" xr:uid="{54E33BCB-4DCD-4AE7-BEA1-240D7BD84A5E}"/>
    <cellStyle name="Separador de milhares 6 3 4 2 2" xfId="38559" xr:uid="{D5336994-D9EE-4219-AC11-99D8C3A4E3BD}"/>
    <cellStyle name="Separador de milhares 6 3 4 3" xfId="21721" xr:uid="{F3D32094-3ADB-4FAA-A2AC-4B79CD020868}"/>
    <cellStyle name="Separador de milhares 6 3 4 3 2" xfId="42060" xr:uid="{8D0C50B1-00E2-437A-8A59-6CEE06A8310B}"/>
    <cellStyle name="Separador de milhares 6 3 4 4" xfId="24976" xr:uid="{676F651E-D0A9-4115-BC23-70B0B59D208A}"/>
    <cellStyle name="Separador de milhares 6 3 4 4 2" xfId="45311" xr:uid="{13AB6FC2-6619-4CBD-97FF-FE69B6BC9371}"/>
    <cellStyle name="Separador de milhares 6 3 4 5" xfId="15311" xr:uid="{7B1FD565-31AB-48BB-A9A5-12DBB6F0ADB7}"/>
    <cellStyle name="Separador de milhares 6 3 4 5 2" xfId="35651" xr:uid="{E60C464D-31F3-446E-88EE-07CF75CC3D1C}"/>
    <cellStyle name="Separador de milhares 6 3 4 6" xfId="11432" xr:uid="{B0804AE0-BC05-4B42-9140-9BA32B1DAC87}"/>
    <cellStyle name="Separador de milhares 6 3 4 6 2" xfId="31775" xr:uid="{A3BBBC30-C6EC-4B8E-AAA1-237C94094257}"/>
    <cellStyle name="Separador de milhares 6 3 4 7" xfId="28281" xr:uid="{90D39A5E-68EA-4EB9-8B35-F7833925C149}"/>
    <cellStyle name="Separador de milhares 6 3 5" xfId="13001" xr:uid="{62439B1E-6750-47D5-9552-0AF85A368E6A}"/>
    <cellStyle name="Separador de milhares 6 3 5 2" xfId="33342" xr:uid="{33D301D6-E857-459C-9967-CF8FA53D3170}"/>
    <cellStyle name="Separador de milhares 6 3 6" xfId="15898" xr:uid="{F3E3C82C-60C0-42AC-BB0D-656C2F6F78EE}"/>
    <cellStyle name="Separador de milhares 6 3 6 2" xfId="36238" xr:uid="{5FEBF474-FB62-4D46-9918-83A430F629C7}"/>
    <cellStyle name="Separador de milhares 6 3 7" xfId="18812" xr:uid="{44BEC6EC-8005-420D-9531-C73E6B688FD5}"/>
    <cellStyle name="Separador de milhares 6 3 7 2" xfId="39152" xr:uid="{A26A534F-844D-491B-8155-B5EEBCBFBDC3}"/>
    <cellStyle name="Separador de milhares 6 3 8" xfId="19400" xr:uid="{BD8B5B45-3E45-44F3-B842-2FE334D3222F}"/>
    <cellStyle name="Separador de milhares 6 3 8 2" xfId="39739" xr:uid="{929726A4-60C6-448C-8EAC-404332D29AC3}"/>
    <cellStyle name="Separador de milhares 6 3 9" xfId="22655" xr:uid="{941C1768-4931-400D-99E6-CE4C777E4C9D}"/>
    <cellStyle name="Separador de milhares 6 3 9 2" xfId="42990" xr:uid="{39B3BD4F-8C31-46E9-A4CF-39E8608B18B2}"/>
    <cellStyle name="Separador de milhares 6 4" xfId="5849" xr:uid="{207B9FB6-E275-45DF-AD06-7FEC9BCDB286}"/>
    <cellStyle name="Separador de milhares 6 4 2" xfId="7007" xr:uid="{3DC69C8F-B49B-476A-94EA-5E35B24F9E3C}"/>
    <cellStyle name="Separador de milhares 6 4 2 2" xfId="17293" xr:uid="{ACD8B125-F30F-48B5-B28C-FB77A4D3A4AB}"/>
    <cellStyle name="Separador de milhares 6 4 2 2 2" xfId="37633" xr:uid="{BE3C7072-8F5B-4ED9-8912-7CF873F1F006}"/>
    <cellStyle name="Separador de milhares 6 4 2 3" xfId="20795" xr:uid="{DBA695ED-5534-4E9D-B720-6D3690FD54E6}"/>
    <cellStyle name="Separador de milhares 6 4 2 3 2" xfId="41134" xr:uid="{307DB3C1-18FB-468B-938B-7681D6BBFD31}"/>
    <cellStyle name="Separador de milhares 6 4 2 4" xfId="24050" xr:uid="{CA6A7864-B6C9-459D-9682-E575C331E5B3}"/>
    <cellStyle name="Separador de milhares 6 4 2 4 2" xfId="44385" xr:uid="{CDF6D7BE-02F4-45F9-8866-A65C91407EE0}"/>
    <cellStyle name="Separador de milhares 6 4 2 5" xfId="14384" xr:uid="{D221D8C1-CC43-49CE-829B-29C532635C42}"/>
    <cellStyle name="Separador de milhares 6 4 2 5 2" xfId="34725" xr:uid="{3BB12A05-F5CA-46F9-9732-1324DB5EB56C}"/>
    <cellStyle name="Separador de milhares 6 4 2 6" xfId="10506" xr:uid="{3194AB76-76B3-406B-8CD5-B3B54181B3F3}"/>
    <cellStyle name="Separador de milhares 6 4 2 6 2" xfId="30849" xr:uid="{63656777-FA25-4B38-A48C-129ABCB2DB4C}"/>
    <cellStyle name="Separador de milhares 6 4 2 7" xfId="27355" xr:uid="{042885F5-2468-430E-B411-D38E2D251E7A}"/>
    <cellStyle name="Separador de milhares 6 4 3" xfId="16135" xr:uid="{699F27BE-7E06-4F12-A844-90C08A07654E}"/>
    <cellStyle name="Separador de milhares 6 4 3 2" xfId="36475" xr:uid="{086484BB-7B04-4180-B527-0DF1142D211A}"/>
    <cellStyle name="Separador de milhares 6 4 4" xfId="19637" xr:uid="{44596715-70A2-4230-90EF-7A2FF5EBBA0F}"/>
    <cellStyle name="Separador de milhares 6 4 4 2" xfId="39976" xr:uid="{1547268E-1975-4850-8D9B-557894C3B594}"/>
    <cellStyle name="Separador de milhares 6 4 5" xfId="22892" xr:uid="{8DC393FD-0153-4EF8-A298-DBCB01499346}"/>
    <cellStyle name="Separador de milhares 6 4 5 2" xfId="43227" xr:uid="{CCF60AE1-A6C2-4385-A340-41CD51600C2D}"/>
    <cellStyle name="Separador de milhares 6 4 6" xfId="13228" xr:uid="{E495BCA5-A270-4CEA-BEC2-B70009F2F2FB}"/>
    <cellStyle name="Separador de milhares 6 4 6 2" xfId="33569" xr:uid="{007A9CFA-A97D-4F4E-9FDF-9D41DFE5903C}"/>
    <cellStyle name="Separador de milhares 6 4 7" xfId="9348" xr:uid="{180B4F48-77FC-424D-A69C-5FD68A678871}"/>
    <cellStyle name="Separador de milhares 6 4 7 2" xfId="29691" xr:uid="{D30CC5A3-C553-4183-B187-36F38D92CB7C}"/>
    <cellStyle name="Separador de milhares 6 4 8" xfId="26197" xr:uid="{ACFF0B13-8F88-4E06-A640-9736A011558C}"/>
    <cellStyle name="Separador de milhares 6 5" xfId="6426" xr:uid="{0062D9AB-9726-4E4C-851C-033B60F9556D}"/>
    <cellStyle name="Separador de milhares 6 5 2" xfId="16712" xr:uid="{75F84B9F-7242-4C48-8F9E-F678DDF93B5F}"/>
    <cellStyle name="Separador de milhares 6 5 2 2" xfId="37052" xr:uid="{5A153FA2-837F-4418-BB2E-20CE532E4773}"/>
    <cellStyle name="Separador de milhares 6 5 3" xfId="20214" xr:uid="{882D6409-5532-426C-9C24-08C96235691B}"/>
    <cellStyle name="Separador de milhares 6 5 3 2" xfId="40553" xr:uid="{E1CF6F24-4903-41A1-B5BA-3E1EA849D417}"/>
    <cellStyle name="Separador de milhares 6 5 4" xfId="23469" xr:uid="{D104A3AF-27A6-415D-9F92-0B502FB13E76}"/>
    <cellStyle name="Separador de milhares 6 5 4 2" xfId="43804" xr:uid="{805B4E7F-1429-4C45-9E04-967E43537376}"/>
    <cellStyle name="Separador de milhares 6 5 5" xfId="13803" xr:uid="{A390CB25-C8BF-4DD0-8A9C-E3DD69AE8DF4}"/>
    <cellStyle name="Separador de milhares 6 5 5 2" xfId="34144" xr:uid="{5B7C6D01-0FB1-4D07-BD51-AC6AB59D54BE}"/>
    <cellStyle name="Separador de milhares 6 5 6" xfId="9925" xr:uid="{0D95C66B-7EA5-41EC-9F77-3B81F4EF6B79}"/>
    <cellStyle name="Separador de milhares 6 5 6 2" xfId="30268" xr:uid="{B73C1812-169F-40B5-A65B-F281E74A2906}"/>
    <cellStyle name="Separador de milhares 6 5 7" xfId="26774" xr:uid="{2FBC3300-D123-4818-B145-CC44A6EA4C07}"/>
    <cellStyle name="Separador de milhares 6 6" xfId="7590" xr:uid="{2B17237F-899A-414A-AB5C-80D74D7FC7A2}"/>
    <cellStyle name="Separador de milhares 6 6 2" xfId="17875" xr:uid="{668E8DC3-19B7-4438-9913-54FC8E0EC2F6}"/>
    <cellStyle name="Separador de milhares 6 6 2 2" xfId="38215" xr:uid="{CAE61FEA-73AB-4343-ADA8-3DEA6B754DFE}"/>
    <cellStyle name="Separador de milhares 6 6 3" xfId="21377" xr:uid="{85B8ED95-8C7C-4871-A12D-5828DB0A9E73}"/>
    <cellStyle name="Separador de milhares 6 6 3 2" xfId="41716" xr:uid="{E1052875-6B2F-4075-A63A-5162DCCBF830}"/>
    <cellStyle name="Separador de milhares 6 6 4" xfId="24632" xr:uid="{4C3ED1A8-BB8A-4267-96D6-B51A2BE1508A}"/>
    <cellStyle name="Separador de milhares 6 6 4 2" xfId="44967" xr:uid="{9F4DBD84-B80C-46C7-BEF3-6E1A426098B6}"/>
    <cellStyle name="Separador de milhares 6 6 5" xfId="14967" xr:uid="{DE39EBD0-B4C3-444B-BF19-3B6F313BEDFD}"/>
    <cellStyle name="Separador de milhares 6 6 5 2" xfId="35307" xr:uid="{1E4FD0EB-A3D1-4073-A908-106AD826AE25}"/>
    <cellStyle name="Separador de milhares 6 6 6" xfId="11088" xr:uid="{4025985D-E876-4F5D-A75C-1FFA45D13A26}"/>
    <cellStyle name="Separador de milhares 6 6 6 2" xfId="31431" xr:uid="{6DCFB68F-FE47-41F5-8B7B-D012692A79B6}"/>
    <cellStyle name="Separador de milhares 6 6 7" xfId="27937" xr:uid="{D5B1CA36-6AFB-4244-9C39-47EBD0EF0547}"/>
    <cellStyle name="Separador de milhares 6 7" xfId="12659" xr:uid="{861D1170-7AD6-4A41-AE5E-1A11081ED7C0}"/>
    <cellStyle name="Separador de milhares 6 7 2" xfId="33000" xr:uid="{938DE27C-231C-4E81-8522-AB75324359F1}"/>
    <cellStyle name="Separador de milhares 6 8" xfId="15554" xr:uid="{ABE3E3D9-F416-4EA0-8041-3F6E9E02F4A1}"/>
    <cellStyle name="Separador de milhares 6 8 2" xfId="35894" xr:uid="{E4D39AD6-5E0F-417E-9B42-264C42C17D36}"/>
    <cellStyle name="Separador de milhares 6 9" xfId="18468" xr:uid="{5B9202D9-23C7-4DFB-A74D-02F72BA0AAEB}"/>
    <cellStyle name="Separador de milhares 6 9 2" xfId="38808" xr:uid="{5C7414E3-2D7A-454A-B72E-724A1FBF0DA5}"/>
    <cellStyle name="Separador de milhares 7" xfId="5299" xr:uid="{8417E975-98EB-4BCB-A9EF-74E1F9D83642}"/>
    <cellStyle name="Separador de milhares 7 10" xfId="19057" xr:uid="{9E44CC79-C8CA-4A5E-A8FE-99B8C13CF654}"/>
    <cellStyle name="Separador de milhares 7 10 2" xfId="39396" xr:uid="{24D0C4FB-D5AF-4EBC-8FB6-071410232360}"/>
    <cellStyle name="Separador de milhares 7 11" xfId="22312" xr:uid="{961E4AE2-105C-487C-ACF0-9F4D6E5B3D9B}"/>
    <cellStyle name="Separador de milhares 7 11 2" xfId="42647" xr:uid="{6B3DBE77-0828-4C89-A927-5351715765AC}"/>
    <cellStyle name="Separador de milhares 7 12" xfId="12029" xr:uid="{2CF1EB7F-ED96-46C4-A86D-ABCE2FCDAFE3}"/>
    <cellStyle name="Separador de milhares 7 12 2" xfId="32370" xr:uid="{344DDD53-7A23-4F30-81C8-E6980283FA72}"/>
    <cellStyle name="Separador de milhares 7 13" xfId="8768" xr:uid="{446CD5A1-16A7-4F9E-BEDA-B090FD71DF87}"/>
    <cellStyle name="Separador de milhares 7 13 2" xfId="29111" xr:uid="{138144A5-5ADA-4A20-96BB-12EF678FFD4C}"/>
    <cellStyle name="Separador de milhares 7 14" xfId="25617" xr:uid="{A678DAA1-BC36-4D75-9805-BE029E9C7F84}"/>
    <cellStyle name="Separador de milhares 7 2" xfId="5401" xr:uid="{ED6FA982-4048-4800-9729-3C73EC072385}"/>
    <cellStyle name="Separador de milhares 7 2 10" xfId="12144" xr:uid="{1A3E89FE-0849-4494-B4CF-DDC0C22BC038}"/>
    <cellStyle name="Separador de milhares 7 2 10 2" xfId="32485" xr:uid="{5C310A42-EE51-4DF7-97D4-A0401CFAFA29}"/>
    <cellStyle name="Separador de milhares 7 2 11" xfId="8883" xr:uid="{6B3B0246-66FA-4A91-8CC0-8D283B5064A9}"/>
    <cellStyle name="Separador de milhares 7 2 11 2" xfId="29226" xr:uid="{28514B32-280A-4F1A-8A0C-80AA2A812689}"/>
    <cellStyle name="Separador de milhares 7 2 12" xfId="25732" xr:uid="{94A0D1B8-E1C0-436B-ADA7-E7FAEA215951}"/>
    <cellStyle name="Separador de milhares 7 2 2" xfId="5965" xr:uid="{A0DBD7CF-FEA3-42F9-A726-9B06241DB498}"/>
    <cellStyle name="Separador de milhares 7 2 2 2" xfId="7123" xr:uid="{7ADE58EF-1B3D-4B0B-88BB-2BA006DE7F16}"/>
    <cellStyle name="Separador de milhares 7 2 2 2 2" xfId="17409" xr:uid="{A8E1C977-4A25-45A8-AA2D-ECE1324840B4}"/>
    <cellStyle name="Separador de milhares 7 2 2 2 2 2" xfId="37749" xr:uid="{4E602FF9-B12F-4298-BB65-24CBFD937091}"/>
    <cellStyle name="Separador de milhares 7 2 2 2 3" xfId="20911" xr:uid="{56F34AE4-74E1-481C-9437-FA6A02F074D8}"/>
    <cellStyle name="Separador de milhares 7 2 2 2 3 2" xfId="41250" xr:uid="{974B47A2-F1C4-49A7-B72E-ED5E52942438}"/>
    <cellStyle name="Separador de milhares 7 2 2 2 4" xfId="24166" xr:uid="{E0931A8C-91C3-4D0C-BD22-8F20DB27E8CD}"/>
    <cellStyle name="Separador de milhares 7 2 2 2 4 2" xfId="44501" xr:uid="{206E4DC7-39A9-495E-B5A2-A1E766DA9E04}"/>
    <cellStyle name="Separador de milhares 7 2 2 2 5" xfId="14500" xr:uid="{92443544-E157-426E-BDB6-2D89A454D82F}"/>
    <cellStyle name="Separador de milhares 7 2 2 2 5 2" xfId="34841" xr:uid="{3FC70FA5-E9A8-4A74-B23A-19C81590B134}"/>
    <cellStyle name="Separador de milhares 7 2 2 2 6" xfId="10622" xr:uid="{1E1CAAE5-0DCD-4471-B3AD-32952F416EA2}"/>
    <cellStyle name="Separador de milhares 7 2 2 2 6 2" xfId="30965" xr:uid="{A17386AF-C772-40F7-BD56-6D254E7B34CF}"/>
    <cellStyle name="Separador de milhares 7 2 2 2 7" xfId="27471" xr:uid="{CFD37A91-78F9-48CE-91E3-F7E8DA4FA4E4}"/>
    <cellStyle name="Separador de milhares 7 2 2 3" xfId="16251" xr:uid="{81774FE5-476C-469A-9C29-A0680F2C127A}"/>
    <cellStyle name="Separador de milhares 7 2 2 3 2" xfId="36591" xr:uid="{EEB4F3CF-814C-48DC-B2FA-9EB653B90EA7}"/>
    <cellStyle name="Separador de milhares 7 2 2 4" xfId="19753" xr:uid="{3AD29141-1375-4FE2-9FEA-C77C2CB8FABB}"/>
    <cellStyle name="Separador de milhares 7 2 2 4 2" xfId="40092" xr:uid="{C0B93A23-F212-474A-815C-8544408D4BB3}"/>
    <cellStyle name="Separador de milhares 7 2 2 5" xfId="23008" xr:uid="{4A2E3020-BEA6-446E-AFC5-6645497B9223}"/>
    <cellStyle name="Separador de milhares 7 2 2 5 2" xfId="43343" xr:uid="{84987432-2D73-4A3D-85D1-B6E38B257936}"/>
    <cellStyle name="Separador de milhares 7 2 2 6" xfId="13342" xr:uid="{6D0D0CB5-DBA4-463A-A4A3-E048FC02600D}"/>
    <cellStyle name="Separador de milhares 7 2 2 6 2" xfId="33683" xr:uid="{16741555-EC0D-4E6D-AFAF-AACD7CAB4219}"/>
    <cellStyle name="Separador de milhares 7 2 2 7" xfId="9464" xr:uid="{9C2607FC-8B68-401B-BA99-E666C3B6FB9D}"/>
    <cellStyle name="Separador de milhares 7 2 2 7 2" xfId="29807" xr:uid="{CBEB46C9-DAB5-4D8E-8910-E5F958B55D8D}"/>
    <cellStyle name="Separador de milhares 7 2 2 8" xfId="26313" xr:uid="{CAD0ECF8-5D63-4BF1-BA73-EA2559C00A13}"/>
    <cellStyle name="Separador de milhares 7 2 3" xfId="6542" xr:uid="{6E2D6D1A-6027-4E8D-AAF1-DF8A053ED8B0}"/>
    <cellStyle name="Separador de milhares 7 2 3 2" xfId="16828" xr:uid="{97D57EEC-B113-4B32-AACA-0A51DA180D9B}"/>
    <cellStyle name="Separador de milhares 7 2 3 2 2" xfId="37168" xr:uid="{987C8353-FC46-4A05-9D27-661EDD87F842}"/>
    <cellStyle name="Separador de milhares 7 2 3 3" xfId="20330" xr:uid="{F96220BF-972F-45DE-96DD-D0AC462E9417}"/>
    <cellStyle name="Separador de milhares 7 2 3 3 2" xfId="40669" xr:uid="{20D06318-F929-4D1D-9FAD-ED7EDC7F6B73}"/>
    <cellStyle name="Separador de milhares 7 2 3 4" xfId="23585" xr:uid="{F77F1DC5-95C3-4C2E-A206-22FD8A48BCF9}"/>
    <cellStyle name="Separador de milhares 7 2 3 4 2" xfId="43920" xr:uid="{BDB1B642-3525-4CE0-A3CF-A71504BEE331}"/>
    <cellStyle name="Separador de milhares 7 2 3 5" xfId="13919" xr:uid="{61ADBA9A-1EB1-418D-BF1E-8D6EB7FFD35B}"/>
    <cellStyle name="Separador de milhares 7 2 3 5 2" xfId="34260" xr:uid="{F2D50657-EA01-4651-9885-2757C443D5FB}"/>
    <cellStyle name="Separador de milhares 7 2 3 6" xfId="10041" xr:uid="{DAAF5625-00B1-4C22-92C3-81D56CF5A0E3}"/>
    <cellStyle name="Separador de milhares 7 2 3 6 2" xfId="30384" xr:uid="{DBC4DB5C-AA43-4F63-93F0-7B17AB8984A7}"/>
    <cellStyle name="Separador de milhares 7 2 3 7" xfId="26890" xr:uid="{7A4C65E1-0BE5-4264-88F2-AA2DDAD10D87}"/>
    <cellStyle name="Separador de milhares 7 2 4" xfId="7706" xr:uid="{9AD25DA7-7BA1-41B3-B9E4-59DBD23B17F9}"/>
    <cellStyle name="Separador de milhares 7 2 4 2" xfId="17991" xr:uid="{C2038BBE-FEBD-4368-B6D0-22507BB1B9EA}"/>
    <cellStyle name="Separador de milhares 7 2 4 2 2" xfId="38331" xr:uid="{94598BB1-AEB4-4C87-8DDC-7FCC8BB89E5B}"/>
    <cellStyle name="Separador de milhares 7 2 4 3" xfId="21493" xr:uid="{5EBFF1CB-AEF4-41A3-8652-FF019292D16E}"/>
    <cellStyle name="Separador de milhares 7 2 4 3 2" xfId="41832" xr:uid="{0D801F90-9475-4F50-AB95-9E976D8C2F88}"/>
    <cellStyle name="Separador de milhares 7 2 4 4" xfId="24748" xr:uid="{51F3678E-612B-446F-A920-7933A7F03DD4}"/>
    <cellStyle name="Separador de milhares 7 2 4 4 2" xfId="45083" xr:uid="{7EA3581B-88FB-456C-97F0-2F1A2416EA25}"/>
    <cellStyle name="Separador de milhares 7 2 4 5" xfId="15083" xr:uid="{B12D3EB5-B23E-499D-9A40-5C3FF5A827D6}"/>
    <cellStyle name="Separador de milhares 7 2 4 5 2" xfId="35423" xr:uid="{82F3AE89-52EA-4E1E-8234-C94FCE0E05AB}"/>
    <cellStyle name="Separador de milhares 7 2 4 6" xfId="11204" xr:uid="{441690C4-B667-4A3F-BD18-C30C28B15B06}"/>
    <cellStyle name="Separador de milhares 7 2 4 6 2" xfId="31547" xr:uid="{12563FCC-92A9-4A80-8A55-4BAC321300A3}"/>
    <cellStyle name="Separador de milhares 7 2 4 7" xfId="28053" xr:uid="{AF0ADC2A-FE0E-43BE-9368-3E0164B942DD}"/>
    <cellStyle name="Separador de milhares 7 2 5" xfId="12773" xr:uid="{DB4ECC4C-C11D-4672-A4C0-D49C5158041D}"/>
    <cellStyle name="Separador de milhares 7 2 5 2" xfId="33114" xr:uid="{DAE2DEE1-3A0E-49B5-8320-6A327DA16F15}"/>
    <cellStyle name="Separador de milhares 7 2 6" xfId="15670" xr:uid="{1471A2B7-F66E-4F20-B45B-2251C62D9A79}"/>
    <cellStyle name="Separador de milhares 7 2 6 2" xfId="36010" xr:uid="{BEAEEB71-1990-40CF-AE6D-9B4E5B795049}"/>
    <cellStyle name="Separador de milhares 7 2 7" xfId="18584" xr:uid="{5D1A5E64-7890-43A2-B5BB-D7E8D91CD203}"/>
    <cellStyle name="Separador de milhares 7 2 7 2" xfId="38924" xr:uid="{CC4447EA-5DC0-41B8-9018-4A4AFA9C3E14}"/>
    <cellStyle name="Separador de milhares 7 2 8" xfId="19172" xr:uid="{91FC3C1F-816A-4167-A22C-AAACCF714FF4}"/>
    <cellStyle name="Separador de milhares 7 2 8 2" xfId="39511" xr:uid="{D657B45B-ED90-4537-A82B-15722C6AECF1}"/>
    <cellStyle name="Separador de milhares 7 2 9" xfId="22427" xr:uid="{0486F824-73A6-4946-B8C5-4953CB103FD3}"/>
    <cellStyle name="Separador de milhares 7 2 9 2" xfId="42762" xr:uid="{B9980943-81B5-44BB-95D5-9B771423D838}"/>
    <cellStyle name="Separador de milhares 7 3" xfId="5622" xr:uid="{031985BF-D3F2-4605-9F3D-4BC687724BF8}"/>
    <cellStyle name="Separador de milhares 7 3 10" xfId="12373" xr:uid="{F1A1B171-7F8A-4713-BEB7-BF2F2582C18F}"/>
    <cellStyle name="Separador de milhares 7 3 10 2" xfId="32714" xr:uid="{71C1D816-F4C0-4E01-9D7A-B72064EA2386}"/>
    <cellStyle name="Separador de milhares 7 3 11" xfId="9112" xr:uid="{E2D9674F-428B-4FC7-B5C9-AFE015D4B268}"/>
    <cellStyle name="Separador de milhares 7 3 11 2" xfId="29455" xr:uid="{DAB29C82-D316-4456-A53D-FFFCDE6F9A44}"/>
    <cellStyle name="Separador de milhares 7 3 12" xfId="25961" xr:uid="{6B54C9DE-9BB5-45B1-A678-BB0AAA7674E6}"/>
    <cellStyle name="Separador de milhares 7 3 2" xfId="6194" xr:uid="{59215DBD-74D5-4251-B407-E0F736540FD8}"/>
    <cellStyle name="Separador de milhares 7 3 2 2" xfId="7352" xr:uid="{29AE4A95-2268-4575-AA2E-B20448CFE0C6}"/>
    <cellStyle name="Separador de milhares 7 3 2 2 2" xfId="17638" xr:uid="{098FEDA6-7B2C-49A8-91D8-B00DCB45282B}"/>
    <cellStyle name="Separador de milhares 7 3 2 2 2 2" xfId="37978" xr:uid="{3BC5BBCD-C2A1-4174-A1FA-F562BB39A7D7}"/>
    <cellStyle name="Separador de milhares 7 3 2 2 3" xfId="21140" xr:uid="{72C41EAA-0867-402A-813A-0BEE7E83EDBF}"/>
    <cellStyle name="Separador de milhares 7 3 2 2 3 2" xfId="41479" xr:uid="{F5DB6799-F835-4AA5-8041-C78B85B1DDC9}"/>
    <cellStyle name="Separador de milhares 7 3 2 2 4" xfId="24395" xr:uid="{7931568C-C20A-46D3-BBC7-FE046CB113BB}"/>
    <cellStyle name="Separador de milhares 7 3 2 2 4 2" xfId="44730" xr:uid="{DD52B83F-1C02-4D14-88EA-BC06F019BB1C}"/>
    <cellStyle name="Separador de milhares 7 3 2 2 5" xfId="14729" xr:uid="{62EBB393-B501-4313-9793-124C3763B3BE}"/>
    <cellStyle name="Separador de milhares 7 3 2 2 5 2" xfId="35070" xr:uid="{81ADBBBF-5F94-460B-A0C7-AEBF32707B86}"/>
    <cellStyle name="Separador de milhares 7 3 2 2 6" xfId="10851" xr:uid="{518C9E22-2049-49F8-9D72-5A37F596E9AE}"/>
    <cellStyle name="Separador de milhares 7 3 2 2 6 2" xfId="31194" xr:uid="{A98497E2-6C59-4401-B487-B3A1239E0F6C}"/>
    <cellStyle name="Separador de milhares 7 3 2 2 7" xfId="27700" xr:uid="{57119D4B-070B-4F83-948F-4FBCB9F24DA4}"/>
    <cellStyle name="Separador de milhares 7 3 2 3" xfId="16480" xr:uid="{26B157F1-B2BD-4400-B625-97B9F3055B14}"/>
    <cellStyle name="Separador de milhares 7 3 2 3 2" xfId="36820" xr:uid="{431F7110-73B9-497D-BF96-CAFA44267967}"/>
    <cellStyle name="Separador de milhares 7 3 2 4" xfId="19982" xr:uid="{4AE5A615-E443-4384-86F8-523147D8EC79}"/>
    <cellStyle name="Separador de milhares 7 3 2 4 2" xfId="40321" xr:uid="{5597E4E9-7DC2-4895-AB6E-EBAA2F7E505E}"/>
    <cellStyle name="Separador de milhares 7 3 2 5" xfId="23237" xr:uid="{A3A0C6D2-69CD-4B82-97AD-726821BDC533}"/>
    <cellStyle name="Separador de milhares 7 3 2 5 2" xfId="43572" xr:uid="{8363E795-C6C5-4FA7-B346-6DB46D1D0E3B}"/>
    <cellStyle name="Separador de milhares 7 3 2 6" xfId="13571" xr:uid="{7E867215-7255-4B39-87AE-9DB815060DC1}"/>
    <cellStyle name="Separador de milhares 7 3 2 6 2" xfId="33912" xr:uid="{0116FAE2-5512-4FB8-9850-7DE6805A4B8E}"/>
    <cellStyle name="Separador de milhares 7 3 2 7" xfId="9693" xr:uid="{DA1EAC5C-462D-4919-9B53-5E79E7B4A8EE}"/>
    <cellStyle name="Separador de milhares 7 3 2 7 2" xfId="30036" xr:uid="{034DEFBD-A834-48AC-8417-746A2366CDAA}"/>
    <cellStyle name="Separador de milhares 7 3 2 8" xfId="26542" xr:uid="{47C38FB5-8C75-462B-8B10-AC41D6806AD1}"/>
    <cellStyle name="Separador de milhares 7 3 3" xfId="6771" xr:uid="{75F177A2-397C-41CD-9273-6C286030021F}"/>
    <cellStyle name="Separador de milhares 7 3 3 2" xfId="17057" xr:uid="{2D45C16C-2414-4F96-A05A-0B2C4B48D0F7}"/>
    <cellStyle name="Separador de milhares 7 3 3 2 2" xfId="37397" xr:uid="{8F6AFB51-F4B8-430B-9547-9BC488A93581}"/>
    <cellStyle name="Separador de milhares 7 3 3 3" xfId="20559" xr:uid="{C10B62DB-6AF9-4358-BD40-A8AD3D8A68B2}"/>
    <cellStyle name="Separador de milhares 7 3 3 3 2" xfId="40898" xr:uid="{2D77D48A-FBE3-4597-80BC-20C25E106DBC}"/>
    <cellStyle name="Separador de milhares 7 3 3 4" xfId="23814" xr:uid="{DC98ADDB-D3BD-4812-B3B0-6E4579405615}"/>
    <cellStyle name="Separador de milhares 7 3 3 4 2" xfId="44149" xr:uid="{7A2A151C-09E9-4CC9-8A57-A78D18F889A1}"/>
    <cellStyle name="Separador de milhares 7 3 3 5" xfId="14148" xr:uid="{A3829F95-60F9-41E3-8DD3-75F91F9EA6AB}"/>
    <cellStyle name="Separador de milhares 7 3 3 5 2" xfId="34489" xr:uid="{032D6C3C-BAC6-456C-B786-B6765E828625}"/>
    <cellStyle name="Separador de milhares 7 3 3 6" xfId="10270" xr:uid="{F67AD037-B935-4308-AC6D-81D8FEB14F3F}"/>
    <cellStyle name="Separador de milhares 7 3 3 6 2" xfId="30613" xr:uid="{34CD628E-5169-4D1D-8F8A-4BEB690D9AD3}"/>
    <cellStyle name="Separador de milhares 7 3 3 7" xfId="27119" xr:uid="{1830B6CF-3BF4-4CBF-9640-8237A75B8B5E}"/>
    <cellStyle name="Separador de milhares 7 3 4" xfId="7935" xr:uid="{D3B2893E-09C0-4A72-BA3E-F2EF5F24042A}"/>
    <cellStyle name="Separador de milhares 7 3 4 2" xfId="18220" xr:uid="{303073A4-FB00-45DA-BB75-5EC1C7E3B4CD}"/>
    <cellStyle name="Separador de milhares 7 3 4 2 2" xfId="38560" xr:uid="{A9C610D9-1AD4-4556-92D8-A88C32621C14}"/>
    <cellStyle name="Separador de milhares 7 3 4 3" xfId="21722" xr:uid="{8F00E2E8-644E-4190-AE64-5D301B582616}"/>
    <cellStyle name="Separador de milhares 7 3 4 3 2" xfId="42061" xr:uid="{FBEA48CF-9B5A-4BEC-BE5F-F6F2B67EC30B}"/>
    <cellStyle name="Separador de milhares 7 3 4 4" xfId="24977" xr:uid="{1A443F95-2DAA-4651-97C0-308BBFBD5354}"/>
    <cellStyle name="Separador de milhares 7 3 4 4 2" xfId="45312" xr:uid="{0D4C0154-C9D8-4610-9ECF-B2796E273DED}"/>
    <cellStyle name="Separador de milhares 7 3 4 5" xfId="15312" xr:uid="{220AE99B-865E-46AE-9C4F-2D3DF8EE6D04}"/>
    <cellStyle name="Separador de milhares 7 3 4 5 2" xfId="35652" xr:uid="{DD4E52DF-BB51-498A-BFC8-B003F8B9EFC2}"/>
    <cellStyle name="Separador de milhares 7 3 4 6" xfId="11433" xr:uid="{22F63B9E-0E07-4C4B-A5DC-0EFF7FA43E04}"/>
    <cellStyle name="Separador de milhares 7 3 4 6 2" xfId="31776" xr:uid="{37AF7B00-2B44-4169-A49B-51502DAE51F2}"/>
    <cellStyle name="Separador de milhares 7 3 4 7" xfId="28282" xr:uid="{C20D5C19-37FE-452C-B322-7B05C76E04A3}"/>
    <cellStyle name="Separador de milhares 7 3 5" xfId="13002" xr:uid="{CCAB953F-F183-4B13-A0CD-0A85E5ED438B}"/>
    <cellStyle name="Separador de milhares 7 3 5 2" xfId="33343" xr:uid="{E86764CB-0594-4FF2-B0DB-E5445111382E}"/>
    <cellStyle name="Separador de milhares 7 3 6" xfId="15899" xr:uid="{D7155427-060C-422D-9EE8-2DFE0F6CFF13}"/>
    <cellStyle name="Separador de milhares 7 3 6 2" xfId="36239" xr:uid="{850A244A-3DDF-485F-88F3-25E9CAEFF9D0}"/>
    <cellStyle name="Separador de milhares 7 3 7" xfId="18813" xr:uid="{E94CC005-AD96-4D8C-B8E8-1E022FC4DEE1}"/>
    <cellStyle name="Separador de milhares 7 3 7 2" xfId="39153" xr:uid="{27655FBC-9C0D-4A7E-BC17-7CF49EDDF59F}"/>
    <cellStyle name="Separador de milhares 7 3 8" xfId="19401" xr:uid="{ED28A830-AD25-4ECF-BB44-D5F1274EA299}"/>
    <cellStyle name="Separador de milhares 7 3 8 2" xfId="39740" xr:uid="{D42B129F-543C-4802-917F-2F489AA794A8}"/>
    <cellStyle name="Separador de milhares 7 3 9" xfId="22656" xr:uid="{E43B1FE7-F4E5-43DB-BE37-F899255B778D}"/>
    <cellStyle name="Separador de milhares 7 3 9 2" xfId="42991" xr:uid="{1012AD3B-A8DF-4375-9818-126A6EDD7198}"/>
    <cellStyle name="Separador de milhares 7 4" xfId="5850" xr:uid="{14C55752-D8CE-461D-B47F-6164891BFFF1}"/>
    <cellStyle name="Separador de milhares 7 4 2" xfId="7008" xr:uid="{D7B29CF3-6F6B-4C85-BD4B-44A9A04EFA46}"/>
    <cellStyle name="Separador de milhares 7 4 2 2" xfId="17294" xr:uid="{B065F57D-23DC-4EBA-9A05-AA1B0346A7C7}"/>
    <cellStyle name="Separador de milhares 7 4 2 2 2" xfId="37634" xr:uid="{CD9D25FD-FF74-4000-9D7F-36FEE5AC5D85}"/>
    <cellStyle name="Separador de milhares 7 4 2 3" xfId="20796" xr:uid="{47583BBE-7585-413D-A98D-9F200D2D3301}"/>
    <cellStyle name="Separador de milhares 7 4 2 3 2" xfId="41135" xr:uid="{68CB08FA-FDD0-46FA-A075-B8AF9A715307}"/>
    <cellStyle name="Separador de milhares 7 4 2 4" xfId="24051" xr:uid="{C646FEB8-270E-402C-8AB9-39717D91648D}"/>
    <cellStyle name="Separador de milhares 7 4 2 4 2" xfId="44386" xr:uid="{92FAB567-FA41-458F-BBF6-BB577EC32286}"/>
    <cellStyle name="Separador de milhares 7 4 2 5" xfId="14385" xr:uid="{0B7C427D-E648-4F3A-B21E-91B50C12557D}"/>
    <cellStyle name="Separador de milhares 7 4 2 5 2" xfId="34726" xr:uid="{0DFA0613-48D5-4D00-A043-CCF96366E3EA}"/>
    <cellStyle name="Separador de milhares 7 4 2 6" xfId="10507" xr:uid="{CDE94F97-6AE6-45C5-9B7F-9D227327D420}"/>
    <cellStyle name="Separador de milhares 7 4 2 6 2" xfId="30850" xr:uid="{5C8690FB-64FA-4AFA-8C97-37BA8ED2D4D0}"/>
    <cellStyle name="Separador de milhares 7 4 2 7" xfId="27356" xr:uid="{4C8B1DBD-4144-4B37-A0F3-D319B7FE8FB8}"/>
    <cellStyle name="Separador de milhares 7 4 3" xfId="16136" xr:uid="{5FE1D203-827B-435C-AE3C-20ECB619A46C}"/>
    <cellStyle name="Separador de milhares 7 4 3 2" xfId="36476" xr:uid="{50287F43-A2D7-449D-B15D-B3265D8160CD}"/>
    <cellStyle name="Separador de milhares 7 4 4" xfId="19638" xr:uid="{4CEDAFB4-59A2-47E3-BC76-263DD51E7FBF}"/>
    <cellStyle name="Separador de milhares 7 4 4 2" xfId="39977" xr:uid="{9D551990-AF15-469C-ADDB-E09F94A0D13C}"/>
    <cellStyle name="Separador de milhares 7 4 5" xfId="22893" xr:uid="{53A3C9E8-5BD2-4AC8-889F-B5A85E916149}"/>
    <cellStyle name="Separador de milhares 7 4 5 2" xfId="43228" xr:uid="{53239DA3-6E81-46A3-9683-B2C5746877FA}"/>
    <cellStyle name="Separador de milhares 7 4 6" xfId="13229" xr:uid="{6BD562A5-0F3D-4AD9-AFFE-DD6BDCD6C860}"/>
    <cellStyle name="Separador de milhares 7 4 6 2" xfId="33570" xr:uid="{B432911A-7C4F-4293-BC36-725E340C5864}"/>
    <cellStyle name="Separador de milhares 7 4 7" xfId="9349" xr:uid="{18CF8676-0C52-4389-ACD1-97F8D0E82B55}"/>
    <cellStyle name="Separador de milhares 7 4 7 2" xfId="29692" xr:uid="{4BD87AA5-2C9D-4B91-91E8-48F0F8998E09}"/>
    <cellStyle name="Separador de milhares 7 4 8" xfId="26198" xr:uid="{9A55D434-6F5B-49DA-913E-2A1CAA10C059}"/>
    <cellStyle name="Separador de milhares 7 5" xfId="6427" xr:uid="{1619921E-19A5-4C02-A3F2-59115AF57B3D}"/>
    <cellStyle name="Separador de milhares 7 5 2" xfId="16713" xr:uid="{22C6CABC-F316-48F1-824F-E8F9FB2B6692}"/>
    <cellStyle name="Separador de milhares 7 5 2 2" xfId="37053" xr:uid="{ECC530F0-F4D2-4859-85B0-C365D15FAE3B}"/>
    <cellStyle name="Separador de milhares 7 5 3" xfId="20215" xr:uid="{84B1386F-A87C-4A9C-9D1A-BB9A12E84EDC}"/>
    <cellStyle name="Separador de milhares 7 5 3 2" xfId="40554" xr:uid="{BC95FBB0-BB0C-4FAD-B606-6E524EB1A064}"/>
    <cellStyle name="Separador de milhares 7 5 4" xfId="23470" xr:uid="{D01B3D4F-159C-4FB2-9A14-9490B29CA256}"/>
    <cellStyle name="Separador de milhares 7 5 4 2" xfId="43805" xr:uid="{4023666C-6FD0-4FDC-A589-52A40F340584}"/>
    <cellStyle name="Separador de milhares 7 5 5" xfId="13804" xr:uid="{74C7A721-F200-4BCA-9519-B3CEBD981B65}"/>
    <cellStyle name="Separador de milhares 7 5 5 2" xfId="34145" xr:uid="{34F9C7F8-1615-4204-B990-26371EA77E40}"/>
    <cellStyle name="Separador de milhares 7 5 6" xfId="9926" xr:uid="{2BFDC2E7-54D0-4687-AF30-8A43DE50C0D1}"/>
    <cellStyle name="Separador de milhares 7 5 6 2" xfId="30269" xr:uid="{A349FCB7-4A59-4A48-9B6F-CBEB9A8E65A8}"/>
    <cellStyle name="Separador de milhares 7 5 7" xfId="26775" xr:uid="{D787798A-CA04-43C2-A5CB-D32880ED3BE7}"/>
    <cellStyle name="Separador de milhares 7 6" xfId="7591" xr:uid="{DFDFFBAC-94A1-4D3A-BEF7-C4DA5C489B66}"/>
    <cellStyle name="Separador de milhares 7 6 2" xfId="17876" xr:uid="{BFAB6A5A-F0CB-459F-8FDE-5C66669A4741}"/>
    <cellStyle name="Separador de milhares 7 6 2 2" xfId="38216" xr:uid="{E9B88D20-6C6E-488B-9ED6-5E79358137C7}"/>
    <cellStyle name="Separador de milhares 7 6 3" xfId="21378" xr:uid="{D0FC6D94-FC4B-433A-B1A6-12915DFA8A52}"/>
    <cellStyle name="Separador de milhares 7 6 3 2" xfId="41717" xr:uid="{7ECA6BC8-1D34-493D-808F-B1834B7A9A8E}"/>
    <cellStyle name="Separador de milhares 7 6 4" xfId="24633" xr:uid="{8FF47AE5-4890-4662-9D11-1A0C4C200A79}"/>
    <cellStyle name="Separador de milhares 7 6 4 2" xfId="44968" xr:uid="{7654E8FD-8F85-44A7-9368-368B07D5032B}"/>
    <cellStyle name="Separador de milhares 7 6 5" xfId="14968" xr:uid="{827732C7-C146-4B33-A235-288592AD6FD9}"/>
    <cellStyle name="Separador de milhares 7 6 5 2" xfId="35308" xr:uid="{C0794E4F-36A9-4BA2-AA65-0A89247305A4}"/>
    <cellStyle name="Separador de milhares 7 6 6" xfId="11089" xr:uid="{D86A1EC8-9C19-4726-BF51-AA1B0F742699}"/>
    <cellStyle name="Separador de milhares 7 6 6 2" xfId="31432" xr:uid="{21E940D9-B8D7-473C-AA14-4C611C0D0010}"/>
    <cellStyle name="Separador de milhares 7 6 7" xfId="27938" xr:uid="{7DBEA915-32A6-4B6E-9EB3-1355DFAA3B3F}"/>
    <cellStyle name="Separador de milhares 7 7" xfId="12660" xr:uid="{A0CE54CE-F422-44FD-8773-A952C6B4F5A1}"/>
    <cellStyle name="Separador de milhares 7 7 2" xfId="33001" xr:uid="{9E0A9572-0755-44E0-8CC8-5C3F45752155}"/>
    <cellStyle name="Separador de milhares 7 8" xfId="15555" xr:uid="{3B5674B4-A603-4290-8549-AC5949982683}"/>
    <cellStyle name="Separador de milhares 7 8 2" xfId="35895" xr:uid="{983C2E3C-A7BB-4AC4-AD6C-2E8CC193380E}"/>
    <cellStyle name="Separador de milhares 7 9" xfId="18469" xr:uid="{E9E76C86-9C6C-4E03-B069-6ED3CD6184B0}"/>
    <cellStyle name="Separador de milhares 7 9 2" xfId="38809" xr:uid="{5585ED39-AD09-4DD9-9264-9915E75B2D25}"/>
    <cellStyle name="Separador de milhares 8" xfId="5300" xr:uid="{1513BD2E-AFBD-45E3-B7C7-086D1B8398C1}"/>
    <cellStyle name="Separador de milhares 8 10" xfId="19058" xr:uid="{C3D50F1A-9375-4387-8D64-BD5B58140E50}"/>
    <cellStyle name="Separador de milhares 8 10 2" xfId="39397" xr:uid="{590C9352-82C1-4ED0-9C82-88274C00585E}"/>
    <cellStyle name="Separador de milhares 8 11" xfId="22313" xr:uid="{7084630C-6BB7-4D27-99AD-015D3687669B}"/>
    <cellStyle name="Separador de milhares 8 11 2" xfId="42648" xr:uid="{65296590-3E1A-4832-8DAF-1294C19ED14B}"/>
    <cellStyle name="Separador de milhares 8 12" xfId="12030" xr:uid="{6528A72C-BA91-41B3-83B8-6897EC9E8BE8}"/>
    <cellStyle name="Separador de milhares 8 12 2" xfId="32371" xr:uid="{56222432-4887-42FB-8E07-5764E1E98430}"/>
    <cellStyle name="Separador de milhares 8 13" xfId="8769" xr:uid="{69917172-DBB9-4541-B305-F47333C3ACE5}"/>
    <cellStyle name="Separador de milhares 8 13 2" xfId="29112" xr:uid="{F11CF693-16D6-44A8-8D64-D0EDC7A2F8E7}"/>
    <cellStyle name="Separador de milhares 8 14" xfId="25618" xr:uid="{25BAD3C4-014E-475C-9C5D-79E3E01ED278}"/>
    <cellStyle name="Separador de milhares 8 2" xfId="5402" xr:uid="{7C116E2F-3D27-4E5F-B7E1-ECAD78211BBF}"/>
    <cellStyle name="Separador de milhares 8 2 10" xfId="12145" xr:uid="{6E920AC2-752E-4D11-9037-DFE0022E3582}"/>
    <cellStyle name="Separador de milhares 8 2 10 2" xfId="32486" xr:uid="{6BFEA5C5-8039-485C-997F-ABE79CB97C13}"/>
    <cellStyle name="Separador de milhares 8 2 11" xfId="8884" xr:uid="{5F2647F7-C520-489C-957D-2CDC57E1E39D}"/>
    <cellStyle name="Separador de milhares 8 2 11 2" xfId="29227" xr:uid="{36042E87-8BDC-43F7-80F7-9E283053E463}"/>
    <cellStyle name="Separador de milhares 8 2 12" xfId="25733" xr:uid="{CBCCD969-B661-4361-8DA6-E645338CEE52}"/>
    <cellStyle name="Separador de milhares 8 2 2" xfId="5966" xr:uid="{50775675-2D10-465C-A034-605833114715}"/>
    <cellStyle name="Separador de milhares 8 2 2 2" xfId="7124" xr:uid="{BDB70F10-37EB-4939-B207-4F66F1E94DCE}"/>
    <cellStyle name="Separador de milhares 8 2 2 2 2" xfId="17410" xr:uid="{F1AD9CBA-EFF9-4D0E-A1AE-DCAE2C64174D}"/>
    <cellStyle name="Separador de milhares 8 2 2 2 2 2" xfId="37750" xr:uid="{28B46AB5-C556-4EB3-8EED-4B459343395A}"/>
    <cellStyle name="Separador de milhares 8 2 2 2 3" xfId="20912" xr:uid="{BC05EAF7-BE9E-48B0-BAAD-F3221D43144E}"/>
    <cellStyle name="Separador de milhares 8 2 2 2 3 2" xfId="41251" xr:uid="{3CFFCBE5-AB94-4F16-AACD-CEF96ECBF8E1}"/>
    <cellStyle name="Separador de milhares 8 2 2 2 4" xfId="24167" xr:uid="{A643FF73-460F-45C4-9BCB-C29B1DD43E71}"/>
    <cellStyle name="Separador de milhares 8 2 2 2 4 2" xfId="44502" xr:uid="{2E20E857-0D25-427B-9F5D-76FF4F7D1ECA}"/>
    <cellStyle name="Separador de milhares 8 2 2 2 5" xfId="14501" xr:uid="{FFFCA20E-FA58-4902-8A10-D63D3C57707C}"/>
    <cellStyle name="Separador de milhares 8 2 2 2 5 2" xfId="34842" xr:uid="{107E114F-54A3-48E9-BFD7-9C3438EBABF3}"/>
    <cellStyle name="Separador de milhares 8 2 2 2 6" xfId="10623" xr:uid="{57D6EF03-3894-4577-8A70-623B5B5A8936}"/>
    <cellStyle name="Separador de milhares 8 2 2 2 6 2" xfId="30966" xr:uid="{97F488BE-2162-4726-BCBB-4445E856DE5A}"/>
    <cellStyle name="Separador de milhares 8 2 2 2 7" xfId="27472" xr:uid="{96FA2322-1322-42C8-AB2C-482D61D1ACD9}"/>
    <cellStyle name="Separador de milhares 8 2 2 3" xfId="16252" xr:uid="{9991D985-A496-4BA6-B830-09FB497ACE10}"/>
    <cellStyle name="Separador de milhares 8 2 2 3 2" xfId="36592" xr:uid="{9FA76FAA-8DAB-4E54-9FC1-0ADCDCA53979}"/>
    <cellStyle name="Separador de milhares 8 2 2 4" xfId="19754" xr:uid="{D5959004-CCFA-4BBA-8698-93DD23B05339}"/>
    <cellStyle name="Separador de milhares 8 2 2 4 2" xfId="40093" xr:uid="{A1C35348-8455-40BC-B33C-E0F8AB77BB63}"/>
    <cellStyle name="Separador de milhares 8 2 2 5" xfId="23009" xr:uid="{CB30A1D8-683E-4AB6-9C40-B11E0D292DB9}"/>
    <cellStyle name="Separador de milhares 8 2 2 5 2" xfId="43344" xr:uid="{A5976702-BA2D-4BB6-9E76-3BF039705CBF}"/>
    <cellStyle name="Separador de milhares 8 2 2 6" xfId="13343" xr:uid="{92C3109A-655C-4430-A2F4-A066B0F1AACE}"/>
    <cellStyle name="Separador de milhares 8 2 2 6 2" xfId="33684" xr:uid="{C538D36C-8CD9-4894-840A-631FBB6A9116}"/>
    <cellStyle name="Separador de milhares 8 2 2 7" xfId="9465" xr:uid="{B4158EBC-5867-4D41-AFD5-BD316A586BB7}"/>
    <cellStyle name="Separador de milhares 8 2 2 7 2" xfId="29808" xr:uid="{E35C0554-4B96-448D-A500-8489B1F5AB42}"/>
    <cellStyle name="Separador de milhares 8 2 2 8" xfId="26314" xr:uid="{12A30702-8C89-4454-A56E-3B7D3F74C930}"/>
    <cellStyle name="Separador de milhares 8 2 3" xfId="6543" xr:uid="{67126486-9F69-40EC-8CE6-E01268A75673}"/>
    <cellStyle name="Separador de milhares 8 2 3 2" xfId="16829" xr:uid="{D3078239-43B7-4FBF-91C3-CE51D7B5F6A3}"/>
    <cellStyle name="Separador de milhares 8 2 3 2 2" xfId="37169" xr:uid="{02706EA4-6DBA-43E9-A12A-4C0ABC8CB2C0}"/>
    <cellStyle name="Separador de milhares 8 2 3 3" xfId="20331" xr:uid="{A240EA75-63BF-44B2-B428-32D16A0907B8}"/>
    <cellStyle name="Separador de milhares 8 2 3 3 2" xfId="40670" xr:uid="{0D5F0980-7507-43CE-9F8F-540048740EAB}"/>
    <cellStyle name="Separador de milhares 8 2 3 4" xfId="23586" xr:uid="{78F2D9A1-2474-4688-9F3D-A3AA11812502}"/>
    <cellStyle name="Separador de milhares 8 2 3 4 2" xfId="43921" xr:uid="{4403389D-BFE1-4168-928B-38E4D8B44D41}"/>
    <cellStyle name="Separador de milhares 8 2 3 5" xfId="13920" xr:uid="{3F30F11F-20B4-47DC-A74E-B2230A27B7B9}"/>
    <cellStyle name="Separador de milhares 8 2 3 5 2" xfId="34261" xr:uid="{CF809EA5-E8B4-426D-BE0F-8F047101C416}"/>
    <cellStyle name="Separador de milhares 8 2 3 6" xfId="10042" xr:uid="{FDE58297-281B-496A-A569-8C8BC3220604}"/>
    <cellStyle name="Separador de milhares 8 2 3 6 2" xfId="30385" xr:uid="{65A7A61A-B943-428C-9E86-9121BCDAC7B0}"/>
    <cellStyle name="Separador de milhares 8 2 3 7" xfId="26891" xr:uid="{ECAE8C10-0BB9-4875-95B7-2AAEE9B77656}"/>
    <cellStyle name="Separador de milhares 8 2 4" xfId="7707" xr:uid="{CBB28AF3-2AC1-45B9-9DD5-40A79A38EA81}"/>
    <cellStyle name="Separador de milhares 8 2 4 2" xfId="17992" xr:uid="{E4F0127B-EF8C-408C-A5FD-5008B5B0D808}"/>
    <cellStyle name="Separador de milhares 8 2 4 2 2" xfId="38332" xr:uid="{B20B082B-27E9-4A36-B96B-59B1D7B82C29}"/>
    <cellStyle name="Separador de milhares 8 2 4 3" xfId="21494" xr:uid="{789E7AC5-8235-4C2E-9B7D-A7ABAB023E81}"/>
    <cellStyle name="Separador de milhares 8 2 4 3 2" xfId="41833" xr:uid="{72BD0697-9740-4E89-9BD2-C54CDB71A7DD}"/>
    <cellStyle name="Separador de milhares 8 2 4 4" xfId="24749" xr:uid="{02EECAAF-B05D-49DB-A177-F7EF69A915E1}"/>
    <cellStyle name="Separador de milhares 8 2 4 4 2" xfId="45084" xr:uid="{080344F0-FEF1-4F8E-989C-389695C079B1}"/>
    <cellStyle name="Separador de milhares 8 2 4 5" xfId="15084" xr:uid="{4F52DE5B-D0B6-4B4F-9649-C5257BA5CC14}"/>
    <cellStyle name="Separador de milhares 8 2 4 5 2" xfId="35424" xr:uid="{662381E4-4535-41CB-B7CB-A612099DC8C8}"/>
    <cellStyle name="Separador de milhares 8 2 4 6" xfId="11205" xr:uid="{C4942CC7-2F0B-4C25-AB3D-739A87EE7BBB}"/>
    <cellStyle name="Separador de milhares 8 2 4 6 2" xfId="31548" xr:uid="{A0798C3E-B1E1-46BB-B0C5-2C603A7E1B06}"/>
    <cellStyle name="Separador de milhares 8 2 4 7" xfId="28054" xr:uid="{8FD92955-6A54-4041-949E-87565CBA3A28}"/>
    <cellStyle name="Separador de milhares 8 2 5" xfId="12774" xr:uid="{54A4D056-F793-4D6C-9D89-D36D4DBEBC04}"/>
    <cellStyle name="Separador de milhares 8 2 5 2" xfId="33115" xr:uid="{B6662FDC-4EC7-4887-9E2F-A0C28536CCF5}"/>
    <cellStyle name="Separador de milhares 8 2 6" xfId="15671" xr:uid="{168EA906-5C78-43EB-9F43-AF8EEA132D4A}"/>
    <cellStyle name="Separador de milhares 8 2 6 2" xfId="36011" xr:uid="{6897E491-B2B1-492E-8B7E-65DCEC7063D1}"/>
    <cellStyle name="Separador de milhares 8 2 7" xfId="18585" xr:uid="{2ED4C9D6-411B-4EDF-B08C-821EAC058EF8}"/>
    <cellStyle name="Separador de milhares 8 2 7 2" xfId="38925" xr:uid="{C0689E44-9E14-47A7-9256-7F8EC158C3DE}"/>
    <cellStyle name="Separador de milhares 8 2 8" xfId="19173" xr:uid="{9A892E4A-C5E2-41FC-9BD7-4206434DE823}"/>
    <cellStyle name="Separador de milhares 8 2 8 2" xfId="39512" xr:uid="{74E964FE-7AFE-4FDD-96E5-F92ACFEE41E9}"/>
    <cellStyle name="Separador de milhares 8 2 9" xfId="22428" xr:uid="{068AC564-F1E4-4AD2-93D8-CAD215EC196F}"/>
    <cellStyle name="Separador de milhares 8 2 9 2" xfId="42763" xr:uid="{9C4D4B68-C796-4373-B0E4-A3472FBBEC95}"/>
    <cellStyle name="Separador de milhares 8 3" xfId="5623" xr:uid="{6C47290E-48F0-48EA-91CB-E6630D1FE2DF}"/>
    <cellStyle name="Separador de milhares 8 3 10" xfId="12374" xr:uid="{7CD09173-3782-4D72-AB62-BDF1B73B0EB1}"/>
    <cellStyle name="Separador de milhares 8 3 10 2" xfId="32715" xr:uid="{E91372BB-10E3-4F85-9043-ECCAB075C9F7}"/>
    <cellStyle name="Separador de milhares 8 3 11" xfId="9113" xr:uid="{439DE642-0652-4DE2-80D1-F0577802D524}"/>
    <cellStyle name="Separador de milhares 8 3 11 2" xfId="29456" xr:uid="{FF2DBDD9-818A-4EFB-9D84-FF7C819D94CC}"/>
    <cellStyle name="Separador de milhares 8 3 12" xfId="25962" xr:uid="{3704296E-3351-4C5E-96AE-48D0C629411C}"/>
    <cellStyle name="Separador de milhares 8 3 2" xfId="6195" xr:uid="{8B3A7859-70AF-4A04-8F7B-3A59BE772C03}"/>
    <cellStyle name="Separador de milhares 8 3 2 2" xfId="7353" xr:uid="{31A36F5F-FEF7-40C2-B11F-081D9764374A}"/>
    <cellStyle name="Separador de milhares 8 3 2 2 2" xfId="17639" xr:uid="{192DC9CB-D26C-418C-9A0F-A86020D1FB8D}"/>
    <cellStyle name="Separador de milhares 8 3 2 2 2 2" xfId="37979" xr:uid="{78D069B3-036E-4128-AD8B-4260E272A27A}"/>
    <cellStyle name="Separador de milhares 8 3 2 2 3" xfId="21141" xr:uid="{C401A7B4-AB40-41BA-9877-7E3C103C4066}"/>
    <cellStyle name="Separador de milhares 8 3 2 2 3 2" xfId="41480" xr:uid="{704F35E1-09E4-4000-B586-BF7BB1BB51F8}"/>
    <cellStyle name="Separador de milhares 8 3 2 2 4" xfId="24396" xr:uid="{12F54D91-7E53-4018-AC43-8EC040CEAFA5}"/>
    <cellStyle name="Separador de milhares 8 3 2 2 4 2" xfId="44731" xr:uid="{2CEEB983-FB0E-460B-9692-551643C431A2}"/>
    <cellStyle name="Separador de milhares 8 3 2 2 5" xfId="14730" xr:uid="{90D05BCC-4D04-462F-8933-3C595BE2AEF2}"/>
    <cellStyle name="Separador de milhares 8 3 2 2 5 2" xfId="35071" xr:uid="{4BA53C42-9F88-4F61-9D01-1F61980CF8F3}"/>
    <cellStyle name="Separador de milhares 8 3 2 2 6" xfId="10852" xr:uid="{3734556B-2667-4DF7-B0B0-AA12AE941CE6}"/>
    <cellStyle name="Separador de milhares 8 3 2 2 6 2" xfId="31195" xr:uid="{5051AC2E-6630-4C1E-A4C6-897B93852BA5}"/>
    <cellStyle name="Separador de milhares 8 3 2 2 7" xfId="27701" xr:uid="{3AC6455C-C1D4-4D0B-8887-F1E55CFB7F89}"/>
    <cellStyle name="Separador de milhares 8 3 2 3" xfId="16481" xr:uid="{932A3654-96B7-4A3F-9565-C0E31EA3DE93}"/>
    <cellStyle name="Separador de milhares 8 3 2 3 2" xfId="36821" xr:uid="{094FFA84-A4D7-4D9A-9012-93B9D578B4B0}"/>
    <cellStyle name="Separador de milhares 8 3 2 4" xfId="19983" xr:uid="{5F2AD935-2687-4A32-90DE-9240F274939A}"/>
    <cellStyle name="Separador de milhares 8 3 2 4 2" xfId="40322" xr:uid="{9591477F-BA80-41C8-B5CD-1ADC49408463}"/>
    <cellStyle name="Separador de milhares 8 3 2 5" xfId="23238" xr:uid="{9DDA96AC-8031-49DE-A32D-A05F28D8B022}"/>
    <cellStyle name="Separador de milhares 8 3 2 5 2" xfId="43573" xr:uid="{EBCB3DC1-122E-42D7-9BC4-B834769EFA57}"/>
    <cellStyle name="Separador de milhares 8 3 2 6" xfId="13572" xr:uid="{8F919081-D844-4116-B1B2-FEA675F759FC}"/>
    <cellStyle name="Separador de milhares 8 3 2 6 2" xfId="33913" xr:uid="{BE5ADB75-4CD6-46BC-A5B7-F3350DE8932E}"/>
    <cellStyle name="Separador de milhares 8 3 2 7" xfId="9694" xr:uid="{13570913-AE6F-4087-93E0-4E1D1FE2EFD1}"/>
    <cellStyle name="Separador de milhares 8 3 2 7 2" xfId="30037" xr:uid="{B0865D40-3A04-4C3A-AA3E-A805C4E3126D}"/>
    <cellStyle name="Separador de milhares 8 3 2 8" xfId="26543" xr:uid="{61675248-8784-4D3D-823A-FDD64FBFCE12}"/>
    <cellStyle name="Separador de milhares 8 3 3" xfId="6772" xr:uid="{E25F3F75-2FCE-4088-BFC6-F288C82F5617}"/>
    <cellStyle name="Separador de milhares 8 3 3 2" xfId="17058" xr:uid="{DB7A630F-69DB-4C67-A3C3-F76A67EE84BD}"/>
    <cellStyle name="Separador de milhares 8 3 3 2 2" xfId="37398" xr:uid="{667E9217-5FFB-41B8-9AA7-4973997159DB}"/>
    <cellStyle name="Separador de milhares 8 3 3 3" xfId="20560" xr:uid="{7B6B6DF7-24F2-482F-AA82-E6D9AF8B5EF9}"/>
    <cellStyle name="Separador de milhares 8 3 3 3 2" xfId="40899" xr:uid="{83B7863A-AF15-48C9-89F0-F67D94A3C597}"/>
    <cellStyle name="Separador de milhares 8 3 3 4" xfId="23815" xr:uid="{B382BE0C-0793-4B84-9817-BF026B77EA8E}"/>
    <cellStyle name="Separador de milhares 8 3 3 4 2" xfId="44150" xr:uid="{1363D6EC-D24A-481E-BC9C-0123CC5DE2DC}"/>
    <cellStyle name="Separador de milhares 8 3 3 5" xfId="14149" xr:uid="{92804E5A-D4E5-46AA-929E-E8ECCB74A811}"/>
    <cellStyle name="Separador de milhares 8 3 3 5 2" xfId="34490" xr:uid="{4262A0AF-5185-43DF-B417-5F94D13C9E9A}"/>
    <cellStyle name="Separador de milhares 8 3 3 6" xfId="10271" xr:uid="{4D94AB88-D261-45A8-B095-F7E426D29A93}"/>
    <cellStyle name="Separador de milhares 8 3 3 6 2" xfId="30614" xr:uid="{D6DFD72D-3A69-4F82-B00E-6492572782EF}"/>
    <cellStyle name="Separador de milhares 8 3 3 7" xfId="27120" xr:uid="{2A38A57F-BEDE-42EB-9F3F-2D41494ACE0F}"/>
    <cellStyle name="Separador de milhares 8 3 4" xfId="7936" xr:uid="{24ECA186-3423-421B-9628-F5CF1DAA37AD}"/>
    <cellStyle name="Separador de milhares 8 3 4 2" xfId="18221" xr:uid="{3EF6663F-6137-4C1A-BDCA-BF2CA37AF9CD}"/>
    <cellStyle name="Separador de milhares 8 3 4 2 2" xfId="38561" xr:uid="{6655ABEB-8135-4423-9EC5-421FB15E545F}"/>
    <cellStyle name="Separador de milhares 8 3 4 3" xfId="21723" xr:uid="{249FE05E-195A-4FEF-AA3F-C9C42893D8E8}"/>
    <cellStyle name="Separador de milhares 8 3 4 3 2" xfId="42062" xr:uid="{963D5F4C-D905-4EB8-9593-96A1B246FAE7}"/>
    <cellStyle name="Separador de milhares 8 3 4 4" xfId="24978" xr:uid="{D6080D5B-0E74-4753-A74B-D6EC899E9BDF}"/>
    <cellStyle name="Separador de milhares 8 3 4 4 2" xfId="45313" xr:uid="{0BBB5FD4-2CC2-479F-BB3C-292F5E04E07C}"/>
    <cellStyle name="Separador de milhares 8 3 4 5" xfId="15313" xr:uid="{3E0FCBDC-19B9-4A8F-B89E-CB31BEA37E90}"/>
    <cellStyle name="Separador de milhares 8 3 4 5 2" xfId="35653" xr:uid="{E2B15E77-F119-483D-AD2C-02862C1E1B7A}"/>
    <cellStyle name="Separador de milhares 8 3 4 6" xfId="11434" xr:uid="{68195CA3-B556-4D52-856E-377ED3BD96B5}"/>
    <cellStyle name="Separador de milhares 8 3 4 6 2" xfId="31777" xr:uid="{DA4A8E43-79BC-4B93-B46F-2D7C33EC88D6}"/>
    <cellStyle name="Separador de milhares 8 3 4 7" xfId="28283" xr:uid="{F66670A9-8FB6-440B-BE7F-A7CA5299EEE0}"/>
    <cellStyle name="Separador de milhares 8 3 5" xfId="13003" xr:uid="{D50E0B18-5D2F-4205-8F0E-D21828ED61CB}"/>
    <cellStyle name="Separador de milhares 8 3 5 2" xfId="33344" xr:uid="{142B69A3-EB98-4D4D-9C5E-278B662A0A60}"/>
    <cellStyle name="Separador de milhares 8 3 6" xfId="15900" xr:uid="{DD7DB839-2859-4864-97EA-9CAF4245A8CA}"/>
    <cellStyle name="Separador de milhares 8 3 6 2" xfId="36240" xr:uid="{250FE841-06FD-4237-AF88-91E3E0949EDE}"/>
    <cellStyle name="Separador de milhares 8 3 7" xfId="18814" xr:uid="{C0B81124-5C5C-4D48-891B-AEF6006C0689}"/>
    <cellStyle name="Separador de milhares 8 3 7 2" xfId="39154" xr:uid="{668AF195-5836-4125-8862-58D301DE0D7D}"/>
    <cellStyle name="Separador de milhares 8 3 8" xfId="19402" xr:uid="{E3114B1F-4A48-4C71-9C36-7D71C853AC03}"/>
    <cellStyle name="Separador de milhares 8 3 8 2" xfId="39741" xr:uid="{C4E70673-CFF7-48BE-AC4F-58BE63D27C87}"/>
    <cellStyle name="Separador de milhares 8 3 9" xfId="22657" xr:uid="{395F94C3-1883-430F-B82A-2AA7B6F63F2B}"/>
    <cellStyle name="Separador de milhares 8 3 9 2" xfId="42992" xr:uid="{50ED1D71-FB43-4BE8-9AB4-D82FF958145D}"/>
    <cellStyle name="Separador de milhares 8 4" xfId="5851" xr:uid="{61984F0D-DC38-4536-B919-2EB8A6A11109}"/>
    <cellStyle name="Separador de milhares 8 4 2" xfId="7009" xr:uid="{5F54F304-A39C-4C0B-AC0F-9B5A5159FF23}"/>
    <cellStyle name="Separador de milhares 8 4 2 2" xfId="17295" xr:uid="{904649C2-FBE0-46B6-B063-A72E081B4046}"/>
    <cellStyle name="Separador de milhares 8 4 2 2 2" xfId="37635" xr:uid="{EADDE640-03CB-47DC-8C4A-1B362AAD4FBD}"/>
    <cellStyle name="Separador de milhares 8 4 2 3" xfId="20797" xr:uid="{B0EC2157-ED2C-4143-9D27-2EC2E8DA5E94}"/>
    <cellStyle name="Separador de milhares 8 4 2 3 2" xfId="41136" xr:uid="{5544CE52-87B9-432E-9974-85D616011037}"/>
    <cellStyle name="Separador de milhares 8 4 2 4" xfId="24052" xr:uid="{CEB9AE9B-09D4-4B83-B4FC-22689F64CEF2}"/>
    <cellStyle name="Separador de milhares 8 4 2 4 2" xfId="44387" xr:uid="{2CCCF37B-C87D-4534-9BAD-BFF77AB4BC9A}"/>
    <cellStyle name="Separador de milhares 8 4 2 5" xfId="14386" xr:uid="{664B34B9-886D-4DED-992C-A0A6CA51DC77}"/>
    <cellStyle name="Separador de milhares 8 4 2 5 2" xfId="34727" xr:uid="{989F3BD8-AB1B-463D-8461-B2930E57CC45}"/>
    <cellStyle name="Separador de milhares 8 4 2 6" xfId="10508" xr:uid="{66048F2D-10D0-48E9-AEA7-02E0D19403B4}"/>
    <cellStyle name="Separador de milhares 8 4 2 6 2" xfId="30851" xr:uid="{C6E26F6C-4DED-4651-8484-3A7CB6B419A7}"/>
    <cellStyle name="Separador de milhares 8 4 2 7" xfId="27357" xr:uid="{9696B467-D2D5-48EB-8648-CFD9BE806689}"/>
    <cellStyle name="Separador de milhares 8 4 3" xfId="16137" xr:uid="{B2A8EF95-9717-4D3F-B42E-CC726CF1C05C}"/>
    <cellStyle name="Separador de milhares 8 4 3 2" xfId="36477" xr:uid="{8FFBCD3C-A115-40DD-9FC4-A3B586F50D4E}"/>
    <cellStyle name="Separador de milhares 8 4 4" xfId="19639" xr:uid="{1A837692-E9CD-4392-9099-4A8FB865B272}"/>
    <cellStyle name="Separador de milhares 8 4 4 2" xfId="39978" xr:uid="{BC92D4B2-913A-4CF3-8B90-83A5A792AEBD}"/>
    <cellStyle name="Separador de milhares 8 4 5" xfId="22894" xr:uid="{75301436-E1FE-4BEA-84B9-F5646F663375}"/>
    <cellStyle name="Separador de milhares 8 4 5 2" xfId="43229" xr:uid="{01BD49B5-E782-4C13-B659-864BAD5532D5}"/>
    <cellStyle name="Separador de milhares 8 4 6" xfId="13230" xr:uid="{16FE8EFB-7B5B-472B-9A10-51E49DB601B7}"/>
    <cellStyle name="Separador de milhares 8 4 6 2" xfId="33571" xr:uid="{773F6AD7-2807-409C-BD0B-37391E41A5F6}"/>
    <cellStyle name="Separador de milhares 8 4 7" xfId="9350" xr:uid="{919A5C9E-B10B-4032-918A-DD7AFB84B1E7}"/>
    <cellStyle name="Separador de milhares 8 4 7 2" xfId="29693" xr:uid="{6323BC35-5168-4948-8728-4F64930285F3}"/>
    <cellStyle name="Separador de milhares 8 4 8" xfId="26199" xr:uid="{CC0C211F-1842-40C1-9169-85CF186DFF67}"/>
    <cellStyle name="Separador de milhares 8 5" xfId="6428" xr:uid="{CA5EB955-51B1-4D88-A968-436D8032A35B}"/>
    <cellStyle name="Separador de milhares 8 5 2" xfId="16714" xr:uid="{D239B5FA-52C6-4EAC-AC41-6CE71DA55FBB}"/>
    <cellStyle name="Separador de milhares 8 5 2 2" xfId="37054" xr:uid="{306939F6-C7FB-45FA-B072-C56A179910E7}"/>
    <cellStyle name="Separador de milhares 8 5 3" xfId="20216" xr:uid="{2791B727-3601-4C5E-A627-5907B6A3E77F}"/>
    <cellStyle name="Separador de milhares 8 5 3 2" xfId="40555" xr:uid="{A4717040-4524-47E8-BC74-EC982C9EA6A7}"/>
    <cellStyle name="Separador de milhares 8 5 4" xfId="23471" xr:uid="{C0BA5698-5770-404D-9CFF-B13569CE2806}"/>
    <cellStyle name="Separador de milhares 8 5 4 2" xfId="43806" xr:uid="{D5CEE02F-75C8-437D-8616-4B052EE4C720}"/>
    <cellStyle name="Separador de milhares 8 5 5" xfId="13805" xr:uid="{C568BBA0-01EE-4F97-AF29-1684DC86E3B9}"/>
    <cellStyle name="Separador de milhares 8 5 5 2" xfId="34146" xr:uid="{CC94A97D-7BE7-4D11-A241-3679CF538868}"/>
    <cellStyle name="Separador de milhares 8 5 6" xfId="9927" xr:uid="{9B1BB85D-04A6-452E-A36C-DD69DDEB1AD3}"/>
    <cellStyle name="Separador de milhares 8 5 6 2" xfId="30270" xr:uid="{91A611BD-13B7-4760-BDFC-5CC3C4F824B9}"/>
    <cellStyle name="Separador de milhares 8 5 7" xfId="26776" xr:uid="{13ED0D9B-C3D3-4203-BD61-C2F5534ADB18}"/>
    <cellStyle name="Separador de milhares 8 6" xfId="7592" xr:uid="{2AA8AFF3-6853-487D-AE15-9FE30AB2BDE2}"/>
    <cellStyle name="Separador de milhares 8 6 2" xfId="17877" xr:uid="{D411BD34-37D4-400D-99A7-228760E6784C}"/>
    <cellStyle name="Separador de milhares 8 6 2 2" xfId="38217" xr:uid="{0618EF5A-AB29-4FDE-85D9-9258D0074379}"/>
    <cellStyle name="Separador de milhares 8 6 3" xfId="21379" xr:uid="{02DD0077-3751-4BBE-9EBA-51147D75B993}"/>
    <cellStyle name="Separador de milhares 8 6 3 2" xfId="41718" xr:uid="{FBDAA535-5E8D-4F2E-9597-BB380E785BD3}"/>
    <cellStyle name="Separador de milhares 8 6 4" xfId="24634" xr:uid="{1EB50AC0-8853-44F6-B303-FC9701A01926}"/>
    <cellStyle name="Separador de milhares 8 6 4 2" xfId="44969" xr:uid="{164B592B-C9C0-419A-80CC-C6E212F893DC}"/>
    <cellStyle name="Separador de milhares 8 6 5" xfId="14969" xr:uid="{633C6E20-49A6-44BA-A229-2E31A6F4D6D9}"/>
    <cellStyle name="Separador de milhares 8 6 5 2" xfId="35309" xr:uid="{EA5F4742-8347-42EB-95A8-D342EA9B935B}"/>
    <cellStyle name="Separador de milhares 8 6 6" xfId="11090" xr:uid="{3B806493-6237-4BA3-B04E-0CBFEB447E17}"/>
    <cellStyle name="Separador de milhares 8 6 6 2" xfId="31433" xr:uid="{CFA4FAD0-65D1-4DEC-AFCE-4528157CB3C0}"/>
    <cellStyle name="Separador de milhares 8 6 7" xfId="27939" xr:uid="{5829BCDA-813E-4F90-BCE1-2A0F4EF970EF}"/>
    <cellStyle name="Separador de milhares 8 7" xfId="12661" xr:uid="{E1EF1FDD-AD3B-439F-AF77-02F58A3D1494}"/>
    <cellStyle name="Separador de milhares 8 7 2" xfId="33002" xr:uid="{12AB607F-D24A-45D2-A4E1-BE6D06BB0FEC}"/>
    <cellStyle name="Separador de milhares 8 8" xfId="15556" xr:uid="{608AE341-504E-40DB-96D8-FF9EC0A2ED5A}"/>
    <cellStyle name="Separador de milhares 8 8 2" xfId="35896" xr:uid="{CA6C7CE3-6B60-4341-B00F-B715BEEE0287}"/>
    <cellStyle name="Separador de milhares 8 9" xfId="18470" xr:uid="{6EB210E6-809E-496B-BCC1-EA3EFD331C8B}"/>
    <cellStyle name="Separador de milhares 8 9 2" xfId="38810" xr:uid="{2BEACCA3-84E3-4FC5-AA0A-0BF53FE6DCE5}"/>
    <cellStyle name="Separador de milhares 9" xfId="5301" xr:uid="{4B569924-644F-492D-AE22-300EC3F5653D}"/>
    <cellStyle name="Separador de milhares 9 10" xfId="19059" xr:uid="{5D811822-0B4A-4595-AF54-BE5C28E80289}"/>
    <cellStyle name="Separador de milhares 9 10 2" xfId="39398" xr:uid="{BE600D32-32E0-4EF9-BB16-393BC30267E2}"/>
    <cellStyle name="Separador de milhares 9 11" xfId="22314" xr:uid="{5595DA3D-25BB-4842-AD33-C806D4657195}"/>
    <cellStyle name="Separador de milhares 9 11 2" xfId="42649" xr:uid="{7F981BA2-41BF-48B7-B311-3178E9D92093}"/>
    <cellStyle name="Separador de milhares 9 12" xfId="12031" xr:uid="{397AF46F-3C48-43F0-9763-43C971CB5F6A}"/>
    <cellStyle name="Separador de milhares 9 12 2" xfId="32372" xr:uid="{81CF857D-5394-4F9B-94D2-540BC64CA4A2}"/>
    <cellStyle name="Separador de milhares 9 13" xfId="8770" xr:uid="{E9F5BF33-B261-4CE3-B2C3-592F80FC9190}"/>
    <cellStyle name="Separador de milhares 9 13 2" xfId="29113" xr:uid="{B9B854D5-5A41-4310-A787-C16365AE7791}"/>
    <cellStyle name="Separador de milhares 9 14" xfId="25619" xr:uid="{BDED7B17-EBF3-477D-8CD1-337E026EB6B9}"/>
    <cellStyle name="Separador de milhares 9 2" xfId="5403" xr:uid="{8A42A113-E4C7-429D-873F-39BDB220E204}"/>
    <cellStyle name="Separador de milhares 9 2 10" xfId="12146" xr:uid="{BC42AFB2-A5B9-4ACB-A0B7-951C1C082EA0}"/>
    <cellStyle name="Separador de milhares 9 2 10 2" xfId="32487" xr:uid="{63AEE56C-49BF-4576-96FF-A42FB9A2D157}"/>
    <cellStyle name="Separador de milhares 9 2 11" xfId="8885" xr:uid="{DED23290-E0B6-4A6F-B78D-759A0A406EF3}"/>
    <cellStyle name="Separador de milhares 9 2 11 2" xfId="29228" xr:uid="{2DC70AF4-0D8D-4A4F-8C9B-46B63F10B693}"/>
    <cellStyle name="Separador de milhares 9 2 12" xfId="25734" xr:uid="{6BD69A43-1E87-4B81-836D-33AB6E87399D}"/>
    <cellStyle name="Separador de milhares 9 2 2" xfId="5967" xr:uid="{FEEEF7C9-B9BC-4D20-8146-27FFC55A1322}"/>
    <cellStyle name="Separador de milhares 9 2 2 2" xfId="7125" xr:uid="{45BBD5E2-D46A-4B67-B397-4C6954C79890}"/>
    <cellStyle name="Separador de milhares 9 2 2 2 2" xfId="17411" xr:uid="{4B0F9AFF-333F-422F-A5E1-118EE4C0F368}"/>
    <cellStyle name="Separador de milhares 9 2 2 2 2 2" xfId="37751" xr:uid="{438FCC9A-8279-4C2D-A101-60A4F2BBC075}"/>
    <cellStyle name="Separador de milhares 9 2 2 2 3" xfId="20913" xr:uid="{658EEAF3-4A94-45A0-A598-7D471E69E8DB}"/>
    <cellStyle name="Separador de milhares 9 2 2 2 3 2" xfId="41252" xr:uid="{D74278D2-7DDF-4126-AF7E-F602FF07F5A3}"/>
    <cellStyle name="Separador de milhares 9 2 2 2 4" xfId="24168" xr:uid="{A9F6A478-B58E-4391-B0D0-4691DCCB7456}"/>
    <cellStyle name="Separador de milhares 9 2 2 2 4 2" xfId="44503" xr:uid="{5B1B9627-1F27-4A7E-AEA8-A6D7A969FE74}"/>
    <cellStyle name="Separador de milhares 9 2 2 2 5" xfId="14502" xr:uid="{E7C23A37-FFE9-491D-9376-3221BE46DB4E}"/>
    <cellStyle name="Separador de milhares 9 2 2 2 5 2" xfId="34843" xr:uid="{55175064-A697-4A68-B8F6-9204CC14645A}"/>
    <cellStyle name="Separador de milhares 9 2 2 2 6" xfId="10624" xr:uid="{22312E28-A548-4AA5-9A9B-7B81641F32C2}"/>
    <cellStyle name="Separador de milhares 9 2 2 2 6 2" xfId="30967" xr:uid="{4AE2C01C-540F-4E28-93AE-FBA97BB05899}"/>
    <cellStyle name="Separador de milhares 9 2 2 2 7" xfId="27473" xr:uid="{5EB32080-F869-4397-9AFD-EEED43C1FD29}"/>
    <cellStyle name="Separador de milhares 9 2 2 3" xfId="16253" xr:uid="{7BCDF639-BE91-4665-B400-D3EE146FB1F0}"/>
    <cellStyle name="Separador de milhares 9 2 2 3 2" xfId="36593" xr:uid="{94656128-B120-4AA4-8F92-CB87557DF1C5}"/>
    <cellStyle name="Separador de milhares 9 2 2 4" xfId="19755" xr:uid="{B7BFB664-2A11-4E0E-8FE1-F4D6E2C7489C}"/>
    <cellStyle name="Separador de milhares 9 2 2 4 2" xfId="40094" xr:uid="{60EC29B1-FE9C-4B93-B551-F28308A1E549}"/>
    <cellStyle name="Separador de milhares 9 2 2 5" xfId="23010" xr:uid="{B2F3DDF9-6001-4F0F-841F-C75A31D8D273}"/>
    <cellStyle name="Separador de milhares 9 2 2 5 2" xfId="43345" xr:uid="{A046F1E6-FEB0-4663-B13B-5DCE471E525B}"/>
    <cellStyle name="Separador de milhares 9 2 2 6" xfId="13344" xr:uid="{388A43AB-8F6A-4CF6-9A84-A3CFF60CC0AF}"/>
    <cellStyle name="Separador de milhares 9 2 2 6 2" xfId="33685" xr:uid="{1FD67839-B2AB-4EF0-80A7-0EACFB0A2885}"/>
    <cellStyle name="Separador de milhares 9 2 2 7" xfId="9466" xr:uid="{6F1DF68D-8C0F-4866-A95F-A962CEF7FD79}"/>
    <cellStyle name="Separador de milhares 9 2 2 7 2" xfId="29809" xr:uid="{08E0C8C2-FA66-46E7-876E-808FFDB53B7A}"/>
    <cellStyle name="Separador de milhares 9 2 2 8" xfId="26315" xr:uid="{3EFCAF94-704E-49FE-8944-57C51B5A8E8A}"/>
    <cellStyle name="Separador de milhares 9 2 3" xfId="6544" xr:uid="{BADB59DD-191D-4BC1-87B3-FC16C38AC055}"/>
    <cellStyle name="Separador de milhares 9 2 3 2" xfId="16830" xr:uid="{554E4DE9-78A9-47AE-9FD4-F95959622A13}"/>
    <cellStyle name="Separador de milhares 9 2 3 2 2" xfId="37170" xr:uid="{05A94FB5-1FF4-4F62-B773-28BA2E191F08}"/>
    <cellStyle name="Separador de milhares 9 2 3 3" xfId="20332" xr:uid="{D883F304-C303-4A42-9D7F-D0BBC865D006}"/>
    <cellStyle name="Separador de milhares 9 2 3 3 2" xfId="40671" xr:uid="{66A7FD1A-6468-4BA8-AE87-E63DAEC59202}"/>
    <cellStyle name="Separador de milhares 9 2 3 4" xfId="23587" xr:uid="{D6541BC9-F926-450C-8744-AA0148089125}"/>
    <cellStyle name="Separador de milhares 9 2 3 4 2" xfId="43922" xr:uid="{8291B3E5-7720-48D9-B785-63198D3A1DB8}"/>
    <cellStyle name="Separador de milhares 9 2 3 5" xfId="13921" xr:uid="{92663D61-DAAE-4D1D-A90B-345CED9E926E}"/>
    <cellStyle name="Separador de milhares 9 2 3 5 2" xfId="34262" xr:uid="{8DD00501-F419-42B7-AA69-27A440C054CB}"/>
    <cellStyle name="Separador de milhares 9 2 3 6" xfId="10043" xr:uid="{7EC555B6-CF31-4E02-AC4D-0DF68359AC8B}"/>
    <cellStyle name="Separador de milhares 9 2 3 6 2" xfId="30386" xr:uid="{CFF79F30-688F-4AE6-97B4-C75A19E64EDE}"/>
    <cellStyle name="Separador de milhares 9 2 3 7" xfId="26892" xr:uid="{D06BD065-7F86-477D-97B2-B47663FD9840}"/>
    <cellStyle name="Separador de milhares 9 2 4" xfId="7708" xr:uid="{B2E0141B-7D30-4E62-B74C-0E5E2BB62DD7}"/>
    <cellStyle name="Separador de milhares 9 2 4 2" xfId="17993" xr:uid="{44F15B67-193A-423A-8ABF-8371D14BF028}"/>
    <cellStyle name="Separador de milhares 9 2 4 2 2" xfId="38333" xr:uid="{A8C8C891-CAE0-4DD1-9163-141C27D86C51}"/>
    <cellStyle name="Separador de milhares 9 2 4 3" xfId="21495" xr:uid="{E0DB1FDB-6F6E-49DB-8E14-91F5936A4B31}"/>
    <cellStyle name="Separador de milhares 9 2 4 3 2" xfId="41834" xr:uid="{6E9AF9D2-9DED-453B-9BAB-60928CC5EDE2}"/>
    <cellStyle name="Separador de milhares 9 2 4 4" xfId="24750" xr:uid="{9CDE2B9B-5B74-4857-A78A-0DF767D15CF3}"/>
    <cellStyle name="Separador de milhares 9 2 4 4 2" xfId="45085" xr:uid="{6D5616D4-B629-4ADC-8961-F85BFA7DB745}"/>
    <cellStyle name="Separador de milhares 9 2 4 5" xfId="15085" xr:uid="{B8D01DDF-6638-4A1D-80FD-C87D7F45FF87}"/>
    <cellStyle name="Separador de milhares 9 2 4 5 2" xfId="35425" xr:uid="{52CC9D4B-E05A-4FDE-B3F2-967CF3DFB194}"/>
    <cellStyle name="Separador de milhares 9 2 4 6" xfId="11206" xr:uid="{2A10D769-97EF-4AA8-8E2A-ACB9985DE27C}"/>
    <cellStyle name="Separador de milhares 9 2 4 6 2" xfId="31549" xr:uid="{4AB2D83C-F5E1-45B2-8CF2-CE68449B2B1C}"/>
    <cellStyle name="Separador de milhares 9 2 4 7" xfId="28055" xr:uid="{F28711C6-6A3A-44C9-95F5-CD77001CA833}"/>
    <cellStyle name="Separador de milhares 9 2 5" xfId="12775" xr:uid="{712FB79F-12F6-48D0-AF27-4AF98B77DBDD}"/>
    <cellStyle name="Separador de milhares 9 2 5 2" xfId="33116" xr:uid="{D3047F0C-2CB5-442F-9846-35D7E1DE5DD7}"/>
    <cellStyle name="Separador de milhares 9 2 6" xfId="15672" xr:uid="{E66EECB0-BB80-46A5-9063-B3E7FBC355FA}"/>
    <cellStyle name="Separador de milhares 9 2 6 2" xfId="36012" xr:uid="{6C49D6F3-FF9F-46DB-B1F0-137197AFA5A2}"/>
    <cellStyle name="Separador de milhares 9 2 7" xfId="18586" xr:uid="{FBE00F3D-34AD-4115-8FF3-9EEE9A6D2F63}"/>
    <cellStyle name="Separador de milhares 9 2 7 2" xfId="38926" xr:uid="{A9EB44A9-6664-4A7D-BADB-3B818402A2C7}"/>
    <cellStyle name="Separador de milhares 9 2 8" xfId="19174" xr:uid="{704DD87E-DDE8-4031-B05C-23025879EBCC}"/>
    <cellStyle name="Separador de milhares 9 2 8 2" xfId="39513" xr:uid="{9A19277F-8B83-4DED-A02E-38797B9069B8}"/>
    <cellStyle name="Separador de milhares 9 2 9" xfId="22429" xr:uid="{40DD69A5-F260-477E-8DA1-A6C68819EB9B}"/>
    <cellStyle name="Separador de milhares 9 2 9 2" xfId="42764" xr:uid="{45969B6E-A8FF-408B-A90A-E5BDCAC8AB6D}"/>
    <cellStyle name="Separador de milhares 9 3" xfId="5624" xr:uid="{EEFB6BD4-029A-4B66-BC42-4BD424EDB3CC}"/>
    <cellStyle name="Separador de milhares 9 3 10" xfId="12375" xr:uid="{55D1E5B0-14F8-4D9F-8B66-E46F51C61F40}"/>
    <cellStyle name="Separador de milhares 9 3 10 2" xfId="32716" xr:uid="{CC2E1DA8-148E-4A4B-8B33-3E5751DD02D4}"/>
    <cellStyle name="Separador de milhares 9 3 11" xfId="9114" xr:uid="{58700D4E-DC21-4770-A884-38490082EF0B}"/>
    <cellStyle name="Separador de milhares 9 3 11 2" xfId="29457" xr:uid="{540CEFEB-DC2E-4A88-BA4A-6DEE06E5CA6A}"/>
    <cellStyle name="Separador de milhares 9 3 12" xfId="25963" xr:uid="{C9594E3B-228E-4CCD-95A3-8F5B4D53E1B1}"/>
    <cellStyle name="Separador de milhares 9 3 2" xfId="6196" xr:uid="{137184AB-3988-43F5-90CF-B75103E2F638}"/>
    <cellStyle name="Separador de milhares 9 3 2 2" xfId="7354" xr:uid="{308339FA-56E4-4334-A151-5AEB7651634B}"/>
    <cellStyle name="Separador de milhares 9 3 2 2 2" xfId="17640" xr:uid="{2DD35C8E-5634-44EB-980E-694993B08BC0}"/>
    <cellStyle name="Separador de milhares 9 3 2 2 2 2" xfId="37980" xr:uid="{0528F8BE-0B65-4245-A4CC-6AA14B84EC60}"/>
    <cellStyle name="Separador de milhares 9 3 2 2 3" xfId="21142" xr:uid="{C1FD852F-1081-4BF3-A9C0-836B5999AFD0}"/>
    <cellStyle name="Separador de milhares 9 3 2 2 3 2" xfId="41481" xr:uid="{C54365C5-A82F-42F4-9620-8FD45EF3058A}"/>
    <cellStyle name="Separador de milhares 9 3 2 2 4" xfId="24397" xr:uid="{F3E42BB2-F370-4DE9-A450-118C202CCF2A}"/>
    <cellStyle name="Separador de milhares 9 3 2 2 4 2" xfId="44732" xr:uid="{7869C272-C508-40AE-85C9-28FC764724CE}"/>
    <cellStyle name="Separador de milhares 9 3 2 2 5" xfId="14731" xr:uid="{23FE3203-27DB-475C-BA38-44539BC9AF6E}"/>
    <cellStyle name="Separador de milhares 9 3 2 2 5 2" xfId="35072" xr:uid="{F7158D81-5C54-4767-85E4-EF2B2A29BA4F}"/>
    <cellStyle name="Separador de milhares 9 3 2 2 6" xfId="10853" xr:uid="{25DF9CD6-3704-40C6-896E-735F5E241A36}"/>
    <cellStyle name="Separador de milhares 9 3 2 2 6 2" xfId="31196" xr:uid="{807E53F8-72E4-4DC0-834B-16F71D99CC78}"/>
    <cellStyle name="Separador de milhares 9 3 2 2 7" xfId="27702" xr:uid="{80DA3F64-EA84-4EA8-967D-02BE9A73EB3E}"/>
    <cellStyle name="Separador de milhares 9 3 2 3" xfId="16482" xr:uid="{4D260546-0E56-491C-9285-F1FBBCDA3CEF}"/>
    <cellStyle name="Separador de milhares 9 3 2 3 2" xfId="36822" xr:uid="{58CFA7C6-B3EB-4937-A118-535EDA847CCE}"/>
    <cellStyle name="Separador de milhares 9 3 2 4" xfId="19984" xr:uid="{8BFD0369-27F0-4C03-B870-C3CF8F721A85}"/>
    <cellStyle name="Separador de milhares 9 3 2 4 2" xfId="40323" xr:uid="{05A958D1-0D40-4E34-808D-F59FC12B55F9}"/>
    <cellStyle name="Separador de milhares 9 3 2 5" xfId="23239" xr:uid="{4D7A7A65-0DE7-4B96-8868-08D411E81F9D}"/>
    <cellStyle name="Separador de milhares 9 3 2 5 2" xfId="43574" xr:uid="{6851030F-DE0E-43E4-97A7-4A9EF9DD160E}"/>
    <cellStyle name="Separador de milhares 9 3 2 6" xfId="13573" xr:uid="{605A7255-B4D9-4A88-8E27-DB6146E314EB}"/>
    <cellStyle name="Separador de milhares 9 3 2 6 2" xfId="33914" xr:uid="{72C5C643-DE1E-4284-8BAD-82A06D84F204}"/>
    <cellStyle name="Separador de milhares 9 3 2 7" xfId="9695" xr:uid="{D19F2668-965E-4B68-9629-B8082129B2A5}"/>
    <cellStyle name="Separador de milhares 9 3 2 7 2" xfId="30038" xr:uid="{4A6BFB97-97D0-4333-A848-78A37B267D00}"/>
    <cellStyle name="Separador de milhares 9 3 2 8" xfId="26544" xr:uid="{BD5DBED7-5443-4922-9A82-E0A0908F9015}"/>
    <cellStyle name="Separador de milhares 9 3 3" xfId="6773" xr:uid="{90875BA9-924C-4934-A13C-178FCF7102AA}"/>
    <cellStyle name="Separador de milhares 9 3 3 2" xfId="17059" xr:uid="{1B7B8620-5759-40E8-9F09-CA9EF57CC82F}"/>
    <cellStyle name="Separador de milhares 9 3 3 2 2" xfId="37399" xr:uid="{277E748B-6C76-4E18-A4AE-0B29E686F8F5}"/>
    <cellStyle name="Separador de milhares 9 3 3 3" xfId="20561" xr:uid="{555D1B28-F4EE-4785-9A28-77698F85E9BE}"/>
    <cellStyle name="Separador de milhares 9 3 3 3 2" xfId="40900" xr:uid="{66808AA6-6945-478B-8055-C1AF83496563}"/>
    <cellStyle name="Separador de milhares 9 3 3 4" xfId="23816" xr:uid="{5FE9D3C4-B3F8-4AF3-87F2-14D4435A70C4}"/>
    <cellStyle name="Separador de milhares 9 3 3 4 2" xfId="44151" xr:uid="{7D88281A-F47F-40FF-9F99-196A99CAB6E4}"/>
    <cellStyle name="Separador de milhares 9 3 3 5" xfId="14150" xr:uid="{189D7823-10DD-40AB-B2DB-01E9F03D91EE}"/>
    <cellStyle name="Separador de milhares 9 3 3 5 2" xfId="34491" xr:uid="{4B5F0F31-0C17-4D77-A3C3-D9DA49CD7AD2}"/>
    <cellStyle name="Separador de milhares 9 3 3 6" xfId="10272" xr:uid="{41F0C547-6E28-4130-A5EC-66E7CE4C6396}"/>
    <cellStyle name="Separador de milhares 9 3 3 6 2" xfId="30615" xr:uid="{DC8BB46E-022D-4103-A4EA-FEE4C3F4E24A}"/>
    <cellStyle name="Separador de milhares 9 3 3 7" xfId="27121" xr:uid="{55DA93BA-63BE-472E-B480-EF8577FC881C}"/>
    <cellStyle name="Separador de milhares 9 3 4" xfId="7937" xr:uid="{B04204C7-E18A-421C-92A2-25481EC39B51}"/>
    <cellStyle name="Separador de milhares 9 3 4 2" xfId="18222" xr:uid="{792F8FED-AA04-4321-8C37-C865655472D7}"/>
    <cellStyle name="Separador de milhares 9 3 4 2 2" xfId="38562" xr:uid="{579AC2CF-6CEB-4B39-B3A7-2E4246674D0C}"/>
    <cellStyle name="Separador de milhares 9 3 4 3" xfId="21724" xr:uid="{C46089A9-0555-4A12-91FB-A8578EF60275}"/>
    <cellStyle name="Separador de milhares 9 3 4 3 2" xfId="42063" xr:uid="{0800D61B-6FCD-4A0D-BBCE-F0A3AAE841E3}"/>
    <cellStyle name="Separador de milhares 9 3 4 4" xfId="24979" xr:uid="{887B5E0F-B3E3-4A94-B860-6E598095859B}"/>
    <cellStyle name="Separador de milhares 9 3 4 4 2" xfId="45314" xr:uid="{60CC0613-4ADE-47C6-89DD-06444580FB3B}"/>
    <cellStyle name="Separador de milhares 9 3 4 5" xfId="15314" xr:uid="{2B901F81-FF19-4078-A3BE-D80C309D4B04}"/>
    <cellStyle name="Separador de milhares 9 3 4 5 2" xfId="35654" xr:uid="{29BC73E5-936D-4C09-A71A-8EC1A4C15AD2}"/>
    <cellStyle name="Separador de milhares 9 3 4 6" xfId="11435" xr:uid="{5E13DA1C-0B65-4BF3-BE4B-E483B52BE68F}"/>
    <cellStyle name="Separador de milhares 9 3 4 6 2" xfId="31778" xr:uid="{39946DEB-220E-42E2-B05D-842787E7594A}"/>
    <cellStyle name="Separador de milhares 9 3 4 7" xfId="28284" xr:uid="{94981327-5139-4E15-AE50-1ECE23976348}"/>
    <cellStyle name="Separador de milhares 9 3 5" xfId="13004" xr:uid="{F96204F0-7F38-4D47-8347-434C1A3D5FE8}"/>
    <cellStyle name="Separador de milhares 9 3 5 2" xfId="33345" xr:uid="{FDD9EDC2-AD82-4973-A710-694EF9B45B64}"/>
    <cellStyle name="Separador de milhares 9 3 6" xfId="15901" xr:uid="{FA66B680-0306-46E7-93EB-5E2A2B0F9000}"/>
    <cellStyle name="Separador de milhares 9 3 6 2" xfId="36241" xr:uid="{39FFC59A-26B3-458B-8758-4720CEA49AEA}"/>
    <cellStyle name="Separador de milhares 9 3 7" xfId="18815" xr:uid="{BA48473C-8C1A-42D4-ABD0-76FC64D23F39}"/>
    <cellStyle name="Separador de milhares 9 3 7 2" xfId="39155" xr:uid="{2C68CD25-4116-4526-BA30-38E4A94FD30D}"/>
    <cellStyle name="Separador de milhares 9 3 8" xfId="19403" xr:uid="{C9EC522F-556C-4AAC-92D0-7168AE7159A1}"/>
    <cellStyle name="Separador de milhares 9 3 8 2" xfId="39742" xr:uid="{7AF67264-5070-48A9-B76E-E855416080E4}"/>
    <cellStyle name="Separador de milhares 9 3 9" xfId="22658" xr:uid="{154FA919-637F-48FA-B069-7C769BC8F19A}"/>
    <cellStyle name="Separador de milhares 9 3 9 2" xfId="42993" xr:uid="{76284494-B6B1-4DA8-8450-E65B374E860E}"/>
    <cellStyle name="Separador de milhares 9 4" xfId="5852" xr:uid="{F28A767F-A6F6-4472-8806-72F58FB8B63D}"/>
    <cellStyle name="Separador de milhares 9 4 2" xfId="7010" xr:uid="{1300F13D-DFF6-42DE-AB82-81CE815B7B72}"/>
    <cellStyle name="Separador de milhares 9 4 2 2" xfId="17296" xr:uid="{5E555972-082C-44DA-836A-AC119D08F6AF}"/>
    <cellStyle name="Separador de milhares 9 4 2 2 2" xfId="37636" xr:uid="{DB1E0F8A-380C-4C5B-AFEE-7FC59CB6EC9C}"/>
    <cellStyle name="Separador de milhares 9 4 2 3" xfId="20798" xr:uid="{EEEBB908-24CC-49D2-84DE-29A6E9DEB2F3}"/>
    <cellStyle name="Separador de milhares 9 4 2 3 2" xfId="41137" xr:uid="{58E78DB0-502D-40C7-91FC-7A11B829A00C}"/>
    <cellStyle name="Separador de milhares 9 4 2 4" xfId="24053" xr:uid="{2434DF06-D3F7-4BD3-BBFD-FEFFCE0355A9}"/>
    <cellStyle name="Separador de milhares 9 4 2 4 2" xfId="44388" xr:uid="{8A35C736-F357-4607-A58B-F58B26E96234}"/>
    <cellStyle name="Separador de milhares 9 4 2 5" xfId="14387" xr:uid="{30A016DE-EEB5-4660-9C1D-892BFCBBE0A5}"/>
    <cellStyle name="Separador de milhares 9 4 2 5 2" xfId="34728" xr:uid="{851576A5-B06D-4152-A023-B84A4BDBA787}"/>
    <cellStyle name="Separador de milhares 9 4 2 6" xfId="10509" xr:uid="{11E1FAB8-9480-4D8A-A0FA-A3F5DF397893}"/>
    <cellStyle name="Separador de milhares 9 4 2 6 2" xfId="30852" xr:uid="{7563CC7C-2B24-4FB6-9930-291D644B67BA}"/>
    <cellStyle name="Separador de milhares 9 4 2 7" xfId="27358" xr:uid="{A060E001-293C-4A95-8A0C-24A51EEDB7E6}"/>
    <cellStyle name="Separador de milhares 9 4 3" xfId="16138" xr:uid="{01123A80-15A0-435B-8BB2-2AF1E23FA5D0}"/>
    <cellStyle name="Separador de milhares 9 4 3 2" xfId="36478" xr:uid="{5846BD21-FD66-46BE-B77C-29FACE58BD73}"/>
    <cellStyle name="Separador de milhares 9 4 4" xfId="19640" xr:uid="{11E72C19-1FAE-4A7D-9135-2D5E2274AF80}"/>
    <cellStyle name="Separador de milhares 9 4 4 2" xfId="39979" xr:uid="{A96AF2B6-72A6-4462-B52C-E891F1E56562}"/>
    <cellStyle name="Separador de milhares 9 4 5" xfId="22895" xr:uid="{95564BEA-DD78-482E-8403-098AE5264EEB}"/>
    <cellStyle name="Separador de milhares 9 4 5 2" xfId="43230" xr:uid="{8DC16B5E-9A53-4A44-AFD9-6C9B1590E03B}"/>
    <cellStyle name="Separador de milhares 9 4 6" xfId="13231" xr:uid="{A36EE399-2F16-4334-9FD2-35769EF5D3E3}"/>
    <cellStyle name="Separador de milhares 9 4 6 2" xfId="33572" xr:uid="{D4E00C44-CC34-45CE-B455-82BB10B12F9F}"/>
    <cellStyle name="Separador de milhares 9 4 7" xfId="9351" xr:uid="{497BC2AD-04F5-4A5C-84C1-80C6A3ADE430}"/>
    <cellStyle name="Separador de milhares 9 4 7 2" xfId="29694" xr:uid="{CA9C9313-35B3-498F-951A-CFDA67555AB1}"/>
    <cellStyle name="Separador de milhares 9 4 8" xfId="26200" xr:uid="{2E158276-65EE-4B90-9377-77C6905BB142}"/>
    <cellStyle name="Separador de milhares 9 5" xfId="6429" xr:uid="{9EC31D2A-BCF6-417B-B0ED-580BA72CF7FF}"/>
    <cellStyle name="Separador de milhares 9 5 2" xfId="16715" xr:uid="{C4BEDCE0-0010-400D-AE73-AE7842D3CAA5}"/>
    <cellStyle name="Separador de milhares 9 5 2 2" xfId="37055" xr:uid="{76AD905B-43BB-4AA7-8765-623B3EE8E4A4}"/>
    <cellStyle name="Separador de milhares 9 5 3" xfId="20217" xr:uid="{0DDF4418-4557-4C23-BEAC-35CBCCB8CE87}"/>
    <cellStyle name="Separador de milhares 9 5 3 2" xfId="40556" xr:uid="{B31B72F2-9467-4C80-8549-26E98B287010}"/>
    <cellStyle name="Separador de milhares 9 5 4" xfId="23472" xr:uid="{25831305-18B8-4568-9367-240BD4C1CF02}"/>
    <cellStyle name="Separador de milhares 9 5 4 2" xfId="43807" xr:uid="{EABA14A5-594F-4347-A335-5CC657641509}"/>
    <cellStyle name="Separador de milhares 9 5 5" xfId="13806" xr:uid="{1CEF7D9F-FC80-4DB8-8772-F86419C8D5E0}"/>
    <cellStyle name="Separador de milhares 9 5 5 2" xfId="34147" xr:uid="{D199C95B-F0F2-4BBC-B353-708676599DB3}"/>
    <cellStyle name="Separador de milhares 9 5 6" xfId="9928" xr:uid="{323551C3-6325-4116-BCAB-4416CAF42142}"/>
    <cellStyle name="Separador de milhares 9 5 6 2" xfId="30271" xr:uid="{BE95A04D-2D78-41A1-9F9C-94A41A7A4C3E}"/>
    <cellStyle name="Separador de milhares 9 5 7" xfId="26777" xr:uid="{495D49B2-E5EA-4C46-9BB8-052FF3868B20}"/>
    <cellStyle name="Separador de milhares 9 6" xfId="7593" xr:uid="{6224A859-D724-42E8-AAB7-1B2B750A9AEB}"/>
    <cellStyle name="Separador de milhares 9 6 2" xfId="17878" xr:uid="{05D7E88A-D8C7-44CF-9424-6DD6DF4DC677}"/>
    <cellStyle name="Separador de milhares 9 6 2 2" xfId="38218" xr:uid="{B3D72E0F-2469-4BC9-AA51-680DACF945ED}"/>
    <cellStyle name="Separador de milhares 9 6 3" xfId="21380" xr:uid="{00E9DC35-F25A-4D7C-9A9D-20D1CCA564A8}"/>
    <cellStyle name="Separador de milhares 9 6 3 2" xfId="41719" xr:uid="{162C3A92-1FE5-4440-9A15-B55E732CE002}"/>
    <cellStyle name="Separador de milhares 9 6 4" xfId="24635" xr:uid="{402BBAB4-9826-4A00-A128-AD60C00AC455}"/>
    <cellStyle name="Separador de milhares 9 6 4 2" xfId="44970" xr:uid="{EFD70979-156F-4D8C-B2AA-176657A4349F}"/>
    <cellStyle name="Separador de milhares 9 6 5" xfId="14970" xr:uid="{F3172486-566B-4BA4-B787-A5F0E5D42F9E}"/>
    <cellStyle name="Separador de milhares 9 6 5 2" xfId="35310" xr:uid="{20B7131E-E81E-4524-B2F2-6D6B7CCF6BF8}"/>
    <cellStyle name="Separador de milhares 9 6 6" xfId="11091" xr:uid="{6DF6049E-B7D4-4ED0-A42E-D91928F4FF5B}"/>
    <cellStyle name="Separador de milhares 9 6 6 2" xfId="31434" xr:uid="{B613E4DA-B94C-438B-AD89-6F43E3FDA90D}"/>
    <cellStyle name="Separador de milhares 9 6 7" xfId="27940" xr:uid="{BC64CCD7-1C3B-490B-B872-442B52490519}"/>
    <cellStyle name="Separador de milhares 9 7" xfId="12662" xr:uid="{F6689A9F-FFDF-4867-98D3-D67597E3038A}"/>
    <cellStyle name="Separador de milhares 9 7 2" xfId="33003" xr:uid="{E651B72E-86C1-4F0A-B8B9-A7C1014BC410}"/>
    <cellStyle name="Separador de milhares 9 8" xfId="15557" xr:uid="{0246408C-6CF6-4411-8F1C-DBF7A6989961}"/>
    <cellStyle name="Separador de milhares 9 8 2" xfId="35897" xr:uid="{15F29BC2-A060-4B97-A589-B31FBE00715B}"/>
    <cellStyle name="Separador de milhares 9 9" xfId="18471" xr:uid="{BCD9E10B-FC0A-4F84-B50A-71CA496258DC}"/>
    <cellStyle name="Separador de milhares 9 9 2" xfId="38811" xr:uid="{A9809ABC-7F21-4DAF-A57B-EEB035A6A7FC}"/>
    <cellStyle name="Text Level 2" xfId="23" xr:uid="{49DA2625-ADFC-4BB1-9D7B-5EC0EE20A9A3}"/>
    <cellStyle name="Title" xfId="101" xr:uid="{D755E017-4872-48D4-9AEE-52E4EF384D28}"/>
    <cellStyle name="Title 2" xfId="5202" xr:uid="{49722D9E-7491-475C-8F0D-AD086622DDE1}"/>
    <cellStyle name="Title 2 2" xfId="48350" xr:uid="{FFF5BD8E-D44F-4118-8108-86FE4D40B487}"/>
    <cellStyle name="Vírgula" xfId="3" builtinId="3"/>
    <cellStyle name="Vírgula 10" xfId="107" xr:uid="{9E270AA2-0ADC-4C75-AA94-17B8AE1B9DC3}"/>
    <cellStyle name="Vírgula 10 10" xfId="1779" xr:uid="{3E80337E-5F42-402C-B06D-E7A4E4E07F3B}"/>
    <cellStyle name="Vírgula 10 10 2" xfId="6936" xr:uid="{5B35A7C0-457A-45C9-991D-1F4CD9B95BC8}"/>
    <cellStyle name="Vírgula 10 10 2 2" xfId="17222" xr:uid="{ECC90539-058B-43EE-A84C-9281071AABEC}"/>
    <cellStyle name="Vírgula 10 10 2 2 2" xfId="37562" xr:uid="{F34F4FE9-87F1-45F8-80AE-F0CCD3C9039F}"/>
    <cellStyle name="Vírgula 10 10 2 3" xfId="20724" xr:uid="{CBF87CAD-7EAB-40DE-BA47-01C11143EA3B}"/>
    <cellStyle name="Vírgula 10 10 2 3 2" xfId="41063" xr:uid="{40FE6C12-AE5E-4CD7-8EC0-6052EA6328B5}"/>
    <cellStyle name="Vírgula 10 10 2 4" xfId="23979" xr:uid="{A05680C7-16F8-4E62-8A6F-347DB714A1C6}"/>
    <cellStyle name="Vírgula 10 10 2 4 2" xfId="44314" xr:uid="{FBF94866-F7CB-4F0C-B803-F7C7734FC4B1}"/>
    <cellStyle name="Vírgula 10 10 2 5" xfId="14313" xr:uid="{B49F0992-A90A-4720-89F8-820E94374D5B}"/>
    <cellStyle name="Vírgula 10 10 2 5 2" xfId="34654" xr:uid="{B0C92EA5-B3D4-49E7-99FC-F1665292256D}"/>
    <cellStyle name="Vírgula 10 10 2 6" xfId="10435" xr:uid="{3893B1E1-948E-4514-A930-9811E533A37B}"/>
    <cellStyle name="Vírgula 10 10 2 6 2" xfId="30778" xr:uid="{F8D7099D-43E5-4D71-A090-B11B212AB111}"/>
    <cellStyle name="Vírgula 10 10 2 7" xfId="27284" xr:uid="{AABCFFE4-9B19-4C60-B617-60ED4C4E5D61}"/>
    <cellStyle name="Vírgula 10 10 3" xfId="16064" xr:uid="{565573BE-D6EE-4C25-B49D-5FA47BB299D7}"/>
    <cellStyle name="Vírgula 10 10 3 2" xfId="36404" xr:uid="{50F07B23-179F-4998-8EBF-E2163C18A45F}"/>
    <cellStyle name="Vírgula 10 10 4" xfId="19566" xr:uid="{95E84B62-BB64-483E-BFE1-E057DC6707CE}"/>
    <cellStyle name="Vírgula 10 10 4 2" xfId="39905" xr:uid="{4A4750B7-6642-4D15-B52A-E97C2A32613D}"/>
    <cellStyle name="Vírgula 10 10 5" xfId="22821" xr:uid="{CBC05DF8-5DE1-4751-9B34-038432A88080}"/>
    <cellStyle name="Vírgula 10 10 5 2" xfId="43156" xr:uid="{C4E2E5D6-4F0D-49DF-BFED-918987182F94}"/>
    <cellStyle name="Vírgula 10 10 6" xfId="13166" xr:uid="{6BC6FEC6-576A-4984-A2EA-6E6BA93B71F7}"/>
    <cellStyle name="Vírgula 10 10 6 2" xfId="33507" xr:uid="{2ADC1F4B-2034-485B-B415-CD8EF47E108B}"/>
    <cellStyle name="Vírgula 10 10 7" xfId="9277" xr:uid="{6B4BB235-E6B9-4993-8BD1-50C3FE6DEA75}"/>
    <cellStyle name="Vírgula 10 10 7 2" xfId="29620" xr:uid="{433DECF2-C6A5-4346-9D91-98803BCEBE96}"/>
    <cellStyle name="Vírgula 10 10 8" xfId="26126" xr:uid="{72C62998-20FA-49BF-BD69-D584ADFCF663}"/>
    <cellStyle name="Vírgula 10 10 9" xfId="5778" xr:uid="{9F0C6F56-C935-4831-84C1-E3EAC87058A8}"/>
    <cellStyle name="Vírgula 10 11" xfId="6355" xr:uid="{349DB4F9-5ACA-40F5-8255-5ABFB6C08787}"/>
    <cellStyle name="Vírgula 10 11 2" xfId="16641" xr:uid="{9DBDED27-21FA-4C98-925A-42FCA752D5CB}"/>
    <cellStyle name="Vírgula 10 11 2 2" xfId="36981" xr:uid="{854751CC-CF7A-4650-BF56-C6D497A6CA05}"/>
    <cellStyle name="Vírgula 10 11 3" xfId="20143" xr:uid="{69D26E5F-149D-42E8-9A72-2B3B8DAA4ECF}"/>
    <cellStyle name="Vírgula 10 11 3 2" xfId="40482" xr:uid="{AEFA87B8-83EF-4539-9294-05D465C7FB85}"/>
    <cellStyle name="Vírgula 10 11 4" xfId="23398" xr:uid="{8CEA34BE-1F16-48F5-81DC-948944426311}"/>
    <cellStyle name="Vírgula 10 11 4 2" xfId="43733" xr:uid="{115173BC-B59E-4C31-834F-3C247FF4216D}"/>
    <cellStyle name="Vírgula 10 11 5" xfId="13732" xr:uid="{1B096BE0-84D8-41F7-9569-A7CB6C494875}"/>
    <cellStyle name="Vírgula 10 11 5 2" xfId="34073" xr:uid="{2D5BF1B7-C805-4CCF-9759-A918DBAC1B5C}"/>
    <cellStyle name="Vírgula 10 11 6" xfId="9854" xr:uid="{46C973FB-89FB-4AE5-94E7-B281BAA752F8}"/>
    <cellStyle name="Vírgula 10 11 6 2" xfId="30197" xr:uid="{F505E345-E44F-4F4D-A7F1-387AA65F0784}"/>
    <cellStyle name="Vírgula 10 11 7" xfId="26703" xr:uid="{C7B9F453-821C-49B7-A96F-E0CB951DA1C9}"/>
    <cellStyle name="Vírgula 10 12" xfId="7519" xr:uid="{68ABE294-33DB-4050-A25A-29BFD84CDBEC}"/>
    <cellStyle name="Vírgula 10 12 2" xfId="17804" xr:uid="{B0DDC0F7-AB53-44DC-9780-1EB94460B38C}"/>
    <cellStyle name="Vírgula 10 12 2 2" xfId="38144" xr:uid="{26CAEA69-2366-4DF0-AEFE-93EA5D495EDC}"/>
    <cellStyle name="Vírgula 10 12 3" xfId="21306" xr:uid="{E68605AA-84BF-48DD-8845-0DC5A8CE5866}"/>
    <cellStyle name="Vírgula 10 12 3 2" xfId="41645" xr:uid="{3C7D0FD3-59B8-47C9-B25D-4A31802F5A71}"/>
    <cellStyle name="Vírgula 10 12 4" xfId="24561" xr:uid="{2C7F5320-889D-415A-AFB2-32FE5107433F}"/>
    <cellStyle name="Vírgula 10 12 4 2" xfId="44896" xr:uid="{562AD531-4159-463D-AE44-6794B211922F}"/>
    <cellStyle name="Vírgula 10 12 5" xfId="14896" xr:uid="{16FA5D59-9F91-4CDA-9435-E302C6AAA092}"/>
    <cellStyle name="Vírgula 10 12 5 2" xfId="35236" xr:uid="{6D1672FA-4DF9-4039-AA0C-EEA55DE9B196}"/>
    <cellStyle name="Vírgula 10 12 6" xfId="11017" xr:uid="{9E38ADBB-2D78-41FC-A6D0-6807B0589F15}"/>
    <cellStyle name="Vírgula 10 12 6 2" xfId="31360" xr:uid="{97AD3092-1135-472C-BA54-C01F0988AE09}"/>
    <cellStyle name="Vírgula 10 12 7" xfId="27866" xr:uid="{8F73217F-B18C-4C97-A583-DA7FE74294F2}"/>
    <cellStyle name="Vírgula 10 13" xfId="8148" xr:uid="{ACAC42F0-2092-4A64-9631-7AE917C3048C}"/>
    <cellStyle name="Vírgula 10 13 2" xfId="21935" xr:uid="{C8F016E8-CA9D-4FE8-AF51-F41DBF0E30C2}"/>
    <cellStyle name="Vírgula 10 13 2 2" xfId="42271" xr:uid="{73F0D157-2E75-4C8A-BAC1-76C244F85744}"/>
    <cellStyle name="Vírgula 10 13 3" xfId="25187" xr:uid="{39B6E223-AA97-42FA-B629-32E2592C762A}"/>
    <cellStyle name="Vírgula 10 13 3 2" xfId="45522" xr:uid="{6781F0E9-BA48-4B4E-AE8C-1946EA3F9C1C}"/>
    <cellStyle name="Vírgula 10 13 4" xfId="12597" xr:uid="{355A99D4-B920-4B99-B8EA-FE846CDC2BD7}"/>
    <cellStyle name="Vírgula 10 13 4 2" xfId="32938" xr:uid="{F2BA46C9-F1A5-4291-8902-71161C86629B}"/>
    <cellStyle name="Vírgula 10 13 5" xfId="11644" xr:uid="{2F619EB0-9792-4548-9293-76738317C180}"/>
    <cellStyle name="Vírgula 10 13 5 2" xfId="31986" xr:uid="{6B296E23-2477-48EB-A50E-1428B939A0C0}"/>
    <cellStyle name="Vírgula 10 13 6" xfId="28492" xr:uid="{E8F76BE2-CA6A-4554-81DE-B617CB64DA0A}"/>
    <cellStyle name="Vírgula 10 14" xfId="8434" xr:uid="{D64C7BE9-65EF-46F1-9381-C4C41919F340}"/>
    <cellStyle name="Vírgula 10 14 2" xfId="15483" xr:uid="{93BC287A-C87F-4E01-A25B-3415F0109006}"/>
    <cellStyle name="Vírgula 10 14 2 2" xfId="35823" xr:uid="{CFE04E26-4761-4306-8EA4-013321B5767E}"/>
    <cellStyle name="Vírgula 10 14 3" xfId="28777" xr:uid="{94C7E67E-CDF6-46CD-947D-28BBA7D192D5}"/>
    <cellStyle name="Vírgula 10 15" xfId="18397" xr:uid="{96A07112-8750-4537-BF09-9703445C04F5}"/>
    <cellStyle name="Vírgula 10 15 2" xfId="38737" xr:uid="{E6DF2DD2-1208-4535-87AF-7AE0DE779A21}"/>
    <cellStyle name="Vírgula 10 16" xfId="18985" xr:uid="{C80E2853-6A7A-4717-A4EB-03672EC63FBD}"/>
    <cellStyle name="Vírgula 10 16 2" xfId="39324" xr:uid="{E405F28D-80B4-4AF8-B2B9-195C1AE6CC9B}"/>
    <cellStyle name="Vírgula 10 17" xfId="22240" xr:uid="{2EEBE91A-107F-412E-BF5B-790A4504469C}"/>
    <cellStyle name="Vírgula 10 17 2" xfId="42575" xr:uid="{5F11A512-201E-493B-8C3F-0E408EC4C38A}"/>
    <cellStyle name="Vírgula 10 18" xfId="11957" xr:uid="{B80E6727-11CD-47B1-89DC-61AC90BFEEEB}"/>
    <cellStyle name="Vírgula 10 18 2" xfId="32298" xr:uid="{5EB7E264-B597-4DB0-A959-C54AB318A191}"/>
    <cellStyle name="Vírgula 10 19" xfId="8696" xr:uid="{EA515685-C063-4957-8E3C-320A7C502F52}"/>
    <cellStyle name="Vírgula 10 19 2" xfId="29039" xr:uid="{F5E0FF84-3D38-4A21-8866-1A140CBB175C}"/>
    <cellStyle name="Vírgula 10 2" xfId="384" xr:uid="{B2DA113A-DB5E-4E5E-8E1E-D54941841316}"/>
    <cellStyle name="Vírgula 10 2 10" xfId="6366" xr:uid="{F88C5135-5FDB-4A70-8618-BA1A2E5847C7}"/>
    <cellStyle name="Vírgula 10 2 10 2" xfId="16652" xr:uid="{011458EC-5ED8-4881-8B23-F6004C7ED932}"/>
    <cellStyle name="Vírgula 10 2 10 2 2" xfId="36992" xr:uid="{B47C63D5-A7FB-4267-9CAF-B339D75BAAF6}"/>
    <cellStyle name="Vírgula 10 2 10 3" xfId="20154" xr:uid="{155C042C-D07A-41B0-83C4-DF360853B834}"/>
    <cellStyle name="Vírgula 10 2 10 3 2" xfId="40493" xr:uid="{05140BA4-7C5B-4C3C-B8A4-BB2DF3A9F6A9}"/>
    <cellStyle name="Vírgula 10 2 10 4" xfId="23409" xr:uid="{2C51D6A3-09BF-44F4-A4B3-86CB06AB687E}"/>
    <cellStyle name="Vírgula 10 2 10 4 2" xfId="43744" xr:uid="{FE41F32C-2C0B-430B-BF74-3CBC2144473F}"/>
    <cellStyle name="Vírgula 10 2 10 5" xfId="13743" xr:uid="{8A3D5FDF-6CE0-42A9-908E-DF619AB494F2}"/>
    <cellStyle name="Vírgula 10 2 10 5 2" xfId="34084" xr:uid="{C011B88E-2DBD-4C82-82C8-E88CEA375D6B}"/>
    <cellStyle name="Vírgula 10 2 10 6" xfId="9865" xr:uid="{E59CB99C-83B8-4588-AC77-977732C9C4EE}"/>
    <cellStyle name="Vírgula 10 2 10 6 2" xfId="30208" xr:uid="{6097B5C9-6C56-4D4D-B795-B7099BC7AF77}"/>
    <cellStyle name="Vírgula 10 2 10 7" xfId="26714" xr:uid="{876C78D5-B8C0-41E8-9540-1A816457E2CB}"/>
    <cellStyle name="Vírgula 10 2 11" xfId="7530" xr:uid="{18818AC1-BE2E-477F-A4AD-8ECB5E862326}"/>
    <cellStyle name="Vírgula 10 2 11 2" xfId="17815" xr:uid="{E6551B83-ABDB-4022-A26F-A27ADD799BFF}"/>
    <cellStyle name="Vírgula 10 2 11 2 2" xfId="38155" xr:uid="{E0424D64-10EA-43FE-9B5F-F647223E4A3C}"/>
    <cellStyle name="Vírgula 10 2 11 3" xfId="21317" xr:uid="{21D4A017-BDC7-4643-8E68-C6F21333E74C}"/>
    <cellStyle name="Vírgula 10 2 11 3 2" xfId="41656" xr:uid="{5A62CC47-C4CA-489F-915D-AA906AFEC9F1}"/>
    <cellStyle name="Vírgula 10 2 11 4" xfId="24572" xr:uid="{B058DC33-D3D5-40EF-9FC3-6D145E1F8F9E}"/>
    <cellStyle name="Vírgula 10 2 11 4 2" xfId="44907" xr:uid="{8B622611-33CE-4F42-BB4C-9AA33996F839}"/>
    <cellStyle name="Vírgula 10 2 11 5" xfId="14907" xr:uid="{49891560-02B1-436B-AA74-D86AE75E242A}"/>
    <cellStyle name="Vírgula 10 2 11 5 2" xfId="35247" xr:uid="{25E3D5BD-4952-4867-B620-5D3095217D4A}"/>
    <cellStyle name="Vírgula 10 2 11 6" xfId="11028" xr:uid="{01803440-AFEA-4699-AAAF-23CC9ED900BC}"/>
    <cellStyle name="Vírgula 10 2 11 6 2" xfId="31371" xr:uid="{034CEBA1-4070-47B2-8DA5-14A3D5BC066A}"/>
    <cellStyle name="Vírgula 10 2 11 7" xfId="27877" xr:uid="{C79483F0-89EB-41FD-9579-266582987ECE}"/>
    <cellStyle name="Vírgula 10 2 12" xfId="8149" xr:uid="{AF7DF533-BCBD-4713-A1D7-0588101378DC}"/>
    <cellStyle name="Vírgula 10 2 12 2" xfId="21936" xr:uid="{5B885123-DDA4-4516-ACF4-AF6199854713}"/>
    <cellStyle name="Vírgula 10 2 12 2 2" xfId="42272" xr:uid="{0DA6E7A2-E065-4310-9545-F312142974B1}"/>
    <cellStyle name="Vírgula 10 2 12 3" xfId="25188" xr:uid="{240EE6D2-B50D-4A8A-B02B-E953C081A50B}"/>
    <cellStyle name="Vírgula 10 2 12 3 2" xfId="45523" xr:uid="{2766E17E-1AA6-4D08-8056-FB0F55BF38B3}"/>
    <cellStyle name="Vírgula 10 2 12 4" xfId="12606" xr:uid="{EF10E9AA-6EAF-4266-8D0D-E6D0940CEA0F}"/>
    <cellStyle name="Vírgula 10 2 12 4 2" xfId="32947" xr:uid="{277D784E-5717-4662-8C8A-84A93D6DADFE}"/>
    <cellStyle name="Vírgula 10 2 12 5" xfId="11645" xr:uid="{E5617ACE-544C-49EE-8372-A3360F3FA5EB}"/>
    <cellStyle name="Vírgula 10 2 12 5 2" xfId="31987" xr:uid="{6C4BB7BE-83D7-4204-86A6-897204644D0A}"/>
    <cellStyle name="Vírgula 10 2 12 6" xfId="28493" xr:uid="{F34D5FC1-4D25-4A89-9343-0D3371ED7152}"/>
    <cellStyle name="Vírgula 10 2 13" xfId="8445" xr:uid="{949AAC07-E617-4A62-80E4-25D55AD9B622}"/>
    <cellStyle name="Vírgula 10 2 13 2" xfId="15494" xr:uid="{BD7A3119-F182-4159-985C-50E8C5338DDA}"/>
    <cellStyle name="Vírgula 10 2 13 2 2" xfId="35834" xr:uid="{2EF20E14-1E88-4A0B-B80B-2ABE666DA71D}"/>
    <cellStyle name="Vírgula 10 2 13 3" xfId="28788" xr:uid="{52D4D8AD-99F6-4AD6-8230-9466E9E87F33}"/>
    <cellStyle name="Vírgula 10 2 14" xfId="18408" xr:uid="{01295C9C-FD02-4D09-9254-21938B53259B}"/>
    <cellStyle name="Vírgula 10 2 14 2" xfId="38748" xr:uid="{295DE0D0-75C3-4C52-BD22-62D62A6806EE}"/>
    <cellStyle name="Vírgula 10 2 15" xfId="18996" xr:uid="{64B8912C-2F38-4CB8-8DCE-AC8DC4FE9C58}"/>
    <cellStyle name="Vírgula 10 2 15 2" xfId="39335" xr:uid="{87495B01-3394-41C9-BFFC-5CDD4BF7D105}"/>
    <cellStyle name="Vírgula 10 2 16" xfId="22251" xr:uid="{8F1BEAF3-D87C-40AC-9929-7E911B62262C}"/>
    <cellStyle name="Vírgula 10 2 16 2" xfId="42586" xr:uid="{74BE55E7-F1DD-4672-8A68-3DAE9822F226}"/>
    <cellStyle name="Vírgula 10 2 17" xfId="11968" xr:uid="{1D695B5C-FA56-441C-BB47-0E15FF34BB39}"/>
    <cellStyle name="Vírgula 10 2 17 2" xfId="32309" xr:uid="{6358184C-FF3B-4628-9496-4B9CDEF0BE97}"/>
    <cellStyle name="Vírgula 10 2 18" xfId="8707" xr:uid="{1A55D4AA-915A-4FA1-83AE-4B7EF50262DB}"/>
    <cellStyle name="Vírgula 10 2 18 2" xfId="29050" xr:uid="{64D3F8DF-7C1B-463E-BF1E-4DB4B716071C}"/>
    <cellStyle name="Vírgula 10 2 19" xfId="25552" xr:uid="{8CFD1C7A-5097-448D-8F58-3242066BE742}"/>
    <cellStyle name="Vírgula 10 2 2" xfId="1200" xr:uid="{6C76B767-BC14-4BCA-AB78-999A909FE668}"/>
    <cellStyle name="Vírgula 10 2 2 10" xfId="7543" xr:uid="{EA243540-54FB-485B-BD26-5F59851F9976}"/>
    <cellStyle name="Vírgula 10 2 2 10 2" xfId="17828" xr:uid="{F51DB9A0-3225-4E10-B7DB-5D07DF6509ED}"/>
    <cellStyle name="Vírgula 10 2 2 10 2 2" xfId="38168" xr:uid="{91641427-45C8-4247-96D3-112BFE232F1E}"/>
    <cellStyle name="Vírgula 10 2 2 10 3" xfId="21330" xr:uid="{A7A08F51-E54E-4B9D-AFC0-46C18B70F5C6}"/>
    <cellStyle name="Vírgula 10 2 2 10 3 2" xfId="41669" xr:uid="{40CF0D43-DDA3-4180-9780-D3992181D5C2}"/>
    <cellStyle name="Vírgula 10 2 2 10 4" xfId="24585" xr:uid="{23B4AF8D-4DC6-46F7-918F-80FAD1129E69}"/>
    <cellStyle name="Vírgula 10 2 2 10 4 2" xfId="44920" xr:uid="{BBFD335D-F08A-4559-B0BA-CFA83DF943AF}"/>
    <cellStyle name="Vírgula 10 2 2 10 5" xfId="14920" xr:uid="{C12782B6-B756-4022-8DBA-4E4BC15CEB98}"/>
    <cellStyle name="Vírgula 10 2 2 10 5 2" xfId="35260" xr:uid="{100A6F5F-B36A-4B82-BBD5-717F21879D32}"/>
    <cellStyle name="Vírgula 10 2 2 10 6" xfId="11041" xr:uid="{3A5230AD-CA30-4144-9E74-6939A233C681}"/>
    <cellStyle name="Vírgula 10 2 2 10 6 2" xfId="31384" xr:uid="{3509F053-F309-47D8-94D1-DD153A67D275}"/>
    <cellStyle name="Vírgula 10 2 2 10 7" xfId="27890" xr:uid="{EFEA1E12-14BA-440D-AD27-284C88D83EA2}"/>
    <cellStyle name="Vírgula 10 2 2 11" xfId="8150" xr:uid="{46A77394-12F9-44DD-AA72-7EA6DB03DD3B}"/>
    <cellStyle name="Vírgula 10 2 2 11 2" xfId="21937" xr:uid="{ABF42FF8-706F-4761-A748-8A14CF909761}"/>
    <cellStyle name="Vírgula 10 2 2 11 2 2" xfId="42273" xr:uid="{1AE78760-0476-4736-AA40-862B6B4845A9}"/>
    <cellStyle name="Vírgula 10 2 2 11 3" xfId="25189" xr:uid="{2438C889-69DF-4455-9B06-3797930F93E5}"/>
    <cellStyle name="Vírgula 10 2 2 11 3 2" xfId="45524" xr:uid="{3EA6872F-D6E9-4324-B88D-8BB95F943193}"/>
    <cellStyle name="Vírgula 10 2 2 11 4" xfId="12617" xr:uid="{EF35CBB5-FE90-4EFE-8161-848B8CAB7C2F}"/>
    <cellStyle name="Vírgula 10 2 2 11 4 2" xfId="32958" xr:uid="{421155BA-701A-43C5-8E32-4F91C278452C}"/>
    <cellStyle name="Vírgula 10 2 2 11 5" xfId="11646" xr:uid="{B24079F9-462A-4FA4-B2BC-A46D1E08A5C4}"/>
    <cellStyle name="Vírgula 10 2 2 11 5 2" xfId="31988" xr:uid="{BFC84149-9295-46BB-BEFB-12EE694AABD4}"/>
    <cellStyle name="Vírgula 10 2 2 11 6" xfId="28494" xr:uid="{1FB81938-BA37-479F-B566-C1E09CCDB856}"/>
    <cellStyle name="Vírgula 10 2 2 12" xfId="8458" xr:uid="{1B03D7FC-F87B-4C5F-BD45-50972ACF30BB}"/>
    <cellStyle name="Vírgula 10 2 2 12 2" xfId="15507" xr:uid="{4C0874A6-38B7-4FD6-A07F-AA49BD498F8B}"/>
    <cellStyle name="Vírgula 10 2 2 12 2 2" xfId="35847" xr:uid="{42D2F157-79E5-48CC-BD50-C0653C495BBE}"/>
    <cellStyle name="Vírgula 10 2 2 12 3" xfId="28801" xr:uid="{562D318D-9369-43CE-B739-B78E415AD17D}"/>
    <cellStyle name="Vírgula 10 2 2 13" xfId="18421" xr:uid="{34AA701D-AC61-4AAD-AE89-4F2C36B63F50}"/>
    <cellStyle name="Vírgula 10 2 2 13 2" xfId="38761" xr:uid="{4E782CAF-AF68-4F7E-8297-B2C47F4B0E9E}"/>
    <cellStyle name="Vírgula 10 2 2 14" xfId="19009" xr:uid="{B9583E4B-0D35-4EE5-9AF9-2897408C43DC}"/>
    <cellStyle name="Vírgula 10 2 2 14 2" xfId="39348" xr:uid="{C22E7B6A-330B-4BCE-9500-1F27F36B9D3C}"/>
    <cellStyle name="Vírgula 10 2 2 15" xfId="22264" xr:uid="{9CEBEC44-DE9B-4FE9-B765-58ABEE0C2956}"/>
    <cellStyle name="Vírgula 10 2 2 15 2" xfId="42599" xr:uid="{8CDBAEB1-428C-4CF7-BB36-D8DF64A7A10D}"/>
    <cellStyle name="Vírgula 10 2 2 16" xfId="11981" xr:uid="{B1518CB4-14BF-4545-9D5B-5B4ECDA08E75}"/>
    <cellStyle name="Vírgula 10 2 2 16 2" xfId="32322" xr:uid="{AA259870-33FE-465C-8B63-3C172D7556B5}"/>
    <cellStyle name="Vírgula 10 2 2 17" xfId="8720" xr:uid="{457B6894-E99B-4748-9DCB-1B3C20A0BBDB}"/>
    <cellStyle name="Vírgula 10 2 2 17 2" xfId="29063" xr:uid="{3D178FB4-9B2C-4E3B-A763-48CC107141FC}"/>
    <cellStyle name="Vírgula 10 2 2 18" xfId="25565" xr:uid="{ADE64132-ACFD-44B3-AAAA-47F330EB5C61}"/>
    <cellStyle name="Vírgula 10 2 2 19" xfId="45833" xr:uid="{CD0577A4-0615-409A-A5B4-C42FB99435E8}"/>
    <cellStyle name="Vírgula 10 2 2 2" xfId="1712" xr:uid="{F23930E1-1EF4-432D-BECE-194EC29666D1}"/>
    <cellStyle name="Vírgula 10 2 2 2 10" xfId="8151" xr:uid="{924B6BA0-CE44-4008-9699-79DEE18B9595}"/>
    <cellStyle name="Vírgula 10 2 2 2 10 2" xfId="21938" xr:uid="{2B76F56C-23CF-4576-AE18-9B4C8DDF2404}"/>
    <cellStyle name="Vírgula 10 2 2 2 10 2 2" xfId="42274" xr:uid="{FB6F4A16-C7B7-4F45-8199-419E4E36623D}"/>
    <cellStyle name="Vírgula 10 2 2 2 10 3" xfId="25190" xr:uid="{2E341553-3E2B-493E-A26E-3A095511E5C6}"/>
    <cellStyle name="Vírgula 10 2 2 2 10 3 2" xfId="45525" xr:uid="{AD939DD2-39BA-4784-995F-A8408424B408}"/>
    <cellStyle name="Vírgula 10 2 2 2 10 4" xfId="12640" xr:uid="{E0E69981-B36E-4959-ACF9-A93BC43D63FF}"/>
    <cellStyle name="Vírgula 10 2 2 2 10 4 2" xfId="32981" xr:uid="{D815EB10-56C1-4AA3-B7B7-4D79C19AAE10}"/>
    <cellStyle name="Vírgula 10 2 2 2 10 5" xfId="11647" xr:uid="{6F3A7D2E-4800-49BA-B3F6-B5A6823CDD70}"/>
    <cellStyle name="Vírgula 10 2 2 2 10 5 2" xfId="31989" xr:uid="{08CC5EDD-52A5-4D84-B9A2-B26AC631C193}"/>
    <cellStyle name="Vírgula 10 2 2 2 10 6" xfId="28495" xr:uid="{8161067D-38CA-4933-8EAB-C8078FD79A7C}"/>
    <cellStyle name="Vírgula 10 2 2 2 11" xfId="8486" xr:uid="{FE6A8F61-4F0A-49A2-AB42-08841D4A1578}"/>
    <cellStyle name="Vírgula 10 2 2 2 11 2" xfId="15535" xr:uid="{1D2DCEDD-3678-4857-B18A-E56206A82AC4}"/>
    <cellStyle name="Vírgula 10 2 2 2 11 2 2" xfId="35875" xr:uid="{682F184C-43B0-4871-960F-CC078CB027DB}"/>
    <cellStyle name="Vírgula 10 2 2 2 11 3" xfId="28829" xr:uid="{51DB7E49-9B94-4D2B-BBCC-135DB910551D}"/>
    <cellStyle name="Vírgula 10 2 2 2 12" xfId="18449" xr:uid="{98A27BAD-ED08-401F-A036-BB0208BC4961}"/>
    <cellStyle name="Vírgula 10 2 2 2 12 2" xfId="38789" xr:uid="{E1A8D8CE-E57F-46FD-9864-F68BC2A935DB}"/>
    <cellStyle name="Vírgula 10 2 2 2 13" xfId="19037" xr:uid="{D4B658C0-5651-4D41-B84F-ABD372AE078F}"/>
    <cellStyle name="Vírgula 10 2 2 2 13 2" xfId="39376" xr:uid="{54277786-3A46-427E-A3A0-9500CB18E492}"/>
    <cellStyle name="Vírgula 10 2 2 2 14" xfId="22292" xr:uid="{6F7EBF60-4D94-4C3B-BCF2-E56EDF13BD51}"/>
    <cellStyle name="Vírgula 10 2 2 2 14 2" xfId="42627" xr:uid="{28E948A2-31CA-484B-844C-51C2E21379B9}"/>
    <cellStyle name="Vírgula 10 2 2 2 15" xfId="12009" xr:uid="{99B49926-2CC8-4A4F-A2C8-EF05627DBA57}"/>
    <cellStyle name="Vírgula 10 2 2 2 15 2" xfId="32350" xr:uid="{ABF02E83-F77E-41B0-BCE5-0EB6ACEFC7A8}"/>
    <cellStyle name="Vírgula 10 2 2 2 16" xfId="8748" xr:uid="{C0F85583-18FE-4959-8F27-8BEE9F860CF2}"/>
    <cellStyle name="Vírgula 10 2 2 2 16 2" xfId="29091" xr:uid="{8FECE46E-E90A-46BC-9A77-C84A00394A10}"/>
    <cellStyle name="Vírgula 10 2 2 2 17" xfId="25593" xr:uid="{0C454240-A8A9-4626-8174-37C4B7455097}"/>
    <cellStyle name="Vírgula 10 2 2 2 18" xfId="45861" xr:uid="{4CD5AD90-A696-4460-BE82-760B46263729}"/>
    <cellStyle name="Vírgula 10 2 2 2 19" xfId="46347" xr:uid="{E3AB72DD-04A6-46E7-9FEA-C585711B15D7}"/>
    <cellStyle name="Vírgula 10 2 2 2 2" xfId="3372" xr:uid="{8A9F5AC9-9302-45B2-AF8D-CC5F0A303FA9}"/>
    <cellStyle name="Vírgula 10 2 2 2 2 10" xfId="22407" xr:uid="{C34CA21E-0093-4B26-BAFA-6AA12FE5CA08}"/>
    <cellStyle name="Vírgula 10 2 2 2 2 10 2" xfId="42742" xr:uid="{A2E291DF-3439-4923-BC77-F8894BED8CD9}"/>
    <cellStyle name="Vírgula 10 2 2 2 2 11" xfId="12124" xr:uid="{6EE00067-5647-402D-AA97-F37472B9E113}"/>
    <cellStyle name="Vírgula 10 2 2 2 2 11 2" xfId="32465" xr:uid="{41E8AA0B-6E82-4DF4-BA76-9972966D0E71}"/>
    <cellStyle name="Vírgula 10 2 2 2 2 12" xfId="8863" xr:uid="{AC105523-32A3-446C-84BE-94DB1377A5CC}"/>
    <cellStyle name="Vírgula 10 2 2 2 2 12 2" xfId="29206" xr:uid="{6F41E8AB-8436-41BB-89C2-09B89CD8232B}"/>
    <cellStyle name="Vírgula 10 2 2 2 2 13" xfId="25712" xr:uid="{14B41569-15C8-4A2D-9E72-0377AF7241B7}"/>
    <cellStyle name="Vírgula 10 2 2 2 2 14" xfId="45921" xr:uid="{A220481E-94A5-462C-AF14-173077E1BE70}"/>
    <cellStyle name="Vírgula 10 2 2 2 2 15" xfId="46407" xr:uid="{782BDEFC-3D00-42F9-8B91-A67E0ACE7797}"/>
    <cellStyle name="Vírgula 10 2 2 2 2 16" xfId="46899" xr:uid="{F2023F7D-FC09-448B-8640-E31F95E8C592}"/>
    <cellStyle name="Vírgula 10 2 2 2 2 17" xfId="51657" xr:uid="{6AE559A2-A638-484D-BA37-4B39234F7568}"/>
    <cellStyle name="Vírgula 10 2 2 2 2 18" xfId="54951" xr:uid="{0086420E-43FB-463B-BBDC-038631BAAD78}"/>
    <cellStyle name="Vírgula 10 2 2 2 2 19" xfId="5382" xr:uid="{5FB38845-CC97-49D9-8F6F-1E6C42FF4BAF}"/>
    <cellStyle name="Vírgula 10 2 2 2 2 2" xfId="4858" xr:uid="{EAD199B1-45C2-41C3-AA9A-D06D9A38DD0A}"/>
    <cellStyle name="Vírgula 10 2 2 2 2 2 10" xfId="12511" xr:uid="{233D9B4D-5348-44C6-93E9-1BEE7B8AAA87}"/>
    <cellStyle name="Vírgula 10 2 2 2 2 2 10 2" xfId="32852" xr:uid="{B58877DC-745B-44D9-985B-C09CB6DF73D6}"/>
    <cellStyle name="Vírgula 10 2 2 2 2 2 11" xfId="9250" xr:uid="{DEBDEBAF-995C-460F-922A-86D4AF03B2D2}"/>
    <cellStyle name="Vírgula 10 2 2 2 2 2 11 2" xfId="29593" xr:uid="{D694D905-935A-4771-8777-563DC0900D8A}"/>
    <cellStyle name="Vírgula 10 2 2 2 2 2 12" xfId="26099" xr:uid="{0E54767C-34C9-461C-B64D-5D845EFFE587}"/>
    <cellStyle name="Vírgula 10 2 2 2 2 2 13" xfId="45959" xr:uid="{961DBDA3-A566-46F9-82D8-796650A53D7A}"/>
    <cellStyle name="Vírgula 10 2 2 2 2 2 14" xfId="46445" xr:uid="{48134534-CBF9-4605-A467-C180A8D3ABF8}"/>
    <cellStyle name="Vírgula 10 2 2 2 2 2 15" xfId="46937" xr:uid="{0F186668-0D88-451D-8C6B-38921A0CC789}"/>
    <cellStyle name="Vírgula 10 2 2 2 2 2 16" xfId="5753" xr:uid="{64567B41-41B9-4962-9675-3D1628B5D1AD}"/>
    <cellStyle name="Vírgula 10 2 2 2 2 2 2" xfId="5077" xr:uid="{81FE9329-E627-4D73-AEFB-5D35E1238FF6}"/>
    <cellStyle name="Vírgula 10 2 2 2 2 2 2 10" xfId="46688" xr:uid="{5D78EEDA-2AF9-467D-BAF8-2E2AB13E33BF}"/>
    <cellStyle name="Vírgula 10 2 2 2 2 2 2 11" xfId="47180" xr:uid="{BBA873BB-E98C-4EEA-A37B-B7D4174ABBE2}"/>
    <cellStyle name="Vírgula 10 2 2 2 2 2 2 12" xfId="6332" xr:uid="{DBAFAF8B-7CAD-4E3E-8B03-EC61B070FDBD}"/>
    <cellStyle name="Vírgula 10 2 2 2 2 2 2 2" xfId="7490" xr:uid="{A21E8F5B-80E6-4CCC-BED7-1D1F2C553E07}"/>
    <cellStyle name="Vírgula 10 2 2 2 2 2 2 2 2" xfId="17776" xr:uid="{284FDFC3-23E4-434A-BAA8-AC77BCFAD0CF}"/>
    <cellStyle name="Vírgula 10 2 2 2 2 2 2 2 2 2" xfId="38116" xr:uid="{C05DBF9D-3C08-4720-9404-917E5CCEE345}"/>
    <cellStyle name="Vírgula 10 2 2 2 2 2 2 2 3" xfId="21278" xr:uid="{1A052CB7-5F4D-45FD-9CCF-280084B4C21C}"/>
    <cellStyle name="Vírgula 10 2 2 2 2 2 2 2 3 2" xfId="41617" xr:uid="{ED5C618A-B0A7-4BFD-BC88-B1291861CBB1}"/>
    <cellStyle name="Vírgula 10 2 2 2 2 2 2 2 4" xfId="24533" xr:uid="{AF88BC20-8C65-47CD-8B6D-12E32E5F031F}"/>
    <cellStyle name="Vírgula 10 2 2 2 2 2 2 2 4 2" xfId="44868" xr:uid="{3BC80352-89B7-4C9A-B357-3F8D706410E2}"/>
    <cellStyle name="Vírgula 10 2 2 2 2 2 2 2 5" xfId="14867" xr:uid="{03627D48-D50A-444D-827E-6779D7750B63}"/>
    <cellStyle name="Vírgula 10 2 2 2 2 2 2 2 5 2" xfId="35208" xr:uid="{1BE8B064-5CAC-4E39-AD49-9E0F268FE127}"/>
    <cellStyle name="Vírgula 10 2 2 2 2 2 2 2 6" xfId="10989" xr:uid="{9BE9B6CA-43AE-4F79-B638-C4BE3AB623F2}"/>
    <cellStyle name="Vírgula 10 2 2 2 2 2 2 2 6 2" xfId="31332" xr:uid="{3928E1D6-F943-4E39-9EA6-5D5FA59248C4}"/>
    <cellStyle name="Vírgula 10 2 2 2 2 2 2 2 7" xfId="27838" xr:uid="{75863021-1AE9-4563-A6F9-04C4C8017244}"/>
    <cellStyle name="Vírgula 10 2 2 2 2 2 2 3" xfId="8154" xr:uid="{1FC70D26-5B51-452E-982A-051CD8CC928D}"/>
    <cellStyle name="Vírgula 10 2 2 2 2 2 2 3 2" xfId="21941" xr:uid="{1FE72921-A7DB-473C-BC8B-82E2186B73E5}"/>
    <cellStyle name="Vírgula 10 2 2 2 2 2 2 3 2 2" xfId="42277" xr:uid="{10692740-627E-4AA3-9958-B152A42FB4CA}"/>
    <cellStyle name="Vírgula 10 2 2 2 2 2 2 3 3" xfId="25193" xr:uid="{1CE17596-ABF1-473E-BCD1-F5E954C3EB4A}"/>
    <cellStyle name="Vírgula 10 2 2 2 2 2 2 3 3 2" xfId="45528" xr:uid="{22924D1D-B9D2-42CB-8E94-D787ED91677F}"/>
    <cellStyle name="Vírgula 10 2 2 2 2 2 2 3 4" xfId="16618" xr:uid="{7BAB95A1-A2CC-4A77-B960-CA567F2BC4A7}"/>
    <cellStyle name="Vírgula 10 2 2 2 2 2 2 3 4 2" xfId="36958" xr:uid="{FA5D2A8C-4129-4406-BB0D-8DA04F2FB894}"/>
    <cellStyle name="Vírgula 10 2 2 2 2 2 2 3 5" xfId="11650" xr:uid="{F631E7FB-2C2B-45D1-8604-8D2D04D56972}"/>
    <cellStyle name="Vírgula 10 2 2 2 2 2 2 3 5 2" xfId="31992" xr:uid="{6E207D5A-71E0-4285-B7CB-C394AF9D1D93}"/>
    <cellStyle name="Vírgula 10 2 2 2 2 2 2 3 6" xfId="28498" xr:uid="{FD0AE34D-9FF5-40E4-B4E2-D75A3DDFA95E}"/>
    <cellStyle name="Vírgula 10 2 2 2 2 2 2 4" xfId="20120" xr:uid="{C7308185-A202-4D34-921A-535875A58F04}"/>
    <cellStyle name="Vírgula 10 2 2 2 2 2 2 4 2" xfId="40459" xr:uid="{4B8B1844-04FE-429C-B75C-137294B4E210}"/>
    <cellStyle name="Vírgula 10 2 2 2 2 2 2 5" xfId="23375" xr:uid="{CD7CE6A6-191A-4688-B953-974988C31346}"/>
    <cellStyle name="Vírgula 10 2 2 2 2 2 2 5 2" xfId="43710" xr:uid="{EA84A09B-B0F8-446A-B7F0-DD86658AA8AE}"/>
    <cellStyle name="Vírgula 10 2 2 2 2 2 2 6" xfId="13709" xr:uid="{62111BB0-3253-4B26-99B7-CD6725C561EC}"/>
    <cellStyle name="Vírgula 10 2 2 2 2 2 2 6 2" xfId="34050" xr:uid="{DD4F1B69-FF68-45A2-82DA-1B0C3F9D9F1D}"/>
    <cellStyle name="Vírgula 10 2 2 2 2 2 2 7" xfId="9831" xr:uid="{30B5367A-2C1D-4FDB-94E5-3FA444A8FD0D}"/>
    <cellStyle name="Vírgula 10 2 2 2 2 2 2 7 2" xfId="30174" xr:uid="{A03A03C5-720C-4908-9DD3-FABD88AFE465}"/>
    <cellStyle name="Vírgula 10 2 2 2 2 2 2 8" xfId="26680" xr:uid="{11FFF37B-D883-42A3-B05D-F3588DB994E8}"/>
    <cellStyle name="Vírgula 10 2 2 2 2 2 2 9" xfId="46202" xr:uid="{47CF6EE3-DEF4-4FAD-963A-BDA9BA38F73F}"/>
    <cellStyle name="Vírgula 10 2 2 2 2 2 3" xfId="6909" xr:uid="{0741AA4A-F397-4BC7-99DC-C78F98E5D42C}"/>
    <cellStyle name="Vírgula 10 2 2 2 2 2 3 2" xfId="17195" xr:uid="{27C3DB37-9AEA-45B6-A98F-9C6F6A4C9473}"/>
    <cellStyle name="Vírgula 10 2 2 2 2 2 3 2 2" xfId="37535" xr:uid="{B4BDEA79-921B-4273-AFDC-23C266C63B8A}"/>
    <cellStyle name="Vírgula 10 2 2 2 2 2 3 3" xfId="20697" xr:uid="{642A1D91-675F-497A-BCA5-FF14A3078C76}"/>
    <cellStyle name="Vírgula 10 2 2 2 2 2 3 3 2" xfId="41036" xr:uid="{EE1D22B4-1F9B-4E8F-A939-FED95B47F7E2}"/>
    <cellStyle name="Vírgula 10 2 2 2 2 2 3 4" xfId="23952" xr:uid="{C5980132-E2BD-4EF6-A346-5DACCA90A2CE}"/>
    <cellStyle name="Vírgula 10 2 2 2 2 2 3 4 2" xfId="44287" xr:uid="{B3BC5842-6CFA-4A09-B46D-0F9489BE58AA}"/>
    <cellStyle name="Vírgula 10 2 2 2 2 2 3 5" xfId="14286" xr:uid="{E255AFE2-E15C-4956-80B8-1B4EDCF362B3}"/>
    <cellStyle name="Vírgula 10 2 2 2 2 2 3 5 2" xfId="34627" xr:uid="{58F0BD07-366E-449B-AC54-728E05178556}"/>
    <cellStyle name="Vírgula 10 2 2 2 2 2 3 6" xfId="10408" xr:uid="{5AD8AFD7-FCCE-4B37-A9C5-8200E7D8D1C3}"/>
    <cellStyle name="Vírgula 10 2 2 2 2 2 3 6 2" xfId="30751" xr:uid="{209AD4DF-2876-483C-903F-00E3FE216AE1}"/>
    <cellStyle name="Vírgula 10 2 2 2 2 2 3 7" xfId="27257" xr:uid="{29B284B4-E2FA-4B24-93F8-78DF8FFDA4EB}"/>
    <cellStyle name="Vírgula 10 2 2 2 2 2 4" xfId="8073" xr:uid="{97F6CE82-6710-45BA-9446-C9ACEF9AD466}"/>
    <cellStyle name="Vírgula 10 2 2 2 2 2 4 2" xfId="18358" xr:uid="{D1C084A6-429A-4AA9-949F-29CD415D2076}"/>
    <cellStyle name="Vírgula 10 2 2 2 2 2 4 2 2" xfId="38698" xr:uid="{452DEBC1-18D3-41E9-B16F-F5148F196234}"/>
    <cellStyle name="Vírgula 10 2 2 2 2 2 4 3" xfId="21860" xr:uid="{FE540524-EB2B-4C1C-82A1-48EEF494DB3B}"/>
    <cellStyle name="Vírgula 10 2 2 2 2 2 4 3 2" xfId="42199" xr:uid="{B6832207-EF4F-4491-8C1E-2F606E596369}"/>
    <cellStyle name="Vírgula 10 2 2 2 2 2 4 4" xfId="25115" xr:uid="{A11B6F12-7FFE-48B8-B655-7B80EE659D02}"/>
    <cellStyle name="Vírgula 10 2 2 2 2 2 4 4 2" xfId="45450" xr:uid="{9B89FF2D-B4CB-4533-B04C-613B285E1BA4}"/>
    <cellStyle name="Vírgula 10 2 2 2 2 2 4 5" xfId="15450" xr:uid="{6AB17EA9-307D-49DD-9D9C-063AB18AEC30}"/>
    <cellStyle name="Vírgula 10 2 2 2 2 2 4 5 2" xfId="35790" xr:uid="{EB1F4B4A-CF84-4FEA-B075-C4733DB51BF0}"/>
    <cellStyle name="Vírgula 10 2 2 2 2 2 4 6" xfId="11571" xr:uid="{12F399A4-F0BD-49EE-B34A-EED28BC8B84F}"/>
    <cellStyle name="Vírgula 10 2 2 2 2 2 4 6 2" xfId="31914" xr:uid="{744EB88C-9E55-419C-9B18-BA2D6A264DB2}"/>
    <cellStyle name="Vírgula 10 2 2 2 2 2 4 7" xfId="28420" xr:uid="{2EF0FD16-1433-4D54-AA90-B3E0AB20D323}"/>
    <cellStyle name="Vírgula 10 2 2 2 2 2 5" xfId="8153" xr:uid="{9195555D-7D68-44B6-8A44-B4DC633388A0}"/>
    <cellStyle name="Vírgula 10 2 2 2 2 2 5 2" xfId="21940" xr:uid="{2991E090-262B-4D60-A3AA-F13F4666F6D2}"/>
    <cellStyle name="Vírgula 10 2 2 2 2 2 5 2 2" xfId="42276" xr:uid="{FA1145CB-A40B-4680-8C04-F6827AE4858C}"/>
    <cellStyle name="Vírgula 10 2 2 2 2 2 5 3" xfId="25192" xr:uid="{9878C897-28AE-4346-ACE3-D693C8CAA961}"/>
    <cellStyle name="Vírgula 10 2 2 2 2 2 5 3 2" xfId="45527" xr:uid="{49F44BAB-F7B8-45E9-B103-0A7E4A9764E7}"/>
    <cellStyle name="Vírgula 10 2 2 2 2 2 5 4" xfId="13140" xr:uid="{F5239249-DD10-4913-A8F9-AA8D3F8205EE}"/>
    <cellStyle name="Vírgula 10 2 2 2 2 2 5 4 2" xfId="33481" xr:uid="{39D7BAD0-B860-47F7-BCA7-414C6428A220}"/>
    <cellStyle name="Vírgula 10 2 2 2 2 2 5 5" xfId="11649" xr:uid="{0651AFBC-CD7A-4670-A602-FB0930EB4434}"/>
    <cellStyle name="Vírgula 10 2 2 2 2 2 5 5 2" xfId="31991" xr:uid="{266017F4-A7E6-4249-BFAB-BCC5526A407B}"/>
    <cellStyle name="Vírgula 10 2 2 2 2 2 5 6" xfId="28497" xr:uid="{4DB77BE7-EC7B-42AF-B2EB-667CD3ABE3B2}"/>
    <cellStyle name="Vírgula 10 2 2 2 2 2 6" xfId="8584" xr:uid="{5D833DDA-446E-459D-96ED-F1FBC77793BB}"/>
    <cellStyle name="Vírgula 10 2 2 2 2 2 6 2" xfId="16037" xr:uid="{CAA0D268-8415-4200-8F92-3F32C98E33D9}"/>
    <cellStyle name="Vírgula 10 2 2 2 2 2 6 2 2" xfId="36377" xr:uid="{6BE5ADA9-95F0-49F5-B8E8-C81756B3FD66}"/>
    <cellStyle name="Vírgula 10 2 2 2 2 2 6 3" xfId="28927" xr:uid="{93BC50C0-F09C-4DA3-9A70-3FD08072848C}"/>
    <cellStyle name="Vírgula 10 2 2 2 2 2 7" xfId="18951" xr:uid="{673D4D8E-7D2F-4D89-9277-6C93F7B80FEC}"/>
    <cellStyle name="Vírgula 10 2 2 2 2 2 7 2" xfId="39291" xr:uid="{7D5D2BED-A974-4BC1-BD14-8DFB905511A0}"/>
    <cellStyle name="Vírgula 10 2 2 2 2 2 8" xfId="19539" xr:uid="{A9BD92C4-A39A-40F8-A98D-994D9ED01E88}"/>
    <cellStyle name="Vírgula 10 2 2 2 2 2 8 2" xfId="39878" xr:uid="{A5F18282-1FCD-4F34-AA1F-AF9C38DBE51C}"/>
    <cellStyle name="Vírgula 10 2 2 2 2 2 9" xfId="22794" xr:uid="{80E2FD50-7EA0-45D7-AA54-52CF9A1BC980}"/>
    <cellStyle name="Vírgula 10 2 2 2 2 2 9 2" xfId="43129" xr:uid="{00E34144-0A46-4F35-A947-3C7CF9EF1B1F}"/>
    <cellStyle name="Vírgula 10 2 2 2 2 20" xfId="4857" xr:uid="{FC65F430-B3EA-43CB-BA8E-FB9D48E27C60}"/>
    <cellStyle name="Vírgula 10 2 2 2 2 3" xfId="4859" xr:uid="{4C57EE25-547C-444E-87F5-6829065CE3DC}"/>
    <cellStyle name="Vírgula 10 2 2 2 2 3 10" xfId="46446" xr:uid="{89729CBD-81CD-453F-B516-67882ED23296}"/>
    <cellStyle name="Vírgula 10 2 2 2 2 3 11" xfId="46938" xr:uid="{1ED07E1E-05A1-4528-B0A0-F7BDC3834154}"/>
    <cellStyle name="Vírgula 10 2 2 2 2 3 12" xfId="5945" xr:uid="{2450CEDE-EC87-4F05-87E3-C87DBB20FB80}"/>
    <cellStyle name="Vírgula 10 2 2 2 2 3 2" xfId="5078" xr:uid="{DE2C73B6-2665-4036-A2D1-B75399B0C051}"/>
    <cellStyle name="Vírgula 10 2 2 2 2 3 2 10" xfId="47181" xr:uid="{4715CBA4-2D84-4A75-8588-5A8B1180A7A1}"/>
    <cellStyle name="Vírgula 10 2 2 2 2 3 2 11" xfId="7103" xr:uid="{91B172E9-5FEB-4B6A-BD25-762B90F8EDE5}"/>
    <cellStyle name="Vírgula 10 2 2 2 2 3 2 2" xfId="8156" xr:uid="{9D763046-C56C-4563-AADD-1177A98BBA46}"/>
    <cellStyle name="Vírgula 10 2 2 2 2 3 2 2 2" xfId="21943" xr:uid="{F6C5827B-F316-43D0-9BF2-012BF104CE1F}"/>
    <cellStyle name="Vírgula 10 2 2 2 2 3 2 2 2 2" xfId="42279" xr:uid="{A7E47B03-F086-472F-B890-3DEF71056FA2}"/>
    <cellStyle name="Vírgula 10 2 2 2 2 3 2 2 3" xfId="25195" xr:uid="{D6E6A65A-7EC8-4671-B501-0246A6EA4B50}"/>
    <cellStyle name="Vírgula 10 2 2 2 2 3 2 2 3 2" xfId="45530" xr:uid="{613A959D-EDA4-4F2A-A625-A653922CB12E}"/>
    <cellStyle name="Vírgula 10 2 2 2 2 3 2 2 4" xfId="17389" xr:uid="{409FE5C0-A09D-4A76-BFB2-2B52C8F54C92}"/>
    <cellStyle name="Vírgula 10 2 2 2 2 3 2 2 4 2" xfId="37729" xr:uid="{DE7411C0-E308-4D42-B4DD-7BBB9D39D659}"/>
    <cellStyle name="Vírgula 10 2 2 2 2 3 2 2 5" xfId="11652" xr:uid="{585EC48F-E8B1-4B72-B848-C5429CAFB90B}"/>
    <cellStyle name="Vírgula 10 2 2 2 2 3 2 2 5 2" xfId="31994" xr:uid="{A8548988-23C4-4FC4-9BC5-F6269DC28F6C}"/>
    <cellStyle name="Vírgula 10 2 2 2 2 3 2 2 6" xfId="28500" xr:uid="{9E6B3947-E8E8-490A-9F43-58F79D243AFE}"/>
    <cellStyle name="Vírgula 10 2 2 2 2 3 2 3" xfId="20891" xr:uid="{E609838A-AF1C-4679-B038-DC1B2989ABCD}"/>
    <cellStyle name="Vírgula 10 2 2 2 2 3 2 3 2" xfId="41230" xr:uid="{41D6BA2D-A3E7-4973-81CF-B5982735F6C6}"/>
    <cellStyle name="Vírgula 10 2 2 2 2 3 2 4" xfId="24146" xr:uid="{D542AFF0-6939-4E68-98AF-A6335899551F}"/>
    <cellStyle name="Vírgula 10 2 2 2 2 3 2 4 2" xfId="44481" xr:uid="{A5DE2EF0-29F5-45DB-A593-8ADAE47884EE}"/>
    <cellStyle name="Vírgula 10 2 2 2 2 3 2 5" xfId="14480" xr:uid="{B6CC6785-B111-4690-91B6-954CC23E4F3B}"/>
    <cellStyle name="Vírgula 10 2 2 2 2 3 2 5 2" xfId="34821" xr:uid="{3C11558E-8709-426A-83D6-F6E2628467C7}"/>
    <cellStyle name="Vírgula 10 2 2 2 2 3 2 6" xfId="10602" xr:uid="{36B9F930-75CF-40FF-95AD-1D83A0CF6901}"/>
    <cellStyle name="Vírgula 10 2 2 2 2 3 2 6 2" xfId="30945" xr:uid="{0AFD2D7A-C05C-47E3-8789-517F540B06C9}"/>
    <cellStyle name="Vírgula 10 2 2 2 2 3 2 7" xfId="27451" xr:uid="{AEE9662A-D076-4447-B467-B00BEB84607A}"/>
    <cellStyle name="Vírgula 10 2 2 2 2 3 2 8" xfId="46203" xr:uid="{3F4CB79D-0834-4470-BB8D-E72F87ACE6AA}"/>
    <cellStyle name="Vírgula 10 2 2 2 2 3 2 9" xfId="46689" xr:uid="{1047949C-C4BA-45D4-82F9-00167A8082A7}"/>
    <cellStyle name="Vírgula 10 2 2 2 2 3 3" xfId="8155" xr:uid="{3BB26B85-94E8-41BD-92A9-E80C88785B4E}"/>
    <cellStyle name="Vírgula 10 2 2 2 2 3 3 2" xfId="21942" xr:uid="{4C30DA08-2F25-4FEC-94E7-D10E8747ACF2}"/>
    <cellStyle name="Vírgula 10 2 2 2 2 3 3 2 2" xfId="42278" xr:uid="{B488827D-60DD-42A5-894D-0D646F355CE7}"/>
    <cellStyle name="Vírgula 10 2 2 2 2 3 3 3" xfId="25194" xr:uid="{AA6B073C-A4EA-4CCB-9B13-1BE0C16CE987}"/>
    <cellStyle name="Vírgula 10 2 2 2 2 3 3 3 2" xfId="45529" xr:uid="{6D582B98-2FB1-46A3-9145-052DF4C4CAF8}"/>
    <cellStyle name="Vírgula 10 2 2 2 2 3 3 4" xfId="16231" xr:uid="{D09E29C8-C8AB-4B77-A157-B11D089E5788}"/>
    <cellStyle name="Vírgula 10 2 2 2 2 3 3 4 2" xfId="36571" xr:uid="{C1466A8D-CAE5-4A48-9568-CEFB0E045B4C}"/>
    <cellStyle name="Vírgula 10 2 2 2 2 3 3 5" xfId="11651" xr:uid="{36E84834-B6FF-40CA-B939-1281C30AE46F}"/>
    <cellStyle name="Vírgula 10 2 2 2 2 3 3 5 2" xfId="31993" xr:uid="{21EDC614-8686-41A0-B2E6-EC32C5119DE3}"/>
    <cellStyle name="Vírgula 10 2 2 2 2 3 3 6" xfId="28499" xr:uid="{52F8F588-02B7-4B20-AFD5-1E649531067B}"/>
    <cellStyle name="Vírgula 10 2 2 2 2 3 4" xfId="8585" xr:uid="{DF801F6F-326D-4B82-B796-B64F22B8EAB2}"/>
    <cellStyle name="Vírgula 10 2 2 2 2 3 4 2" xfId="19733" xr:uid="{B27F09F6-CA12-42CB-854F-63CFCC61F714}"/>
    <cellStyle name="Vírgula 10 2 2 2 2 3 4 2 2" xfId="40072" xr:uid="{17C339B0-A2BB-41C3-85C9-34EB776B41D7}"/>
    <cellStyle name="Vírgula 10 2 2 2 2 3 4 3" xfId="28928" xr:uid="{D4D4B3D2-7FC4-405F-824E-A1AB6797776E}"/>
    <cellStyle name="Vírgula 10 2 2 2 2 3 5" xfId="22988" xr:uid="{99D8510F-AC3D-4C40-A10D-6FB7DC8ACB63}"/>
    <cellStyle name="Vírgula 10 2 2 2 2 3 5 2" xfId="43323" xr:uid="{2BC314B7-425B-4D46-BA73-F8D8B7197E96}"/>
    <cellStyle name="Vírgula 10 2 2 2 2 3 6" xfId="13322" xr:uid="{F1878B89-DA4D-4F69-9213-A4879F5F51E3}"/>
    <cellStyle name="Vírgula 10 2 2 2 2 3 6 2" xfId="33663" xr:uid="{86A397BC-CDEF-4C55-9A8C-329E15C8E29F}"/>
    <cellStyle name="Vírgula 10 2 2 2 2 3 7" xfId="9444" xr:uid="{CE6ED815-A5F1-4BD1-8043-9E9536792597}"/>
    <cellStyle name="Vírgula 10 2 2 2 2 3 7 2" xfId="29787" xr:uid="{95874DB3-2B94-4CCF-B988-1805E56468DB}"/>
    <cellStyle name="Vírgula 10 2 2 2 2 3 8" xfId="26293" xr:uid="{7967C73F-98A0-49A6-A20F-2B7250A6E0DE}"/>
    <cellStyle name="Vírgula 10 2 2 2 2 3 9" xfId="45960" xr:uid="{9A6F28D0-7A74-463B-8351-0DA60CAAAEEB}"/>
    <cellStyle name="Vírgula 10 2 2 2 2 4" xfId="5076" xr:uid="{4C413536-8ADB-47D4-A55F-6BA6DED2EBEE}"/>
    <cellStyle name="Vírgula 10 2 2 2 2 4 10" xfId="46936" xr:uid="{F151604A-3B3F-4601-BE84-657818B89091}"/>
    <cellStyle name="Vírgula 10 2 2 2 2 4 11" xfId="6522" xr:uid="{6EDBEC34-687F-4BB9-A189-F081E49C4512}"/>
    <cellStyle name="Vírgula 10 2 2 2 2 4 2" xfId="8157" xr:uid="{6BCC026E-5CDD-41F1-A6A3-E52C2D444D3C}"/>
    <cellStyle name="Vírgula 10 2 2 2 2 4 2 2" xfId="21944" xr:uid="{1902EC90-6673-48E0-B0F8-FD9E5001B66E}"/>
    <cellStyle name="Vírgula 10 2 2 2 2 4 2 2 2" xfId="42280" xr:uid="{8E791ABE-4B71-4E47-A193-A40F47E41978}"/>
    <cellStyle name="Vírgula 10 2 2 2 2 4 2 3" xfId="25196" xr:uid="{1816531F-7FD2-4AF4-B1BD-518D5BCE7369}"/>
    <cellStyle name="Vírgula 10 2 2 2 2 4 2 3 2" xfId="45531" xr:uid="{7D1C3945-D8EE-4940-8AFB-169C0469FC7D}"/>
    <cellStyle name="Vírgula 10 2 2 2 2 4 2 4" xfId="16808" xr:uid="{45ABDB17-872F-42EF-841E-0DFB2496B91E}"/>
    <cellStyle name="Vírgula 10 2 2 2 2 4 2 4 2" xfId="37148" xr:uid="{18818CF8-47B0-415E-ABE7-14BD48F8FDD6}"/>
    <cellStyle name="Vírgula 10 2 2 2 2 4 2 5" xfId="11653" xr:uid="{78D1ECAB-D943-4B75-979C-4DCDDBBAC448}"/>
    <cellStyle name="Vírgula 10 2 2 2 2 4 2 5 2" xfId="31995" xr:uid="{EF03DDE1-30D6-488D-AA75-B1DCD356E9E1}"/>
    <cellStyle name="Vírgula 10 2 2 2 2 4 2 6" xfId="28501" xr:uid="{AE93D8D5-3CD8-441E-AF5B-9E787B86E729}"/>
    <cellStyle name="Vírgula 10 2 2 2 2 4 2 7" xfId="46201" xr:uid="{356C7255-C342-435C-8450-90E67D2EB221}"/>
    <cellStyle name="Vírgula 10 2 2 2 2 4 2 8" xfId="46687" xr:uid="{D7CCAECE-DDF1-4257-9DA2-934A9FB7C918}"/>
    <cellStyle name="Vírgula 10 2 2 2 2 4 2 9" xfId="47179" xr:uid="{E05F73E8-BBDA-4DDF-B98E-443AECBAFCB4}"/>
    <cellStyle name="Vírgula 10 2 2 2 2 4 3" xfId="8583" xr:uid="{BCF6E44F-9399-4AE5-9486-30D4AA10BBAA}"/>
    <cellStyle name="Vírgula 10 2 2 2 2 4 3 2" xfId="20310" xr:uid="{4F2ECC89-2D6C-413E-BE42-A44A4CE8E8FB}"/>
    <cellStyle name="Vírgula 10 2 2 2 2 4 3 2 2" xfId="40649" xr:uid="{70487750-98BB-47F8-907B-507D62883FB7}"/>
    <cellStyle name="Vírgula 10 2 2 2 2 4 3 3" xfId="28926" xr:uid="{2213EF4C-28B3-477E-B290-871C34AD1D6A}"/>
    <cellStyle name="Vírgula 10 2 2 2 2 4 4" xfId="23565" xr:uid="{950325EB-132D-4EBC-8168-AD6FA53E3E07}"/>
    <cellStyle name="Vírgula 10 2 2 2 2 4 4 2" xfId="43900" xr:uid="{344B4FAE-89B3-4293-8705-E02E0CBC627F}"/>
    <cellStyle name="Vírgula 10 2 2 2 2 4 5" xfId="13899" xr:uid="{3EDC3011-401C-43F5-81D2-502CB416244B}"/>
    <cellStyle name="Vírgula 10 2 2 2 2 4 5 2" xfId="34240" xr:uid="{4156423D-0F0D-4A12-8B70-185AE1445BA3}"/>
    <cellStyle name="Vírgula 10 2 2 2 2 4 6" xfId="10021" xr:uid="{1A8A325E-5FF1-4BC3-B89E-3501AFC50197}"/>
    <cellStyle name="Vírgula 10 2 2 2 2 4 6 2" xfId="30364" xr:uid="{6C35BFFC-08FC-4433-B176-5FA4DCB4F111}"/>
    <cellStyle name="Vírgula 10 2 2 2 2 4 7" xfId="26870" xr:uid="{9C1DEA84-09BE-4498-9AF3-9D1325DED5CF}"/>
    <cellStyle name="Vírgula 10 2 2 2 2 4 8" xfId="45958" xr:uid="{BCD82453-AABB-4783-ADEF-8EC02521F98F}"/>
    <cellStyle name="Vírgula 10 2 2 2 2 4 9" xfId="46444" xr:uid="{1A70B702-54B8-44F5-8D08-74339395FC8D}"/>
    <cellStyle name="Vírgula 10 2 2 2 2 5" xfId="5040" xr:uid="{A43A3885-7670-47D6-8348-94D6962204C7}"/>
    <cellStyle name="Vírgula 10 2 2 2 2 5 10" xfId="47142" xr:uid="{C81A7460-78A2-4F80-8D1E-7FA125DD9F49}"/>
    <cellStyle name="Vírgula 10 2 2 2 2 5 11" xfId="7686" xr:uid="{37D61BF3-32D2-45AA-9688-3BD8B6733554}"/>
    <cellStyle name="Vírgula 10 2 2 2 2 5 2" xfId="8158" xr:uid="{C5C1F4E4-3B37-4861-94EF-4A864675011F}"/>
    <cellStyle name="Vírgula 10 2 2 2 2 5 2 2" xfId="21945" xr:uid="{52B3E6CC-CA12-48AC-98C6-3B6C004D170E}"/>
    <cellStyle name="Vírgula 10 2 2 2 2 5 2 2 2" xfId="42281" xr:uid="{F0FD9024-8FC2-48F9-B424-EE7267F735EF}"/>
    <cellStyle name="Vírgula 10 2 2 2 2 5 2 3" xfId="25197" xr:uid="{2C44F25C-E34F-4BDC-8FDD-1ABAC69160CD}"/>
    <cellStyle name="Vírgula 10 2 2 2 2 5 2 3 2" xfId="45532" xr:uid="{D2926E8B-D81E-4D3B-A471-6C3819A20C18}"/>
    <cellStyle name="Vírgula 10 2 2 2 2 5 2 4" xfId="17971" xr:uid="{6AA0AB8B-9FFF-42EB-BBBF-B90FC4F19D0D}"/>
    <cellStyle name="Vírgula 10 2 2 2 2 5 2 4 2" xfId="38311" xr:uid="{CF28787C-BECA-4932-A148-1C1E7241D88E}"/>
    <cellStyle name="Vírgula 10 2 2 2 2 5 2 5" xfId="11654" xr:uid="{C8310A57-7BD8-4F4B-A37C-6C0A4917EF33}"/>
    <cellStyle name="Vírgula 10 2 2 2 2 5 2 5 2" xfId="31996" xr:uid="{D9E1BD17-0D69-4709-BBA7-7CC404BFE38C}"/>
    <cellStyle name="Vírgula 10 2 2 2 2 5 2 6" xfId="28502" xr:uid="{CC668A51-CC77-4DFA-87C8-5ABA9A135C1B}"/>
    <cellStyle name="Vírgula 10 2 2 2 2 5 3" xfId="21473" xr:uid="{B8D01CE7-5CF7-4E92-AD0A-C210A97E12CC}"/>
    <cellStyle name="Vírgula 10 2 2 2 2 5 3 2" xfId="41812" xr:uid="{FDD51271-C21F-463D-BE4D-99271B9ECC0C}"/>
    <cellStyle name="Vírgula 10 2 2 2 2 5 4" xfId="24728" xr:uid="{341EDB24-DFD3-4CDF-80F2-6D1FD526D336}"/>
    <cellStyle name="Vírgula 10 2 2 2 2 5 4 2" xfId="45063" xr:uid="{3FCCB930-8F66-4B04-ACE3-E17EB694E7AB}"/>
    <cellStyle name="Vírgula 10 2 2 2 2 5 5" xfId="15063" xr:uid="{6B081878-AD09-4290-A4F8-8BC067357E4A}"/>
    <cellStyle name="Vírgula 10 2 2 2 2 5 5 2" xfId="35403" xr:uid="{19EB225E-FD82-469A-8AA7-74A2A02147D8}"/>
    <cellStyle name="Vírgula 10 2 2 2 2 5 6" xfId="11184" xr:uid="{4D32C30A-04B8-444A-8D1D-6EAF3C9FDCE2}"/>
    <cellStyle name="Vírgula 10 2 2 2 2 5 6 2" xfId="31527" xr:uid="{A96C4C88-0F39-44E0-AF03-4B8BE6FBB4FE}"/>
    <cellStyle name="Vírgula 10 2 2 2 2 5 7" xfId="28033" xr:uid="{421FFF2F-B27D-4840-86F6-72A1F9F8066C}"/>
    <cellStyle name="Vírgula 10 2 2 2 2 5 8" xfId="46164" xr:uid="{B0E95777-EA52-4588-AFCF-E8D660F9BD16}"/>
    <cellStyle name="Vírgula 10 2 2 2 2 5 9" xfId="46650" xr:uid="{D13AD4C3-3BE8-4AB7-88BE-2BBD56CB1648}"/>
    <cellStyle name="Vírgula 10 2 2 2 2 6" xfId="8152" xr:uid="{A0EA04B6-1565-486A-8418-2045BC69053B}"/>
    <cellStyle name="Vírgula 10 2 2 2 2 6 2" xfId="21939" xr:uid="{707B38EF-E2C6-4DF2-AF92-E93F2CFCBE81}"/>
    <cellStyle name="Vírgula 10 2 2 2 2 6 2 2" xfId="42275" xr:uid="{348756AB-5DF3-40D2-8585-A99F42FC327B}"/>
    <cellStyle name="Vírgula 10 2 2 2 2 6 3" xfId="25191" xr:uid="{ACB3C533-BED5-4EE8-B7E4-6FE60AD46DED}"/>
    <cellStyle name="Vírgula 10 2 2 2 2 6 3 2" xfId="45526" xr:uid="{718D0D7D-F366-4716-B6F4-9D6CD5EE2EDE}"/>
    <cellStyle name="Vírgula 10 2 2 2 2 6 4" xfId="12753" xr:uid="{52EF294D-A504-4C6E-AFD3-D222E84ED5B1}"/>
    <cellStyle name="Vírgula 10 2 2 2 2 6 4 2" xfId="33094" xr:uid="{5184C6D5-6DA8-45F1-9553-2BDADEC38B4B}"/>
    <cellStyle name="Vírgula 10 2 2 2 2 6 5" xfId="11648" xr:uid="{F39EC540-213A-4C5F-81D1-2A3A0E18E877}"/>
    <cellStyle name="Vírgula 10 2 2 2 2 6 5 2" xfId="31990" xr:uid="{138E1F98-FEE1-438E-B444-82CF225489A4}"/>
    <cellStyle name="Vírgula 10 2 2 2 2 6 6" xfId="28496" xr:uid="{50882463-B879-43A4-8FCE-A846ADEEDDEC}"/>
    <cellStyle name="Vírgula 10 2 2 2 2 7" xfId="8546" xr:uid="{A464FE53-CD2F-4C48-BD69-2D08D1B567CF}"/>
    <cellStyle name="Vírgula 10 2 2 2 2 7 2" xfId="15650" xr:uid="{F2F9282E-D85D-4039-8D4D-4040DEE4AF58}"/>
    <cellStyle name="Vírgula 10 2 2 2 2 7 2 2" xfId="35990" xr:uid="{C3CB24EE-0884-4D13-9774-F99F656BBB52}"/>
    <cellStyle name="Vírgula 10 2 2 2 2 7 3" xfId="28889" xr:uid="{ECDE385E-9BBB-40C2-A18D-830858855CE8}"/>
    <cellStyle name="Vírgula 10 2 2 2 2 8" xfId="18564" xr:uid="{8342DA31-707B-4C14-B8AD-09770B0A1948}"/>
    <cellStyle name="Vírgula 10 2 2 2 2 8 2" xfId="38904" xr:uid="{55376F32-25BD-4F05-9A9B-7F95775C2F30}"/>
    <cellStyle name="Vírgula 10 2 2 2 2 9" xfId="19152" xr:uid="{494ED44D-18F4-4523-B1F3-75B94F3F1834}"/>
    <cellStyle name="Vírgula 10 2 2 2 2 9 2" xfId="39491" xr:uid="{0D2FADA6-0B9A-4924-AEF7-6DA324E0DBCB}"/>
    <cellStyle name="Vírgula 10 2 2 2 20" xfId="46839" xr:uid="{BC9D09DC-B576-414A-B557-6535E0FBEED5}"/>
    <cellStyle name="Vírgula 10 2 2 2 21" xfId="48355" xr:uid="{60C74DB9-2B60-405A-BB59-FD502E6FA899}"/>
    <cellStyle name="Vírgula 10 2 2 2 22" xfId="50023" xr:uid="{3A9A08CD-16FF-4047-9465-C2F7B969566E}"/>
    <cellStyle name="Vírgula 10 2 2 2 23" xfId="53318" xr:uid="{71802AB0-DC77-4833-8FD1-0403AC9735A1}"/>
    <cellStyle name="Vírgula 10 2 2 2 24" xfId="5259" xr:uid="{B7B7D0BB-F281-4AB3-B419-81CEDE60EE8E}"/>
    <cellStyle name="Vírgula 10 2 2 2 25" xfId="4833" xr:uid="{29514BEF-0807-45DE-B459-73C36935A310}"/>
    <cellStyle name="Vírgula 10 2 2 2 3" xfId="4856" xr:uid="{4E82DAE9-D7E3-4B1F-A27A-E9C932FE93AF}"/>
    <cellStyle name="Vírgula 10 2 2 2 3 10" xfId="12220" xr:uid="{12BE7911-7627-4990-8422-66D7BCF45537}"/>
    <cellStyle name="Vírgula 10 2 2 2 3 10 2" xfId="32561" xr:uid="{81ED9520-7438-413B-B29C-E1330B3E2759}"/>
    <cellStyle name="Vírgula 10 2 2 2 3 11" xfId="8959" xr:uid="{689A3951-EDE4-4FE7-9FBA-D12D21E08AFB}"/>
    <cellStyle name="Vírgula 10 2 2 2 3 11 2" xfId="29302" xr:uid="{A15D468A-277F-4F9F-89BB-5DC055A0CB6E}"/>
    <cellStyle name="Vírgula 10 2 2 2 3 12" xfId="25808" xr:uid="{DAFDB157-FC55-4B3A-93D0-F279E038F6E5}"/>
    <cellStyle name="Vírgula 10 2 2 2 3 13" xfId="45957" xr:uid="{193B52C7-6A6A-4C0F-8F61-3FE46712F056}"/>
    <cellStyle name="Vírgula 10 2 2 2 3 14" xfId="46443" xr:uid="{742ADA58-395C-408F-9666-4FCD134AA5FB}"/>
    <cellStyle name="Vírgula 10 2 2 2 3 15" xfId="46935" xr:uid="{A36F8ACA-C5E9-4947-96F2-F5836D8C415E}"/>
    <cellStyle name="Vírgula 10 2 2 2 3 16" xfId="57583" xr:uid="{7ED39E85-747E-4241-9DFC-3711D9B3CFBB}"/>
    <cellStyle name="Vírgula 10 2 2 2 3 17" xfId="5470" xr:uid="{91491DC2-6100-42B7-A744-70496ECA9219}"/>
    <cellStyle name="Vírgula 10 2 2 2 3 2" xfId="5075" xr:uid="{914CABC9-6CA1-4455-BE2C-E92EA0C5D329}"/>
    <cellStyle name="Vírgula 10 2 2 2 3 2 10" xfId="46686" xr:uid="{7B29F5D3-5667-4463-904C-65E39C671187}"/>
    <cellStyle name="Vírgula 10 2 2 2 3 2 11" xfId="47178" xr:uid="{7FAE40FD-1B1A-4BDF-B604-DD4E9998371A}"/>
    <cellStyle name="Vírgula 10 2 2 2 3 2 12" xfId="6041" xr:uid="{D8A11996-399A-4909-BA1C-6D0CEB64CCF9}"/>
    <cellStyle name="Vírgula 10 2 2 2 3 2 2" xfId="7199" xr:uid="{A9631627-46A9-4A81-B910-508E901262E9}"/>
    <cellStyle name="Vírgula 10 2 2 2 3 2 2 2" xfId="17485" xr:uid="{60DC13F6-11BD-4A17-A513-3B6727CD07E0}"/>
    <cellStyle name="Vírgula 10 2 2 2 3 2 2 2 2" xfId="37825" xr:uid="{07236442-C5CB-48F8-B217-0919F3D7A5E9}"/>
    <cellStyle name="Vírgula 10 2 2 2 3 2 2 3" xfId="20987" xr:uid="{9F745491-B6E7-4B3A-967F-86F696692891}"/>
    <cellStyle name="Vírgula 10 2 2 2 3 2 2 3 2" xfId="41326" xr:uid="{348A3D5A-6B2B-4CB0-A6D8-0DC363CFD1A3}"/>
    <cellStyle name="Vírgula 10 2 2 2 3 2 2 4" xfId="24242" xr:uid="{859CA46F-A12F-47AF-BEB2-854AEAAD1960}"/>
    <cellStyle name="Vírgula 10 2 2 2 3 2 2 4 2" xfId="44577" xr:uid="{9A6F25FC-F2E4-4B73-8BDE-87E5C0CF89ED}"/>
    <cellStyle name="Vírgula 10 2 2 2 3 2 2 5" xfId="14576" xr:uid="{452B4ACF-5242-47BB-AECC-C67D99AAC43C}"/>
    <cellStyle name="Vírgula 10 2 2 2 3 2 2 5 2" xfId="34917" xr:uid="{D2C07EB9-B873-44BB-8605-88811B05A8D8}"/>
    <cellStyle name="Vírgula 10 2 2 2 3 2 2 6" xfId="10698" xr:uid="{9D565C88-EB68-4DC9-B877-7655E379FE52}"/>
    <cellStyle name="Vírgula 10 2 2 2 3 2 2 6 2" xfId="31041" xr:uid="{3E8998F4-82FE-4758-A6C1-C11C3000D4EB}"/>
    <cellStyle name="Vírgula 10 2 2 2 3 2 2 7" xfId="27547" xr:uid="{C2D53197-BAF1-4D6E-8A94-66B42DAEC1AD}"/>
    <cellStyle name="Vírgula 10 2 2 2 3 2 3" xfId="16327" xr:uid="{407103CE-5A7F-436C-BF8E-508F0133AEF8}"/>
    <cellStyle name="Vírgula 10 2 2 2 3 2 3 2" xfId="36667" xr:uid="{DD3754D5-9102-4724-9037-94A2493385B2}"/>
    <cellStyle name="Vírgula 10 2 2 2 3 2 4" xfId="19829" xr:uid="{E847C11D-DBC4-44EC-91A3-7B36DEA491C6}"/>
    <cellStyle name="Vírgula 10 2 2 2 3 2 4 2" xfId="40168" xr:uid="{A7CA679F-1CC3-4F47-A084-272B063385E7}"/>
    <cellStyle name="Vírgula 10 2 2 2 3 2 5" xfId="23084" xr:uid="{FAD3585D-9ACA-4414-95E3-A0B970C75EB6}"/>
    <cellStyle name="Vírgula 10 2 2 2 3 2 5 2" xfId="43419" xr:uid="{0F8E73B2-C7B6-4441-BC83-E56BA2E54C75}"/>
    <cellStyle name="Vírgula 10 2 2 2 3 2 6" xfId="13418" xr:uid="{061627C8-011B-4092-B803-0E7F283A403A}"/>
    <cellStyle name="Vírgula 10 2 2 2 3 2 6 2" xfId="33759" xr:uid="{22152114-9394-4FA7-9CB6-246C43CF9D4F}"/>
    <cellStyle name="Vírgula 10 2 2 2 3 2 7" xfId="9540" xr:uid="{2442978A-A6C6-4711-B312-0025504241BF}"/>
    <cellStyle name="Vírgula 10 2 2 2 3 2 7 2" xfId="29883" xr:uid="{D84CDF5E-0641-488D-A465-C049BC25B0F4}"/>
    <cellStyle name="Vírgula 10 2 2 2 3 2 8" xfId="26389" xr:uid="{C1275F14-9AB6-4052-AEC5-7760A5F7BD86}"/>
    <cellStyle name="Vírgula 10 2 2 2 3 2 9" xfId="46200" xr:uid="{D95A8234-033D-4262-886E-60951118E204}"/>
    <cellStyle name="Vírgula 10 2 2 2 3 3" xfId="6618" xr:uid="{FF4C7D49-2A28-48C3-8221-8FA1651C59B2}"/>
    <cellStyle name="Vírgula 10 2 2 2 3 3 2" xfId="16904" xr:uid="{0AC32099-D7A7-4CF1-BEA4-4FF8329E7C12}"/>
    <cellStyle name="Vírgula 10 2 2 2 3 3 2 2" xfId="37244" xr:uid="{2136AFD9-BF1E-4F32-8A52-DEB54D55E1BA}"/>
    <cellStyle name="Vírgula 10 2 2 2 3 3 3" xfId="20406" xr:uid="{BC2EE213-CB05-4371-B685-FD89B628BF8A}"/>
    <cellStyle name="Vírgula 10 2 2 2 3 3 3 2" xfId="40745" xr:uid="{88826DD9-DCF4-48A1-ACB7-44D97F30EC5A}"/>
    <cellStyle name="Vírgula 10 2 2 2 3 3 4" xfId="23661" xr:uid="{BE50BB87-0EEA-4215-BF80-13A4811A26AF}"/>
    <cellStyle name="Vírgula 10 2 2 2 3 3 4 2" xfId="43996" xr:uid="{9A8147D4-95A7-44F5-B93E-D35A1A8A5E5F}"/>
    <cellStyle name="Vírgula 10 2 2 2 3 3 5" xfId="13995" xr:uid="{8B7AE0B3-D50C-4B5B-9CA7-D62352553CBA}"/>
    <cellStyle name="Vírgula 10 2 2 2 3 3 5 2" xfId="34336" xr:uid="{54C05A7F-AB5B-499D-94CA-78791571626B}"/>
    <cellStyle name="Vírgula 10 2 2 2 3 3 6" xfId="10117" xr:uid="{CEA1E9C7-B137-4581-A34F-CE98FC8D167A}"/>
    <cellStyle name="Vírgula 10 2 2 2 3 3 6 2" xfId="30460" xr:uid="{A5710FA0-DD63-40BD-B896-01E07FD78BC2}"/>
    <cellStyle name="Vírgula 10 2 2 2 3 3 7" xfId="26966" xr:uid="{D6E906BD-6E1C-4927-8B3B-311FE30119A6}"/>
    <cellStyle name="Vírgula 10 2 2 2 3 4" xfId="7782" xr:uid="{3689B20A-A78E-420E-8985-23A33488F3EA}"/>
    <cellStyle name="Vírgula 10 2 2 2 3 4 2" xfId="18067" xr:uid="{1F3BA584-2475-4C75-9B38-8437B60675DC}"/>
    <cellStyle name="Vírgula 10 2 2 2 3 4 2 2" xfId="38407" xr:uid="{65ED3355-6BAF-46E2-93DD-E82C9472BDDC}"/>
    <cellStyle name="Vírgula 10 2 2 2 3 4 3" xfId="21569" xr:uid="{4D00C850-8C56-4F5E-A66B-591D560E5391}"/>
    <cellStyle name="Vírgula 10 2 2 2 3 4 3 2" xfId="41908" xr:uid="{5F7AB549-703B-4B73-A065-1CE583CDA42E}"/>
    <cellStyle name="Vírgula 10 2 2 2 3 4 4" xfId="24824" xr:uid="{FC54DD35-6E2B-441F-B725-EBF8DD269118}"/>
    <cellStyle name="Vírgula 10 2 2 2 3 4 4 2" xfId="45159" xr:uid="{6E28D38E-C119-41F3-9F6B-FD2F05A3E62B}"/>
    <cellStyle name="Vírgula 10 2 2 2 3 4 5" xfId="15159" xr:uid="{F6DD15CE-ABAC-45E5-8D7E-12FC4A44C422}"/>
    <cellStyle name="Vírgula 10 2 2 2 3 4 5 2" xfId="35499" xr:uid="{6B52B3D6-4BE3-4658-AEFA-B8AA66FA0831}"/>
    <cellStyle name="Vírgula 10 2 2 2 3 4 6" xfId="11280" xr:uid="{734F6E8D-B115-4215-9959-E23BB79BCFF7}"/>
    <cellStyle name="Vírgula 10 2 2 2 3 4 6 2" xfId="31623" xr:uid="{BFACBD71-3FF3-47A5-A541-C4F3EA2385BB}"/>
    <cellStyle name="Vírgula 10 2 2 2 3 4 7" xfId="28129" xr:uid="{0A3C39DC-7105-45E2-8BA7-4D66600F5F36}"/>
    <cellStyle name="Vírgula 10 2 2 2 3 5" xfId="8159" xr:uid="{41B900A3-F2AD-44FF-9228-C59CEA502FC7}"/>
    <cellStyle name="Vírgula 10 2 2 2 3 5 2" xfId="21946" xr:uid="{3927CF44-8DE6-4203-BDB0-8D3CC7E52B50}"/>
    <cellStyle name="Vírgula 10 2 2 2 3 5 2 2" xfId="42282" xr:uid="{5E5D4226-8F22-4EC8-8C4A-0CDF45655DF7}"/>
    <cellStyle name="Vírgula 10 2 2 2 3 5 3" xfId="25198" xr:uid="{ABB53D7F-B910-45B3-BDC8-F1A33834AF73}"/>
    <cellStyle name="Vírgula 10 2 2 2 3 5 3 2" xfId="45533" xr:uid="{8DBA1AEF-C70C-49D9-AEDC-2E3055106822}"/>
    <cellStyle name="Vírgula 10 2 2 2 3 5 4" xfId="12849" xr:uid="{ACFB65B8-3AC8-4B4B-9DF5-689AFA234AAD}"/>
    <cellStyle name="Vírgula 10 2 2 2 3 5 4 2" xfId="33190" xr:uid="{E8894E91-7F75-4BBF-88EA-0501D79A2375}"/>
    <cellStyle name="Vírgula 10 2 2 2 3 5 5" xfId="11655" xr:uid="{85D10D07-5B59-419D-BF4E-EE1FC3DDF49B}"/>
    <cellStyle name="Vírgula 10 2 2 2 3 5 5 2" xfId="31997" xr:uid="{B98025FB-1F38-40D3-9AA4-7B9AF98A33E4}"/>
    <cellStyle name="Vírgula 10 2 2 2 3 5 6" xfId="28503" xr:uid="{B6F140E4-CB1E-496F-BD6C-6E76385B9587}"/>
    <cellStyle name="Vírgula 10 2 2 2 3 6" xfId="8582" xr:uid="{EAD14CF8-9504-456F-B46C-D1F56631EAA8}"/>
    <cellStyle name="Vírgula 10 2 2 2 3 6 2" xfId="15746" xr:uid="{1D9D9F85-A9E7-49D9-818E-26E406F81D75}"/>
    <cellStyle name="Vírgula 10 2 2 2 3 6 2 2" xfId="36086" xr:uid="{C3022EAF-8117-4A8A-9860-B83D5860A3DA}"/>
    <cellStyle name="Vírgula 10 2 2 2 3 6 3" xfId="28925" xr:uid="{513FBB1B-4EBA-4B7B-A125-DA26ECED6B18}"/>
    <cellStyle name="Vírgula 10 2 2 2 3 7" xfId="18660" xr:uid="{63355CAD-C285-4259-985C-C020CB51C604}"/>
    <cellStyle name="Vírgula 10 2 2 2 3 7 2" xfId="39000" xr:uid="{0BF6B413-CF3A-488A-BF80-AB65C83BBDDE}"/>
    <cellStyle name="Vírgula 10 2 2 2 3 8" xfId="19248" xr:uid="{08D0DC50-62C3-4084-9326-783C52D52E1C}"/>
    <cellStyle name="Vírgula 10 2 2 2 3 8 2" xfId="39587" xr:uid="{2051FFF9-8DF0-40AB-9334-46A51A785907}"/>
    <cellStyle name="Vírgula 10 2 2 2 3 9" xfId="22503" xr:uid="{C6AEFACD-7AA5-4EB6-8927-2D8EE371AF4E}"/>
    <cellStyle name="Vírgula 10 2 2 2 3 9 2" xfId="42838" xr:uid="{CA916DFF-BD31-468A-95BF-9E9F3687F96B}"/>
    <cellStyle name="Vírgula 10 2 2 2 4" xfId="4995" xr:uid="{1FEABAE0-64DD-48FF-A84A-24F2C62F63D5}"/>
    <cellStyle name="Vírgula 10 2 2 2 4 10" xfId="12278" xr:uid="{36810E44-15A2-4045-8756-9134B90B7C53}"/>
    <cellStyle name="Vírgula 10 2 2 2 4 10 2" xfId="32619" xr:uid="{BF77BA70-E9CB-456F-9FDE-EC2EE6F56655}"/>
    <cellStyle name="Vírgula 10 2 2 2 4 11" xfId="9017" xr:uid="{879522EB-917D-4067-808F-B65A6C3788AC}"/>
    <cellStyle name="Vírgula 10 2 2 2 4 11 2" xfId="29360" xr:uid="{802BD28A-4D89-4DCA-AC15-5B70C8AB4635}"/>
    <cellStyle name="Vírgula 10 2 2 2 4 12" xfId="25866" xr:uid="{DAE7CD33-F977-4C18-924E-C3075330BD5D}"/>
    <cellStyle name="Vírgula 10 2 2 2 4 13" xfId="46104" xr:uid="{8AECD26F-23D2-4670-AB5D-A1C8E7705741}"/>
    <cellStyle name="Vírgula 10 2 2 2 4 14" xfId="46590" xr:uid="{6A458FB0-043A-480E-97D0-5E54767C1214}"/>
    <cellStyle name="Vírgula 10 2 2 2 4 15" xfId="47082" xr:uid="{7ACE2892-98BF-4C07-9D20-FCAE4B3FF485}"/>
    <cellStyle name="Vírgula 10 2 2 2 4 16" xfId="5527" xr:uid="{48AD2ECA-42C2-47EB-B5B1-DDC6436F5610}"/>
    <cellStyle name="Vírgula 10 2 2 2 4 2" xfId="6099" xr:uid="{08E33DFF-B6E4-4B63-BC6E-39CBD806E12F}"/>
    <cellStyle name="Vírgula 10 2 2 2 4 2 2" xfId="7257" xr:uid="{87163017-02E4-4DAE-B19D-265756CDF4AA}"/>
    <cellStyle name="Vírgula 10 2 2 2 4 2 2 2" xfId="17543" xr:uid="{C59E3103-A1DE-4395-91F5-493358E4BBF9}"/>
    <cellStyle name="Vírgula 10 2 2 2 4 2 2 2 2" xfId="37883" xr:uid="{1ED8BFA8-905A-468F-B2E7-CFA6B62E9370}"/>
    <cellStyle name="Vírgula 10 2 2 2 4 2 2 3" xfId="21045" xr:uid="{B3CA368D-9F30-47CF-A399-18F617FB0F3F}"/>
    <cellStyle name="Vírgula 10 2 2 2 4 2 2 3 2" xfId="41384" xr:uid="{E444CD4F-8971-4844-B3DA-C03F7FDD0025}"/>
    <cellStyle name="Vírgula 10 2 2 2 4 2 2 4" xfId="24300" xr:uid="{F50A9A6E-FD25-484B-B356-DCF249668332}"/>
    <cellStyle name="Vírgula 10 2 2 2 4 2 2 4 2" xfId="44635" xr:uid="{A4E5A3DD-6761-4010-872C-04694D32672C}"/>
    <cellStyle name="Vírgula 10 2 2 2 4 2 2 5" xfId="14634" xr:uid="{EE456834-3BA7-4DBA-A3F1-B2B7E8EE7CC5}"/>
    <cellStyle name="Vírgula 10 2 2 2 4 2 2 5 2" xfId="34975" xr:uid="{CCC2F8FB-A9EB-4D53-97AB-CDBA86A03D0E}"/>
    <cellStyle name="Vírgula 10 2 2 2 4 2 2 6" xfId="10756" xr:uid="{A7648279-6CE1-4164-9DC8-230EB5DAA23A}"/>
    <cellStyle name="Vírgula 10 2 2 2 4 2 2 6 2" xfId="31099" xr:uid="{106D20BA-235B-48F0-B970-FF766BFFBE9F}"/>
    <cellStyle name="Vírgula 10 2 2 2 4 2 2 7" xfId="27605" xr:uid="{19ED55CB-21B2-4E78-B652-31BDE6815394}"/>
    <cellStyle name="Vírgula 10 2 2 2 4 2 3" xfId="16385" xr:uid="{E8088D80-584A-4EEA-9E88-FA09E09345CC}"/>
    <cellStyle name="Vírgula 10 2 2 2 4 2 3 2" xfId="36725" xr:uid="{AA2D834E-C33B-4C40-8675-EFA547FF245E}"/>
    <cellStyle name="Vírgula 10 2 2 2 4 2 4" xfId="19887" xr:uid="{A5AACFCA-A3AE-4421-9545-3EEFE1F36385}"/>
    <cellStyle name="Vírgula 10 2 2 2 4 2 4 2" xfId="40226" xr:uid="{B9F2E043-F264-4981-8022-F6C29F083E51}"/>
    <cellStyle name="Vírgula 10 2 2 2 4 2 5" xfId="23142" xr:uid="{02A231EF-2FD4-4C74-82B8-2AEAA5DD6180}"/>
    <cellStyle name="Vírgula 10 2 2 2 4 2 5 2" xfId="43477" xr:uid="{860A573D-7A60-43B1-9DA2-1E817C14351F}"/>
    <cellStyle name="Vírgula 10 2 2 2 4 2 6" xfId="13476" xr:uid="{5FD72A13-A43D-4957-9C94-D2A60A531C9B}"/>
    <cellStyle name="Vírgula 10 2 2 2 4 2 6 2" xfId="33817" xr:uid="{2B3B6D4F-CD61-4F7D-B571-8FA4E6DF9767}"/>
    <cellStyle name="Vírgula 10 2 2 2 4 2 7" xfId="9598" xr:uid="{A2BBBD3C-3AAB-4BFB-99A4-62439A9418D3}"/>
    <cellStyle name="Vírgula 10 2 2 2 4 2 7 2" xfId="29941" xr:uid="{43986F12-FBAD-4011-8CDF-0BFFE3A341F3}"/>
    <cellStyle name="Vírgula 10 2 2 2 4 2 8" xfId="26447" xr:uid="{278FD351-926D-40DC-9E9E-54B6A04969F1}"/>
    <cellStyle name="Vírgula 10 2 2 2 4 3" xfId="6676" xr:uid="{44A3FD93-C6C0-46B8-BB8B-8CC3AD1FB5C1}"/>
    <cellStyle name="Vírgula 10 2 2 2 4 3 2" xfId="16962" xr:uid="{F1B342A4-4116-4A5A-811A-657FE0C3FD61}"/>
    <cellStyle name="Vírgula 10 2 2 2 4 3 2 2" xfId="37302" xr:uid="{AA839D13-F6DB-45BA-A712-C0CBB4782B28}"/>
    <cellStyle name="Vírgula 10 2 2 2 4 3 3" xfId="20464" xr:uid="{2E01AFF2-5440-4646-8917-52DCDF172158}"/>
    <cellStyle name="Vírgula 10 2 2 2 4 3 3 2" xfId="40803" xr:uid="{EB9912A4-29E3-48F7-8891-D187648CE778}"/>
    <cellStyle name="Vírgula 10 2 2 2 4 3 4" xfId="23719" xr:uid="{6CAB9EA8-6860-4141-82EA-DB54AAFACB1F}"/>
    <cellStyle name="Vírgula 10 2 2 2 4 3 4 2" xfId="44054" xr:uid="{A4C66FBE-B27E-41D5-8483-19ACD46106B3}"/>
    <cellStyle name="Vírgula 10 2 2 2 4 3 5" xfId="14053" xr:uid="{77EF64A3-29A9-4515-9422-A2A93CA7AC06}"/>
    <cellStyle name="Vírgula 10 2 2 2 4 3 5 2" xfId="34394" xr:uid="{63A95BDD-1170-4CD9-8C57-9F9A45053B95}"/>
    <cellStyle name="Vírgula 10 2 2 2 4 3 6" xfId="10175" xr:uid="{9476CFAD-A3E1-4306-A86D-45F2EA1F6BEC}"/>
    <cellStyle name="Vírgula 10 2 2 2 4 3 6 2" xfId="30518" xr:uid="{06CB6EE0-5E2B-4546-AB53-209E2C8ED763}"/>
    <cellStyle name="Vírgula 10 2 2 2 4 3 7" xfId="27024" xr:uid="{1A3D2A54-B9F4-455A-870E-054745ED4598}"/>
    <cellStyle name="Vírgula 10 2 2 2 4 4" xfId="7840" xr:uid="{5F72B1F9-0007-4C42-8B9E-807CF514BE18}"/>
    <cellStyle name="Vírgula 10 2 2 2 4 4 2" xfId="18125" xr:uid="{C6698F6A-2124-48CD-B9D2-F28DBB467443}"/>
    <cellStyle name="Vírgula 10 2 2 2 4 4 2 2" xfId="38465" xr:uid="{B448655D-F215-49C8-BE58-679A3727D17A}"/>
    <cellStyle name="Vírgula 10 2 2 2 4 4 3" xfId="21627" xr:uid="{3AD99A37-C073-417C-98C4-BE39EA8021BF}"/>
    <cellStyle name="Vírgula 10 2 2 2 4 4 3 2" xfId="41966" xr:uid="{C17F88BD-C74F-4A6A-86C9-A21D7CB9EACC}"/>
    <cellStyle name="Vírgula 10 2 2 2 4 4 4" xfId="24882" xr:uid="{BC648311-6DF6-4C32-A05C-E19492ED6201}"/>
    <cellStyle name="Vírgula 10 2 2 2 4 4 4 2" xfId="45217" xr:uid="{18E7A56B-F412-4915-8D66-9F050479C018}"/>
    <cellStyle name="Vírgula 10 2 2 2 4 4 5" xfId="15217" xr:uid="{4C9DEC3A-8228-4EBA-85A5-4BECF7D2CB2C}"/>
    <cellStyle name="Vírgula 10 2 2 2 4 4 5 2" xfId="35557" xr:uid="{2DF2F028-F4B9-414C-9B3F-8F6652BD15AE}"/>
    <cellStyle name="Vírgula 10 2 2 2 4 4 6" xfId="11338" xr:uid="{C056DB62-52D1-40DC-BA84-F7682A24CFDD}"/>
    <cellStyle name="Vírgula 10 2 2 2 4 4 6 2" xfId="31681" xr:uid="{3EF5676A-2FB7-451F-AF61-0A501DBEDA45}"/>
    <cellStyle name="Vírgula 10 2 2 2 4 4 7" xfId="28187" xr:uid="{6922C0C0-4ACB-4A60-AB4F-A4ABCAB2511C}"/>
    <cellStyle name="Vírgula 10 2 2 2 4 5" xfId="8160" xr:uid="{3E309541-9017-45AF-93AB-CFF8B9E3329A}"/>
    <cellStyle name="Vírgula 10 2 2 2 4 5 2" xfId="21947" xr:uid="{3F326EBB-EBD0-4FF0-97C8-BE82E570C463}"/>
    <cellStyle name="Vírgula 10 2 2 2 4 5 2 2" xfId="42283" xr:uid="{C0F7496F-2ACE-4FC3-8144-2264D3336279}"/>
    <cellStyle name="Vírgula 10 2 2 2 4 5 3" xfId="25199" xr:uid="{0E9DB929-9D39-43E3-A659-58DC5372AD5B}"/>
    <cellStyle name="Vírgula 10 2 2 2 4 5 3 2" xfId="45534" xr:uid="{2B1D01E1-9D9E-4A26-8E9B-75D699DF7ADA}"/>
    <cellStyle name="Vírgula 10 2 2 2 4 5 4" xfId="12907" xr:uid="{7C11F492-5FFF-4AC1-AEA7-D9F7621B8385}"/>
    <cellStyle name="Vírgula 10 2 2 2 4 5 4 2" xfId="33248" xr:uid="{7870D275-7C9A-4889-87A8-F70862EF7A04}"/>
    <cellStyle name="Vírgula 10 2 2 2 4 5 5" xfId="11656" xr:uid="{ED419B74-2596-446D-B980-E1AF0E662C36}"/>
    <cellStyle name="Vírgula 10 2 2 2 4 5 5 2" xfId="31998" xr:uid="{F002DF26-CD86-4CEC-B49E-9775EAE8528D}"/>
    <cellStyle name="Vírgula 10 2 2 2 4 5 6" xfId="28504" xr:uid="{B1C1CABE-794C-4F24-8877-75A4C7CB6007}"/>
    <cellStyle name="Vírgula 10 2 2 2 4 6" xfId="15804" xr:uid="{4DD7A498-E90A-4440-B91A-B5A4657A23C5}"/>
    <cellStyle name="Vírgula 10 2 2 2 4 6 2" xfId="36144" xr:uid="{7D913FDF-E4DD-4C40-8FA8-6EFB9A016B37}"/>
    <cellStyle name="Vírgula 10 2 2 2 4 7" xfId="18718" xr:uid="{656FCA5D-3033-461B-90FE-9F6747DE69F2}"/>
    <cellStyle name="Vírgula 10 2 2 2 4 7 2" xfId="39058" xr:uid="{92CECDDE-4ED2-4073-A27F-77D9BD2E18FC}"/>
    <cellStyle name="Vírgula 10 2 2 2 4 8" xfId="19306" xr:uid="{06FF06EE-75BF-4DBD-AFE7-868F0868F8E5}"/>
    <cellStyle name="Vírgula 10 2 2 2 4 8 2" xfId="39645" xr:uid="{185FD65E-3DE8-4536-BD26-FB3D8BBE6F55}"/>
    <cellStyle name="Vírgula 10 2 2 2 4 9" xfId="22561" xr:uid="{F1DA039F-EF6D-4B92-B176-E16ECC31EC44}"/>
    <cellStyle name="Vírgula 10 2 2 2 4 9 2" xfId="42896" xr:uid="{84EC3E87-CBAB-4DD4-8291-380B2A700DCA}"/>
    <cellStyle name="Vírgula 10 2 2 2 5" xfId="5602" xr:uid="{1D9A2164-8EF4-4F78-8676-CCCA57F8A9D1}"/>
    <cellStyle name="Vírgula 10 2 2 2 5 10" xfId="12353" xr:uid="{425C3257-C9DB-4602-B549-729DEFAB0DFF}"/>
    <cellStyle name="Vírgula 10 2 2 2 5 10 2" xfId="32694" xr:uid="{9E4FC917-967B-4A2C-AD4D-8D8EAF27B7BA}"/>
    <cellStyle name="Vírgula 10 2 2 2 5 11" xfId="9092" xr:uid="{3C1DB185-4A26-4D23-860C-0A21E8688DE0}"/>
    <cellStyle name="Vírgula 10 2 2 2 5 11 2" xfId="29435" xr:uid="{6068BF62-DEAC-437F-9EFE-E4D1A34A3D78}"/>
    <cellStyle name="Vírgula 10 2 2 2 5 12" xfId="25941" xr:uid="{F1299EA0-48D5-4D09-A3BC-39473FEF5707}"/>
    <cellStyle name="Vírgula 10 2 2 2 5 2" xfId="6174" xr:uid="{70AD87FB-5175-4C19-BEFA-8D3C4CE8AC0B}"/>
    <cellStyle name="Vírgula 10 2 2 2 5 2 2" xfId="7332" xr:uid="{98B74A92-4FD1-4C82-8012-972560A42E5D}"/>
    <cellStyle name="Vírgula 10 2 2 2 5 2 2 2" xfId="17618" xr:uid="{A8EE98C2-CE7C-4A09-80D3-3CE3BDCDB7DE}"/>
    <cellStyle name="Vírgula 10 2 2 2 5 2 2 2 2" xfId="37958" xr:uid="{115768CF-BB35-4D9D-902E-F2BF356A635D}"/>
    <cellStyle name="Vírgula 10 2 2 2 5 2 2 3" xfId="21120" xr:uid="{2D87DF7A-41C1-4961-BA0B-84AFEE2EAEC4}"/>
    <cellStyle name="Vírgula 10 2 2 2 5 2 2 3 2" xfId="41459" xr:uid="{9E9A2F34-08D4-4D03-BB4A-E9071FE98138}"/>
    <cellStyle name="Vírgula 10 2 2 2 5 2 2 4" xfId="24375" xr:uid="{5BD82E11-12E2-4E03-8A1A-9D6C615C7B2D}"/>
    <cellStyle name="Vírgula 10 2 2 2 5 2 2 4 2" xfId="44710" xr:uid="{C4208082-9F4C-4FAD-BEAC-965A8A14016D}"/>
    <cellStyle name="Vírgula 10 2 2 2 5 2 2 5" xfId="14709" xr:uid="{3F09832A-DF9A-4128-AD07-253D25FA7E7C}"/>
    <cellStyle name="Vírgula 10 2 2 2 5 2 2 5 2" xfId="35050" xr:uid="{89AFD88D-77DD-4AFC-92AE-372340A36517}"/>
    <cellStyle name="Vírgula 10 2 2 2 5 2 2 6" xfId="10831" xr:uid="{E2321652-0E81-4BE5-9C48-79F3B6D7581C}"/>
    <cellStyle name="Vírgula 10 2 2 2 5 2 2 6 2" xfId="31174" xr:uid="{A4864802-739F-487C-A4E7-A130D908B85E}"/>
    <cellStyle name="Vírgula 10 2 2 2 5 2 2 7" xfId="27680" xr:uid="{E29704B7-E35C-422D-8F65-6A097324A1C0}"/>
    <cellStyle name="Vírgula 10 2 2 2 5 2 3" xfId="16460" xr:uid="{DDD69FA3-AC21-485A-B5F0-124A7B851D43}"/>
    <cellStyle name="Vírgula 10 2 2 2 5 2 3 2" xfId="36800" xr:uid="{CA6BD208-1A5E-4DE9-91C7-7ED4670DB1B2}"/>
    <cellStyle name="Vírgula 10 2 2 2 5 2 4" xfId="19962" xr:uid="{32608A54-F89F-4695-AEF6-3A5ED1C56545}"/>
    <cellStyle name="Vírgula 10 2 2 2 5 2 4 2" xfId="40301" xr:uid="{75F48689-A680-47F9-9366-737C8BF0D2BD}"/>
    <cellStyle name="Vírgula 10 2 2 2 5 2 5" xfId="23217" xr:uid="{10D52F33-F68A-4FE0-A130-EF144992295F}"/>
    <cellStyle name="Vírgula 10 2 2 2 5 2 5 2" xfId="43552" xr:uid="{A17101C0-DA08-478B-B306-023D56E58500}"/>
    <cellStyle name="Vírgula 10 2 2 2 5 2 6" xfId="13551" xr:uid="{74649433-D223-4528-B7DC-02D85A1CC018}"/>
    <cellStyle name="Vírgula 10 2 2 2 5 2 6 2" xfId="33892" xr:uid="{8C837205-2458-4018-9BCA-D7EAA0D12C3A}"/>
    <cellStyle name="Vírgula 10 2 2 2 5 2 7" xfId="9673" xr:uid="{0E7D2574-81D6-4162-9987-78CE27D3166B}"/>
    <cellStyle name="Vírgula 10 2 2 2 5 2 7 2" xfId="30016" xr:uid="{22CEDDE8-0FF8-48D3-9E87-F3D21A1419B1}"/>
    <cellStyle name="Vírgula 10 2 2 2 5 2 8" xfId="26522" xr:uid="{1E8167DB-A88E-463C-AB99-0B97C9D3ADC2}"/>
    <cellStyle name="Vírgula 10 2 2 2 5 3" xfId="6751" xr:uid="{F5135637-213B-4B81-9CE9-541F15690CD0}"/>
    <cellStyle name="Vírgula 10 2 2 2 5 3 2" xfId="17037" xr:uid="{F837FEF9-7490-4A7B-9185-1F1EBCD0618C}"/>
    <cellStyle name="Vírgula 10 2 2 2 5 3 2 2" xfId="37377" xr:uid="{6F775FA7-7D6C-4246-A44C-0DC8D22AED3A}"/>
    <cellStyle name="Vírgula 10 2 2 2 5 3 3" xfId="20539" xr:uid="{829212D3-BAB0-4CFE-92FC-623000773639}"/>
    <cellStyle name="Vírgula 10 2 2 2 5 3 3 2" xfId="40878" xr:uid="{18DDFC54-F327-49B8-A91A-B715BAFEB32A}"/>
    <cellStyle name="Vírgula 10 2 2 2 5 3 4" xfId="23794" xr:uid="{DAC22BD9-5081-4B2A-A15A-0B6B30DE2E52}"/>
    <cellStyle name="Vírgula 10 2 2 2 5 3 4 2" xfId="44129" xr:uid="{911357C9-8697-4170-9832-403431DCA8EF}"/>
    <cellStyle name="Vírgula 10 2 2 2 5 3 5" xfId="14128" xr:uid="{2E8FE62D-0B41-4880-8E4A-D39170A0978C}"/>
    <cellStyle name="Vírgula 10 2 2 2 5 3 5 2" xfId="34469" xr:uid="{60AD4D55-E51A-4848-AFAD-80329970BFC8}"/>
    <cellStyle name="Vírgula 10 2 2 2 5 3 6" xfId="10250" xr:uid="{4F286148-C260-4878-BC27-17082BC4AB1E}"/>
    <cellStyle name="Vírgula 10 2 2 2 5 3 6 2" xfId="30593" xr:uid="{BB551AB5-34B8-43BA-851F-A8CAAA8B00B2}"/>
    <cellStyle name="Vírgula 10 2 2 2 5 3 7" xfId="27099" xr:uid="{A9F2F077-E792-4E4E-8177-7954A91489ED}"/>
    <cellStyle name="Vírgula 10 2 2 2 5 4" xfId="7915" xr:uid="{63F96B41-90EB-4334-8A11-5D9EC906EF08}"/>
    <cellStyle name="Vírgula 10 2 2 2 5 4 2" xfId="18200" xr:uid="{9C36127E-DBB7-4381-8F18-0840EF8B3EDF}"/>
    <cellStyle name="Vírgula 10 2 2 2 5 4 2 2" xfId="38540" xr:uid="{F939921F-2892-40A0-B79C-CEE0D6179F64}"/>
    <cellStyle name="Vírgula 10 2 2 2 5 4 3" xfId="21702" xr:uid="{A58D09D4-7348-4089-8A90-F573474EC776}"/>
    <cellStyle name="Vírgula 10 2 2 2 5 4 3 2" xfId="42041" xr:uid="{4B8EFCE7-F325-491C-89AE-5DEFCB224B1B}"/>
    <cellStyle name="Vírgula 10 2 2 2 5 4 4" xfId="24957" xr:uid="{78433746-7A9D-4E97-9D87-1BF64AF52FCA}"/>
    <cellStyle name="Vírgula 10 2 2 2 5 4 4 2" xfId="45292" xr:uid="{703C4803-4691-4D56-A0C7-154E3EB90E2B}"/>
    <cellStyle name="Vírgula 10 2 2 2 5 4 5" xfId="15292" xr:uid="{51E7746C-B307-424C-87E0-95D8EE6E7C27}"/>
    <cellStyle name="Vírgula 10 2 2 2 5 4 5 2" xfId="35632" xr:uid="{48265B55-9E06-46DE-8D5B-D9AAEB3BCC91}"/>
    <cellStyle name="Vírgula 10 2 2 2 5 4 6" xfId="11413" xr:uid="{927B7591-252E-40EA-9C10-ACD638C7F43D}"/>
    <cellStyle name="Vírgula 10 2 2 2 5 4 6 2" xfId="31756" xr:uid="{1B4565C3-DB87-498B-8234-7EB2057E4944}"/>
    <cellStyle name="Vírgula 10 2 2 2 5 4 7" xfId="28262" xr:uid="{8FE1A75C-439E-4E59-BE23-A4E836980344}"/>
    <cellStyle name="Vírgula 10 2 2 2 5 5" xfId="12982" xr:uid="{D4C89656-29FE-4953-9473-A05751897848}"/>
    <cellStyle name="Vírgula 10 2 2 2 5 5 2" xfId="33323" xr:uid="{F1A93267-72FD-4AE3-BD1C-A5383B1D7AAE}"/>
    <cellStyle name="Vírgula 10 2 2 2 5 6" xfId="15879" xr:uid="{A11A69A8-631B-449B-8018-9D14A5355878}"/>
    <cellStyle name="Vírgula 10 2 2 2 5 6 2" xfId="36219" xr:uid="{DC4CB477-5DAC-4A12-A405-493C9614F57B}"/>
    <cellStyle name="Vírgula 10 2 2 2 5 7" xfId="18793" xr:uid="{CFA5502B-4A0B-48C9-B07C-EB6582DF99C0}"/>
    <cellStyle name="Vírgula 10 2 2 2 5 7 2" xfId="39133" xr:uid="{C0745F8A-038E-49D7-AD83-A7F355E62E0F}"/>
    <cellStyle name="Vírgula 10 2 2 2 5 8" xfId="19381" xr:uid="{1AD3775C-CD55-47F0-900D-3EB91D658C54}"/>
    <cellStyle name="Vírgula 10 2 2 2 5 8 2" xfId="39720" xr:uid="{B4DE8390-35DB-4374-B849-1297E54075A6}"/>
    <cellStyle name="Vírgula 10 2 2 2 5 9" xfId="22636" xr:uid="{9BDD0A90-B025-4848-955C-4ABA34123C75}"/>
    <cellStyle name="Vírgula 10 2 2 2 5 9 2" xfId="42971" xr:uid="{6D9249AD-5108-420D-8AEC-2C57FECFAA0B}"/>
    <cellStyle name="Vírgula 10 2 2 2 6" xfId="5700" xr:uid="{06F9FF21-6A4B-4720-821B-B274B7714FA2}"/>
    <cellStyle name="Vírgula 10 2 2 2 6 10" xfId="12451" xr:uid="{BB4AF72F-2AAD-47E3-A40C-73C8AD3A26D3}"/>
    <cellStyle name="Vírgula 10 2 2 2 6 10 2" xfId="32792" xr:uid="{6EB51F8A-0B09-4202-8E8E-4E4FB7F5958F}"/>
    <cellStyle name="Vírgula 10 2 2 2 6 11" xfId="9190" xr:uid="{28BDD244-4D64-471F-ADB8-D2FED08166D7}"/>
    <cellStyle name="Vírgula 10 2 2 2 6 11 2" xfId="29533" xr:uid="{AC4EB1F9-AD21-4E5A-A0A2-1D93E68EBDD2}"/>
    <cellStyle name="Vírgula 10 2 2 2 6 12" xfId="26039" xr:uid="{2197C016-49BF-4C96-A196-AA97052BDF52}"/>
    <cellStyle name="Vírgula 10 2 2 2 6 2" xfId="6272" xr:uid="{E300F06D-7756-4FF6-8067-B37F9195FE5A}"/>
    <cellStyle name="Vírgula 10 2 2 2 6 2 2" xfId="7430" xr:uid="{4FE858FE-259F-4FFC-B9B2-54D504563547}"/>
    <cellStyle name="Vírgula 10 2 2 2 6 2 2 2" xfId="17716" xr:uid="{62C62306-30F8-4121-9C25-3B75EBABC004}"/>
    <cellStyle name="Vírgula 10 2 2 2 6 2 2 2 2" xfId="38056" xr:uid="{D0946E1B-6336-4AB7-8FED-E42B5C38E9D3}"/>
    <cellStyle name="Vírgula 10 2 2 2 6 2 2 3" xfId="21218" xr:uid="{C7AD3C44-6D47-4592-82CC-DF0DAF4D0AA5}"/>
    <cellStyle name="Vírgula 10 2 2 2 6 2 2 3 2" xfId="41557" xr:uid="{C20885E1-506C-4A76-851A-BE1ADB14A414}"/>
    <cellStyle name="Vírgula 10 2 2 2 6 2 2 4" xfId="24473" xr:uid="{11C5986A-95C6-4505-8E73-E18BB752F6E0}"/>
    <cellStyle name="Vírgula 10 2 2 2 6 2 2 4 2" xfId="44808" xr:uid="{088A4EDB-9DE7-4871-856F-EF100E3E75BA}"/>
    <cellStyle name="Vírgula 10 2 2 2 6 2 2 5" xfId="14807" xr:uid="{4F1CC085-82FF-43BD-ADA0-98904C8A87FD}"/>
    <cellStyle name="Vírgula 10 2 2 2 6 2 2 5 2" xfId="35148" xr:uid="{66B42C04-FA2D-41D9-994B-3F257CAE09E3}"/>
    <cellStyle name="Vírgula 10 2 2 2 6 2 2 6" xfId="10929" xr:uid="{E14DB499-E92F-4494-86E8-23CE27EB7516}"/>
    <cellStyle name="Vírgula 10 2 2 2 6 2 2 6 2" xfId="31272" xr:uid="{13BABB9C-CD5D-4BF9-A23F-7D180CF80842}"/>
    <cellStyle name="Vírgula 10 2 2 2 6 2 2 7" xfId="27778" xr:uid="{8364314F-D4B3-4139-8ACA-8C2E0725803E}"/>
    <cellStyle name="Vírgula 10 2 2 2 6 2 3" xfId="16558" xr:uid="{C9843879-A51C-4730-8A08-91FEE480C10B}"/>
    <cellStyle name="Vírgula 10 2 2 2 6 2 3 2" xfId="36898" xr:uid="{34C2C925-25E5-47D0-8F0D-AD955953E5FF}"/>
    <cellStyle name="Vírgula 10 2 2 2 6 2 4" xfId="20060" xr:uid="{37B683BA-0098-466B-AD47-C38B76C8B11E}"/>
    <cellStyle name="Vírgula 10 2 2 2 6 2 4 2" xfId="40399" xr:uid="{DC719A87-55AA-4CDA-B79B-C4F73A89CF46}"/>
    <cellStyle name="Vírgula 10 2 2 2 6 2 5" xfId="23315" xr:uid="{141EC75A-C879-4DED-AD21-65F05D332999}"/>
    <cellStyle name="Vírgula 10 2 2 2 6 2 5 2" xfId="43650" xr:uid="{28AA3849-E050-4B67-9B26-F1FAF47D258A}"/>
    <cellStyle name="Vírgula 10 2 2 2 6 2 6" xfId="13649" xr:uid="{97A91572-8DC6-4216-BFFB-3E9274FEAF3A}"/>
    <cellStyle name="Vírgula 10 2 2 2 6 2 6 2" xfId="33990" xr:uid="{A2241792-9D9D-4A50-82DE-FE7FA941C622}"/>
    <cellStyle name="Vírgula 10 2 2 2 6 2 7" xfId="9771" xr:uid="{5FD50162-DA74-4522-BA16-E8FE60A366F3}"/>
    <cellStyle name="Vírgula 10 2 2 2 6 2 7 2" xfId="30114" xr:uid="{34E9CF70-A772-4F08-8123-54FC5ED4AE90}"/>
    <cellStyle name="Vírgula 10 2 2 2 6 2 8" xfId="26620" xr:uid="{53BD1F49-7918-4701-82E9-16205F24ED3A}"/>
    <cellStyle name="Vírgula 10 2 2 2 6 3" xfId="6849" xr:uid="{D67577FF-1B8D-4E1D-951D-84ED5FEA8FBA}"/>
    <cellStyle name="Vírgula 10 2 2 2 6 3 2" xfId="17135" xr:uid="{323DAA10-C8AD-4BD4-840C-CF97F04136AD}"/>
    <cellStyle name="Vírgula 10 2 2 2 6 3 2 2" xfId="37475" xr:uid="{E3507C04-124F-4713-BA02-A79E6C7859AA}"/>
    <cellStyle name="Vírgula 10 2 2 2 6 3 3" xfId="20637" xr:uid="{DCD9BAB6-6DC7-4C21-BD47-B7EE36837815}"/>
    <cellStyle name="Vírgula 10 2 2 2 6 3 3 2" xfId="40976" xr:uid="{DBE328F9-41F5-4F7E-8E27-9FB0CF4B828E}"/>
    <cellStyle name="Vírgula 10 2 2 2 6 3 4" xfId="23892" xr:uid="{64C7465B-DFB8-4ADF-B65B-BC6FC2118936}"/>
    <cellStyle name="Vírgula 10 2 2 2 6 3 4 2" xfId="44227" xr:uid="{87EA7C61-52BE-4D56-A404-3609379F58F2}"/>
    <cellStyle name="Vírgula 10 2 2 2 6 3 5" xfId="14226" xr:uid="{F0E9F8C1-4C56-4842-8C91-C6727DD3201C}"/>
    <cellStyle name="Vírgula 10 2 2 2 6 3 5 2" xfId="34567" xr:uid="{223A1A26-1292-4C21-913A-710A10B454BB}"/>
    <cellStyle name="Vírgula 10 2 2 2 6 3 6" xfId="10348" xr:uid="{6226BD37-D617-4C9C-BF01-B99C95A4F9E9}"/>
    <cellStyle name="Vírgula 10 2 2 2 6 3 6 2" xfId="30691" xr:uid="{583C8678-A338-4EC3-A97C-21319E0B06CE}"/>
    <cellStyle name="Vírgula 10 2 2 2 6 3 7" xfId="27197" xr:uid="{C22603E7-366F-4796-92C7-D1A1E0BEA500}"/>
    <cellStyle name="Vírgula 10 2 2 2 6 4" xfId="8013" xr:uid="{03E4AC11-7430-4242-B797-ACD57D3F8716}"/>
    <cellStyle name="Vírgula 10 2 2 2 6 4 2" xfId="18298" xr:uid="{605581E5-11A8-4181-A225-EB62F5978A57}"/>
    <cellStyle name="Vírgula 10 2 2 2 6 4 2 2" xfId="38638" xr:uid="{17E2815D-EB5D-4205-9F82-9494FA2CEBBE}"/>
    <cellStyle name="Vírgula 10 2 2 2 6 4 3" xfId="21800" xr:uid="{F11013B8-0045-4DC0-9789-EB88084247CC}"/>
    <cellStyle name="Vírgula 10 2 2 2 6 4 3 2" xfId="42139" xr:uid="{E59998EF-6C99-4797-9D55-542CB00F0A12}"/>
    <cellStyle name="Vírgula 10 2 2 2 6 4 4" xfId="25055" xr:uid="{62A6D7FD-555E-43DD-8FB7-5361408FA086}"/>
    <cellStyle name="Vírgula 10 2 2 2 6 4 4 2" xfId="45390" xr:uid="{F73017E7-7649-429E-90AB-BD3B2A57DA8C}"/>
    <cellStyle name="Vírgula 10 2 2 2 6 4 5" xfId="15390" xr:uid="{CF284978-3891-4A3A-877B-07E966517A03}"/>
    <cellStyle name="Vírgula 10 2 2 2 6 4 5 2" xfId="35730" xr:uid="{0EBCCFD4-B7F9-47FB-91F8-68CC43B83F4F}"/>
    <cellStyle name="Vírgula 10 2 2 2 6 4 6" xfId="11511" xr:uid="{439F62D4-53D0-4C54-832C-280D8F1F2D01}"/>
    <cellStyle name="Vírgula 10 2 2 2 6 4 6 2" xfId="31854" xr:uid="{7713854E-3084-4394-BD00-5DF394BC4041}"/>
    <cellStyle name="Vírgula 10 2 2 2 6 4 7" xfId="28360" xr:uid="{1A3AAD2D-CE41-4325-995A-73BD19EEAB9B}"/>
    <cellStyle name="Vírgula 10 2 2 2 6 5" xfId="13080" xr:uid="{17778B9B-E941-4E0F-ADCE-AC534E713AF3}"/>
    <cellStyle name="Vírgula 10 2 2 2 6 5 2" xfId="33421" xr:uid="{A528E0EB-FBC4-46B9-A598-251F300AB448}"/>
    <cellStyle name="Vírgula 10 2 2 2 6 6" xfId="15977" xr:uid="{51D87EAE-B36A-4B97-8273-210F7931BD13}"/>
    <cellStyle name="Vírgula 10 2 2 2 6 6 2" xfId="36317" xr:uid="{2E516C46-1FCB-45DB-B943-B30D79CA50BE}"/>
    <cellStyle name="Vírgula 10 2 2 2 6 7" xfId="18891" xr:uid="{843FB05C-86A9-4DAF-B8D7-0F4D36A0E035}"/>
    <cellStyle name="Vírgula 10 2 2 2 6 7 2" xfId="39231" xr:uid="{A270BA35-D7A9-417E-83EA-B9743E7A0E1A}"/>
    <cellStyle name="Vírgula 10 2 2 2 6 8" xfId="19479" xr:uid="{57C160D2-5E33-4B85-ACF7-A393154734C8}"/>
    <cellStyle name="Vírgula 10 2 2 2 6 8 2" xfId="39818" xr:uid="{A88DA29D-B1FD-49BE-987B-44583B5031E4}"/>
    <cellStyle name="Vírgula 10 2 2 2 6 9" xfId="22734" xr:uid="{D266AB43-8226-42D3-A86B-B98A67AAFFA1}"/>
    <cellStyle name="Vírgula 10 2 2 2 6 9 2" xfId="43069" xr:uid="{196B4366-4EE0-4759-8A59-374AFE3E2853}"/>
    <cellStyle name="Vírgula 10 2 2 2 7" xfId="5830" xr:uid="{9E79F071-78BA-44F8-9A9E-361CC0A4B127}"/>
    <cellStyle name="Vírgula 10 2 2 2 7 2" xfId="6988" xr:uid="{5E9DD605-98B1-44D0-94DA-F1C275B3DD51}"/>
    <cellStyle name="Vírgula 10 2 2 2 7 2 2" xfId="17274" xr:uid="{26037242-8837-4E8F-A34B-7C8467C1D5C7}"/>
    <cellStyle name="Vírgula 10 2 2 2 7 2 2 2" xfId="37614" xr:uid="{9E3CA428-35C6-4CF0-801C-6BBD2657D24C}"/>
    <cellStyle name="Vírgula 10 2 2 2 7 2 3" xfId="20776" xr:uid="{5538F55C-60B3-4723-A79F-B2F9FEEE4870}"/>
    <cellStyle name="Vírgula 10 2 2 2 7 2 3 2" xfId="41115" xr:uid="{08723DA7-34C7-4A02-863C-9FA305ADF627}"/>
    <cellStyle name="Vírgula 10 2 2 2 7 2 4" xfId="24031" xr:uid="{AADD0EEC-DC91-497D-9C32-8122731D00D5}"/>
    <cellStyle name="Vírgula 10 2 2 2 7 2 4 2" xfId="44366" xr:uid="{2864EDDF-B6CA-41F2-867C-03BA8C34B91F}"/>
    <cellStyle name="Vírgula 10 2 2 2 7 2 5" xfId="14365" xr:uid="{740C8E9E-7113-44D5-8069-328C9F08CC79}"/>
    <cellStyle name="Vírgula 10 2 2 2 7 2 5 2" xfId="34706" xr:uid="{722B871F-4ABF-4BFB-A010-BDB020153503}"/>
    <cellStyle name="Vírgula 10 2 2 2 7 2 6" xfId="10487" xr:uid="{7E7A6298-B0BE-4335-A523-12AF9F7E3001}"/>
    <cellStyle name="Vírgula 10 2 2 2 7 2 6 2" xfId="30830" xr:uid="{EEAB1153-0255-4B88-A8A5-BA1171144B81}"/>
    <cellStyle name="Vírgula 10 2 2 2 7 2 7" xfId="27336" xr:uid="{DB5105E0-25EB-495C-8EB5-B0586E6A47B8}"/>
    <cellStyle name="Vírgula 10 2 2 2 7 3" xfId="16116" xr:uid="{DEB604AF-B0BC-4CFC-9797-D9DC8A301906}"/>
    <cellStyle name="Vírgula 10 2 2 2 7 3 2" xfId="36456" xr:uid="{64298174-FE2C-4B90-8DC2-3ADAEA6C04CF}"/>
    <cellStyle name="Vírgula 10 2 2 2 7 4" xfId="19618" xr:uid="{A8B921FC-BDFA-4692-A5D2-854479BB7185}"/>
    <cellStyle name="Vírgula 10 2 2 2 7 4 2" xfId="39957" xr:uid="{549F3479-1ABE-4E54-ABA6-8C549879B1E1}"/>
    <cellStyle name="Vírgula 10 2 2 2 7 5" xfId="22873" xr:uid="{F0F728AA-662F-4478-9A75-37218357D292}"/>
    <cellStyle name="Vírgula 10 2 2 2 7 5 2" xfId="43208" xr:uid="{5CB9E068-3CBD-4BC8-AE75-1FD317E22E70}"/>
    <cellStyle name="Vírgula 10 2 2 2 7 6" xfId="13209" xr:uid="{9437CD43-4867-4B7E-9D24-B49964AD4BD7}"/>
    <cellStyle name="Vírgula 10 2 2 2 7 6 2" xfId="33550" xr:uid="{B226DE4B-4902-46C4-A6B8-CA00ECB2D34A}"/>
    <cellStyle name="Vírgula 10 2 2 2 7 7" xfId="9329" xr:uid="{9A677451-BB15-4BCD-A1DE-E8090860F49F}"/>
    <cellStyle name="Vírgula 10 2 2 2 7 7 2" xfId="29672" xr:uid="{68C235B3-EA3F-454F-BC1A-83634791B8B5}"/>
    <cellStyle name="Vírgula 10 2 2 2 7 8" xfId="26178" xr:uid="{69F77DF4-F6CA-4EE2-AD6A-CA33B60FE8F9}"/>
    <cellStyle name="Vírgula 10 2 2 2 8" xfId="6407" xr:uid="{4D298FC8-A97D-42BC-A4C2-49F39790F1E7}"/>
    <cellStyle name="Vírgula 10 2 2 2 8 2" xfId="16693" xr:uid="{0DF38702-9733-4660-9300-BDC6E5305BEB}"/>
    <cellStyle name="Vírgula 10 2 2 2 8 2 2" xfId="37033" xr:uid="{CB1D561C-B599-403F-A38D-782329774BA5}"/>
    <cellStyle name="Vírgula 10 2 2 2 8 3" xfId="20195" xr:uid="{87A2D793-0487-41B2-80D1-3565BF3EC6CE}"/>
    <cellStyle name="Vírgula 10 2 2 2 8 3 2" xfId="40534" xr:uid="{8729AE46-9149-4991-9A90-1D3D8FE6F6C2}"/>
    <cellStyle name="Vírgula 10 2 2 2 8 4" xfId="23450" xr:uid="{DC395533-C148-4EC6-8E48-1D8B5AEC9706}"/>
    <cellStyle name="Vírgula 10 2 2 2 8 4 2" xfId="43785" xr:uid="{5118368C-9300-413D-9981-AC35C5BBB341}"/>
    <cellStyle name="Vírgula 10 2 2 2 8 5" xfId="13784" xr:uid="{18CF0F14-A19E-4A11-AD46-EFC4D534FADA}"/>
    <cellStyle name="Vírgula 10 2 2 2 8 5 2" xfId="34125" xr:uid="{3ACD6304-1759-4545-B16A-031608C1BBE6}"/>
    <cellStyle name="Vírgula 10 2 2 2 8 6" xfId="9906" xr:uid="{DF0F64FB-F515-4D9C-B4FC-57DF1B065849}"/>
    <cellStyle name="Vírgula 10 2 2 2 8 6 2" xfId="30249" xr:uid="{64B968FC-60BD-44DC-9F13-8383E345C75D}"/>
    <cellStyle name="Vírgula 10 2 2 2 8 7" xfId="26755" xr:uid="{CF0B3A7F-3B5D-41A5-AC72-293730FA703D}"/>
    <cellStyle name="Vírgula 10 2 2 2 9" xfId="7571" xr:uid="{2DB739CD-6A45-4EA4-A3D6-7FDF130267E0}"/>
    <cellStyle name="Vírgula 10 2 2 2 9 2" xfId="17856" xr:uid="{A16FF4FC-5B8A-4E2D-B99A-472A09F6793C}"/>
    <cellStyle name="Vírgula 10 2 2 2 9 2 2" xfId="38196" xr:uid="{C09DD920-514C-4C7F-81BB-6E30151A0111}"/>
    <cellStyle name="Vírgula 10 2 2 2 9 3" xfId="21358" xr:uid="{DBB0B9F5-D2E9-48FF-8F28-3F71BBE158F4}"/>
    <cellStyle name="Vírgula 10 2 2 2 9 3 2" xfId="41697" xr:uid="{DA98ED71-3833-4041-83E5-EEB8F7B2810B}"/>
    <cellStyle name="Vírgula 10 2 2 2 9 4" xfId="24613" xr:uid="{A0E1BE67-464B-4691-9E0C-E27B8EBCF516}"/>
    <cellStyle name="Vírgula 10 2 2 2 9 4 2" xfId="44948" xr:uid="{000D4900-7250-4FF8-8A5E-63030A46D162}"/>
    <cellStyle name="Vírgula 10 2 2 2 9 5" xfId="14948" xr:uid="{434C72F2-A4E6-4286-BE39-CADDE545F548}"/>
    <cellStyle name="Vírgula 10 2 2 2 9 5 2" xfId="35288" xr:uid="{D830FD42-8BF3-4D16-9161-552696D1A279}"/>
    <cellStyle name="Vírgula 10 2 2 2 9 6" xfId="11069" xr:uid="{ADD28C15-DB16-49FD-A93D-BA7E4298D805}"/>
    <cellStyle name="Vírgula 10 2 2 2 9 6 2" xfId="31412" xr:uid="{759DBDA1-9C43-490A-8D3D-BCE3D16A7A4F}"/>
    <cellStyle name="Vírgula 10 2 2 2 9 7" xfId="27918" xr:uid="{1CFE6FB4-4714-41F8-9EC1-D3E50EBFACC5}"/>
    <cellStyle name="Vírgula 10 2 2 20" xfId="46319" xr:uid="{F9F58766-EFB9-4C95-8D9D-C1D8FA330F26}"/>
    <cellStyle name="Vírgula 10 2 2 21" xfId="46811" xr:uid="{F5899294-E0CB-4F00-8234-3086D086D445}"/>
    <cellStyle name="Vírgula 10 2 2 22" xfId="48354" xr:uid="{0D33A329-0CF7-481A-B011-5D7CAFC14153}"/>
    <cellStyle name="Vírgula 10 2 2 23" xfId="50022" xr:uid="{F5B02A54-DDAE-4BE9-8EC0-4CBEA42A80A8}"/>
    <cellStyle name="Vírgula 10 2 2 24" xfId="53317" xr:uid="{6AAA576F-DD93-4BB0-BA7C-C48B258EB970}"/>
    <cellStyle name="Vírgula 10 2 2 25" xfId="5238" xr:uid="{19B87DE3-3B3A-4CF8-89A8-C5EB105072BB}"/>
    <cellStyle name="Vírgula 10 2 2 26" xfId="4806" xr:uid="{FE8EDBDC-1070-487E-8EFB-3B99CAF4366C}"/>
    <cellStyle name="Vírgula 10 2 2 3" xfId="4070" xr:uid="{BA3DD03A-C8CC-48F6-9936-74FE43FCCE5B}"/>
    <cellStyle name="Vírgula 10 2 2 3 10" xfId="22379" xr:uid="{D8D81129-2C5D-420C-B9E8-2E68BD8BE64A}"/>
    <cellStyle name="Vírgula 10 2 2 3 10 2" xfId="42714" xr:uid="{D53418DC-129E-46D2-A1F9-4871C15F365D}"/>
    <cellStyle name="Vírgula 10 2 2 3 11" xfId="12096" xr:uid="{7B5AD1B5-37CE-49CF-8509-B0B212972869}"/>
    <cellStyle name="Vírgula 10 2 2 3 11 2" xfId="32437" xr:uid="{3D9051E9-B4DD-4767-94E0-5E4DEA785D39}"/>
    <cellStyle name="Vírgula 10 2 2 3 12" xfId="8835" xr:uid="{2176D18B-C82C-491F-972A-5BC9224E9EB8}"/>
    <cellStyle name="Vírgula 10 2 2 3 12 2" xfId="29178" xr:uid="{A94629E3-3421-46D9-B37B-05E68604AE1E}"/>
    <cellStyle name="Vírgula 10 2 2 3 13" xfId="25684" xr:uid="{F3EA68A5-0D22-4A84-9E62-189900D8CB42}"/>
    <cellStyle name="Vírgula 10 2 2 3 14" xfId="45893" xr:uid="{9136D5B7-9484-4C97-8022-E4A44574889C}"/>
    <cellStyle name="Vírgula 10 2 2 3 15" xfId="46379" xr:uid="{3A7599B9-3E6E-4D99-88FB-A857609B68F1}"/>
    <cellStyle name="Vírgula 10 2 2 3 16" xfId="46871" xr:uid="{73845E30-6272-4AC5-9341-2BC243250363}"/>
    <cellStyle name="Vírgula 10 2 2 3 17" xfId="51656" xr:uid="{F1638163-71DA-435E-A5A8-F9DFF7BDE324}"/>
    <cellStyle name="Vírgula 10 2 2 3 18" xfId="54950" xr:uid="{D2CD162B-59ED-446D-9C31-AF84A8B51918}"/>
    <cellStyle name="Vírgula 10 2 2 3 19" xfId="5360" xr:uid="{43B746E9-33D3-4D26-BDD5-38BBB1E2FCDD}"/>
    <cellStyle name="Vírgula 10 2 2 3 2" xfId="5079" xr:uid="{50F94F88-3C57-4E97-8ECE-630BB0D0B54D}"/>
    <cellStyle name="Vírgula 10 2 2 3 2 10" xfId="12483" xr:uid="{639BD4B8-0042-42D6-851A-498D0BF0518F}"/>
    <cellStyle name="Vírgula 10 2 2 3 2 10 2" xfId="32824" xr:uid="{FD83B769-A19A-4B4C-AB41-8616D616690B}"/>
    <cellStyle name="Vírgula 10 2 2 3 2 11" xfId="9222" xr:uid="{1E2B6B9D-2B47-4873-AED9-4B54DDBE3AFA}"/>
    <cellStyle name="Vírgula 10 2 2 3 2 11 2" xfId="29565" xr:uid="{2265C5A3-3271-44E7-AABA-C1780C430E6D}"/>
    <cellStyle name="Vírgula 10 2 2 3 2 12" xfId="26071" xr:uid="{FBC663B4-9B2D-4178-A3DB-6F35B2BAB487}"/>
    <cellStyle name="Vírgula 10 2 2 3 2 13" xfId="45961" xr:uid="{AAA02814-6592-44CE-9A8D-8F50AFD32E41}"/>
    <cellStyle name="Vírgula 10 2 2 3 2 14" xfId="46447" xr:uid="{982675D8-10B6-4F7F-9F19-45CE7AE7B492}"/>
    <cellStyle name="Vírgula 10 2 2 3 2 15" xfId="46939" xr:uid="{BE4B3535-089A-4445-B408-7B65A687BD93}"/>
    <cellStyle name="Vírgula 10 2 2 3 2 16" xfId="5730" xr:uid="{8C941747-7840-4510-827E-EC01CA7D3F46}"/>
    <cellStyle name="Vírgula 10 2 2 3 2 2" xfId="6304" xr:uid="{A1A58FC6-DA25-42E3-8508-20C8B07EC8F6}"/>
    <cellStyle name="Vírgula 10 2 2 3 2 2 10" xfId="46690" xr:uid="{4FD92CF7-7DBD-45EE-9394-284AB3DC8CE0}"/>
    <cellStyle name="Vírgula 10 2 2 3 2 2 11" xfId="47182" xr:uid="{51F3476E-16B0-4988-8021-F45DB9A8360A}"/>
    <cellStyle name="Vírgula 10 2 2 3 2 2 2" xfId="7462" xr:uid="{426D884D-FC95-4807-BEEF-246F9F12F8D6}"/>
    <cellStyle name="Vírgula 10 2 2 3 2 2 2 2" xfId="17748" xr:uid="{218C5626-B514-42B8-A16E-73F0BAF4036B}"/>
    <cellStyle name="Vírgula 10 2 2 3 2 2 2 2 2" xfId="38088" xr:uid="{489287E2-4FBF-4364-8230-EC28703AA8B0}"/>
    <cellStyle name="Vírgula 10 2 2 3 2 2 2 3" xfId="21250" xr:uid="{EC5FFD24-79D7-43A8-9303-FF20B4F18C34}"/>
    <cellStyle name="Vírgula 10 2 2 3 2 2 2 3 2" xfId="41589" xr:uid="{71A83296-3F53-4D01-BA64-2E8ADDA8B683}"/>
    <cellStyle name="Vírgula 10 2 2 3 2 2 2 4" xfId="24505" xr:uid="{84870052-4B88-4670-AAA7-4FD557B26BBB}"/>
    <cellStyle name="Vírgula 10 2 2 3 2 2 2 4 2" xfId="44840" xr:uid="{6FA23ADA-8450-48E9-8B5E-8352CD62F941}"/>
    <cellStyle name="Vírgula 10 2 2 3 2 2 2 5" xfId="14839" xr:uid="{7B4473B2-3955-4AB6-876D-971C6787654C}"/>
    <cellStyle name="Vírgula 10 2 2 3 2 2 2 5 2" xfId="35180" xr:uid="{029E2CAB-F602-4D62-AA4F-D910B537EC82}"/>
    <cellStyle name="Vírgula 10 2 2 3 2 2 2 6" xfId="10961" xr:uid="{0789D5D8-CB50-4589-954A-754F1B6246F1}"/>
    <cellStyle name="Vírgula 10 2 2 3 2 2 2 6 2" xfId="31304" xr:uid="{03398F9C-C79A-46EA-B74B-0A22C7E06AC5}"/>
    <cellStyle name="Vírgula 10 2 2 3 2 2 2 7" xfId="27810" xr:uid="{37CCE0D7-8CEC-4BF5-A34A-18704A711826}"/>
    <cellStyle name="Vírgula 10 2 2 3 2 2 3" xfId="16590" xr:uid="{0A0630A7-11AF-4715-B4FD-E0EB692BE56F}"/>
    <cellStyle name="Vírgula 10 2 2 3 2 2 3 2" xfId="36930" xr:uid="{CD3D3C7B-89F3-40B4-8C0F-F316919AC6AA}"/>
    <cellStyle name="Vírgula 10 2 2 3 2 2 4" xfId="20092" xr:uid="{BEA09E7A-D555-41FF-BEFC-160A66335295}"/>
    <cellStyle name="Vírgula 10 2 2 3 2 2 4 2" xfId="40431" xr:uid="{0C15495F-4885-4842-9688-C893D51865C2}"/>
    <cellStyle name="Vírgula 10 2 2 3 2 2 5" xfId="23347" xr:uid="{1D3D23D7-113A-4A86-B48D-7E562CD07A95}"/>
    <cellStyle name="Vírgula 10 2 2 3 2 2 5 2" xfId="43682" xr:uid="{A7181A52-4A43-4A07-942A-CD869DD8B1BE}"/>
    <cellStyle name="Vírgula 10 2 2 3 2 2 6" xfId="13681" xr:uid="{7817ABDB-6E3A-4115-AA4C-C47382E5E5E1}"/>
    <cellStyle name="Vírgula 10 2 2 3 2 2 6 2" xfId="34022" xr:uid="{3C4F82DF-2423-425A-ACC3-26693CC42B23}"/>
    <cellStyle name="Vírgula 10 2 2 3 2 2 7" xfId="9803" xr:uid="{FBB28CE2-45FD-404B-B438-DD4F97C35CBA}"/>
    <cellStyle name="Vírgula 10 2 2 3 2 2 7 2" xfId="30146" xr:uid="{B2227B92-B068-4D26-9209-C709B0D94B86}"/>
    <cellStyle name="Vírgula 10 2 2 3 2 2 8" xfId="26652" xr:uid="{E47BF458-2D7E-40E0-8E8E-E469920A4DDF}"/>
    <cellStyle name="Vírgula 10 2 2 3 2 2 9" xfId="46204" xr:uid="{B749EAF3-E326-4A10-A840-F1B2345CC360}"/>
    <cellStyle name="Vírgula 10 2 2 3 2 3" xfId="6881" xr:uid="{E799F3BB-61DA-47DF-BD33-0A5BF741DA37}"/>
    <cellStyle name="Vírgula 10 2 2 3 2 3 2" xfId="17167" xr:uid="{A18BC212-34AB-4CDB-AB36-FACB51D9ECD5}"/>
    <cellStyle name="Vírgula 10 2 2 3 2 3 2 2" xfId="37507" xr:uid="{A0E171A6-B88C-46F3-A8B0-E3957F3B3225}"/>
    <cellStyle name="Vírgula 10 2 2 3 2 3 3" xfId="20669" xr:uid="{FD9D519F-38BA-418D-BAD8-C25EE8BE46C0}"/>
    <cellStyle name="Vírgula 10 2 2 3 2 3 3 2" xfId="41008" xr:uid="{03790122-3FE2-4630-BC39-3D31DB2A4687}"/>
    <cellStyle name="Vírgula 10 2 2 3 2 3 4" xfId="23924" xr:uid="{3D9251BF-FA15-43FA-9302-0AF7938AC286}"/>
    <cellStyle name="Vírgula 10 2 2 3 2 3 4 2" xfId="44259" xr:uid="{ABD6E491-B7F0-4DE0-92AB-C74BA676FFDF}"/>
    <cellStyle name="Vírgula 10 2 2 3 2 3 5" xfId="14258" xr:uid="{2942C692-7AF0-4E4E-88CA-47E216837BAD}"/>
    <cellStyle name="Vírgula 10 2 2 3 2 3 5 2" xfId="34599" xr:uid="{F258B9EB-548C-4655-8C81-1C4DCAC4DEAF}"/>
    <cellStyle name="Vírgula 10 2 2 3 2 3 6" xfId="10380" xr:uid="{70ECD297-A84F-42AB-8A34-CD1AC657759B}"/>
    <cellStyle name="Vírgula 10 2 2 3 2 3 6 2" xfId="30723" xr:uid="{9F75C3C8-5968-421A-87E9-3EBE3DAE608E}"/>
    <cellStyle name="Vírgula 10 2 2 3 2 3 7" xfId="27229" xr:uid="{8CDF29B1-8F36-41BE-BA97-F4D6324AD6BE}"/>
    <cellStyle name="Vírgula 10 2 2 3 2 4" xfId="8045" xr:uid="{EA009F62-DEF4-4F10-9579-A91C14A90FCB}"/>
    <cellStyle name="Vírgula 10 2 2 3 2 4 2" xfId="18330" xr:uid="{E8DE7A0F-EA36-4128-838D-00139A724EFA}"/>
    <cellStyle name="Vírgula 10 2 2 3 2 4 2 2" xfId="38670" xr:uid="{88E7521F-568A-4CD8-AC3B-82D769675722}"/>
    <cellStyle name="Vírgula 10 2 2 3 2 4 3" xfId="21832" xr:uid="{56FEFC24-838B-4375-AE24-8BE5CC211372}"/>
    <cellStyle name="Vírgula 10 2 2 3 2 4 3 2" xfId="42171" xr:uid="{1C2DA765-8576-403C-A84E-4AB3AC101CB0}"/>
    <cellStyle name="Vírgula 10 2 2 3 2 4 4" xfId="25087" xr:uid="{1C772420-099A-42BA-837D-69B3197A4D8A}"/>
    <cellStyle name="Vírgula 10 2 2 3 2 4 4 2" xfId="45422" xr:uid="{06F07401-8E34-4B77-A3BC-6A3CCE241AEB}"/>
    <cellStyle name="Vírgula 10 2 2 3 2 4 5" xfId="15422" xr:uid="{55B0A53D-70D2-45B7-8191-E645C1537AAC}"/>
    <cellStyle name="Vírgula 10 2 2 3 2 4 5 2" xfId="35762" xr:uid="{F7DFECBF-DF32-4D47-8D0C-31C7D65CD5BE}"/>
    <cellStyle name="Vírgula 10 2 2 3 2 4 6" xfId="11543" xr:uid="{021612A1-019E-4500-B444-8030B62C8FDE}"/>
    <cellStyle name="Vírgula 10 2 2 3 2 4 6 2" xfId="31886" xr:uid="{AD53AE52-70C3-4C1C-B346-67F51E6984E1}"/>
    <cellStyle name="Vírgula 10 2 2 3 2 4 7" xfId="28392" xr:uid="{185DADB6-5FDD-442F-9DB0-A8D7A107D1D0}"/>
    <cellStyle name="Vírgula 10 2 2 3 2 5" xfId="8162" xr:uid="{369D1AE9-9520-4536-88D5-0037311F60F0}"/>
    <cellStyle name="Vírgula 10 2 2 3 2 5 2" xfId="21949" xr:uid="{629C3DFC-9B7D-4D57-BDE2-D61801C25CC5}"/>
    <cellStyle name="Vírgula 10 2 2 3 2 5 2 2" xfId="42285" xr:uid="{8BC506B5-F601-4814-986B-26EDF18F3606}"/>
    <cellStyle name="Vírgula 10 2 2 3 2 5 3" xfId="25201" xr:uid="{696FC7B1-2303-4191-997B-4D6F3CB1D6C5}"/>
    <cellStyle name="Vírgula 10 2 2 3 2 5 3 2" xfId="45536" xr:uid="{F380C0B4-9988-4C72-A127-910D87FA8ABA}"/>
    <cellStyle name="Vírgula 10 2 2 3 2 5 4" xfId="13112" xr:uid="{C66A3D11-CC6E-4CB4-B22C-CAE4D6922584}"/>
    <cellStyle name="Vírgula 10 2 2 3 2 5 4 2" xfId="33453" xr:uid="{DF892483-2C42-408E-8F74-456CAFEBB468}"/>
    <cellStyle name="Vírgula 10 2 2 3 2 5 5" xfId="11658" xr:uid="{C83E9B62-2348-48FC-AF7F-E371913B5DB1}"/>
    <cellStyle name="Vírgula 10 2 2 3 2 5 5 2" xfId="32000" xr:uid="{3F469E4C-0EE9-4B0A-8C02-79C0BBA3D7AB}"/>
    <cellStyle name="Vírgula 10 2 2 3 2 5 6" xfId="28506" xr:uid="{46244338-C5D2-4A6A-873F-6F4B08BE121E}"/>
    <cellStyle name="Vírgula 10 2 2 3 2 6" xfId="8586" xr:uid="{77D6A56C-ECB0-457E-BC9C-3964820C739E}"/>
    <cellStyle name="Vírgula 10 2 2 3 2 6 2" xfId="16009" xr:uid="{9BEE6C81-9FCD-4FC5-BAF0-83C4880C590A}"/>
    <cellStyle name="Vírgula 10 2 2 3 2 6 2 2" xfId="36349" xr:uid="{3E55D411-A4B8-4DA9-9215-2FB756BA6C7B}"/>
    <cellStyle name="Vírgula 10 2 2 3 2 6 3" xfId="28929" xr:uid="{C09A6528-ABAF-44F9-93F5-A26A78CFF305}"/>
    <cellStyle name="Vírgula 10 2 2 3 2 7" xfId="18923" xr:uid="{86F40C57-F3EE-4298-8B82-FFE7839768CE}"/>
    <cellStyle name="Vírgula 10 2 2 3 2 7 2" xfId="39263" xr:uid="{5A13A1BD-96FD-40E3-81DB-2EDFFD6474A1}"/>
    <cellStyle name="Vírgula 10 2 2 3 2 8" xfId="19511" xr:uid="{2A27D2C2-300F-418F-8D3A-13C7A2AC6B29}"/>
    <cellStyle name="Vírgula 10 2 2 3 2 8 2" xfId="39850" xr:uid="{35842348-175F-4293-92C3-36A4A9A977DD}"/>
    <cellStyle name="Vírgula 10 2 2 3 2 9" xfId="22766" xr:uid="{C7B49339-52BA-4487-B3C7-BB4BD2FC1940}"/>
    <cellStyle name="Vírgula 10 2 2 3 2 9 2" xfId="43101" xr:uid="{EFD24C8E-D183-41D5-8532-C682C3F418EA}"/>
    <cellStyle name="Vírgula 10 2 2 3 20" xfId="4860" xr:uid="{6E811503-3C31-4D10-8A9C-2B0DE1A158EC}"/>
    <cellStyle name="Vírgula 10 2 2 3 3" xfId="5019" xr:uid="{39F0BAF2-41F6-43E9-8B8F-9E02DFBEB634}"/>
    <cellStyle name="Vírgula 10 2 2 3 3 10" xfId="46622" xr:uid="{39190496-A182-41F3-80F9-64A8ED577778}"/>
    <cellStyle name="Vírgula 10 2 2 3 3 11" xfId="47114" xr:uid="{033E57F6-F31A-4434-828E-70BFB7CCAE4E}"/>
    <cellStyle name="Vírgula 10 2 2 3 3 12" xfId="5917" xr:uid="{DE47AAEF-042F-4B25-A5EA-2F40FAB0A7A6}"/>
    <cellStyle name="Vírgula 10 2 2 3 3 2" xfId="7075" xr:uid="{C699B848-315C-4D1F-A0A8-682A583D9572}"/>
    <cellStyle name="Vírgula 10 2 2 3 3 2 2" xfId="17361" xr:uid="{F67B6AEE-281C-4706-9B27-5B0339829B29}"/>
    <cellStyle name="Vírgula 10 2 2 3 3 2 2 2" xfId="37701" xr:uid="{366CD7FC-A878-43CA-AE0E-66F8554BFFF0}"/>
    <cellStyle name="Vírgula 10 2 2 3 3 2 3" xfId="20863" xr:uid="{09A9339F-2F50-4F35-A940-EEA055450275}"/>
    <cellStyle name="Vírgula 10 2 2 3 3 2 3 2" xfId="41202" xr:uid="{111AB158-DAC9-4831-9B77-6582D8AA6776}"/>
    <cellStyle name="Vírgula 10 2 2 3 3 2 4" xfId="24118" xr:uid="{E434A6CC-FF5C-4376-943B-F0A9A682E4E5}"/>
    <cellStyle name="Vírgula 10 2 2 3 3 2 4 2" xfId="44453" xr:uid="{42EF0B9A-3855-4646-9929-DEAD82D323D2}"/>
    <cellStyle name="Vírgula 10 2 2 3 3 2 5" xfId="14452" xr:uid="{EBE0321A-6576-4A2A-8273-EF882D3842F7}"/>
    <cellStyle name="Vírgula 10 2 2 3 3 2 5 2" xfId="34793" xr:uid="{D281A572-5EA2-48C1-81B9-3805FB862023}"/>
    <cellStyle name="Vírgula 10 2 2 3 3 2 6" xfId="10574" xr:uid="{99E91D17-A93E-4408-9ACC-B27CD19F3F53}"/>
    <cellStyle name="Vírgula 10 2 2 3 3 2 6 2" xfId="30917" xr:uid="{AC81E50E-49F0-4426-AD77-468E84D1DB3B}"/>
    <cellStyle name="Vírgula 10 2 2 3 3 2 7" xfId="27423" xr:uid="{509D474D-1E49-4B95-9E9E-B22BABE054EC}"/>
    <cellStyle name="Vírgula 10 2 2 3 3 3" xfId="8163" xr:uid="{0A709FA4-9968-4251-8160-D547D2B63DEE}"/>
    <cellStyle name="Vírgula 10 2 2 3 3 3 2" xfId="21950" xr:uid="{9BB7C8E4-94E5-485E-85B3-712C2211E8B0}"/>
    <cellStyle name="Vírgula 10 2 2 3 3 3 2 2" xfId="42286" xr:uid="{D39ED9C5-6454-48F8-80D6-26299F3B0CB0}"/>
    <cellStyle name="Vírgula 10 2 2 3 3 3 3" xfId="25202" xr:uid="{03623256-7535-4E48-A8C6-DF4485F05BB8}"/>
    <cellStyle name="Vírgula 10 2 2 3 3 3 3 2" xfId="45537" xr:uid="{185D609C-2CE2-4E57-BE46-15CE78AE5E34}"/>
    <cellStyle name="Vírgula 10 2 2 3 3 3 4" xfId="16203" xr:uid="{F6BC4601-ED9C-4450-9124-395019B9D68D}"/>
    <cellStyle name="Vírgula 10 2 2 3 3 3 4 2" xfId="36543" xr:uid="{89A3A64B-EDAC-47AF-AD2F-324C8C6D0842}"/>
    <cellStyle name="Vírgula 10 2 2 3 3 3 5" xfId="11659" xr:uid="{6D81D749-D918-49B5-8E90-3A5DA6FDACEE}"/>
    <cellStyle name="Vírgula 10 2 2 3 3 3 5 2" xfId="32001" xr:uid="{8D35AD3F-FBAF-4862-B562-5243FD4D658E}"/>
    <cellStyle name="Vírgula 10 2 2 3 3 3 6" xfId="28507" xr:uid="{D4BBE0E9-DE67-4155-91D6-CE41A97B161E}"/>
    <cellStyle name="Vírgula 10 2 2 3 3 4" xfId="19705" xr:uid="{E5D0AF21-4DC3-47D5-807A-97864F82254E}"/>
    <cellStyle name="Vírgula 10 2 2 3 3 4 2" xfId="40044" xr:uid="{0DFC1276-992F-41C5-8009-6BADE71BEB94}"/>
    <cellStyle name="Vírgula 10 2 2 3 3 5" xfId="22960" xr:uid="{76399EAA-ED75-41AF-9DF0-424F6EE79E02}"/>
    <cellStyle name="Vírgula 10 2 2 3 3 5 2" xfId="43295" xr:uid="{5D33F69E-7253-435D-85E2-9ADC2FE46898}"/>
    <cellStyle name="Vírgula 10 2 2 3 3 6" xfId="13296" xr:uid="{90446866-8D47-49D7-9C4F-2A81FDA47EAC}"/>
    <cellStyle name="Vírgula 10 2 2 3 3 6 2" xfId="33637" xr:uid="{0478D9BC-7C08-4F5D-8A0B-E5AACD8ADAFD}"/>
    <cellStyle name="Vírgula 10 2 2 3 3 7" xfId="9416" xr:uid="{1C1639AA-BF0D-44AD-A207-4FF21C41749A}"/>
    <cellStyle name="Vírgula 10 2 2 3 3 7 2" xfId="29759" xr:uid="{9CFF1DA4-9336-4BB8-9218-8242E4A85F57}"/>
    <cellStyle name="Vírgula 10 2 2 3 3 8" xfId="26265" xr:uid="{4114D495-DED3-4FB3-BE87-D0A47AD006FD}"/>
    <cellStyle name="Vírgula 10 2 2 3 3 9" xfId="46136" xr:uid="{86073E75-87CE-4C0A-A863-52A40F520502}"/>
    <cellStyle name="Vírgula 10 2 2 3 4" xfId="6494" xr:uid="{BCC6A342-AB1B-437F-880F-02DC5AF01496}"/>
    <cellStyle name="Vírgula 10 2 2 3 4 2" xfId="16780" xr:uid="{715422A0-ED23-4729-B696-3AC1DE3D24F5}"/>
    <cellStyle name="Vírgula 10 2 2 3 4 2 2" xfId="37120" xr:uid="{6E623E6E-5A53-4023-A282-77E418A7C8C7}"/>
    <cellStyle name="Vírgula 10 2 2 3 4 3" xfId="20282" xr:uid="{85C8F26E-4566-4020-AABF-6E498846A6A8}"/>
    <cellStyle name="Vírgula 10 2 2 3 4 3 2" xfId="40621" xr:uid="{367B4221-EC70-452F-8BDC-8ED51C3117AA}"/>
    <cellStyle name="Vírgula 10 2 2 3 4 4" xfId="23537" xr:uid="{6D85A3B5-2D7A-48F4-8C29-CEB9FF4C9422}"/>
    <cellStyle name="Vírgula 10 2 2 3 4 4 2" xfId="43872" xr:uid="{BF02C241-D276-4740-816F-D565C8E26581}"/>
    <cellStyle name="Vírgula 10 2 2 3 4 5" xfId="13871" xr:uid="{2F7B4175-2C9E-4973-95A9-1598CCF50D3D}"/>
    <cellStyle name="Vírgula 10 2 2 3 4 5 2" xfId="34212" xr:uid="{38529CF7-8099-4814-94D1-0DD22376741D}"/>
    <cellStyle name="Vírgula 10 2 2 3 4 6" xfId="9993" xr:uid="{DE25FA87-D636-48FB-ACDC-38506A5F87CD}"/>
    <cellStyle name="Vírgula 10 2 2 3 4 6 2" xfId="30336" xr:uid="{78A2B80A-8246-4EB9-950D-1623BD5D2008}"/>
    <cellStyle name="Vírgula 10 2 2 3 4 7" xfId="26842" xr:uid="{62D1102F-9912-4D4C-A7A9-32B6073146C6}"/>
    <cellStyle name="Vírgula 10 2 2 3 5" xfId="7658" xr:uid="{B65FDB27-4BCD-4A05-B23D-50BE6D7432DD}"/>
    <cellStyle name="Vírgula 10 2 2 3 5 2" xfId="17943" xr:uid="{9FFC744A-9BF6-4128-9D00-4BA85C9C266D}"/>
    <cellStyle name="Vírgula 10 2 2 3 5 2 2" xfId="38283" xr:uid="{D33C3160-B61E-4A6B-9D3F-FD5A895879E5}"/>
    <cellStyle name="Vírgula 10 2 2 3 5 3" xfId="21445" xr:uid="{CD683C93-BFD4-4AD7-8A4F-C5990BBC5148}"/>
    <cellStyle name="Vírgula 10 2 2 3 5 3 2" xfId="41784" xr:uid="{E7B53434-7148-476E-89F2-FC006D51174F}"/>
    <cellStyle name="Vírgula 10 2 2 3 5 4" xfId="24700" xr:uid="{CE44E51E-D5FF-4995-A592-AB4D3B194F78}"/>
    <cellStyle name="Vírgula 10 2 2 3 5 4 2" xfId="45035" xr:uid="{BBDE1C47-CF94-406E-A316-F1AB93D84F50}"/>
    <cellStyle name="Vírgula 10 2 2 3 5 5" xfId="15035" xr:uid="{9294FCD3-FE74-4446-B349-6829A00F164A}"/>
    <cellStyle name="Vírgula 10 2 2 3 5 5 2" xfId="35375" xr:uid="{3D855EDC-541A-4E49-81DC-40DC7FE22399}"/>
    <cellStyle name="Vírgula 10 2 2 3 5 6" xfId="11156" xr:uid="{FFEF91F2-81D4-4DA4-A336-9114966DE3EC}"/>
    <cellStyle name="Vírgula 10 2 2 3 5 6 2" xfId="31499" xr:uid="{01F60B40-0EA0-4DAC-94CD-E6DC05B91629}"/>
    <cellStyle name="Vírgula 10 2 2 3 5 7" xfId="28005" xr:uid="{3D780A9D-1A72-4C47-99B0-042B10177D11}"/>
    <cellStyle name="Vírgula 10 2 2 3 6" xfId="8161" xr:uid="{DD6A883D-E8B0-4128-AFC7-39DE11B752A9}"/>
    <cellStyle name="Vírgula 10 2 2 3 6 2" xfId="21948" xr:uid="{A731C4B8-5C2A-4B13-9B34-2AFDB487D229}"/>
    <cellStyle name="Vírgula 10 2 2 3 6 2 2" xfId="42284" xr:uid="{15EDB871-E0FC-4493-84FD-9C5B1822ED23}"/>
    <cellStyle name="Vírgula 10 2 2 3 6 3" xfId="25200" xr:uid="{46399450-6089-46EC-B003-39BAD0EFBAC1}"/>
    <cellStyle name="Vírgula 10 2 2 3 6 3 2" xfId="45535" xr:uid="{011C2A77-3067-4A07-B0B0-EA6706F1B5ED}"/>
    <cellStyle name="Vírgula 10 2 2 3 6 4" xfId="12727" xr:uid="{DEE6A9A7-BB5A-4FF8-A287-C6935CB5561A}"/>
    <cellStyle name="Vírgula 10 2 2 3 6 4 2" xfId="33068" xr:uid="{7BF59454-C6D0-4518-B114-A2C9162B0DF6}"/>
    <cellStyle name="Vírgula 10 2 2 3 6 5" xfId="11657" xr:uid="{ABC1DE22-A3B4-4D42-A280-B0BBC1FA5B69}"/>
    <cellStyle name="Vírgula 10 2 2 3 6 5 2" xfId="31999" xr:uid="{38D0E80E-1417-4B06-BD2E-387299BFAB34}"/>
    <cellStyle name="Vírgula 10 2 2 3 6 6" xfId="28505" xr:uid="{45D07325-9076-42C2-A079-6573094AF70F}"/>
    <cellStyle name="Vírgula 10 2 2 3 7" xfId="8518" xr:uid="{C7295DD0-B2FD-44D4-96E3-830E1A2C9831}"/>
    <cellStyle name="Vírgula 10 2 2 3 7 2" xfId="15622" xr:uid="{EFFF58BC-CEBA-409A-B351-7B8BE2DAC140}"/>
    <cellStyle name="Vírgula 10 2 2 3 7 2 2" xfId="35962" xr:uid="{284C1CC7-5AF9-4C72-A9A9-FD463AA6884C}"/>
    <cellStyle name="Vírgula 10 2 2 3 7 3" xfId="28861" xr:uid="{9D25842B-68BE-4490-BD4E-6DE8F4B08E1D}"/>
    <cellStyle name="Vírgula 10 2 2 3 8" xfId="18536" xr:uid="{82D279C1-4245-4626-98FB-160618E2FEE8}"/>
    <cellStyle name="Vírgula 10 2 2 3 8 2" xfId="38876" xr:uid="{C3952C7E-91FA-4555-837F-B27F64624034}"/>
    <cellStyle name="Vírgula 10 2 2 3 9" xfId="19124" xr:uid="{EDB12754-A00E-470E-82E5-D5A2DF684B7F}"/>
    <cellStyle name="Vírgula 10 2 2 3 9 2" xfId="39463" xr:uid="{96D2B0A2-3EC9-4376-885E-F67B1DB3EF32}"/>
    <cellStyle name="Vírgula 10 2 2 4" xfId="2861" xr:uid="{AF940BF3-92D0-42A0-873B-862A32CA5952}"/>
    <cellStyle name="Vírgula 10 2 2 4 10" xfId="12192" xr:uid="{F251C27C-3F70-4D71-8249-B38089208FD6}"/>
    <cellStyle name="Vírgula 10 2 2 4 10 2" xfId="32533" xr:uid="{2D5C3B36-C411-48BD-8166-39C92DF79A3C}"/>
    <cellStyle name="Vírgula 10 2 2 4 11" xfId="8931" xr:uid="{D630D3B9-D7C1-4212-B1EC-F6F50F8D5EAE}"/>
    <cellStyle name="Vírgula 10 2 2 4 11 2" xfId="29274" xr:uid="{57B8B40A-7945-412F-8C07-ECE90F573981}"/>
    <cellStyle name="Vírgula 10 2 2 4 12" xfId="25780" xr:uid="{2A6CEB8D-131A-4E2D-AE07-66CDFCC8BD28}"/>
    <cellStyle name="Vírgula 10 2 2 4 13" xfId="45956" xr:uid="{C0564B01-1B52-41D0-9ADE-34432068B167}"/>
    <cellStyle name="Vírgula 10 2 2 4 14" xfId="46442" xr:uid="{12F11373-4F17-4626-9CC9-003F62994414}"/>
    <cellStyle name="Vírgula 10 2 2 4 15" xfId="46934" xr:uid="{7DD472A0-EB69-4352-8950-4B6777C51A09}"/>
    <cellStyle name="Vírgula 10 2 2 4 16" xfId="57071" xr:uid="{B8D36CED-EA06-4BA9-9464-6D73647D3EFD}"/>
    <cellStyle name="Vírgula 10 2 2 4 17" xfId="5447" xr:uid="{206F15D7-51F8-4296-B8A7-12429BE7032D}"/>
    <cellStyle name="Vírgula 10 2 2 4 18" xfId="4855" xr:uid="{3357BFAF-A6F5-4AC8-A612-936419F9EA31}"/>
    <cellStyle name="Vírgula 10 2 2 4 2" xfId="5074" xr:uid="{E8A3EC5C-2B8F-46B3-BCD3-B74CC27FF563}"/>
    <cellStyle name="Vírgula 10 2 2 4 2 10" xfId="46685" xr:uid="{76EAE26E-3F70-4659-B06E-19DFAE6716BF}"/>
    <cellStyle name="Vírgula 10 2 2 4 2 11" xfId="47177" xr:uid="{508118E9-2A95-4B48-8B40-8EFD57A7E458}"/>
    <cellStyle name="Vírgula 10 2 2 4 2 12" xfId="6013" xr:uid="{C27FC012-8022-4269-929D-5AD746D01AF2}"/>
    <cellStyle name="Vírgula 10 2 2 4 2 2" xfId="7171" xr:uid="{553DC64B-C8D6-40A2-8107-F285E922F449}"/>
    <cellStyle name="Vírgula 10 2 2 4 2 2 2" xfId="17457" xr:uid="{490E8E69-9D2F-403A-A88F-51993327740E}"/>
    <cellStyle name="Vírgula 10 2 2 4 2 2 2 2" xfId="37797" xr:uid="{A2A06206-3FC4-4AFD-A8C3-9BD1AE7F97D6}"/>
    <cellStyle name="Vírgula 10 2 2 4 2 2 3" xfId="20959" xr:uid="{C53325DB-3CA8-4EAD-A257-683B342EDF35}"/>
    <cellStyle name="Vírgula 10 2 2 4 2 2 3 2" xfId="41298" xr:uid="{0E97D8D9-1B7E-4085-A20E-674313CC4D9E}"/>
    <cellStyle name="Vírgula 10 2 2 4 2 2 4" xfId="24214" xr:uid="{A3CE45A4-F750-4D8F-8EE7-D0F43EBE345C}"/>
    <cellStyle name="Vírgula 10 2 2 4 2 2 4 2" xfId="44549" xr:uid="{BB4A4564-A155-439E-A90C-8A8F796AA0F6}"/>
    <cellStyle name="Vírgula 10 2 2 4 2 2 5" xfId="14548" xr:uid="{01BB608B-6D5C-4073-8679-9E697AE88B13}"/>
    <cellStyle name="Vírgula 10 2 2 4 2 2 5 2" xfId="34889" xr:uid="{ABD12812-985F-4F07-9B11-3F991165FE12}"/>
    <cellStyle name="Vírgula 10 2 2 4 2 2 6" xfId="10670" xr:uid="{B5273965-1256-442B-8BF4-3DA32D40F518}"/>
    <cellStyle name="Vírgula 10 2 2 4 2 2 6 2" xfId="31013" xr:uid="{6983094F-007D-4A08-BA99-8856C408686E}"/>
    <cellStyle name="Vírgula 10 2 2 4 2 2 7" xfId="27519" xr:uid="{5BC738D7-3DF6-4A28-A9F8-61075CFC3F63}"/>
    <cellStyle name="Vírgula 10 2 2 4 2 3" xfId="16299" xr:uid="{1C829AFE-871A-4155-A018-03E525B23695}"/>
    <cellStyle name="Vírgula 10 2 2 4 2 3 2" xfId="36639" xr:uid="{E471DB6A-AAC7-4131-9187-F909F849850F}"/>
    <cellStyle name="Vírgula 10 2 2 4 2 4" xfId="19801" xr:uid="{BF5E454A-1018-4685-A42F-AF0CB6461B4A}"/>
    <cellStyle name="Vírgula 10 2 2 4 2 4 2" xfId="40140" xr:uid="{589630EA-40F3-4A4A-9D10-2B5F854AA8A2}"/>
    <cellStyle name="Vírgula 10 2 2 4 2 5" xfId="23056" xr:uid="{4D5410D6-BC07-4D68-A92E-FDEFE6C77D87}"/>
    <cellStyle name="Vírgula 10 2 2 4 2 5 2" xfId="43391" xr:uid="{D5A84A71-B0E3-4164-9275-D5D8460D34DC}"/>
    <cellStyle name="Vírgula 10 2 2 4 2 6" xfId="13390" xr:uid="{4B246751-0894-4535-90DD-6A528E67CA9A}"/>
    <cellStyle name="Vírgula 10 2 2 4 2 6 2" xfId="33731" xr:uid="{C71D5212-8D53-46B3-A9C1-FDDE1B4425C1}"/>
    <cellStyle name="Vírgula 10 2 2 4 2 7" xfId="9512" xr:uid="{83F4BB68-8BB3-416D-9F73-267CC895E67E}"/>
    <cellStyle name="Vírgula 10 2 2 4 2 7 2" xfId="29855" xr:uid="{6F7F1EBB-30C0-4022-826A-CD249255EA28}"/>
    <cellStyle name="Vírgula 10 2 2 4 2 8" xfId="26361" xr:uid="{6D09ECCB-1DFE-4E67-8AFF-EDF1D148872F}"/>
    <cellStyle name="Vírgula 10 2 2 4 2 9" xfId="46199" xr:uid="{636734D0-2532-4800-8889-C5FE143956DC}"/>
    <cellStyle name="Vírgula 10 2 2 4 3" xfId="6590" xr:uid="{99C1E808-593A-4D36-910B-217D7164F1C8}"/>
    <cellStyle name="Vírgula 10 2 2 4 3 2" xfId="16876" xr:uid="{9E43946D-65FA-45D5-AD2F-37149EB8682E}"/>
    <cellStyle name="Vírgula 10 2 2 4 3 2 2" xfId="37216" xr:uid="{B4E80574-3A87-435C-B587-6F44760F145B}"/>
    <cellStyle name="Vírgula 10 2 2 4 3 3" xfId="20378" xr:uid="{7FA2BC3E-1AEB-4895-BB2E-8F7831C0179F}"/>
    <cellStyle name="Vírgula 10 2 2 4 3 3 2" xfId="40717" xr:uid="{6C687B79-05A2-4686-8D06-8AD1244408EA}"/>
    <cellStyle name="Vírgula 10 2 2 4 3 4" xfId="23633" xr:uid="{AD3E6492-75E5-45F7-8829-2E567FB7175D}"/>
    <cellStyle name="Vírgula 10 2 2 4 3 4 2" xfId="43968" xr:uid="{6C909DC5-F38C-4F9C-884E-B083DEBC45BC}"/>
    <cellStyle name="Vírgula 10 2 2 4 3 5" xfId="13967" xr:uid="{7521594B-89E6-4A73-A7D9-B5AF4C13E153}"/>
    <cellStyle name="Vírgula 10 2 2 4 3 5 2" xfId="34308" xr:uid="{3B8A6621-F1D6-484E-9C9B-579DCD28ACBF}"/>
    <cellStyle name="Vírgula 10 2 2 4 3 6" xfId="10089" xr:uid="{AB93F6DA-5BA9-42C7-889F-DE3169278B6C}"/>
    <cellStyle name="Vírgula 10 2 2 4 3 6 2" xfId="30432" xr:uid="{BF88D9BB-F04D-4FD7-A3FA-ECD35A222283}"/>
    <cellStyle name="Vírgula 10 2 2 4 3 7" xfId="26938" xr:uid="{4AE5FA1C-6FEF-49AB-B755-1D552CA513B7}"/>
    <cellStyle name="Vírgula 10 2 2 4 4" xfId="7754" xr:uid="{28D5D3FB-91F7-45E5-B954-12F2CC715D0B}"/>
    <cellStyle name="Vírgula 10 2 2 4 4 2" xfId="18039" xr:uid="{167EE606-D46C-4F26-8495-A629C68D0D77}"/>
    <cellStyle name="Vírgula 10 2 2 4 4 2 2" xfId="38379" xr:uid="{9E23B276-EB25-47A7-A677-332165374489}"/>
    <cellStyle name="Vírgula 10 2 2 4 4 3" xfId="21541" xr:uid="{69713749-34A8-450E-8CB8-6627B8A4CC4D}"/>
    <cellStyle name="Vírgula 10 2 2 4 4 3 2" xfId="41880" xr:uid="{56131CE5-E590-4377-A3C1-31246E29EF7A}"/>
    <cellStyle name="Vírgula 10 2 2 4 4 4" xfId="24796" xr:uid="{40F3A15D-3D68-4313-AA17-001288ECAE3B}"/>
    <cellStyle name="Vírgula 10 2 2 4 4 4 2" xfId="45131" xr:uid="{84FD74AC-F930-4A86-ADF8-F510ABABAA52}"/>
    <cellStyle name="Vírgula 10 2 2 4 4 5" xfId="15131" xr:uid="{79F12592-5B3A-4636-A3A3-F65858B6A359}"/>
    <cellStyle name="Vírgula 10 2 2 4 4 5 2" xfId="35471" xr:uid="{22E36053-9420-4BCC-BECE-0E3ECB5F1031}"/>
    <cellStyle name="Vírgula 10 2 2 4 4 6" xfId="11252" xr:uid="{AFA610E2-87F3-424E-A33F-9E15DC671551}"/>
    <cellStyle name="Vírgula 10 2 2 4 4 6 2" xfId="31595" xr:uid="{72D8BEB6-445D-483E-A964-81054C74C6E3}"/>
    <cellStyle name="Vírgula 10 2 2 4 4 7" xfId="28101" xr:uid="{A36D289D-6828-40E1-A34C-FB2E3550B6E3}"/>
    <cellStyle name="Vírgula 10 2 2 4 5" xfId="8164" xr:uid="{2B8E3ACE-0021-4F94-9641-65835AAD6B7E}"/>
    <cellStyle name="Vírgula 10 2 2 4 5 2" xfId="21951" xr:uid="{56A9F64E-715D-44FB-8DD7-0A3F91FD7577}"/>
    <cellStyle name="Vírgula 10 2 2 4 5 2 2" xfId="42287" xr:uid="{54E2F6F7-FAA4-45C3-BBB3-6AAEAB9E1F0E}"/>
    <cellStyle name="Vírgula 10 2 2 4 5 3" xfId="25203" xr:uid="{B282FDF9-7E84-40FC-BDC1-13C2C038DD4F}"/>
    <cellStyle name="Vírgula 10 2 2 4 5 3 2" xfId="45538" xr:uid="{B52A8DDA-207F-4A92-ABC7-6C0F34691F62}"/>
    <cellStyle name="Vírgula 10 2 2 4 5 4" xfId="12821" xr:uid="{B2ED571A-BB76-47A2-BBDE-72DC5DD96052}"/>
    <cellStyle name="Vírgula 10 2 2 4 5 4 2" xfId="33162" xr:uid="{843ABE28-1921-4CEB-9246-36534838F95E}"/>
    <cellStyle name="Vírgula 10 2 2 4 5 5" xfId="11660" xr:uid="{B4A31340-D8E5-45C7-A7BD-7844ABE56612}"/>
    <cellStyle name="Vírgula 10 2 2 4 5 5 2" xfId="32002" xr:uid="{5972C118-7BEB-4294-AF75-D9872E7DB3E3}"/>
    <cellStyle name="Vírgula 10 2 2 4 5 6" xfId="28508" xr:uid="{DC88181C-4E06-4EF0-9850-1722CB272FD6}"/>
    <cellStyle name="Vírgula 10 2 2 4 6" xfId="8581" xr:uid="{B843087E-27AC-4062-9725-44DFA933EB95}"/>
    <cellStyle name="Vírgula 10 2 2 4 6 2" xfId="15718" xr:uid="{E2693C87-CAE2-43B4-B5D3-941AD98B4D57}"/>
    <cellStyle name="Vírgula 10 2 2 4 6 2 2" xfId="36058" xr:uid="{52EF509D-9563-4A86-821B-A30FDC2D3450}"/>
    <cellStyle name="Vírgula 10 2 2 4 6 3" xfId="28924" xr:uid="{D61C526F-F839-401D-B1B0-11E21FE5219B}"/>
    <cellStyle name="Vírgula 10 2 2 4 7" xfId="18632" xr:uid="{D6FE1868-9FF8-43C0-BB0B-A76184BB2CCB}"/>
    <cellStyle name="Vírgula 10 2 2 4 7 2" xfId="38972" xr:uid="{B2C013F3-1975-4F2F-9E34-DE267ECE6897}"/>
    <cellStyle name="Vírgula 10 2 2 4 8" xfId="19220" xr:uid="{BA167F24-0759-4010-A637-BF214A4CCFCC}"/>
    <cellStyle name="Vírgula 10 2 2 4 8 2" xfId="39559" xr:uid="{0CDF5507-0D17-446E-A784-ACD0BC5572BD}"/>
    <cellStyle name="Vírgula 10 2 2 4 9" xfId="22475" xr:uid="{18D37E2C-6BCE-4CE8-9A09-604A5D12AD7B}"/>
    <cellStyle name="Vírgula 10 2 2 4 9 2" xfId="42810" xr:uid="{B7964723-F4CB-408C-AD10-7F253B4B27EA}"/>
    <cellStyle name="Vírgula 10 2 2 5" xfId="4974" xr:uid="{B9E8DAFE-6C79-421D-9B0A-3CE4D4B88E03}"/>
    <cellStyle name="Vírgula 10 2 2 5 10" xfId="12250" xr:uid="{F800B742-B5E6-413C-AB9F-3435A47A81D8}"/>
    <cellStyle name="Vírgula 10 2 2 5 10 2" xfId="32591" xr:uid="{A7BC2609-A218-4115-9C8E-B0D4575C623E}"/>
    <cellStyle name="Vírgula 10 2 2 5 11" xfId="8989" xr:uid="{9C46736F-A092-4B18-9A5B-904535F5FDB4}"/>
    <cellStyle name="Vírgula 10 2 2 5 11 2" xfId="29332" xr:uid="{A6A1E7C7-D5CE-41B9-9962-F7A4C53AC727}"/>
    <cellStyle name="Vírgula 10 2 2 5 12" xfId="25838" xr:uid="{573ED56D-B392-4F81-820B-582A66C5469F}"/>
    <cellStyle name="Vírgula 10 2 2 5 13" xfId="46076" xr:uid="{6F314E0D-338D-494A-8A1F-16C4D3B17159}"/>
    <cellStyle name="Vírgula 10 2 2 5 14" xfId="46562" xr:uid="{3045E0D6-3DB9-4E49-9B1A-DE4A91A32AE8}"/>
    <cellStyle name="Vírgula 10 2 2 5 15" xfId="47054" xr:uid="{16FE9F0E-40B8-416D-B6E6-9781C2A232BC}"/>
    <cellStyle name="Vírgula 10 2 2 5 16" xfId="5499" xr:uid="{5051E8EA-6EB5-4B07-B00B-1807EA464F50}"/>
    <cellStyle name="Vírgula 10 2 2 5 2" xfId="6071" xr:uid="{0825C3FB-1549-4BAF-B401-0F874D4F621D}"/>
    <cellStyle name="Vírgula 10 2 2 5 2 2" xfId="7229" xr:uid="{A8C90E0F-66E4-494A-9DD7-FF4DC1B05448}"/>
    <cellStyle name="Vírgula 10 2 2 5 2 2 2" xfId="17515" xr:uid="{26799816-3E2C-4DD4-9748-4E568FBCE95B}"/>
    <cellStyle name="Vírgula 10 2 2 5 2 2 2 2" xfId="37855" xr:uid="{8CBFA940-B2A5-421E-B782-7505C5B998F1}"/>
    <cellStyle name="Vírgula 10 2 2 5 2 2 3" xfId="21017" xr:uid="{C583C711-A242-41B1-A2AB-D90359119360}"/>
    <cellStyle name="Vírgula 10 2 2 5 2 2 3 2" xfId="41356" xr:uid="{D955C8D7-74D9-45E7-ABA1-00C733092CB4}"/>
    <cellStyle name="Vírgula 10 2 2 5 2 2 4" xfId="24272" xr:uid="{3ADCBF0D-E13F-4AFE-ACB4-B1F89360D6EA}"/>
    <cellStyle name="Vírgula 10 2 2 5 2 2 4 2" xfId="44607" xr:uid="{2A5A45FE-4BD4-4549-83F3-2D6A6DECE624}"/>
    <cellStyle name="Vírgula 10 2 2 5 2 2 5" xfId="14606" xr:uid="{FCECB7D9-F5C2-4001-AC83-C6CFADC5F40B}"/>
    <cellStyle name="Vírgula 10 2 2 5 2 2 5 2" xfId="34947" xr:uid="{8C00719E-E7F9-4012-8316-34A6E4F886EB}"/>
    <cellStyle name="Vírgula 10 2 2 5 2 2 6" xfId="10728" xr:uid="{FCFF9167-4EF7-4176-8187-0A64DE1CCE3A}"/>
    <cellStyle name="Vírgula 10 2 2 5 2 2 6 2" xfId="31071" xr:uid="{1FECE46A-6809-4E26-A060-FC52EB440C22}"/>
    <cellStyle name="Vírgula 10 2 2 5 2 2 7" xfId="27577" xr:uid="{0DA4F931-4613-4768-8ADE-C180E1FC6B10}"/>
    <cellStyle name="Vírgula 10 2 2 5 2 3" xfId="16357" xr:uid="{6D9A8D23-81D7-45C2-A4E1-FCE56298DAB1}"/>
    <cellStyle name="Vírgula 10 2 2 5 2 3 2" xfId="36697" xr:uid="{2A1461EE-0DF2-4F01-91D8-08ACA55A2918}"/>
    <cellStyle name="Vírgula 10 2 2 5 2 4" xfId="19859" xr:uid="{28934557-9972-4504-89A8-43A2EF8EEBDB}"/>
    <cellStyle name="Vírgula 10 2 2 5 2 4 2" xfId="40198" xr:uid="{30D6038C-CBE6-4B5D-A9D3-A95616EAC532}"/>
    <cellStyle name="Vírgula 10 2 2 5 2 5" xfId="23114" xr:uid="{3D558A89-2DA4-4B5A-8B41-796D5949AF16}"/>
    <cellStyle name="Vírgula 10 2 2 5 2 5 2" xfId="43449" xr:uid="{BE0AE635-940F-4357-B828-038A59018F7B}"/>
    <cellStyle name="Vírgula 10 2 2 5 2 6" xfId="13448" xr:uid="{2596DB5F-BC01-4730-A452-0E987ED1EE21}"/>
    <cellStyle name="Vírgula 10 2 2 5 2 6 2" xfId="33789" xr:uid="{37835EC2-D0D9-4CAF-B039-3A22AF4F79EF}"/>
    <cellStyle name="Vírgula 10 2 2 5 2 7" xfId="9570" xr:uid="{E1E11A3A-A89A-47D6-926E-C6172FA01972}"/>
    <cellStyle name="Vírgula 10 2 2 5 2 7 2" xfId="29913" xr:uid="{AF4A0833-F2FE-404A-A9C3-E81CC5A1C3F3}"/>
    <cellStyle name="Vírgula 10 2 2 5 2 8" xfId="26419" xr:uid="{FD57063C-713D-4DED-BE6D-C30DEB795AA0}"/>
    <cellStyle name="Vírgula 10 2 2 5 3" xfId="6648" xr:uid="{297D2850-603A-4496-8403-16A5F52E12F5}"/>
    <cellStyle name="Vírgula 10 2 2 5 3 2" xfId="16934" xr:uid="{02B1B8BD-5BB4-4DB6-8042-109620404835}"/>
    <cellStyle name="Vírgula 10 2 2 5 3 2 2" xfId="37274" xr:uid="{3F8C97E9-A99F-4F9A-A679-8FA58A752E1F}"/>
    <cellStyle name="Vírgula 10 2 2 5 3 3" xfId="20436" xr:uid="{C218A7CD-B560-47F8-8D21-172D5CB56B39}"/>
    <cellStyle name="Vírgula 10 2 2 5 3 3 2" xfId="40775" xr:uid="{D14CD32F-B1DD-4758-9AF8-8D5210BB24C0}"/>
    <cellStyle name="Vírgula 10 2 2 5 3 4" xfId="23691" xr:uid="{F0ED9719-5620-4F85-808E-79044B313A6D}"/>
    <cellStyle name="Vírgula 10 2 2 5 3 4 2" xfId="44026" xr:uid="{1C04D5F3-8711-41CB-BC29-3F2FE8E4FAE2}"/>
    <cellStyle name="Vírgula 10 2 2 5 3 5" xfId="14025" xr:uid="{0FE2B25E-355E-440A-81AA-DBDAE6F81567}"/>
    <cellStyle name="Vírgula 10 2 2 5 3 5 2" xfId="34366" xr:uid="{F81974FF-6276-4871-8FD4-0343A94DD13E}"/>
    <cellStyle name="Vírgula 10 2 2 5 3 6" xfId="10147" xr:uid="{A510EC38-7197-4522-8C3A-135B65384249}"/>
    <cellStyle name="Vírgula 10 2 2 5 3 6 2" xfId="30490" xr:uid="{A6B3EF1E-AAFA-4933-9B7D-41D1BD6B6AE4}"/>
    <cellStyle name="Vírgula 10 2 2 5 3 7" xfId="26996" xr:uid="{B7508DD1-2770-447D-9B9B-FFBD4C220C56}"/>
    <cellStyle name="Vírgula 10 2 2 5 4" xfId="7812" xr:uid="{F61B37B1-0426-4FFC-8D90-0C26FF075974}"/>
    <cellStyle name="Vírgula 10 2 2 5 4 2" xfId="18097" xr:uid="{36F74EF0-6CD8-494B-B5C1-1EDBAD14B1EC}"/>
    <cellStyle name="Vírgula 10 2 2 5 4 2 2" xfId="38437" xr:uid="{08864F72-D479-42CC-9777-89395B5CD796}"/>
    <cellStyle name="Vírgula 10 2 2 5 4 3" xfId="21599" xr:uid="{F7695249-1891-46D8-9060-042B04F2AF1D}"/>
    <cellStyle name="Vírgula 10 2 2 5 4 3 2" xfId="41938" xr:uid="{292A3B3F-B3C5-4181-933A-A0E32A50FF58}"/>
    <cellStyle name="Vírgula 10 2 2 5 4 4" xfId="24854" xr:uid="{4602BCEE-2C43-4CDA-AC19-6FCE9E0A162D}"/>
    <cellStyle name="Vírgula 10 2 2 5 4 4 2" xfId="45189" xr:uid="{637AAE41-6C5F-4AB3-B625-F5B62D37944A}"/>
    <cellStyle name="Vírgula 10 2 2 5 4 5" xfId="15189" xr:uid="{2DDEBF3D-3F23-457C-8C87-C056476235CB}"/>
    <cellStyle name="Vírgula 10 2 2 5 4 5 2" xfId="35529" xr:uid="{CE844F62-140E-45C5-ADE0-A4E081A93FA4}"/>
    <cellStyle name="Vírgula 10 2 2 5 4 6" xfId="11310" xr:uid="{4CF807E2-BD88-4BF2-8749-788B69ABAB83}"/>
    <cellStyle name="Vírgula 10 2 2 5 4 6 2" xfId="31653" xr:uid="{64857AED-9CC1-4C28-B6F4-047222299B02}"/>
    <cellStyle name="Vírgula 10 2 2 5 4 7" xfId="28159" xr:uid="{7B320E6A-F258-4215-826F-A8D1D0FCCF24}"/>
    <cellStyle name="Vírgula 10 2 2 5 5" xfId="8165" xr:uid="{52CD68CC-29B3-45CD-A6BD-0DE64060E042}"/>
    <cellStyle name="Vírgula 10 2 2 5 5 2" xfId="21952" xr:uid="{1D9CC1F4-7203-4C0C-BBE0-1FC36B3A796E}"/>
    <cellStyle name="Vírgula 10 2 2 5 5 2 2" xfId="42288" xr:uid="{4D7C6E95-2B4C-49AC-8944-C7173100F39F}"/>
    <cellStyle name="Vírgula 10 2 2 5 5 3" xfId="25204" xr:uid="{5CA06FAA-7393-45C3-ABEC-1EA8363D47D6}"/>
    <cellStyle name="Vírgula 10 2 2 5 5 3 2" xfId="45539" xr:uid="{7030E117-0116-4D17-9959-4C8D5924E4CD}"/>
    <cellStyle name="Vírgula 10 2 2 5 5 4" xfId="12879" xr:uid="{2761CC5A-8652-4FA4-8BAC-E7788D819BFD}"/>
    <cellStyle name="Vírgula 10 2 2 5 5 4 2" xfId="33220" xr:uid="{CF975DE6-480B-44C4-9436-AD4BDF98EFAC}"/>
    <cellStyle name="Vírgula 10 2 2 5 5 5" xfId="11661" xr:uid="{9D2690F9-B836-448E-A254-568CB2DD7A26}"/>
    <cellStyle name="Vírgula 10 2 2 5 5 5 2" xfId="32003" xr:uid="{A5E2F159-C53C-4ECD-9C40-A3BFED403766}"/>
    <cellStyle name="Vírgula 10 2 2 5 5 6" xfId="28509" xr:uid="{C466AF35-8A09-428F-832B-1A38B5EBFB7F}"/>
    <cellStyle name="Vírgula 10 2 2 5 6" xfId="15776" xr:uid="{26BA7EC9-2F05-4045-9659-2B98A340F95D}"/>
    <cellStyle name="Vírgula 10 2 2 5 6 2" xfId="36116" xr:uid="{C71F580A-C6CF-488C-9EEB-547EB4CDBB93}"/>
    <cellStyle name="Vírgula 10 2 2 5 7" xfId="18690" xr:uid="{89294CE8-0B8F-455C-AF30-43DD15DD3BDA}"/>
    <cellStyle name="Vírgula 10 2 2 5 7 2" xfId="39030" xr:uid="{38D59785-2842-4303-8422-FE9E82BBECE1}"/>
    <cellStyle name="Vírgula 10 2 2 5 8" xfId="19278" xr:uid="{0F97173E-C284-4EA9-91AD-0B8052CE8028}"/>
    <cellStyle name="Vírgula 10 2 2 5 8 2" xfId="39617" xr:uid="{A1C68164-781B-4FD9-BF05-5A2976B339E1}"/>
    <cellStyle name="Vírgula 10 2 2 5 9" xfId="22533" xr:uid="{121FC29D-BA6F-43AB-933D-2F45E3FD75EF}"/>
    <cellStyle name="Vírgula 10 2 2 5 9 2" xfId="42868" xr:uid="{77110858-875F-4545-9E8A-9498FEBED803}"/>
    <cellStyle name="Vírgula 10 2 2 6" xfId="5574" xr:uid="{7F82B07D-ECAB-49AE-9126-B495DFB01A8A}"/>
    <cellStyle name="Vírgula 10 2 2 6 10" xfId="12325" xr:uid="{80C93239-33DF-4BBB-B752-804A3B019E04}"/>
    <cellStyle name="Vírgula 10 2 2 6 10 2" xfId="32666" xr:uid="{68B1EE99-5F9F-4022-AC40-89D26BCAF231}"/>
    <cellStyle name="Vírgula 10 2 2 6 11" xfId="9064" xr:uid="{E1A543C1-736D-4673-BDEC-FFAEFD45E7AF}"/>
    <cellStyle name="Vírgula 10 2 2 6 11 2" xfId="29407" xr:uid="{98192B28-52CF-472C-A55F-48A7ECB4F930}"/>
    <cellStyle name="Vírgula 10 2 2 6 12" xfId="25913" xr:uid="{D3B4DC63-8E50-48A4-BA80-DD61DDC4958C}"/>
    <cellStyle name="Vírgula 10 2 2 6 2" xfId="6146" xr:uid="{04A30C6F-22A0-4F2E-8B9C-1501ABC010F4}"/>
    <cellStyle name="Vírgula 10 2 2 6 2 2" xfId="7304" xr:uid="{129B5ADD-7036-413D-894F-D8ADB01CADB0}"/>
    <cellStyle name="Vírgula 10 2 2 6 2 2 2" xfId="17590" xr:uid="{20CA5051-107D-4D1B-A040-85001480349C}"/>
    <cellStyle name="Vírgula 10 2 2 6 2 2 2 2" xfId="37930" xr:uid="{CFE16724-14C4-48DE-B578-EE8184CE2BEC}"/>
    <cellStyle name="Vírgula 10 2 2 6 2 2 3" xfId="21092" xr:uid="{91FEFF53-6790-4180-890B-1B57036A0395}"/>
    <cellStyle name="Vírgula 10 2 2 6 2 2 3 2" xfId="41431" xr:uid="{4071D61E-FDFA-4AA3-9C53-8D36B0ABE145}"/>
    <cellStyle name="Vírgula 10 2 2 6 2 2 4" xfId="24347" xr:uid="{5373A606-6684-4B60-8086-44EB007B3547}"/>
    <cellStyle name="Vírgula 10 2 2 6 2 2 4 2" xfId="44682" xr:uid="{FEFB2BE8-4D6B-42C1-978C-1270B34F693D}"/>
    <cellStyle name="Vírgula 10 2 2 6 2 2 5" xfId="14681" xr:uid="{0633411C-17BE-476E-9CFB-27F710E348A9}"/>
    <cellStyle name="Vírgula 10 2 2 6 2 2 5 2" xfId="35022" xr:uid="{EEDED728-40CB-4FBF-9A5C-3FC02104E614}"/>
    <cellStyle name="Vírgula 10 2 2 6 2 2 6" xfId="10803" xr:uid="{3958A968-8023-4471-9215-01BF046DB0E8}"/>
    <cellStyle name="Vírgula 10 2 2 6 2 2 6 2" xfId="31146" xr:uid="{36CE520E-C2F7-4E61-99C4-6E7104C2E3C4}"/>
    <cellStyle name="Vírgula 10 2 2 6 2 2 7" xfId="27652" xr:uid="{D7FE0365-60E0-4001-8D87-48583E0FBF1F}"/>
    <cellStyle name="Vírgula 10 2 2 6 2 3" xfId="16432" xr:uid="{765DF2BB-C543-43A6-97CB-0C629C705039}"/>
    <cellStyle name="Vírgula 10 2 2 6 2 3 2" xfId="36772" xr:uid="{E966B5B9-3FF9-4CE2-802D-512E8EC0FB9C}"/>
    <cellStyle name="Vírgula 10 2 2 6 2 4" xfId="19934" xr:uid="{D3D6BBF8-E2F9-4B82-9C17-98DC9A8797CC}"/>
    <cellStyle name="Vírgula 10 2 2 6 2 4 2" xfId="40273" xr:uid="{B31C0AFB-9897-4D7F-9ED8-9E5EFF5AD1A7}"/>
    <cellStyle name="Vírgula 10 2 2 6 2 5" xfId="23189" xr:uid="{554A65D8-5C48-4D59-BD38-7937490C58C3}"/>
    <cellStyle name="Vírgula 10 2 2 6 2 5 2" xfId="43524" xr:uid="{B3814C19-BE25-4D7D-B696-01C002AC03AE}"/>
    <cellStyle name="Vírgula 10 2 2 6 2 6" xfId="13523" xr:uid="{184695A3-EEA9-4D5A-B2D0-52F3F2D0612C}"/>
    <cellStyle name="Vírgula 10 2 2 6 2 6 2" xfId="33864" xr:uid="{D891DAD6-607A-447C-9241-D0A53C4D6CB0}"/>
    <cellStyle name="Vírgula 10 2 2 6 2 7" xfId="9645" xr:uid="{DB07D904-40A2-4645-87E4-49174B59EE09}"/>
    <cellStyle name="Vírgula 10 2 2 6 2 7 2" xfId="29988" xr:uid="{9BD33C74-0F9D-441E-B2BE-60D728B17D1C}"/>
    <cellStyle name="Vírgula 10 2 2 6 2 8" xfId="26494" xr:uid="{41840520-7B83-4277-B839-7665409BA543}"/>
    <cellStyle name="Vírgula 10 2 2 6 3" xfId="6723" xr:uid="{8C0D824A-E168-4AB0-92FB-E646591C2B6E}"/>
    <cellStyle name="Vírgula 10 2 2 6 3 2" xfId="17009" xr:uid="{E85872FC-48DB-4712-A8E5-DC87DAC80810}"/>
    <cellStyle name="Vírgula 10 2 2 6 3 2 2" xfId="37349" xr:uid="{ECE3269B-3E3D-417E-883E-40962C30DED0}"/>
    <cellStyle name="Vírgula 10 2 2 6 3 3" xfId="20511" xr:uid="{EFA8B51D-CE1C-4180-8C60-5569CF555F51}"/>
    <cellStyle name="Vírgula 10 2 2 6 3 3 2" xfId="40850" xr:uid="{C7F8CD2F-DD39-4D8F-9F5F-CF9CE294AFD1}"/>
    <cellStyle name="Vírgula 10 2 2 6 3 4" xfId="23766" xr:uid="{779C5EAF-5948-486D-AA9F-5879B50D4DA3}"/>
    <cellStyle name="Vírgula 10 2 2 6 3 4 2" xfId="44101" xr:uid="{B5917D6D-31E1-4B6E-A347-927067416596}"/>
    <cellStyle name="Vírgula 10 2 2 6 3 5" xfId="14100" xr:uid="{9F67505B-A337-4889-8DD9-07AD12FA205B}"/>
    <cellStyle name="Vírgula 10 2 2 6 3 5 2" xfId="34441" xr:uid="{91E2A9F4-9224-443D-8895-5F21E8C0E373}"/>
    <cellStyle name="Vírgula 10 2 2 6 3 6" xfId="10222" xr:uid="{74424502-E46D-4C20-B43B-0987F46ACD16}"/>
    <cellStyle name="Vírgula 10 2 2 6 3 6 2" xfId="30565" xr:uid="{2613F059-1BD3-496F-B3BA-48FB5482B2C4}"/>
    <cellStyle name="Vírgula 10 2 2 6 3 7" xfId="27071" xr:uid="{51F7D7CC-765E-42AE-BC56-18C2B491B485}"/>
    <cellStyle name="Vírgula 10 2 2 6 4" xfId="7887" xr:uid="{362587EA-2171-43E4-B36A-EE8A2F201C45}"/>
    <cellStyle name="Vírgula 10 2 2 6 4 2" xfId="18172" xr:uid="{2F483757-0C93-4F89-8AB4-A32D752AFABA}"/>
    <cellStyle name="Vírgula 10 2 2 6 4 2 2" xfId="38512" xr:uid="{A97D0110-176E-4CED-9E3C-0F2AC8CB78E2}"/>
    <cellStyle name="Vírgula 10 2 2 6 4 3" xfId="21674" xr:uid="{D3F2C554-28BB-4823-B025-A2ADE2043A57}"/>
    <cellStyle name="Vírgula 10 2 2 6 4 3 2" xfId="42013" xr:uid="{6E37A569-18B9-43C1-99A3-ADA3584C748A}"/>
    <cellStyle name="Vírgula 10 2 2 6 4 4" xfId="24929" xr:uid="{4BE3BA27-09A7-4A1D-B6CC-51619FA88A22}"/>
    <cellStyle name="Vírgula 10 2 2 6 4 4 2" xfId="45264" xr:uid="{4FE8BA9C-E7F0-4423-90D3-6B7CB6817E11}"/>
    <cellStyle name="Vírgula 10 2 2 6 4 5" xfId="15264" xr:uid="{21A328CC-444C-4B5B-9DE4-550E528B08DA}"/>
    <cellStyle name="Vírgula 10 2 2 6 4 5 2" xfId="35604" xr:uid="{8634A2FF-611B-414C-8DA4-289D0B0B14D1}"/>
    <cellStyle name="Vírgula 10 2 2 6 4 6" xfId="11385" xr:uid="{2B93EBA5-6A88-4E73-B6EE-653653A56F01}"/>
    <cellStyle name="Vírgula 10 2 2 6 4 6 2" xfId="31728" xr:uid="{B98B9696-FBA6-4988-9B9F-C0BB58E7CD27}"/>
    <cellStyle name="Vírgula 10 2 2 6 4 7" xfId="28234" xr:uid="{56C44469-9450-4637-8175-D18AEDA343F7}"/>
    <cellStyle name="Vírgula 10 2 2 6 5" xfId="12954" xr:uid="{60F4E493-F9B3-48C5-AE33-7198C2E2BC58}"/>
    <cellStyle name="Vírgula 10 2 2 6 5 2" xfId="33295" xr:uid="{E62CE89B-E8E3-450D-B536-EAD08DEFA57A}"/>
    <cellStyle name="Vírgula 10 2 2 6 6" xfId="15851" xr:uid="{9FF23FC6-46F2-4FCF-A1E5-96D037E7CFE0}"/>
    <cellStyle name="Vírgula 10 2 2 6 6 2" xfId="36191" xr:uid="{3E0DF8AB-CC87-4E53-9F26-02F71D702824}"/>
    <cellStyle name="Vírgula 10 2 2 6 7" xfId="18765" xr:uid="{0AA4292E-D3B7-4504-BBBD-173B2E67E004}"/>
    <cellStyle name="Vírgula 10 2 2 6 7 2" xfId="39105" xr:uid="{C5970173-F7D2-48A6-85A3-5312335EF7AD}"/>
    <cellStyle name="Vírgula 10 2 2 6 8" xfId="19353" xr:uid="{C856B271-7E13-4D1A-9E62-BC9F974F7BD6}"/>
    <cellStyle name="Vírgula 10 2 2 6 8 2" xfId="39692" xr:uid="{B48227B0-2678-47EB-ABB3-D39DACD983E4}"/>
    <cellStyle name="Vírgula 10 2 2 6 9" xfId="22608" xr:uid="{8185479F-3EA1-4F64-B9AA-F9B20501ACED}"/>
    <cellStyle name="Vírgula 10 2 2 6 9 2" xfId="42943" xr:uid="{5346BEAD-B296-4812-B24E-BB7E18010B96}"/>
    <cellStyle name="Vírgula 10 2 2 7" xfId="5672" xr:uid="{656A7FF8-031A-43FE-B8F2-7A111E59EF47}"/>
    <cellStyle name="Vírgula 10 2 2 7 10" xfId="12423" xr:uid="{9DAC42EE-1E89-4DA0-90B9-1554F4F2A060}"/>
    <cellStyle name="Vírgula 10 2 2 7 10 2" xfId="32764" xr:uid="{B272DA9D-2DAF-4886-B549-3DE41F83FF3C}"/>
    <cellStyle name="Vírgula 10 2 2 7 11" xfId="9162" xr:uid="{77740F37-7D0F-4FA2-A4C4-8315C8A3D5D3}"/>
    <cellStyle name="Vírgula 10 2 2 7 11 2" xfId="29505" xr:uid="{E453FF37-2C45-4323-8E51-837CB1233EE6}"/>
    <cellStyle name="Vírgula 10 2 2 7 12" xfId="26011" xr:uid="{972F688E-E1AE-4EC6-BA97-AD19475A4ACE}"/>
    <cellStyle name="Vírgula 10 2 2 7 2" xfId="6244" xr:uid="{2B3E5C77-B042-4848-BD71-24419147D301}"/>
    <cellStyle name="Vírgula 10 2 2 7 2 2" xfId="7402" xr:uid="{2A54F6D8-573B-4926-9510-015783F2C5FD}"/>
    <cellStyle name="Vírgula 10 2 2 7 2 2 2" xfId="17688" xr:uid="{AF8936BF-5E48-408F-80A0-0CB4DF0265A3}"/>
    <cellStyle name="Vírgula 10 2 2 7 2 2 2 2" xfId="38028" xr:uid="{438E841F-C1A9-4831-B9E2-69716324C62D}"/>
    <cellStyle name="Vírgula 10 2 2 7 2 2 3" xfId="21190" xr:uid="{147021E2-FFDB-4369-8F80-4D8FEF87ED96}"/>
    <cellStyle name="Vírgula 10 2 2 7 2 2 3 2" xfId="41529" xr:uid="{03088882-6620-432A-AAD0-1E1CA7D0C18F}"/>
    <cellStyle name="Vírgula 10 2 2 7 2 2 4" xfId="24445" xr:uid="{C239B636-9948-4E5E-A9F9-5AAE151AC087}"/>
    <cellStyle name="Vírgula 10 2 2 7 2 2 4 2" xfId="44780" xr:uid="{8B54DF83-7347-43A2-956A-4961A62470A9}"/>
    <cellStyle name="Vírgula 10 2 2 7 2 2 5" xfId="14779" xr:uid="{CF4650B7-62FD-4408-A36E-C0FF0C13528E}"/>
    <cellStyle name="Vírgula 10 2 2 7 2 2 5 2" xfId="35120" xr:uid="{50A5150C-810D-4296-9667-4B0FB92D50D9}"/>
    <cellStyle name="Vírgula 10 2 2 7 2 2 6" xfId="10901" xr:uid="{55EF3150-81ED-4FF8-BF33-B4B4672C21DD}"/>
    <cellStyle name="Vírgula 10 2 2 7 2 2 6 2" xfId="31244" xr:uid="{B333A931-3B07-4A36-B92C-D6957877A5BB}"/>
    <cellStyle name="Vírgula 10 2 2 7 2 2 7" xfId="27750" xr:uid="{7EE0395C-66B8-4E38-B482-4EF7745FF5D2}"/>
    <cellStyle name="Vírgula 10 2 2 7 2 3" xfId="16530" xr:uid="{00EE9D32-9D82-4548-A576-75ECA33B4E96}"/>
    <cellStyle name="Vírgula 10 2 2 7 2 3 2" xfId="36870" xr:uid="{BFC4278F-CA39-426E-911A-0772EBC89463}"/>
    <cellStyle name="Vírgula 10 2 2 7 2 4" xfId="20032" xr:uid="{7DB2A475-66EA-4607-A1D7-6A497EF75F63}"/>
    <cellStyle name="Vírgula 10 2 2 7 2 4 2" xfId="40371" xr:uid="{F9058DA1-D7C8-4C13-BD79-3BC896167664}"/>
    <cellStyle name="Vírgula 10 2 2 7 2 5" xfId="23287" xr:uid="{A7BFD0D2-9BF1-4FAD-B40B-8C0A1623144D}"/>
    <cellStyle name="Vírgula 10 2 2 7 2 5 2" xfId="43622" xr:uid="{8CE03282-13A6-436F-9D46-DE249DD6AF65}"/>
    <cellStyle name="Vírgula 10 2 2 7 2 6" xfId="13621" xr:uid="{3A40A4CF-CF73-4C33-A501-E5394A0A2F44}"/>
    <cellStyle name="Vírgula 10 2 2 7 2 6 2" xfId="33962" xr:uid="{2D1270B6-B446-4B71-AA29-7385480B9CA9}"/>
    <cellStyle name="Vírgula 10 2 2 7 2 7" xfId="9743" xr:uid="{3F9686C3-5D40-457E-8A81-BBAA0E3447C1}"/>
    <cellStyle name="Vírgula 10 2 2 7 2 7 2" xfId="30086" xr:uid="{DCD01BCC-51B6-4A63-82B0-62BF0F90706E}"/>
    <cellStyle name="Vírgula 10 2 2 7 2 8" xfId="26592" xr:uid="{333DD502-E225-4079-8C8E-F043269A82A4}"/>
    <cellStyle name="Vírgula 10 2 2 7 3" xfId="6821" xr:uid="{0BD75356-DDD6-44D0-89C0-7ACA5F3E8B3A}"/>
    <cellStyle name="Vírgula 10 2 2 7 3 2" xfId="17107" xr:uid="{B3F56919-422B-4EAC-863F-2A9A741085DC}"/>
    <cellStyle name="Vírgula 10 2 2 7 3 2 2" xfId="37447" xr:uid="{011EB911-A4D7-4AFF-939A-87D88CDB42E0}"/>
    <cellStyle name="Vírgula 10 2 2 7 3 3" xfId="20609" xr:uid="{9D908D8B-065E-430E-B27E-7D2E66347AF3}"/>
    <cellStyle name="Vírgula 10 2 2 7 3 3 2" xfId="40948" xr:uid="{93981633-D447-42C3-AE32-ABE396360B40}"/>
    <cellStyle name="Vírgula 10 2 2 7 3 4" xfId="23864" xr:uid="{E9C96949-64DC-4D7E-A804-43F0A70BB223}"/>
    <cellStyle name="Vírgula 10 2 2 7 3 4 2" xfId="44199" xr:uid="{2467EFA6-DCC3-4E55-B7D7-AA22C626CEB8}"/>
    <cellStyle name="Vírgula 10 2 2 7 3 5" xfId="14198" xr:uid="{B2770F08-CDC4-441F-87CC-476291AD185B}"/>
    <cellStyle name="Vírgula 10 2 2 7 3 5 2" xfId="34539" xr:uid="{06E5BA49-13BA-4A08-B9F3-E3AAEE10E0F6}"/>
    <cellStyle name="Vírgula 10 2 2 7 3 6" xfId="10320" xr:uid="{4C26E8D6-F9FC-4469-9364-C9002E8F7C5A}"/>
    <cellStyle name="Vírgula 10 2 2 7 3 6 2" xfId="30663" xr:uid="{F73A6617-90F4-4602-971A-2332A219A93A}"/>
    <cellStyle name="Vírgula 10 2 2 7 3 7" xfId="27169" xr:uid="{B7211AAF-9441-49AA-A193-E007F86562B0}"/>
    <cellStyle name="Vírgula 10 2 2 7 4" xfId="7985" xr:uid="{121C8883-55CE-4AB9-B3C8-FBE72D746DF1}"/>
    <cellStyle name="Vírgula 10 2 2 7 4 2" xfId="18270" xr:uid="{79A52AD0-0E4E-405A-9E03-40854B46AF77}"/>
    <cellStyle name="Vírgula 10 2 2 7 4 2 2" xfId="38610" xr:uid="{67FC3E8A-3D29-4220-B020-A275736CB463}"/>
    <cellStyle name="Vírgula 10 2 2 7 4 3" xfId="21772" xr:uid="{1EC0AF5F-2D0D-48F2-A4BD-91203DDC2FAE}"/>
    <cellStyle name="Vírgula 10 2 2 7 4 3 2" xfId="42111" xr:uid="{47A60EC8-EB4F-4A62-BA85-1E19192716F1}"/>
    <cellStyle name="Vírgula 10 2 2 7 4 4" xfId="25027" xr:uid="{6B896161-7364-4924-8D12-FF52472C4578}"/>
    <cellStyle name="Vírgula 10 2 2 7 4 4 2" xfId="45362" xr:uid="{E8B4099E-51CD-49E3-BEA1-6C593D5FC50D}"/>
    <cellStyle name="Vírgula 10 2 2 7 4 5" xfId="15362" xr:uid="{38253658-7F79-4367-B7CC-CFA64D76BD1E}"/>
    <cellStyle name="Vírgula 10 2 2 7 4 5 2" xfId="35702" xr:uid="{23FC1D98-D9E9-4D3D-9F73-E0A260FC34CD}"/>
    <cellStyle name="Vírgula 10 2 2 7 4 6" xfId="11483" xr:uid="{E95CA64D-0142-42D2-9921-60D2AF4F7C47}"/>
    <cellStyle name="Vírgula 10 2 2 7 4 6 2" xfId="31826" xr:uid="{C768E97D-9DF5-48B1-ADB5-CA5FFC4B76D4}"/>
    <cellStyle name="Vírgula 10 2 2 7 4 7" xfId="28332" xr:uid="{B1844B03-853D-4441-819A-245CF31418BD}"/>
    <cellStyle name="Vírgula 10 2 2 7 5" xfId="13052" xr:uid="{83A27827-66EE-4550-B90A-5BF861A4DB4B}"/>
    <cellStyle name="Vírgula 10 2 2 7 5 2" xfId="33393" xr:uid="{17414631-F782-4A76-982E-74547B93616E}"/>
    <cellStyle name="Vírgula 10 2 2 7 6" xfId="15949" xr:uid="{ACD5CEA3-7192-4054-8F44-9E4565AA04D2}"/>
    <cellStyle name="Vírgula 10 2 2 7 6 2" xfId="36289" xr:uid="{49670BE7-7909-4C52-A18F-AD724A85BE94}"/>
    <cellStyle name="Vírgula 10 2 2 7 7" xfId="18863" xr:uid="{A0A6CE01-654D-4FCB-BAB1-26E0EF534695}"/>
    <cellStyle name="Vírgula 10 2 2 7 7 2" xfId="39203" xr:uid="{1122D477-B884-4020-8007-40AA5108DC93}"/>
    <cellStyle name="Vírgula 10 2 2 7 8" xfId="19451" xr:uid="{1C2199C4-C6FF-490E-AE4C-291E9423CD13}"/>
    <cellStyle name="Vírgula 10 2 2 7 8 2" xfId="39790" xr:uid="{F40A050C-C799-474D-B276-BB41844CB886}"/>
    <cellStyle name="Vírgula 10 2 2 7 9" xfId="22706" xr:uid="{186E8A9C-2FE8-4995-AB27-B3BBAF487F0D}"/>
    <cellStyle name="Vírgula 10 2 2 7 9 2" xfId="43041" xr:uid="{BAA6DACF-AE33-49C7-80EB-21DB2CAFFE1A}"/>
    <cellStyle name="Vírgula 10 2 2 8" xfId="5802" xr:uid="{7AD32FEE-87FD-4F65-9FD7-1303081A96EE}"/>
    <cellStyle name="Vírgula 10 2 2 8 2" xfId="6960" xr:uid="{69292BF4-2604-4954-B91D-A677751557AF}"/>
    <cellStyle name="Vírgula 10 2 2 8 2 2" xfId="17246" xr:uid="{455B1EDB-9F89-437F-B834-9D9E714D0EFC}"/>
    <cellStyle name="Vírgula 10 2 2 8 2 2 2" xfId="37586" xr:uid="{4AF5E65D-27E9-4750-B9B3-57D0955AC344}"/>
    <cellStyle name="Vírgula 10 2 2 8 2 3" xfId="20748" xr:uid="{58D1C3D4-550B-4140-87CA-B1CD76E72BE9}"/>
    <cellStyle name="Vírgula 10 2 2 8 2 3 2" xfId="41087" xr:uid="{E0BE143C-52C6-4C6C-BEEB-B32B03CF64F1}"/>
    <cellStyle name="Vírgula 10 2 2 8 2 4" xfId="24003" xr:uid="{465CE99A-36DC-4448-A00A-18196E43AFEF}"/>
    <cellStyle name="Vírgula 10 2 2 8 2 4 2" xfId="44338" xr:uid="{2039AC5C-7DF4-49A8-A1F1-F01C629B7E5C}"/>
    <cellStyle name="Vírgula 10 2 2 8 2 5" xfId="14337" xr:uid="{6842CA55-44F0-44E6-9DE0-54502A31F9EB}"/>
    <cellStyle name="Vírgula 10 2 2 8 2 5 2" xfId="34678" xr:uid="{BDD9B32B-5B6A-41E0-A3A9-4B407123B3CB}"/>
    <cellStyle name="Vírgula 10 2 2 8 2 6" xfId="10459" xr:uid="{6DB8D087-1D6C-41C5-9DFB-5E7937AA4F9D}"/>
    <cellStyle name="Vírgula 10 2 2 8 2 6 2" xfId="30802" xr:uid="{A6B02BB8-E122-40CD-9242-6A65A3FD4DEB}"/>
    <cellStyle name="Vírgula 10 2 2 8 2 7" xfId="27308" xr:uid="{5E86A44B-F8A3-4398-9F1A-746FDC31993A}"/>
    <cellStyle name="Vírgula 10 2 2 8 3" xfId="16088" xr:uid="{3434596E-25E3-4B15-89C1-8F2A617BA49F}"/>
    <cellStyle name="Vírgula 10 2 2 8 3 2" xfId="36428" xr:uid="{F7566A10-55F3-4F85-86CC-0A99ADBE5E1F}"/>
    <cellStyle name="Vírgula 10 2 2 8 4" xfId="19590" xr:uid="{64C77B97-F9AE-4238-81C9-62DB5937F10D}"/>
    <cellStyle name="Vírgula 10 2 2 8 4 2" xfId="39929" xr:uid="{948B1E1A-3A81-4215-AE72-19D8F8011629}"/>
    <cellStyle name="Vírgula 10 2 2 8 5" xfId="22845" xr:uid="{6C922270-1F05-4F86-93E5-F0FBB2D08152}"/>
    <cellStyle name="Vírgula 10 2 2 8 5 2" xfId="43180" xr:uid="{61C3DBF9-A21A-48E3-83B0-40E85DA7FEA0}"/>
    <cellStyle name="Vírgula 10 2 2 8 6" xfId="13186" xr:uid="{F57C3866-AFE7-4FD6-9E46-0EB109F88020}"/>
    <cellStyle name="Vírgula 10 2 2 8 6 2" xfId="33527" xr:uid="{862EA51D-E566-4EE1-8B6F-6ECD90A4494A}"/>
    <cellStyle name="Vírgula 10 2 2 8 7" xfId="9301" xr:uid="{558BF783-0033-40CB-9C48-9087775E8E81}"/>
    <cellStyle name="Vírgula 10 2 2 8 7 2" xfId="29644" xr:uid="{E6F0C38F-B2B1-47A3-BDC9-40DC74AF1316}"/>
    <cellStyle name="Vírgula 10 2 2 8 8" xfId="26150" xr:uid="{802E287A-BDCE-496B-80E4-2BD9CA907F3B}"/>
    <cellStyle name="Vírgula 10 2 2 9" xfId="6379" xr:uid="{938CFF33-3ADF-4664-8325-37E2F167370C}"/>
    <cellStyle name="Vírgula 10 2 2 9 2" xfId="16665" xr:uid="{5F215D07-8AEB-4F6B-BCA8-64BAEBB61962}"/>
    <cellStyle name="Vírgula 10 2 2 9 2 2" xfId="37005" xr:uid="{B3544B2B-EFAA-40A8-81A3-0E7511C8893F}"/>
    <cellStyle name="Vírgula 10 2 2 9 3" xfId="20167" xr:uid="{8E51E6BB-6BA4-4755-9EA8-707687701080}"/>
    <cellStyle name="Vírgula 10 2 2 9 3 2" xfId="40506" xr:uid="{18BD9AFA-5C3C-4CF1-8C3A-EA251899F267}"/>
    <cellStyle name="Vírgula 10 2 2 9 4" xfId="23422" xr:uid="{DD444965-F13A-49CB-A7BD-4E380458F198}"/>
    <cellStyle name="Vírgula 10 2 2 9 4 2" xfId="43757" xr:uid="{99CAEA9B-0827-4398-9D34-A185DFCF9E07}"/>
    <cellStyle name="Vírgula 10 2 2 9 5" xfId="13756" xr:uid="{9BB3122A-9A8B-4945-A2F1-1829E54614A2}"/>
    <cellStyle name="Vírgula 10 2 2 9 5 2" xfId="34097" xr:uid="{5A8AD0FA-B8A8-4E24-8C84-4F79A49FF766}"/>
    <cellStyle name="Vírgula 10 2 2 9 6" xfId="9878" xr:uid="{366B2AB5-1706-46F9-9F09-F297107301DB}"/>
    <cellStyle name="Vírgula 10 2 2 9 6 2" xfId="30221" xr:uid="{4663BAAE-6590-4F56-8053-B4B23FAE0E15}"/>
    <cellStyle name="Vírgula 10 2 2 9 7" xfId="26727" xr:uid="{6E7DC208-2DF8-4F0D-A1E1-1CE4367CD33C}"/>
    <cellStyle name="Vírgula 10 2 20" xfId="45820" xr:uid="{F409ADB5-0CAB-48AB-9F9A-42F640E9EA75}"/>
    <cellStyle name="Vírgula 10 2 21" xfId="46306" xr:uid="{CDF5F87F-7C71-4A0D-B267-6FC72D37E477}"/>
    <cellStyle name="Vírgula 10 2 22" xfId="46798" xr:uid="{5452A54F-4571-4C50-BA41-7B5E21B5C718}"/>
    <cellStyle name="Vírgula 10 2 23" xfId="48353" xr:uid="{340A13EE-6E78-42EA-8685-E7565E03FD17}"/>
    <cellStyle name="Vírgula 10 2 24" xfId="50021" xr:uid="{0D41E889-13A3-4E1B-ADE6-D0395438FFE2}"/>
    <cellStyle name="Vírgula 10 2 25" xfId="53316" xr:uid="{67C5E812-A0D6-4AC8-B28E-AF5FB0487ACE}"/>
    <cellStyle name="Vírgula 10 2 26" xfId="5228" xr:uid="{42B57A77-FCAE-4519-8F51-6C5F77E2EC8A}"/>
    <cellStyle name="Vírgula 10 2 27" xfId="4665" xr:uid="{C20CD488-E09A-4BB5-8B58-486A97436ADD}"/>
    <cellStyle name="Vírgula 10 2 3" xfId="1606" xr:uid="{DCA87D3D-C541-4DE0-A528-13281DC7B75D}"/>
    <cellStyle name="Vírgula 10 2 3 10" xfId="8166" xr:uid="{88E30AFE-390E-41A7-A74F-3240BCC8B5D8}"/>
    <cellStyle name="Vírgula 10 2 3 10 2" xfId="21953" xr:uid="{C8CA4C0F-90B2-41CF-B889-3BFF53CC97D9}"/>
    <cellStyle name="Vírgula 10 2 3 10 2 2" xfId="42289" xr:uid="{4AA2B33D-DB97-439E-B4F3-325D5406247B}"/>
    <cellStyle name="Vírgula 10 2 3 10 3" xfId="25205" xr:uid="{C1768379-BAA5-455D-983E-7AC5214BFDD1}"/>
    <cellStyle name="Vírgula 10 2 3 10 3 2" xfId="45540" xr:uid="{656B944B-7215-4848-868C-BB01AF1393C0}"/>
    <cellStyle name="Vírgula 10 2 3 10 4" xfId="12629" xr:uid="{B2443413-C0BA-40A0-9796-EC6D6D231394}"/>
    <cellStyle name="Vírgula 10 2 3 10 4 2" xfId="32970" xr:uid="{C3AD577C-6965-4723-987E-A207741874F2}"/>
    <cellStyle name="Vírgula 10 2 3 10 5" xfId="11662" xr:uid="{E3A85B60-4EB3-4966-86F8-CF9AC30E1AA1}"/>
    <cellStyle name="Vírgula 10 2 3 10 5 2" xfId="32004" xr:uid="{12CA3607-4FE9-497B-8679-DBD28983DF39}"/>
    <cellStyle name="Vírgula 10 2 3 10 6" xfId="28510" xr:uid="{356E09E7-37C1-4C41-9B26-CDF0BA02078E}"/>
    <cellStyle name="Vírgula 10 2 3 11" xfId="8473" xr:uid="{E0BF97DB-6C00-40BF-950B-829F4021FDFD}"/>
    <cellStyle name="Vírgula 10 2 3 11 2" xfId="15522" xr:uid="{0D009390-3F2E-4FBF-988D-16C3600E91CC}"/>
    <cellStyle name="Vírgula 10 2 3 11 2 2" xfId="35862" xr:uid="{01EC486A-0B07-425D-B320-1F8C96B0A4B7}"/>
    <cellStyle name="Vírgula 10 2 3 11 3" xfId="28816" xr:uid="{51EE5D41-0802-4F04-9531-A20E75A0313F}"/>
    <cellStyle name="Vírgula 10 2 3 12" xfId="18436" xr:uid="{43448708-996B-4E06-811A-837F5500835F}"/>
    <cellStyle name="Vírgula 10 2 3 12 2" xfId="38776" xr:uid="{7492D519-867D-4BE4-8664-C5332E3DA230}"/>
    <cellStyle name="Vírgula 10 2 3 13" xfId="19024" xr:uid="{53254282-41A5-4EF7-9285-30837E1C3B92}"/>
    <cellStyle name="Vírgula 10 2 3 13 2" xfId="39363" xr:uid="{50D71B27-5A9D-42F3-B4E7-73F6E01840DF}"/>
    <cellStyle name="Vírgula 10 2 3 14" xfId="22279" xr:uid="{EFC257EB-DC03-4B2B-8627-9934299D6E24}"/>
    <cellStyle name="Vírgula 10 2 3 14 2" xfId="42614" xr:uid="{5DC68C33-8204-4FFF-A947-70C5812632EC}"/>
    <cellStyle name="Vírgula 10 2 3 15" xfId="11996" xr:uid="{4C67E305-2D47-4EE7-BB8B-CC9D57134BD7}"/>
    <cellStyle name="Vírgula 10 2 3 15 2" xfId="32337" xr:uid="{AFD629F7-4483-414F-A2C5-F8DD53467D03}"/>
    <cellStyle name="Vírgula 10 2 3 16" xfId="8735" xr:uid="{1E777CDC-EBC9-4608-9B29-F93CFE766327}"/>
    <cellStyle name="Vírgula 10 2 3 16 2" xfId="29078" xr:uid="{60FF434C-11D6-4D8D-8B66-D61EDF57A191}"/>
    <cellStyle name="Vírgula 10 2 3 17" xfId="25580" xr:uid="{C5D80DFD-D98A-479C-9D3F-B1B6DD6D6582}"/>
    <cellStyle name="Vírgula 10 2 3 18" xfId="45848" xr:uid="{9A321244-9E30-41EC-972E-BCFA09E7A0EE}"/>
    <cellStyle name="Vírgula 10 2 3 19" xfId="46334" xr:uid="{0DCF7256-DD23-4980-9E9B-79B912B21AAB}"/>
    <cellStyle name="Vírgula 10 2 3 2" xfId="4242" xr:uid="{A72464B5-48E2-45AD-AEE4-3A112A567016}"/>
    <cellStyle name="Vírgula 10 2 3 2 10" xfId="22394" xr:uid="{178E592C-3CD4-43ED-AE4F-D69B26CA9F71}"/>
    <cellStyle name="Vírgula 10 2 3 2 10 2" xfId="42729" xr:uid="{F9C2E0D2-98B2-4A61-B498-C2B12CA36106}"/>
    <cellStyle name="Vírgula 10 2 3 2 11" xfId="12111" xr:uid="{E87C709E-9403-4E29-A6DF-B87D4DC5A81D}"/>
    <cellStyle name="Vírgula 10 2 3 2 11 2" xfId="32452" xr:uid="{2477040F-5AD3-4D37-860D-8388BF7873C0}"/>
    <cellStyle name="Vírgula 10 2 3 2 12" xfId="8850" xr:uid="{3DD0B3D7-1F90-4037-B75B-61675AF89BB8}"/>
    <cellStyle name="Vírgula 10 2 3 2 12 2" xfId="29193" xr:uid="{B061CDA5-8F20-445D-AA72-712588DB4146}"/>
    <cellStyle name="Vírgula 10 2 3 2 13" xfId="25699" xr:uid="{C01416BF-9728-4069-BE21-BF8047F05D39}"/>
    <cellStyle name="Vírgula 10 2 3 2 14" xfId="45908" xr:uid="{674DCAA5-7E75-4340-A8CF-95CB365E7590}"/>
    <cellStyle name="Vírgula 10 2 3 2 15" xfId="46394" xr:uid="{524DDDD2-4D43-4192-859D-F701864A2318}"/>
    <cellStyle name="Vírgula 10 2 3 2 16" xfId="46886" xr:uid="{33E9153D-8BE6-4595-B7B3-4188D334D6ED}"/>
    <cellStyle name="Vírgula 10 2 3 2 17" xfId="51658" xr:uid="{761FF64A-86FB-43F4-8DCC-3DCB3A3A9C12}"/>
    <cellStyle name="Vírgula 10 2 3 2 18" xfId="54952" xr:uid="{88462687-01C1-46CC-A290-A6308D55F8E4}"/>
    <cellStyle name="Vírgula 10 2 3 2 19" xfId="5372" xr:uid="{8A31A1A9-FE84-4521-8EBA-15728D96CB4A}"/>
    <cellStyle name="Vírgula 10 2 3 2 2" xfId="5081" xr:uid="{3DF00A26-7B0B-457E-9ED9-451064F04BC9}"/>
    <cellStyle name="Vírgula 10 2 3 2 2 10" xfId="12498" xr:uid="{8BE272EF-031A-47CC-BC04-53953F2CEABD}"/>
    <cellStyle name="Vírgula 10 2 3 2 2 10 2" xfId="32839" xr:uid="{6C4C2004-551A-4822-B5D4-277C477D4454}"/>
    <cellStyle name="Vírgula 10 2 3 2 2 11" xfId="9237" xr:uid="{3F315813-2153-4185-ADDD-9B6634B4DD35}"/>
    <cellStyle name="Vírgula 10 2 3 2 2 11 2" xfId="29580" xr:uid="{FC101D57-7F97-49D7-85A8-A5AAD208ADD7}"/>
    <cellStyle name="Vírgula 10 2 3 2 2 12" xfId="26086" xr:uid="{85A595A2-1795-4047-B9A2-D60ED50984D6}"/>
    <cellStyle name="Vírgula 10 2 3 2 2 13" xfId="45963" xr:uid="{54A555B1-70FE-4399-A42D-3E561377244A}"/>
    <cellStyle name="Vírgula 10 2 3 2 2 14" xfId="46449" xr:uid="{D76C7B46-A8C2-41C2-9FCD-FB7D80E0B4DC}"/>
    <cellStyle name="Vírgula 10 2 3 2 2 15" xfId="46941" xr:uid="{83FB23E2-61A8-4678-9F10-BE9E6E56ABD6}"/>
    <cellStyle name="Vírgula 10 2 3 2 2 16" xfId="5743" xr:uid="{BDE9ADE3-615A-4D72-886C-33B36D7334C0}"/>
    <cellStyle name="Vírgula 10 2 3 2 2 2" xfId="6319" xr:uid="{6F24D1E8-6B81-4BD7-905C-1F1BD7715894}"/>
    <cellStyle name="Vírgula 10 2 3 2 2 2 10" xfId="46692" xr:uid="{E918C665-EB1D-4F52-841E-F6F3DF6A125A}"/>
    <cellStyle name="Vírgula 10 2 3 2 2 2 11" xfId="47184" xr:uid="{6B72D760-0B13-46E9-B17A-68FFB685DD16}"/>
    <cellStyle name="Vírgula 10 2 3 2 2 2 2" xfId="7477" xr:uid="{C846D27A-A864-4C74-9DF5-19FED3AB511E}"/>
    <cellStyle name="Vírgula 10 2 3 2 2 2 2 2" xfId="17763" xr:uid="{11EFFC22-24B7-47CB-8095-EA2D01BE985C}"/>
    <cellStyle name="Vírgula 10 2 3 2 2 2 2 2 2" xfId="38103" xr:uid="{EE2C9B8D-EC16-4F66-8718-31ADD97B5F95}"/>
    <cellStyle name="Vírgula 10 2 3 2 2 2 2 3" xfId="21265" xr:uid="{36AC1BBD-A53C-496D-9C88-F1B3A54E15C3}"/>
    <cellStyle name="Vírgula 10 2 3 2 2 2 2 3 2" xfId="41604" xr:uid="{DD540EC1-7922-461A-8D0B-E20818309230}"/>
    <cellStyle name="Vírgula 10 2 3 2 2 2 2 4" xfId="24520" xr:uid="{94426953-03B4-43EF-9157-986CB8088E03}"/>
    <cellStyle name="Vírgula 10 2 3 2 2 2 2 4 2" xfId="44855" xr:uid="{49D96044-6742-4B07-B79F-6DEC5058BDE1}"/>
    <cellStyle name="Vírgula 10 2 3 2 2 2 2 5" xfId="14854" xr:uid="{417B49EE-FE8C-40FF-9293-D5D5C55FE95E}"/>
    <cellStyle name="Vírgula 10 2 3 2 2 2 2 5 2" xfId="35195" xr:uid="{8DE481CE-B0A1-421A-8203-FD1F05165FE8}"/>
    <cellStyle name="Vírgula 10 2 3 2 2 2 2 6" xfId="10976" xr:uid="{28B3BE6C-5588-4C94-A383-83384DFE3F7F}"/>
    <cellStyle name="Vírgula 10 2 3 2 2 2 2 6 2" xfId="31319" xr:uid="{E6B4EED0-2B96-4AF5-A3F4-7CA9ECCC7820}"/>
    <cellStyle name="Vírgula 10 2 3 2 2 2 2 7" xfId="27825" xr:uid="{561B0E0F-CA2B-4BA6-9848-F8A72E25EBCC}"/>
    <cellStyle name="Vírgula 10 2 3 2 2 2 3" xfId="16605" xr:uid="{D654C35A-44EE-4C2B-93BC-EF2822F6E2DE}"/>
    <cellStyle name="Vírgula 10 2 3 2 2 2 3 2" xfId="36945" xr:uid="{EB9331EF-E38B-4D2B-B130-30DF39A31F7F}"/>
    <cellStyle name="Vírgula 10 2 3 2 2 2 4" xfId="20107" xr:uid="{E9A54A25-6255-405E-8BB5-C64D3F76122E}"/>
    <cellStyle name="Vírgula 10 2 3 2 2 2 4 2" xfId="40446" xr:uid="{4E888886-5A2F-4EE4-AA25-D1788A50D6BA}"/>
    <cellStyle name="Vírgula 10 2 3 2 2 2 5" xfId="23362" xr:uid="{E6A92D83-F219-4C8F-8DA2-25CCE6C7DFB5}"/>
    <cellStyle name="Vírgula 10 2 3 2 2 2 5 2" xfId="43697" xr:uid="{A1A57F16-F8F7-4468-B960-F4ABA0FE4CFD}"/>
    <cellStyle name="Vírgula 10 2 3 2 2 2 6" xfId="13696" xr:uid="{B00F09C8-96FA-4701-88C3-A8D4DECDBFA4}"/>
    <cellStyle name="Vírgula 10 2 3 2 2 2 6 2" xfId="34037" xr:uid="{0D53295A-3BA8-45FF-9C9B-67A10C04EDF0}"/>
    <cellStyle name="Vírgula 10 2 3 2 2 2 7" xfId="9818" xr:uid="{6BED5A3D-7877-4177-911F-4A0CA8493195}"/>
    <cellStyle name="Vírgula 10 2 3 2 2 2 7 2" xfId="30161" xr:uid="{AD0A7221-5F56-4851-A6D4-B0C4D2656BB0}"/>
    <cellStyle name="Vírgula 10 2 3 2 2 2 8" xfId="26667" xr:uid="{F5795214-26C2-4BA5-93D5-049533FE1F96}"/>
    <cellStyle name="Vírgula 10 2 3 2 2 2 9" xfId="46206" xr:uid="{EA306F0E-1C99-4F76-B5B8-596EBD75B9FB}"/>
    <cellStyle name="Vírgula 10 2 3 2 2 3" xfId="6896" xr:uid="{54490E96-70C0-4C84-AFF2-60DEE7BE4E94}"/>
    <cellStyle name="Vírgula 10 2 3 2 2 3 2" xfId="17182" xr:uid="{0EAB36DA-83F3-4672-B3D7-E8C44E431417}"/>
    <cellStyle name="Vírgula 10 2 3 2 2 3 2 2" xfId="37522" xr:uid="{0713E117-F454-4D0A-B073-B4BFCA429B1A}"/>
    <cellStyle name="Vírgula 10 2 3 2 2 3 3" xfId="20684" xr:uid="{46CD9654-9433-413D-9579-A548FE3B3E33}"/>
    <cellStyle name="Vírgula 10 2 3 2 2 3 3 2" xfId="41023" xr:uid="{C0D8D3E1-6D3D-4032-9E71-00673F5686EE}"/>
    <cellStyle name="Vírgula 10 2 3 2 2 3 4" xfId="23939" xr:uid="{60B75FF8-41C8-4BA9-8A14-D4C473FED22E}"/>
    <cellStyle name="Vírgula 10 2 3 2 2 3 4 2" xfId="44274" xr:uid="{6F5E1841-556D-473B-BCCC-AFE452941D60}"/>
    <cellStyle name="Vírgula 10 2 3 2 2 3 5" xfId="14273" xr:uid="{176CACCE-66CB-4582-947B-06CC3E9A7C6F}"/>
    <cellStyle name="Vírgula 10 2 3 2 2 3 5 2" xfId="34614" xr:uid="{86EF013D-B0DE-4723-B3C3-2D37D8A2948A}"/>
    <cellStyle name="Vírgula 10 2 3 2 2 3 6" xfId="10395" xr:uid="{E1FE4BA1-508C-4830-835F-83E13D4B6A6A}"/>
    <cellStyle name="Vírgula 10 2 3 2 2 3 6 2" xfId="30738" xr:uid="{226E3700-C976-45E0-A9D5-D489C1568143}"/>
    <cellStyle name="Vírgula 10 2 3 2 2 3 7" xfId="27244" xr:uid="{FF21A080-2899-44F2-A1EC-DB322E658DD3}"/>
    <cellStyle name="Vírgula 10 2 3 2 2 4" xfId="8060" xr:uid="{A7EC730D-D53E-4680-8399-E369650FF9B3}"/>
    <cellStyle name="Vírgula 10 2 3 2 2 4 2" xfId="18345" xr:uid="{109F2C96-53B8-40F5-9780-DF97230D9C51}"/>
    <cellStyle name="Vírgula 10 2 3 2 2 4 2 2" xfId="38685" xr:uid="{9A8EC864-FC45-42EA-BDF6-C561F162F015}"/>
    <cellStyle name="Vírgula 10 2 3 2 2 4 3" xfId="21847" xr:uid="{6F34E909-0653-4D81-B0DA-8179B05CF963}"/>
    <cellStyle name="Vírgula 10 2 3 2 2 4 3 2" xfId="42186" xr:uid="{D6749D30-C8FE-41F0-AC75-998C14B6EA8C}"/>
    <cellStyle name="Vírgula 10 2 3 2 2 4 4" xfId="25102" xr:uid="{5ECC3C29-8F42-4F35-9954-8C6493B737C2}"/>
    <cellStyle name="Vírgula 10 2 3 2 2 4 4 2" xfId="45437" xr:uid="{F430B75F-6533-4D00-955F-598BA895DC16}"/>
    <cellStyle name="Vírgula 10 2 3 2 2 4 5" xfId="15437" xr:uid="{B994FEC7-65C7-4D24-AF03-E005D1645AAB}"/>
    <cellStyle name="Vírgula 10 2 3 2 2 4 5 2" xfId="35777" xr:uid="{F90F3EE4-B98E-42AC-94EA-B05DC3AE3E4E}"/>
    <cellStyle name="Vírgula 10 2 3 2 2 4 6" xfId="11558" xr:uid="{6FFC6B47-D311-487F-912C-B2113C4B73A3}"/>
    <cellStyle name="Vírgula 10 2 3 2 2 4 6 2" xfId="31901" xr:uid="{F3BD1532-CA39-4D11-93BB-7FCCE782C687}"/>
    <cellStyle name="Vírgula 10 2 3 2 2 4 7" xfId="28407" xr:uid="{FBE4FA50-CB46-44B0-BE76-354B2887D605}"/>
    <cellStyle name="Vírgula 10 2 3 2 2 5" xfId="8168" xr:uid="{F6F70803-9210-4B90-BA5C-5AB36808DBC6}"/>
    <cellStyle name="Vírgula 10 2 3 2 2 5 2" xfId="21955" xr:uid="{4A17B0AF-A4E0-4763-B4AE-372FB83C4C8E}"/>
    <cellStyle name="Vírgula 10 2 3 2 2 5 2 2" xfId="42291" xr:uid="{18A119A3-8483-4344-BBD7-7DD717ADDA1D}"/>
    <cellStyle name="Vírgula 10 2 3 2 2 5 3" xfId="25207" xr:uid="{EA2F3DD6-1F12-47CD-920F-2B7C13D70957}"/>
    <cellStyle name="Vírgula 10 2 3 2 2 5 3 2" xfId="45542" xr:uid="{A7FDC056-84B5-4EE1-AB0F-66FC3AE334D5}"/>
    <cellStyle name="Vírgula 10 2 3 2 2 5 4" xfId="13127" xr:uid="{EBCBD418-6591-4E10-BBF3-293254BF4B8F}"/>
    <cellStyle name="Vírgula 10 2 3 2 2 5 4 2" xfId="33468" xr:uid="{B990DF78-EA91-472C-9736-92B4896A57C3}"/>
    <cellStyle name="Vírgula 10 2 3 2 2 5 5" xfId="11664" xr:uid="{A5FF5139-042D-4624-9C4A-437CECE21888}"/>
    <cellStyle name="Vírgula 10 2 3 2 2 5 5 2" xfId="32006" xr:uid="{A933750F-0E3E-4AB1-A5C0-800B6460C5A8}"/>
    <cellStyle name="Vírgula 10 2 3 2 2 5 6" xfId="28512" xr:uid="{E4B1A6CA-F5A9-4F43-BC60-472D94C736DC}"/>
    <cellStyle name="Vírgula 10 2 3 2 2 6" xfId="8588" xr:uid="{0D2A90BC-EDDD-42D6-B485-178AF21779ED}"/>
    <cellStyle name="Vírgula 10 2 3 2 2 6 2" xfId="16024" xr:uid="{36A3545A-BEAB-4E7C-9943-95CDBD21C3AF}"/>
    <cellStyle name="Vírgula 10 2 3 2 2 6 2 2" xfId="36364" xr:uid="{6ECCE249-3875-464B-ABF9-B55B1D557687}"/>
    <cellStyle name="Vírgula 10 2 3 2 2 6 3" xfId="28931" xr:uid="{97531DC6-F36F-4D86-89F0-90258120C68B}"/>
    <cellStyle name="Vírgula 10 2 3 2 2 7" xfId="18938" xr:uid="{5E58E84C-0050-4C7B-B1BD-C6A5CC318F71}"/>
    <cellStyle name="Vírgula 10 2 3 2 2 7 2" xfId="39278" xr:uid="{0FE6D1E0-B83A-4AD9-A478-BCA461661DF3}"/>
    <cellStyle name="Vírgula 10 2 3 2 2 8" xfId="19526" xr:uid="{53FBFE66-DE02-4BB6-A245-A60A587FF659}"/>
    <cellStyle name="Vírgula 10 2 3 2 2 8 2" xfId="39865" xr:uid="{D79FB19B-9864-4B32-B2BF-44BFC054D3AD}"/>
    <cellStyle name="Vírgula 10 2 3 2 2 9" xfId="22781" xr:uid="{F2525FFB-22AA-426E-80B1-74ADCF2A12AE}"/>
    <cellStyle name="Vírgula 10 2 3 2 2 9 2" xfId="43116" xr:uid="{64E98012-EE5E-4AE0-9BEA-CB1ED09509E2}"/>
    <cellStyle name="Vírgula 10 2 3 2 20" xfId="4862" xr:uid="{B71CCEDA-D852-4D62-8A16-40C23CCDAE66}"/>
    <cellStyle name="Vírgula 10 2 3 2 3" xfId="5030" xr:uid="{C76A7A62-B2B4-47D3-967E-E73E4C04CCB0}"/>
    <cellStyle name="Vírgula 10 2 3 2 3 10" xfId="46637" xr:uid="{B0A18969-590F-4ED3-8A5B-3038F15FD5E1}"/>
    <cellStyle name="Vírgula 10 2 3 2 3 11" xfId="47129" xr:uid="{D4C895BD-D417-42FF-85D5-3BFEF1C306DD}"/>
    <cellStyle name="Vírgula 10 2 3 2 3 12" xfId="5932" xr:uid="{8AAE1C89-221E-4798-943F-7F8C70CFA931}"/>
    <cellStyle name="Vírgula 10 2 3 2 3 2" xfId="7090" xr:uid="{902DD15A-1784-42D7-AD1E-BFD9BCCB5526}"/>
    <cellStyle name="Vírgula 10 2 3 2 3 2 2" xfId="17376" xr:uid="{06B7649C-04B2-4970-83AB-5D5A6F83F0B4}"/>
    <cellStyle name="Vírgula 10 2 3 2 3 2 2 2" xfId="37716" xr:uid="{DCF24DE9-A873-4169-8D61-FB4E322D117F}"/>
    <cellStyle name="Vírgula 10 2 3 2 3 2 3" xfId="20878" xr:uid="{58AD36AA-7211-4850-A795-766A263E3210}"/>
    <cellStyle name="Vírgula 10 2 3 2 3 2 3 2" xfId="41217" xr:uid="{9808BC13-C1EC-4C6F-89E3-18714DED8667}"/>
    <cellStyle name="Vírgula 10 2 3 2 3 2 4" xfId="24133" xr:uid="{DED9C218-1CEA-4CA4-A06A-D71E219B5D6A}"/>
    <cellStyle name="Vírgula 10 2 3 2 3 2 4 2" xfId="44468" xr:uid="{BB30E18E-D515-4A1F-B403-7A1160CE416A}"/>
    <cellStyle name="Vírgula 10 2 3 2 3 2 5" xfId="14467" xr:uid="{2CAE186D-E8E0-42DF-A221-8698BFD74BF5}"/>
    <cellStyle name="Vírgula 10 2 3 2 3 2 5 2" xfId="34808" xr:uid="{C2129894-19E6-42A4-B422-1ADC68ED7617}"/>
    <cellStyle name="Vírgula 10 2 3 2 3 2 6" xfId="10589" xr:uid="{69C71B0B-D187-4454-97A8-63384CBF492B}"/>
    <cellStyle name="Vírgula 10 2 3 2 3 2 6 2" xfId="30932" xr:uid="{83FE0288-D3ED-4F80-94BE-EE30CDC16F84}"/>
    <cellStyle name="Vírgula 10 2 3 2 3 2 7" xfId="27438" xr:uid="{44EB6F73-3F29-47DD-96BF-6060A28B4207}"/>
    <cellStyle name="Vírgula 10 2 3 2 3 3" xfId="8169" xr:uid="{48731140-D4C6-401B-8AB8-C5E6C4747156}"/>
    <cellStyle name="Vírgula 10 2 3 2 3 3 2" xfId="21956" xr:uid="{6C20A839-D500-4F1C-B7FA-09D1822BDAC9}"/>
    <cellStyle name="Vírgula 10 2 3 2 3 3 2 2" xfId="42292" xr:uid="{A05A5ABA-E86C-4A68-961F-7034E9473E23}"/>
    <cellStyle name="Vírgula 10 2 3 2 3 3 3" xfId="25208" xr:uid="{6825F14E-7F58-478F-B546-D331BD8BB8AC}"/>
    <cellStyle name="Vírgula 10 2 3 2 3 3 3 2" xfId="45543" xr:uid="{167760D5-8646-457F-A985-8E484DFF56B0}"/>
    <cellStyle name="Vírgula 10 2 3 2 3 3 4" xfId="16218" xr:uid="{BD99B92D-E29C-4E99-BD8F-D8183E6698DA}"/>
    <cellStyle name="Vírgula 10 2 3 2 3 3 4 2" xfId="36558" xr:uid="{B73C8997-3A04-415B-84C2-5362C7BF077F}"/>
    <cellStyle name="Vírgula 10 2 3 2 3 3 5" xfId="11665" xr:uid="{D5A1D58B-1054-4C51-AE25-52A7F2FC7FF5}"/>
    <cellStyle name="Vírgula 10 2 3 2 3 3 5 2" xfId="32007" xr:uid="{18D30BA4-1635-4328-89AC-93A4C5FF5360}"/>
    <cellStyle name="Vírgula 10 2 3 2 3 3 6" xfId="28513" xr:uid="{5BA531A4-A0EC-46EC-96CD-78C6775C43BA}"/>
    <cellStyle name="Vírgula 10 2 3 2 3 4" xfId="19720" xr:uid="{DC7658FA-BC3A-4FDB-978E-D188C3064A94}"/>
    <cellStyle name="Vírgula 10 2 3 2 3 4 2" xfId="40059" xr:uid="{D1B32CB3-665F-4F37-8182-3A9D1EC5456F}"/>
    <cellStyle name="Vírgula 10 2 3 2 3 5" xfId="22975" xr:uid="{E7EF9470-E256-4EBB-8EE7-C54147EAA6F6}"/>
    <cellStyle name="Vírgula 10 2 3 2 3 5 2" xfId="43310" xr:uid="{287CEC9B-443F-4C6E-BE39-432C4F70A714}"/>
    <cellStyle name="Vírgula 10 2 3 2 3 6" xfId="13310" xr:uid="{03ECD025-7868-4DB5-AF1E-4960C5F60F18}"/>
    <cellStyle name="Vírgula 10 2 3 2 3 6 2" xfId="33651" xr:uid="{8B9FB0C3-3B69-4AEF-9E2A-99D39BA67103}"/>
    <cellStyle name="Vírgula 10 2 3 2 3 7" xfId="9431" xr:uid="{7FE62092-3CAB-41F4-8F8C-7160310065D6}"/>
    <cellStyle name="Vírgula 10 2 3 2 3 7 2" xfId="29774" xr:uid="{9DA39F6E-6EC5-4CB9-B1BB-B7C19E0D9EF1}"/>
    <cellStyle name="Vírgula 10 2 3 2 3 8" xfId="26280" xr:uid="{6BDDEDE0-B65D-4CD0-A0CA-04A695883D29}"/>
    <cellStyle name="Vírgula 10 2 3 2 3 9" xfId="46151" xr:uid="{05343740-6509-43A7-A2CC-34B15D0C9F7B}"/>
    <cellStyle name="Vírgula 10 2 3 2 4" xfId="6509" xr:uid="{D2242929-D6F1-47C4-AE48-368A8455003D}"/>
    <cellStyle name="Vírgula 10 2 3 2 4 2" xfId="16795" xr:uid="{9DED9A30-B311-41F3-BAD2-2F77912C54E4}"/>
    <cellStyle name="Vírgula 10 2 3 2 4 2 2" xfId="37135" xr:uid="{EC399664-944E-4DA4-B750-C6BFE88D334B}"/>
    <cellStyle name="Vírgula 10 2 3 2 4 3" xfId="20297" xr:uid="{EADE378C-3E41-452A-885B-60F0722A88D7}"/>
    <cellStyle name="Vírgula 10 2 3 2 4 3 2" xfId="40636" xr:uid="{54714843-D5EA-4F8B-9D2B-E5417224EE1C}"/>
    <cellStyle name="Vírgula 10 2 3 2 4 4" xfId="23552" xr:uid="{AA03DB45-2587-4DE5-985C-529D2A293F76}"/>
    <cellStyle name="Vírgula 10 2 3 2 4 4 2" xfId="43887" xr:uid="{9FD194C2-D8A9-4F40-80C5-30B89DA7B55A}"/>
    <cellStyle name="Vírgula 10 2 3 2 4 5" xfId="13886" xr:uid="{A16EBD73-6C54-466A-871C-677AB2F586A0}"/>
    <cellStyle name="Vírgula 10 2 3 2 4 5 2" xfId="34227" xr:uid="{E8652F7E-637C-4D52-9E5D-2BD23434B6B1}"/>
    <cellStyle name="Vírgula 10 2 3 2 4 6" xfId="10008" xr:uid="{AFDF4F8E-8B52-4FA7-AB92-D634A5E0018B}"/>
    <cellStyle name="Vírgula 10 2 3 2 4 6 2" xfId="30351" xr:uid="{864B3056-DAC1-4E7F-9C1F-C75CDC50A241}"/>
    <cellStyle name="Vírgula 10 2 3 2 4 7" xfId="26857" xr:uid="{4FDC684D-264C-4496-873B-FB6A6BE0FE30}"/>
    <cellStyle name="Vírgula 10 2 3 2 5" xfId="7673" xr:uid="{D481776E-3A18-45ED-969A-413910AE2DD5}"/>
    <cellStyle name="Vírgula 10 2 3 2 5 2" xfId="17958" xr:uid="{4D8156FD-3C5C-47C5-A0CA-FB0E2922C218}"/>
    <cellStyle name="Vírgula 10 2 3 2 5 2 2" xfId="38298" xr:uid="{E4F152E6-D1F5-4664-A1AD-8B7BB894C28C}"/>
    <cellStyle name="Vírgula 10 2 3 2 5 3" xfId="21460" xr:uid="{05C6BB58-1668-48E2-B208-BDF88A0C0046}"/>
    <cellStyle name="Vírgula 10 2 3 2 5 3 2" xfId="41799" xr:uid="{8BD1E535-B2C6-4778-95F7-D6624E473661}"/>
    <cellStyle name="Vírgula 10 2 3 2 5 4" xfId="24715" xr:uid="{EC1FFC63-CEDB-45B8-A206-E4C4125C51D0}"/>
    <cellStyle name="Vírgula 10 2 3 2 5 4 2" xfId="45050" xr:uid="{487E08EF-B8DE-4ADB-9CBE-20E890A64B1C}"/>
    <cellStyle name="Vírgula 10 2 3 2 5 5" xfId="15050" xr:uid="{FCFFB831-1CA6-4981-AC42-97A0FC011F24}"/>
    <cellStyle name="Vírgula 10 2 3 2 5 5 2" xfId="35390" xr:uid="{EB40E8FF-E8DA-4FB5-B79A-AFD1438CBCFA}"/>
    <cellStyle name="Vírgula 10 2 3 2 5 6" xfId="11171" xr:uid="{AB8080F6-FE3F-4F20-B1F4-58E2DA1CC688}"/>
    <cellStyle name="Vírgula 10 2 3 2 5 6 2" xfId="31514" xr:uid="{977596D1-9A22-4393-A741-07414453CB5F}"/>
    <cellStyle name="Vírgula 10 2 3 2 5 7" xfId="28020" xr:uid="{6E27203D-B6FC-41A6-BBAB-4C33119A46C3}"/>
    <cellStyle name="Vírgula 10 2 3 2 6" xfId="8167" xr:uid="{427FC9AC-D5BA-45D9-99E7-705EDFF25A7A}"/>
    <cellStyle name="Vírgula 10 2 3 2 6 2" xfId="21954" xr:uid="{D2F7E300-AF38-46FE-9E48-B4A4B791DE4E}"/>
    <cellStyle name="Vírgula 10 2 3 2 6 2 2" xfId="42290" xr:uid="{EB07398D-8DF3-40E2-B60F-37EBAC770040}"/>
    <cellStyle name="Vírgula 10 2 3 2 6 3" xfId="25206" xr:uid="{7768A1BF-12DB-44DB-851E-8AD52AABD7E6}"/>
    <cellStyle name="Vírgula 10 2 3 2 6 3 2" xfId="45541" xr:uid="{2C558845-2963-4CA3-AB13-280933F4D04D}"/>
    <cellStyle name="Vírgula 10 2 3 2 6 4" xfId="12741" xr:uid="{33A483B3-183B-45A7-812E-5DB317F54F8B}"/>
    <cellStyle name="Vírgula 10 2 3 2 6 4 2" xfId="33082" xr:uid="{BECD2A7E-38ED-41A2-AD89-159C2097768F}"/>
    <cellStyle name="Vírgula 10 2 3 2 6 5" xfId="11663" xr:uid="{98679D3B-4C03-4A01-A92E-B1484478C758}"/>
    <cellStyle name="Vírgula 10 2 3 2 6 5 2" xfId="32005" xr:uid="{CCB7436A-FC61-4F0A-BB69-C8F4C0EAD512}"/>
    <cellStyle name="Vírgula 10 2 3 2 6 6" xfId="28511" xr:uid="{5023C2ED-179A-4653-A1E4-3F297BA37532}"/>
    <cellStyle name="Vírgula 10 2 3 2 7" xfId="8533" xr:uid="{71372E6C-827C-45F6-85F6-E48B2C067246}"/>
    <cellStyle name="Vírgula 10 2 3 2 7 2" xfId="15637" xr:uid="{BFE49A8E-556D-480D-AEA6-25E22EF09AB7}"/>
    <cellStyle name="Vírgula 10 2 3 2 7 2 2" xfId="35977" xr:uid="{9246F8C9-0F5A-4003-A914-FE72B2D64A8F}"/>
    <cellStyle name="Vírgula 10 2 3 2 7 3" xfId="28876" xr:uid="{3B918FE6-5362-42A9-A276-994CC6E1066C}"/>
    <cellStyle name="Vírgula 10 2 3 2 8" xfId="18551" xr:uid="{A3517AF4-EF2A-4D4F-84B8-3E691C42CFFB}"/>
    <cellStyle name="Vírgula 10 2 3 2 8 2" xfId="38891" xr:uid="{E4DAFC02-455E-47C1-9A46-C48B6964F591}"/>
    <cellStyle name="Vírgula 10 2 3 2 9" xfId="19139" xr:uid="{39E0E247-E6D3-4B7B-933F-51285B4AA5C6}"/>
    <cellStyle name="Vírgula 10 2 3 2 9 2" xfId="39478" xr:uid="{C5815125-8E1A-4CD3-9717-72E0744FFE65}"/>
    <cellStyle name="Vírgula 10 2 3 20" xfId="46826" xr:uid="{2D06F3E7-F750-42F4-9395-5D844213610D}"/>
    <cellStyle name="Vírgula 10 2 3 21" xfId="48356" xr:uid="{F3CE6F43-9294-426D-B480-47DD0C65B790}"/>
    <cellStyle name="Vírgula 10 2 3 22" xfId="50024" xr:uid="{52141168-D8FD-43CF-A28C-D408C652DB82}"/>
    <cellStyle name="Vírgula 10 2 3 23" xfId="53319" xr:uid="{00521ED7-C11C-4622-BA8E-6E28C841B47D}"/>
    <cellStyle name="Vírgula 10 2 3 24" xfId="5249" xr:uid="{E94DBBA7-8535-46B9-917C-06F8EB1712B1}"/>
    <cellStyle name="Vírgula 10 2 3 25" xfId="4820" xr:uid="{74D6145A-6C25-47F4-A53F-D1F8B69B79FE}"/>
    <cellStyle name="Vírgula 10 2 3 3" xfId="3266" xr:uid="{43420704-BF5F-45FB-B118-D9E2C6EAF882}"/>
    <cellStyle name="Vírgula 10 2 3 3 10" xfId="12207" xr:uid="{1AD84F06-8003-4BCD-ACC3-666B474DE343}"/>
    <cellStyle name="Vírgula 10 2 3 3 10 2" xfId="32548" xr:uid="{9CD404D7-EF4C-42B5-A08D-D97D95EE3E61}"/>
    <cellStyle name="Vírgula 10 2 3 3 11" xfId="8946" xr:uid="{8B453639-D3ED-472C-B6BD-F5D6E269F2A4}"/>
    <cellStyle name="Vírgula 10 2 3 3 11 2" xfId="29289" xr:uid="{29B8895C-5918-4C09-9935-7EBDC1D6AFBB}"/>
    <cellStyle name="Vírgula 10 2 3 3 12" xfId="25795" xr:uid="{47ABE42D-FCDB-4838-A039-D760AE8C46D8}"/>
    <cellStyle name="Vírgula 10 2 3 3 13" xfId="45962" xr:uid="{B4F55AFC-99E4-4C70-86C2-9880CE51BBC0}"/>
    <cellStyle name="Vírgula 10 2 3 3 14" xfId="46448" xr:uid="{F34E237F-4C0E-4093-9407-8C41A7EFC9FD}"/>
    <cellStyle name="Vírgula 10 2 3 3 15" xfId="46940" xr:uid="{E0FDA681-6314-48B2-9095-A340B6EE0D48}"/>
    <cellStyle name="Vírgula 10 2 3 3 16" xfId="57477" xr:uid="{3E61E1FB-2F17-4F76-BECA-1EAE5D9D6954}"/>
    <cellStyle name="Vírgula 10 2 3 3 17" xfId="5460" xr:uid="{18E21F10-A18D-4D3F-A32E-B2C9340FA0DE}"/>
    <cellStyle name="Vírgula 10 2 3 3 18" xfId="4861" xr:uid="{386624ED-F9CE-40EB-BC8E-0C34724EDFEC}"/>
    <cellStyle name="Vírgula 10 2 3 3 2" xfId="5080" xr:uid="{08AACA61-9C87-4384-B0C7-4859FDEAB662}"/>
    <cellStyle name="Vírgula 10 2 3 3 2 10" xfId="46691" xr:uid="{29342B31-89FD-41FE-B592-065A7BE1240B}"/>
    <cellStyle name="Vírgula 10 2 3 3 2 11" xfId="47183" xr:uid="{445B0461-046B-48A0-BBF6-14B0C86B4785}"/>
    <cellStyle name="Vírgula 10 2 3 3 2 12" xfId="6028" xr:uid="{7BAC5E03-E00D-4644-880B-58F1F55C279C}"/>
    <cellStyle name="Vírgula 10 2 3 3 2 2" xfId="7186" xr:uid="{0CABF8F0-F41C-4386-990B-789330D15280}"/>
    <cellStyle name="Vírgula 10 2 3 3 2 2 2" xfId="17472" xr:uid="{19281843-7372-4294-BCEA-574D98999FF3}"/>
    <cellStyle name="Vírgula 10 2 3 3 2 2 2 2" xfId="37812" xr:uid="{AE5C66BC-974B-4E6C-87AD-3FF4E6415274}"/>
    <cellStyle name="Vírgula 10 2 3 3 2 2 3" xfId="20974" xr:uid="{CEF69544-A204-491A-BD10-122F9CFF057E}"/>
    <cellStyle name="Vírgula 10 2 3 3 2 2 3 2" xfId="41313" xr:uid="{1DE40164-6212-42D2-B5FE-2B62BD5B1FA0}"/>
    <cellStyle name="Vírgula 10 2 3 3 2 2 4" xfId="24229" xr:uid="{B3C10113-EB46-4C7E-AB6A-1EF642A73B3F}"/>
    <cellStyle name="Vírgula 10 2 3 3 2 2 4 2" xfId="44564" xr:uid="{9175FDCD-252D-4B39-9596-4AF49B8D26D7}"/>
    <cellStyle name="Vírgula 10 2 3 3 2 2 5" xfId="14563" xr:uid="{A090027A-A802-4B4C-ACA0-A91A10DF1F8D}"/>
    <cellStyle name="Vírgula 10 2 3 3 2 2 5 2" xfId="34904" xr:uid="{2EEA6CE4-0EC5-40E2-A316-374F0618BA97}"/>
    <cellStyle name="Vírgula 10 2 3 3 2 2 6" xfId="10685" xr:uid="{64415B06-6E02-45A0-8E1F-16328D83A736}"/>
    <cellStyle name="Vírgula 10 2 3 3 2 2 6 2" xfId="31028" xr:uid="{AC59F2BE-C062-401B-8A2C-421FE7F142C1}"/>
    <cellStyle name="Vírgula 10 2 3 3 2 2 7" xfId="27534" xr:uid="{AE8D9443-6508-4BD5-9242-B3AD80F5EF79}"/>
    <cellStyle name="Vírgula 10 2 3 3 2 3" xfId="16314" xr:uid="{62C431DE-1995-4363-8A71-59EDFD9069AE}"/>
    <cellStyle name="Vírgula 10 2 3 3 2 3 2" xfId="36654" xr:uid="{4E65B465-BE34-46B8-9920-65AF27FD721C}"/>
    <cellStyle name="Vírgula 10 2 3 3 2 4" xfId="19816" xr:uid="{7BF0737C-ADE7-4E81-86B6-AD6E6232F16B}"/>
    <cellStyle name="Vírgula 10 2 3 3 2 4 2" xfId="40155" xr:uid="{4646261E-92D1-4276-A0DF-BBBAB944796A}"/>
    <cellStyle name="Vírgula 10 2 3 3 2 5" xfId="23071" xr:uid="{CAF7858F-26CA-4B64-9905-7B9E9C05213E}"/>
    <cellStyle name="Vírgula 10 2 3 3 2 5 2" xfId="43406" xr:uid="{CA52B52F-7A1D-4FA3-A1D3-ECCEF33D56D5}"/>
    <cellStyle name="Vírgula 10 2 3 3 2 6" xfId="13405" xr:uid="{5252EAEB-AAB3-496F-94D0-94E0C9E4ADDC}"/>
    <cellStyle name="Vírgula 10 2 3 3 2 6 2" xfId="33746" xr:uid="{EF6A3B05-BC2D-4668-9BEC-DFF476F545E2}"/>
    <cellStyle name="Vírgula 10 2 3 3 2 7" xfId="9527" xr:uid="{7470ED00-E63C-4449-B33F-AA14D2806A67}"/>
    <cellStyle name="Vírgula 10 2 3 3 2 7 2" xfId="29870" xr:uid="{471F3A65-4983-4A7F-AB00-DB59D16B0BA8}"/>
    <cellStyle name="Vírgula 10 2 3 3 2 8" xfId="26376" xr:uid="{0A003649-8F28-435F-90A9-FDAE47EEA74F}"/>
    <cellStyle name="Vírgula 10 2 3 3 2 9" xfId="46205" xr:uid="{76AA4E06-B73E-4A05-BE13-3EB8F4277819}"/>
    <cellStyle name="Vírgula 10 2 3 3 3" xfId="6605" xr:uid="{3D148509-AE1D-48B5-8965-45F9EB20D706}"/>
    <cellStyle name="Vírgula 10 2 3 3 3 2" xfId="16891" xr:uid="{A7969DEA-7E3E-459B-BAED-9F3E38B918C7}"/>
    <cellStyle name="Vírgula 10 2 3 3 3 2 2" xfId="37231" xr:uid="{857D16D2-F0BF-4C28-AB33-8F0CA4B1AE03}"/>
    <cellStyle name="Vírgula 10 2 3 3 3 3" xfId="20393" xr:uid="{CB8F5C80-0424-48DC-91EB-F80E5C2169CE}"/>
    <cellStyle name="Vírgula 10 2 3 3 3 3 2" xfId="40732" xr:uid="{F1919580-E963-4C67-A0AE-DF546701EC6B}"/>
    <cellStyle name="Vírgula 10 2 3 3 3 4" xfId="23648" xr:uid="{8F81A21A-46CC-4721-AA62-2E76015E6D6D}"/>
    <cellStyle name="Vírgula 10 2 3 3 3 4 2" xfId="43983" xr:uid="{239891C3-810F-421A-A729-E913C18553D1}"/>
    <cellStyle name="Vírgula 10 2 3 3 3 5" xfId="13982" xr:uid="{46E5039E-C1A8-4A86-8C55-A9EE986F269B}"/>
    <cellStyle name="Vírgula 10 2 3 3 3 5 2" xfId="34323" xr:uid="{945E2EFC-413A-4F9F-A034-920308683765}"/>
    <cellStyle name="Vírgula 10 2 3 3 3 6" xfId="10104" xr:uid="{157724FF-1F38-47DB-BB30-0C51358A22CC}"/>
    <cellStyle name="Vírgula 10 2 3 3 3 6 2" xfId="30447" xr:uid="{1B848875-0B02-46AA-858B-BE32599E4349}"/>
    <cellStyle name="Vírgula 10 2 3 3 3 7" xfId="26953" xr:uid="{23C5A30D-C4CD-421F-B2DC-E33D8186C2E2}"/>
    <cellStyle name="Vírgula 10 2 3 3 4" xfId="7769" xr:uid="{C7BBC323-CB06-45C3-83D9-6109868F2B15}"/>
    <cellStyle name="Vírgula 10 2 3 3 4 2" xfId="18054" xr:uid="{6AE6B0AB-93A1-445F-BA1D-1C3D24CA1237}"/>
    <cellStyle name="Vírgula 10 2 3 3 4 2 2" xfId="38394" xr:uid="{DEF58EDE-A79A-40A2-B305-019C1540678A}"/>
    <cellStyle name="Vírgula 10 2 3 3 4 3" xfId="21556" xr:uid="{C5679B18-CD8B-447E-AA05-40E374F1D55A}"/>
    <cellStyle name="Vírgula 10 2 3 3 4 3 2" xfId="41895" xr:uid="{0A21436B-407A-4F53-A902-46D384792B7B}"/>
    <cellStyle name="Vírgula 10 2 3 3 4 4" xfId="24811" xr:uid="{25A766BD-8E2E-469F-BD5C-D18CEA52B939}"/>
    <cellStyle name="Vírgula 10 2 3 3 4 4 2" xfId="45146" xr:uid="{3D657E0A-502A-4BE0-A6D1-2C8BF877F00D}"/>
    <cellStyle name="Vírgula 10 2 3 3 4 5" xfId="15146" xr:uid="{50CD142C-B644-43FF-BBFE-0F03E4047DF2}"/>
    <cellStyle name="Vírgula 10 2 3 3 4 5 2" xfId="35486" xr:uid="{E9B01D79-5BD7-4803-ABD3-0831878D01F5}"/>
    <cellStyle name="Vírgula 10 2 3 3 4 6" xfId="11267" xr:uid="{CC0D735B-8EB6-42DA-B653-D27E94941ED7}"/>
    <cellStyle name="Vírgula 10 2 3 3 4 6 2" xfId="31610" xr:uid="{4000C3F0-41F1-4DC6-B684-53A938963F1D}"/>
    <cellStyle name="Vírgula 10 2 3 3 4 7" xfId="28116" xr:uid="{9FEAE7FE-7BB9-46D5-B898-BD4D380D8DF5}"/>
    <cellStyle name="Vírgula 10 2 3 3 5" xfId="8170" xr:uid="{118E54C9-120B-4147-AB91-23FA1F2CBE38}"/>
    <cellStyle name="Vírgula 10 2 3 3 5 2" xfId="21957" xr:uid="{BDE3471D-ABA9-4E19-993E-A9D39854F98C}"/>
    <cellStyle name="Vírgula 10 2 3 3 5 2 2" xfId="42293" xr:uid="{EAC6B80D-ECD5-4504-8D58-90513CF95D1F}"/>
    <cellStyle name="Vírgula 10 2 3 3 5 3" xfId="25209" xr:uid="{E1AA3FA8-1C9B-4EE7-AB4B-7522FD157F7F}"/>
    <cellStyle name="Vírgula 10 2 3 3 5 3 2" xfId="45544" xr:uid="{CF425F9C-BAFD-4D1E-8120-EF8AB9C475D4}"/>
    <cellStyle name="Vírgula 10 2 3 3 5 4" xfId="12836" xr:uid="{C86A0BC6-09ED-4C91-B5FB-8AF2722CFA26}"/>
    <cellStyle name="Vírgula 10 2 3 3 5 4 2" xfId="33177" xr:uid="{FAB2380F-1AC9-4A7C-9674-A7BEAB701FD8}"/>
    <cellStyle name="Vírgula 10 2 3 3 5 5" xfId="11666" xr:uid="{EEFCA332-BFD5-4F51-B465-E93718096412}"/>
    <cellStyle name="Vírgula 10 2 3 3 5 5 2" xfId="32008" xr:uid="{79677BFB-53B3-4944-9BB1-E7092C7B77D4}"/>
    <cellStyle name="Vírgula 10 2 3 3 5 6" xfId="28514" xr:uid="{C687C40A-1770-42AD-B37A-E48EFB2A3063}"/>
    <cellStyle name="Vírgula 10 2 3 3 6" xfId="8587" xr:uid="{0F13E64F-DC08-4BF5-BAD5-F88CDCF52B33}"/>
    <cellStyle name="Vírgula 10 2 3 3 6 2" xfId="15733" xr:uid="{CE938D11-2A49-4093-8006-0CE1644DA299}"/>
    <cellStyle name="Vírgula 10 2 3 3 6 2 2" xfId="36073" xr:uid="{9F09BA7F-35C8-464D-A3A5-65121B1B0F75}"/>
    <cellStyle name="Vírgula 10 2 3 3 6 3" xfId="28930" xr:uid="{862E4606-63E9-4152-B0DA-E6B59C622F27}"/>
    <cellStyle name="Vírgula 10 2 3 3 7" xfId="18647" xr:uid="{DA296EA6-7648-42B1-BD74-77E9C19E1AB3}"/>
    <cellStyle name="Vírgula 10 2 3 3 7 2" xfId="38987" xr:uid="{F26B566E-8022-4889-B99D-D64A9AAD6052}"/>
    <cellStyle name="Vírgula 10 2 3 3 8" xfId="19235" xr:uid="{6CDA1FCD-D64A-4457-8E0D-605C71A2B357}"/>
    <cellStyle name="Vírgula 10 2 3 3 8 2" xfId="39574" xr:uid="{88B97B86-6C97-4D3B-8F52-C3DA629622AC}"/>
    <cellStyle name="Vírgula 10 2 3 3 9" xfId="22490" xr:uid="{81CB800D-AA99-4971-99BA-0B2BA648F0DE}"/>
    <cellStyle name="Vírgula 10 2 3 3 9 2" xfId="42825" xr:uid="{B30BB4CF-0B87-47E9-9875-FFE278337DCC}"/>
    <cellStyle name="Vírgula 10 2 3 4" xfId="4985" xr:uid="{FBC3534B-445F-41F3-BBB6-87A4B174DF07}"/>
    <cellStyle name="Vírgula 10 2 3 4 10" xfId="12265" xr:uid="{85BA839C-B50F-445A-8647-8C298D2BA52E}"/>
    <cellStyle name="Vírgula 10 2 3 4 10 2" xfId="32606" xr:uid="{C3800C64-4808-4F92-B45E-8E4069F83AF5}"/>
    <cellStyle name="Vírgula 10 2 3 4 11" xfId="9004" xr:uid="{EF5DF11F-47BB-4A15-8561-7EFBCDD1229E}"/>
    <cellStyle name="Vírgula 10 2 3 4 11 2" xfId="29347" xr:uid="{BF462E77-C252-49AD-AE97-C3A9C3AB757C}"/>
    <cellStyle name="Vírgula 10 2 3 4 12" xfId="25853" xr:uid="{5602D721-0217-4FAD-80B6-8C0D05F604A0}"/>
    <cellStyle name="Vírgula 10 2 3 4 13" xfId="46091" xr:uid="{3C0167B2-D2FE-47DC-BE84-C7BA69FB7F30}"/>
    <cellStyle name="Vírgula 10 2 3 4 14" xfId="46577" xr:uid="{5FF8A004-326F-4C88-95B8-965ED0A0D7D8}"/>
    <cellStyle name="Vírgula 10 2 3 4 15" xfId="47069" xr:uid="{2FA1C970-DFAF-426C-83E9-6E3E430DE61B}"/>
    <cellStyle name="Vírgula 10 2 3 4 16" xfId="5514" xr:uid="{FB5D1A04-9463-452A-8547-8AEDE14A10DF}"/>
    <cellStyle name="Vírgula 10 2 3 4 2" xfId="6086" xr:uid="{093C6CF4-6DFE-4818-AE10-157D299898EA}"/>
    <cellStyle name="Vírgula 10 2 3 4 2 2" xfId="7244" xr:uid="{1B2E1D94-C78E-4DFD-8C17-AE7EADD81820}"/>
    <cellStyle name="Vírgula 10 2 3 4 2 2 2" xfId="17530" xr:uid="{9F8B4676-30ED-4D0B-8C8E-F2583D29BFA8}"/>
    <cellStyle name="Vírgula 10 2 3 4 2 2 2 2" xfId="37870" xr:uid="{1B96235C-760A-4209-A13B-A834F9D8DDC4}"/>
    <cellStyle name="Vírgula 10 2 3 4 2 2 3" xfId="21032" xr:uid="{2248D411-18D2-4330-96E6-5538AC24AA6A}"/>
    <cellStyle name="Vírgula 10 2 3 4 2 2 3 2" xfId="41371" xr:uid="{CD696498-6C9D-44E0-967F-A130E7791E48}"/>
    <cellStyle name="Vírgula 10 2 3 4 2 2 4" xfId="24287" xr:uid="{1371D508-4818-4460-9E12-BEA768A48C2F}"/>
    <cellStyle name="Vírgula 10 2 3 4 2 2 4 2" xfId="44622" xr:uid="{A464471A-075E-4E60-9D3D-7EB6D1DEE45D}"/>
    <cellStyle name="Vírgula 10 2 3 4 2 2 5" xfId="14621" xr:uid="{DEA76EE8-2EEF-415C-9199-83C175CBCD35}"/>
    <cellStyle name="Vírgula 10 2 3 4 2 2 5 2" xfId="34962" xr:uid="{652BB681-B897-42F8-B8DB-4886EFC0E24D}"/>
    <cellStyle name="Vírgula 10 2 3 4 2 2 6" xfId="10743" xr:uid="{032C6FB7-3C93-4A6C-8D12-AE8D3CCA8EA4}"/>
    <cellStyle name="Vírgula 10 2 3 4 2 2 6 2" xfId="31086" xr:uid="{84BD8B68-30F0-4948-A54E-78272D3993C0}"/>
    <cellStyle name="Vírgula 10 2 3 4 2 2 7" xfId="27592" xr:uid="{2EE9EC11-41A3-4EB7-83FD-3014656506A8}"/>
    <cellStyle name="Vírgula 10 2 3 4 2 3" xfId="16372" xr:uid="{A6FD24EA-1442-43A7-B8AC-B608395A4C39}"/>
    <cellStyle name="Vírgula 10 2 3 4 2 3 2" xfId="36712" xr:uid="{BF7ED40D-BAF5-45BF-A98C-657D27BE492C}"/>
    <cellStyle name="Vírgula 10 2 3 4 2 4" xfId="19874" xr:uid="{B01AF060-13A0-4DD3-9207-FC17241207A4}"/>
    <cellStyle name="Vírgula 10 2 3 4 2 4 2" xfId="40213" xr:uid="{20AB6B3A-F241-4A4F-97CB-5E620073CE31}"/>
    <cellStyle name="Vírgula 10 2 3 4 2 5" xfId="23129" xr:uid="{27320CE6-3C08-4903-8381-C6299C3912C6}"/>
    <cellStyle name="Vírgula 10 2 3 4 2 5 2" xfId="43464" xr:uid="{ED0EC6CC-9A4D-43D1-9D46-A0CFE50D8990}"/>
    <cellStyle name="Vírgula 10 2 3 4 2 6" xfId="13463" xr:uid="{FB73601B-F655-43B0-A2E0-CB785B01FF3C}"/>
    <cellStyle name="Vírgula 10 2 3 4 2 6 2" xfId="33804" xr:uid="{0DD46F21-0393-4859-8123-65D87FF85810}"/>
    <cellStyle name="Vírgula 10 2 3 4 2 7" xfId="9585" xr:uid="{CA184471-156A-4218-8263-1FFF631708F5}"/>
    <cellStyle name="Vírgula 10 2 3 4 2 7 2" xfId="29928" xr:uid="{C735BC5E-BFD6-4620-943B-1C6B7F5C6094}"/>
    <cellStyle name="Vírgula 10 2 3 4 2 8" xfId="26434" xr:uid="{76F9361C-274F-466B-8C77-0CD38C484CA2}"/>
    <cellStyle name="Vírgula 10 2 3 4 3" xfId="6663" xr:uid="{25BD7278-977D-4AF5-9F2A-2A0470252C2F}"/>
    <cellStyle name="Vírgula 10 2 3 4 3 2" xfId="16949" xr:uid="{EC5D33A0-B3E6-4DFA-9BF5-B9F4E94E89D0}"/>
    <cellStyle name="Vírgula 10 2 3 4 3 2 2" xfId="37289" xr:uid="{5EDC13C6-EEEF-4F03-8572-14D01A7A2700}"/>
    <cellStyle name="Vírgula 10 2 3 4 3 3" xfId="20451" xr:uid="{3454B61F-FF17-4196-8FB7-B18CCC19DDAE}"/>
    <cellStyle name="Vírgula 10 2 3 4 3 3 2" xfId="40790" xr:uid="{B33816AF-2728-4609-ACEF-1606632EC7FC}"/>
    <cellStyle name="Vírgula 10 2 3 4 3 4" xfId="23706" xr:uid="{B540961A-9268-43CC-BFDF-4CB535F0929F}"/>
    <cellStyle name="Vírgula 10 2 3 4 3 4 2" xfId="44041" xr:uid="{ACFD77C3-B823-4D69-8B36-338E98A462D3}"/>
    <cellStyle name="Vírgula 10 2 3 4 3 5" xfId="14040" xr:uid="{41F81BF0-3609-4B40-BFA4-0C86465CC363}"/>
    <cellStyle name="Vírgula 10 2 3 4 3 5 2" xfId="34381" xr:uid="{A328D952-E35D-41F2-92B5-1BAB6B1D459B}"/>
    <cellStyle name="Vírgula 10 2 3 4 3 6" xfId="10162" xr:uid="{9CB56783-17BA-4E4C-94DD-5D1BA1D0DFAF}"/>
    <cellStyle name="Vírgula 10 2 3 4 3 6 2" xfId="30505" xr:uid="{E42D80FD-5D0A-4A10-AA7C-4B1DDAB5E42F}"/>
    <cellStyle name="Vírgula 10 2 3 4 3 7" xfId="27011" xr:uid="{D53071A0-8596-4ECB-BA07-CDE8E5F35255}"/>
    <cellStyle name="Vírgula 10 2 3 4 4" xfId="7827" xr:uid="{AD2F14A5-86DB-46C9-9467-82DE94D75A64}"/>
    <cellStyle name="Vírgula 10 2 3 4 4 2" xfId="18112" xr:uid="{9FA5B03E-92D8-4F96-91F8-57CB1DB7ACBF}"/>
    <cellStyle name="Vírgula 10 2 3 4 4 2 2" xfId="38452" xr:uid="{5E235F8A-38CE-4CDA-9466-32CBBDF89146}"/>
    <cellStyle name="Vírgula 10 2 3 4 4 3" xfId="21614" xr:uid="{4905D336-6B68-4F18-9CBD-5D5EAFF61021}"/>
    <cellStyle name="Vírgula 10 2 3 4 4 3 2" xfId="41953" xr:uid="{2096A28F-1CE2-477A-85F3-13FA4E8A8D73}"/>
    <cellStyle name="Vírgula 10 2 3 4 4 4" xfId="24869" xr:uid="{E059DC27-0650-413D-8361-B41F64C6CDA0}"/>
    <cellStyle name="Vírgula 10 2 3 4 4 4 2" xfId="45204" xr:uid="{72D3FCC1-6706-4DD2-8181-66BA7BB9CD0D}"/>
    <cellStyle name="Vírgula 10 2 3 4 4 5" xfId="15204" xr:uid="{73031F95-6496-42C0-A745-E2247DD31615}"/>
    <cellStyle name="Vírgula 10 2 3 4 4 5 2" xfId="35544" xr:uid="{9170626C-4BD5-4C32-84BE-05D5D4CFAA33}"/>
    <cellStyle name="Vírgula 10 2 3 4 4 6" xfId="11325" xr:uid="{FB1E369E-CC01-4223-983D-60F6E5FC0FB5}"/>
    <cellStyle name="Vírgula 10 2 3 4 4 6 2" xfId="31668" xr:uid="{5A193B98-C43F-405B-B2C5-1319CE50279D}"/>
    <cellStyle name="Vírgula 10 2 3 4 4 7" xfId="28174" xr:uid="{DE201502-8D80-4466-B1C1-C78CB8947D29}"/>
    <cellStyle name="Vírgula 10 2 3 4 5" xfId="8171" xr:uid="{1D678A2B-56C5-4F30-87DE-67393B501314}"/>
    <cellStyle name="Vírgula 10 2 3 4 5 2" xfId="21958" xr:uid="{428C78A7-40DC-4E0E-8279-A7759C62F734}"/>
    <cellStyle name="Vírgula 10 2 3 4 5 2 2" xfId="42294" xr:uid="{22825FD0-615B-4DBC-AB04-AA440A1F6FFA}"/>
    <cellStyle name="Vírgula 10 2 3 4 5 3" xfId="25210" xr:uid="{8F24A057-8A56-4475-BBB4-7BE78E9DA810}"/>
    <cellStyle name="Vírgula 10 2 3 4 5 3 2" xfId="45545" xr:uid="{2973951F-3561-466B-BDFD-9DE9D63BFB7C}"/>
    <cellStyle name="Vírgula 10 2 3 4 5 4" xfId="12894" xr:uid="{93428E78-8F95-4595-A13E-6F53C0AA3DDA}"/>
    <cellStyle name="Vírgula 10 2 3 4 5 4 2" xfId="33235" xr:uid="{02349684-D32F-47E3-965A-FE7A31459810}"/>
    <cellStyle name="Vírgula 10 2 3 4 5 5" xfId="11667" xr:uid="{7AD2C808-0903-4C96-8789-10725FC72BF5}"/>
    <cellStyle name="Vírgula 10 2 3 4 5 5 2" xfId="32009" xr:uid="{A8800AC8-1585-4715-A936-3B24A7E2ABBE}"/>
    <cellStyle name="Vírgula 10 2 3 4 5 6" xfId="28515" xr:uid="{9C915975-FEEE-42FB-ABE4-74F4E11B9D65}"/>
    <cellStyle name="Vírgula 10 2 3 4 6" xfId="15791" xr:uid="{C94E29BA-6036-495F-95E0-54E2C9874CDF}"/>
    <cellStyle name="Vírgula 10 2 3 4 6 2" xfId="36131" xr:uid="{F5E49B53-C9A5-41E5-B6DF-BA19F61B004C}"/>
    <cellStyle name="Vírgula 10 2 3 4 7" xfId="18705" xr:uid="{23ACCCCA-0D22-4DD1-9AEC-74368BDBC041}"/>
    <cellStyle name="Vírgula 10 2 3 4 7 2" xfId="39045" xr:uid="{6D0A055A-24D2-4732-9C2A-206647B4FA81}"/>
    <cellStyle name="Vírgula 10 2 3 4 8" xfId="19293" xr:uid="{5A16D907-7C9D-4B06-8956-8A8ADCA72C36}"/>
    <cellStyle name="Vírgula 10 2 3 4 8 2" xfId="39632" xr:uid="{337C48BF-8883-4308-B2D8-62DDBFBC2988}"/>
    <cellStyle name="Vírgula 10 2 3 4 9" xfId="22548" xr:uid="{CA768A49-8B00-4D29-8E10-B5CE8F6D8AEE}"/>
    <cellStyle name="Vírgula 10 2 3 4 9 2" xfId="42883" xr:uid="{69708C31-5980-4A5F-8454-1F458F18ADDF}"/>
    <cellStyle name="Vírgula 10 2 3 5" xfId="5589" xr:uid="{6BB1976C-3238-4115-B214-C0E83F0DBA7F}"/>
    <cellStyle name="Vírgula 10 2 3 5 10" xfId="12340" xr:uid="{A08EB620-F191-459B-B01C-1FE7C29A2B38}"/>
    <cellStyle name="Vírgula 10 2 3 5 10 2" xfId="32681" xr:uid="{31FB325F-630B-4906-8CBE-736E6847CF7A}"/>
    <cellStyle name="Vírgula 10 2 3 5 11" xfId="9079" xr:uid="{5E5199C0-333D-4E45-9BD5-1E4A0EC93866}"/>
    <cellStyle name="Vírgula 10 2 3 5 11 2" xfId="29422" xr:uid="{CEE4C4A3-4B53-4A64-B764-DA574A68AE3C}"/>
    <cellStyle name="Vírgula 10 2 3 5 12" xfId="25928" xr:uid="{62941AE2-1968-4564-8462-EC55861A79E6}"/>
    <cellStyle name="Vírgula 10 2 3 5 2" xfId="6161" xr:uid="{A154A0BA-AF07-4AF7-B0CE-013BF502EE7E}"/>
    <cellStyle name="Vírgula 10 2 3 5 2 2" xfId="7319" xr:uid="{60BCFDB4-A8B9-4130-960E-93E499C81FF7}"/>
    <cellStyle name="Vírgula 10 2 3 5 2 2 2" xfId="17605" xr:uid="{98BB5888-9893-44C4-BB24-0121F671A49F}"/>
    <cellStyle name="Vírgula 10 2 3 5 2 2 2 2" xfId="37945" xr:uid="{074475A5-808F-44C8-9096-ED328488B9CA}"/>
    <cellStyle name="Vírgula 10 2 3 5 2 2 3" xfId="21107" xr:uid="{F7AAB10E-301E-43E9-84B2-447C5930B160}"/>
    <cellStyle name="Vírgula 10 2 3 5 2 2 3 2" xfId="41446" xr:uid="{E22E2CE5-419A-4F07-AA9D-47448D2AA5A7}"/>
    <cellStyle name="Vírgula 10 2 3 5 2 2 4" xfId="24362" xr:uid="{0AE1BB83-46DF-4FAE-A364-B798611DC4AA}"/>
    <cellStyle name="Vírgula 10 2 3 5 2 2 4 2" xfId="44697" xr:uid="{F9BEB7E3-8A9B-41A0-ABBE-50202C7EF4C0}"/>
    <cellStyle name="Vírgula 10 2 3 5 2 2 5" xfId="14696" xr:uid="{6C3DAA81-493D-485D-907C-E612A8552B69}"/>
    <cellStyle name="Vírgula 10 2 3 5 2 2 5 2" xfId="35037" xr:uid="{F43AB784-0AE1-403F-B6FE-E3CF71586B12}"/>
    <cellStyle name="Vírgula 10 2 3 5 2 2 6" xfId="10818" xr:uid="{F90F1F61-3BDA-43C7-A7F2-2FA64EE2D29F}"/>
    <cellStyle name="Vírgula 10 2 3 5 2 2 6 2" xfId="31161" xr:uid="{0850C7A8-B7DE-4539-ADB1-3CF5C8889E44}"/>
    <cellStyle name="Vírgula 10 2 3 5 2 2 7" xfId="27667" xr:uid="{EF08E70F-BE42-44D1-ACFC-9802156F2701}"/>
    <cellStyle name="Vírgula 10 2 3 5 2 3" xfId="16447" xr:uid="{AFD0D71F-CA5E-4CDC-B614-D0EE20DE017B}"/>
    <cellStyle name="Vírgula 10 2 3 5 2 3 2" xfId="36787" xr:uid="{8DA171CA-AF2E-4891-8436-BB83D441875F}"/>
    <cellStyle name="Vírgula 10 2 3 5 2 4" xfId="19949" xr:uid="{A39F13DF-68AB-4B02-9B8A-DCD9E22F6F49}"/>
    <cellStyle name="Vírgula 10 2 3 5 2 4 2" xfId="40288" xr:uid="{60E173BF-0F8B-414C-B309-1A43FBB34F73}"/>
    <cellStyle name="Vírgula 10 2 3 5 2 5" xfId="23204" xr:uid="{D290C94A-7FD5-4C50-A49E-7A7A9332D421}"/>
    <cellStyle name="Vírgula 10 2 3 5 2 5 2" xfId="43539" xr:uid="{80C5D442-581C-4BF6-A791-A4445DB7A488}"/>
    <cellStyle name="Vírgula 10 2 3 5 2 6" xfId="13538" xr:uid="{24C31EB6-1BC3-4055-A33A-32B6BBEF2389}"/>
    <cellStyle name="Vírgula 10 2 3 5 2 6 2" xfId="33879" xr:uid="{3249D29F-1ECA-4AD7-9B1C-E627718FC892}"/>
    <cellStyle name="Vírgula 10 2 3 5 2 7" xfId="9660" xr:uid="{74F46ACE-94A5-4F5D-AFAB-1F202DAE730C}"/>
    <cellStyle name="Vírgula 10 2 3 5 2 7 2" xfId="30003" xr:uid="{9D379F02-E60E-41DC-9E18-576C22544E6C}"/>
    <cellStyle name="Vírgula 10 2 3 5 2 8" xfId="26509" xr:uid="{117063F0-733D-4655-A393-5BA860405A6D}"/>
    <cellStyle name="Vírgula 10 2 3 5 3" xfId="6738" xr:uid="{4E1E8D0E-9A09-470A-94B0-170A12F0A98E}"/>
    <cellStyle name="Vírgula 10 2 3 5 3 2" xfId="17024" xr:uid="{949116A8-58D1-4D69-A632-5115E9DD74D7}"/>
    <cellStyle name="Vírgula 10 2 3 5 3 2 2" xfId="37364" xr:uid="{4DB99A2B-C0DB-48AD-8A38-C7C41A80297C}"/>
    <cellStyle name="Vírgula 10 2 3 5 3 3" xfId="20526" xr:uid="{81A26414-811E-4D51-9ABE-F8F045E8F1EA}"/>
    <cellStyle name="Vírgula 10 2 3 5 3 3 2" xfId="40865" xr:uid="{EE30EF2F-E973-4204-93F5-B86ED1CB4C31}"/>
    <cellStyle name="Vírgula 10 2 3 5 3 4" xfId="23781" xr:uid="{277A9548-CFF6-4AE5-ADED-9C110C8BCFE9}"/>
    <cellStyle name="Vírgula 10 2 3 5 3 4 2" xfId="44116" xr:uid="{72106F90-A5B9-4A61-91E2-7CC6F526D78E}"/>
    <cellStyle name="Vírgula 10 2 3 5 3 5" xfId="14115" xr:uid="{56A53A3F-9629-48D9-8F8A-E53689DFC6C7}"/>
    <cellStyle name="Vírgula 10 2 3 5 3 5 2" xfId="34456" xr:uid="{B32EF531-CAA5-43A9-89C0-A59639477173}"/>
    <cellStyle name="Vírgula 10 2 3 5 3 6" xfId="10237" xr:uid="{473C8BB8-55B0-4B28-AD64-C65319A5347B}"/>
    <cellStyle name="Vírgula 10 2 3 5 3 6 2" xfId="30580" xr:uid="{78362E50-0CD6-42E0-B383-6B3B88B87A21}"/>
    <cellStyle name="Vírgula 10 2 3 5 3 7" xfId="27086" xr:uid="{FFFED7E5-7C94-4275-A208-B5C5C0DFDE4D}"/>
    <cellStyle name="Vírgula 10 2 3 5 4" xfId="7902" xr:uid="{08E4D683-2B04-46CF-A533-6E1C98B3B7D8}"/>
    <cellStyle name="Vírgula 10 2 3 5 4 2" xfId="18187" xr:uid="{955F754A-041E-487E-93CA-F342B0218AB7}"/>
    <cellStyle name="Vírgula 10 2 3 5 4 2 2" xfId="38527" xr:uid="{9AE7BCE4-DCD7-46FD-8AA7-4384B739B765}"/>
    <cellStyle name="Vírgula 10 2 3 5 4 3" xfId="21689" xr:uid="{FAA1458D-51BD-4B18-B811-B20DA0A4EBE7}"/>
    <cellStyle name="Vírgula 10 2 3 5 4 3 2" xfId="42028" xr:uid="{F1B8C443-AD34-4CE4-A6BB-BA16528521C5}"/>
    <cellStyle name="Vírgula 10 2 3 5 4 4" xfId="24944" xr:uid="{669A6886-6F96-43AD-8FBA-6B4844F58851}"/>
    <cellStyle name="Vírgula 10 2 3 5 4 4 2" xfId="45279" xr:uid="{019C2768-7ECB-4F73-8F4A-3FEB45579A31}"/>
    <cellStyle name="Vírgula 10 2 3 5 4 5" xfId="15279" xr:uid="{0AEF6488-E641-47FA-B2EA-B641061DC81B}"/>
    <cellStyle name="Vírgula 10 2 3 5 4 5 2" xfId="35619" xr:uid="{F69526F5-E1C3-4EF8-882A-AD6CA89B865C}"/>
    <cellStyle name="Vírgula 10 2 3 5 4 6" xfId="11400" xr:uid="{29D30471-5DF1-473E-8989-5D361E12E998}"/>
    <cellStyle name="Vírgula 10 2 3 5 4 6 2" xfId="31743" xr:uid="{C1718AE1-EAAF-4C10-8CB9-776069955031}"/>
    <cellStyle name="Vírgula 10 2 3 5 4 7" xfId="28249" xr:uid="{B5EB1529-A46E-4A97-9B0C-D05843D3085D}"/>
    <cellStyle name="Vírgula 10 2 3 5 5" xfId="12969" xr:uid="{95C33302-5B2A-48DA-A980-C83D4553CC7F}"/>
    <cellStyle name="Vírgula 10 2 3 5 5 2" xfId="33310" xr:uid="{DD81C7C2-8B20-4C75-B7D4-59E6878382BE}"/>
    <cellStyle name="Vírgula 10 2 3 5 6" xfId="15866" xr:uid="{201E7C2D-D7B1-4984-8AAA-9B27E1C9B0AF}"/>
    <cellStyle name="Vírgula 10 2 3 5 6 2" xfId="36206" xr:uid="{50F76DFC-726D-4034-8CA9-13747E6111CF}"/>
    <cellStyle name="Vírgula 10 2 3 5 7" xfId="18780" xr:uid="{98C5D9CF-C495-4433-966E-B67677C2AB5A}"/>
    <cellStyle name="Vírgula 10 2 3 5 7 2" xfId="39120" xr:uid="{B1FF449E-0AB6-474C-9742-BED13A1A8E52}"/>
    <cellStyle name="Vírgula 10 2 3 5 8" xfId="19368" xr:uid="{4557738E-E970-41A2-A270-4BAE26EC6665}"/>
    <cellStyle name="Vírgula 10 2 3 5 8 2" xfId="39707" xr:uid="{91561755-8707-4BDC-9795-BFD81C8926E1}"/>
    <cellStyle name="Vírgula 10 2 3 5 9" xfId="22623" xr:uid="{0D8D7153-A076-4471-B3BD-C5D9F130C567}"/>
    <cellStyle name="Vírgula 10 2 3 5 9 2" xfId="42958" xr:uid="{C14C508C-AF01-46D0-B536-BFED2E2FAD56}"/>
    <cellStyle name="Vírgula 10 2 3 6" xfId="5687" xr:uid="{9C4EA1D2-F42D-4F39-AD0E-C282067402A7}"/>
    <cellStyle name="Vírgula 10 2 3 6 10" xfId="12438" xr:uid="{76061E34-C6F4-4903-B1D9-3A7A79DEBE00}"/>
    <cellStyle name="Vírgula 10 2 3 6 10 2" xfId="32779" xr:uid="{B538F295-54AC-4AB3-A9A7-D2E5CE37AB46}"/>
    <cellStyle name="Vírgula 10 2 3 6 11" xfId="9177" xr:uid="{6DAD0CB0-F5FA-4FD4-A585-1C7FB19E6B34}"/>
    <cellStyle name="Vírgula 10 2 3 6 11 2" xfId="29520" xr:uid="{349DAC3F-01F4-42B6-9F55-1422CB7BD7D8}"/>
    <cellStyle name="Vírgula 10 2 3 6 12" xfId="26026" xr:uid="{2FE5383D-AEF6-415F-A470-04C217321F2F}"/>
    <cellStyle name="Vírgula 10 2 3 6 2" xfId="6259" xr:uid="{183C6290-4C0F-4DD0-87C5-4B584F8FD9C5}"/>
    <cellStyle name="Vírgula 10 2 3 6 2 2" xfId="7417" xr:uid="{8E498EDC-A3A0-41AC-A4CA-C34852577786}"/>
    <cellStyle name="Vírgula 10 2 3 6 2 2 2" xfId="17703" xr:uid="{C825993B-21A2-4575-992D-776D19B9D6F9}"/>
    <cellStyle name="Vírgula 10 2 3 6 2 2 2 2" xfId="38043" xr:uid="{4EF7C29E-9D06-4863-AA2F-D188035AA95B}"/>
    <cellStyle name="Vírgula 10 2 3 6 2 2 3" xfId="21205" xr:uid="{E9FCAC68-CF31-489D-BFB0-3FF46C274DDE}"/>
    <cellStyle name="Vírgula 10 2 3 6 2 2 3 2" xfId="41544" xr:uid="{DFC01B96-C361-40F5-97B1-859F1ADB8FDB}"/>
    <cellStyle name="Vírgula 10 2 3 6 2 2 4" xfId="24460" xr:uid="{1789633B-2332-4DA2-AEE8-D30AA613A9ED}"/>
    <cellStyle name="Vírgula 10 2 3 6 2 2 4 2" xfId="44795" xr:uid="{825A5C90-1245-41AB-8319-842F19988652}"/>
    <cellStyle name="Vírgula 10 2 3 6 2 2 5" xfId="14794" xr:uid="{7755E156-AAB1-40BD-A324-EFE4D86585C8}"/>
    <cellStyle name="Vírgula 10 2 3 6 2 2 5 2" xfId="35135" xr:uid="{07AB2B22-8AAD-4343-AD19-DA45A2DFDDD8}"/>
    <cellStyle name="Vírgula 10 2 3 6 2 2 6" xfId="10916" xr:uid="{6ED9C717-F9AF-4241-A281-9380055764AD}"/>
    <cellStyle name="Vírgula 10 2 3 6 2 2 6 2" xfId="31259" xr:uid="{EE15F27C-7668-4142-AE66-D4A6F56426BB}"/>
    <cellStyle name="Vírgula 10 2 3 6 2 2 7" xfId="27765" xr:uid="{C32C648F-9F82-4D28-B4FF-C5E76B64CFB1}"/>
    <cellStyle name="Vírgula 10 2 3 6 2 3" xfId="16545" xr:uid="{B9AFC89D-6739-42CF-AAB2-9F5847BD9102}"/>
    <cellStyle name="Vírgula 10 2 3 6 2 3 2" xfId="36885" xr:uid="{90F2EFDB-8B8C-4165-949C-BB53DF547313}"/>
    <cellStyle name="Vírgula 10 2 3 6 2 4" xfId="20047" xr:uid="{381DD58F-BD1F-49C2-A956-0CD7632FC244}"/>
    <cellStyle name="Vírgula 10 2 3 6 2 4 2" xfId="40386" xr:uid="{04FE0812-6296-43F2-9F82-73049CD13267}"/>
    <cellStyle name="Vírgula 10 2 3 6 2 5" xfId="23302" xr:uid="{7D7D8420-3AC1-4870-9084-5DD3BC7E327A}"/>
    <cellStyle name="Vírgula 10 2 3 6 2 5 2" xfId="43637" xr:uid="{7F654A4A-FE99-4683-B20F-6D1A0C1B5E98}"/>
    <cellStyle name="Vírgula 10 2 3 6 2 6" xfId="13636" xr:uid="{466FE047-D9C7-45BC-B3FB-B4849B025B61}"/>
    <cellStyle name="Vírgula 10 2 3 6 2 6 2" xfId="33977" xr:uid="{B2361840-070C-4764-9B46-ADE82AEDEFC9}"/>
    <cellStyle name="Vírgula 10 2 3 6 2 7" xfId="9758" xr:uid="{85F0D352-BE4C-4D22-964C-F485B790AE64}"/>
    <cellStyle name="Vírgula 10 2 3 6 2 7 2" xfId="30101" xr:uid="{C826F4FE-BE7A-461F-A3D7-557E8F83E835}"/>
    <cellStyle name="Vírgula 10 2 3 6 2 8" xfId="26607" xr:uid="{6BA91344-7B3E-4E04-A80E-34E260D318CA}"/>
    <cellStyle name="Vírgula 10 2 3 6 3" xfId="6836" xr:uid="{07A8E54D-6ACA-48C2-92E2-583AC7B713F5}"/>
    <cellStyle name="Vírgula 10 2 3 6 3 2" xfId="17122" xr:uid="{36D4C2EB-03C3-4A66-8A27-D51B558792E6}"/>
    <cellStyle name="Vírgula 10 2 3 6 3 2 2" xfId="37462" xr:uid="{4188139E-B0A3-4108-B5C7-4FED6DC5B8D7}"/>
    <cellStyle name="Vírgula 10 2 3 6 3 3" xfId="20624" xr:uid="{535236B1-C442-4D4B-A64B-B92B24FAA9BA}"/>
    <cellStyle name="Vírgula 10 2 3 6 3 3 2" xfId="40963" xr:uid="{C6198182-B779-4129-AA51-FE9E70306C5D}"/>
    <cellStyle name="Vírgula 10 2 3 6 3 4" xfId="23879" xr:uid="{C7FAE5F7-4277-4E8E-839C-668B7325420F}"/>
    <cellStyle name="Vírgula 10 2 3 6 3 4 2" xfId="44214" xr:uid="{D9C2425E-5CC8-47EF-A413-FD902C7D754D}"/>
    <cellStyle name="Vírgula 10 2 3 6 3 5" xfId="14213" xr:uid="{83F4F060-1432-44EC-A611-88645AC251F5}"/>
    <cellStyle name="Vírgula 10 2 3 6 3 5 2" xfId="34554" xr:uid="{70A9808B-7652-4029-AEE9-4B1128DB2AFB}"/>
    <cellStyle name="Vírgula 10 2 3 6 3 6" xfId="10335" xr:uid="{D1FAB7A6-C37B-4337-88BF-D0B6DF7126C7}"/>
    <cellStyle name="Vírgula 10 2 3 6 3 6 2" xfId="30678" xr:uid="{54D6B864-9AC2-4598-A9ED-79EA429B958D}"/>
    <cellStyle name="Vírgula 10 2 3 6 3 7" xfId="27184" xr:uid="{D3E052E2-28A1-465A-BACB-FFDC030A7C11}"/>
    <cellStyle name="Vírgula 10 2 3 6 4" xfId="8000" xr:uid="{70D1A4B3-CB18-4ACC-8450-7FC26E4DF13D}"/>
    <cellStyle name="Vírgula 10 2 3 6 4 2" xfId="18285" xr:uid="{3ACDE0E2-8974-4F6E-AF66-7ACBE77A44E3}"/>
    <cellStyle name="Vírgula 10 2 3 6 4 2 2" xfId="38625" xr:uid="{D4F4ACD4-DB52-4FC6-ACEE-36759012E01C}"/>
    <cellStyle name="Vírgula 10 2 3 6 4 3" xfId="21787" xr:uid="{87891698-8FA1-48A5-B7E9-FEE6191262F7}"/>
    <cellStyle name="Vírgula 10 2 3 6 4 3 2" xfId="42126" xr:uid="{8C071AC0-EA22-4301-B196-7FB2F3BDC272}"/>
    <cellStyle name="Vírgula 10 2 3 6 4 4" xfId="25042" xr:uid="{6C6DB2A6-36DF-4F53-AC47-9270AB26BDFA}"/>
    <cellStyle name="Vírgula 10 2 3 6 4 4 2" xfId="45377" xr:uid="{AF9DA8B8-ED00-4EF2-8A8C-1DAEC05F23C2}"/>
    <cellStyle name="Vírgula 10 2 3 6 4 5" xfId="15377" xr:uid="{1E00F3D1-0806-4198-8BAF-3EA8220AA78D}"/>
    <cellStyle name="Vírgula 10 2 3 6 4 5 2" xfId="35717" xr:uid="{2BB523C9-A7E2-493C-804E-4137C3E3228E}"/>
    <cellStyle name="Vírgula 10 2 3 6 4 6" xfId="11498" xr:uid="{DF334398-5A14-40A1-A34D-3D0FDC3C691D}"/>
    <cellStyle name="Vírgula 10 2 3 6 4 6 2" xfId="31841" xr:uid="{25D545C1-6980-42B6-B689-853DE80CA48F}"/>
    <cellStyle name="Vírgula 10 2 3 6 4 7" xfId="28347" xr:uid="{C7B7B544-21A9-4713-B243-4983693E1C97}"/>
    <cellStyle name="Vírgula 10 2 3 6 5" xfId="13067" xr:uid="{E7B0CAB2-980B-4242-B825-9B1DFCD0D5B5}"/>
    <cellStyle name="Vírgula 10 2 3 6 5 2" xfId="33408" xr:uid="{DBC82D8D-D35C-461A-A4F1-00B17D99A582}"/>
    <cellStyle name="Vírgula 10 2 3 6 6" xfId="15964" xr:uid="{D61E3DBE-9032-4950-8290-74597655D811}"/>
    <cellStyle name="Vírgula 10 2 3 6 6 2" xfId="36304" xr:uid="{BFA9B2A6-D923-4091-ADDC-4E6FD2CB7914}"/>
    <cellStyle name="Vírgula 10 2 3 6 7" xfId="18878" xr:uid="{E6E60D03-9935-4D07-959E-F18D90B11FFC}"/>
    <cellStyle name="Vírgula 10 2 3 6 7 2" xfId="39218" xr:uid="{A7A22F15-E718-47ED-9F07-FD550F2FFABD}"/>
    <cellStyle name="Vírgula 10 2 3 6 8" xfId="19466" xr:uid="{F7314BB2-79A8-48B2-8C71-01C0F87C94F3}"/>
    <cellStyle name="Vírgula 10 2 3 6 8 2" xfId="39805" xr:uid="{216518D3-10ED-4F00-9100-F32DC9AE1FF1}"/>
    <cellStyle name="Vírgula 10 2 3 6 9" xfId="22721" xr:uid="{F3F84582-AA36-44B3-8B38-225C09E50684}"/>
    <cellStyle name="Vírgula 10 2 3 6 9 2" xfId="43056" xr:uid="{C5990CA2-F01A-411D-8A33-9794A0B85C65}"/>
    <cellStyle name="Vírgula 10 2 3 7" xfId="5817" xr:uid="{A9D24309-553C-441F-A96C-4859A27C65FF}"/>
    <cellStyle name="Vírgula 10 2 3 7 2" xfId="6975" xr:uid="{160007C9-700A-40E6-A503-DB794E7BE4CD}"/>
    <cellStyle name="Vírgula 10 2 3 7 2 2" xfId="17261" xr:uid="{3D5D2912-A5F4-4A95-BA79-3E5C4A581CEF}"/>
    <cellStyle name="Vírgula 10 2 3 7 2 2 2" xfId="37601" xr:uid="{C1C9D8E0-B752-4FEB-A510-598A6A91C428}"/>
    <cellStyle name="Vírgula 10 2 3 7 2 3" xfId="20763" xr:uid="{C2139C4C-A189-4389-BEB1-158BE4B7FC25}"/>
    <cellStyle name="Vírgula 10 2 3 7 2 3 2" xfId="41102" xr:uid="{17598F9F-B6C3-4CEA-8CD8-FD83610F25EC}"/>
    <cellStyle name="Vírgula 10 2 3 7 2 4" xfId="24018" xr:uid="{84630302-BE68-46A2-859B-8D1D81A4CF71}"/>
    <cellStyle name="Vírgula 10 2 3 7 2 4 2" xfId="44353" xr:uid="{81B10395-B7F7-4412-B8F9-6BC8C0490AB5}"/>
    <cellStyle name="Vírgula 10 2 3 7 2 5" xfId="14352" xr:uid="{59162A3E-6E5D-4B75-898D-8CBA12DA5121}"/>
    <cellStyle name="Vírgula 10 2 3 7 2 5 2" xfId="34693" xr:uid="{81B4C158-D061-4753-9007-73387D785133}"/>
    <cellStyle name="Vírgula 10 2 3 7 2 6" xfId="10474" xr:uid="{89B86272-A528-4254-B883-CE18A800B07F}"/>
    <cellStyle name="Vírgula 10 2 3 7 2 6 2" xfId="30817" xr:uid="{AD7D03F8-A010-4BE2-A612-ABF9444BA955}"/>
    <cellStyle name="Vírgula 10 2 3 7 2 7" xfId="27323" xr:uid="{E25FF66D-9D9C-4905-AEB6-3CE7C5059F9B}"/>
    <cellStyle name="Vírgula 10 2 3 7 3" xfId="16103" xr:uid="{2FB4FEC8-F186-49FB-8CC9-8D3F3235A449}"/>
    <cellStyle name="Vírgula 10 2 3 7 3 2" xfId="36443" xr:uid="{BD3627D9-B1EA-4518-9C12-C09822682B76}"/>
    <cellStyle name="Vírgula 10 2 3 7 4" xfId="19605" xr:uid="{E69C7546-60BE-4AA3-8F53-CB7E750F26B5}"/>
    <cellStyle name="Vírgula 10 2 3 7 4 2" xfId="39944" xr:uid="{080B7A9E-E3A5-4DAE-9E6C-A65BDD45CD47}"/>
    <cellStyle name="Vírgula 10 2 3 7 5" xfId="22860" xr:uid="{6D812628-8645-44BA-8BDF-0AE127E694E1}"/>
    <cellStyle name="Vírgula 10 2 3 7 5 2" xfId="43195" xr:uid="{87C793D2-CFD6-4BF1-8DD7-480BB900102F}"/>
    <cellStyle name="Vírgula 10 2 3 7 6" xfId="13198" xr:uid="{830E7128-4747-4240-8F7F-F6996947B043}"/>
    <cellStyle name="Vírgula 10 2 3 7 6 2" xfId="33539" xr:uid="{874F7F48-5F4F-4BBD-9EB7-4E6EDB9BA901}"/>
    <cellStyle name="Vírgula 10 2 3 7 7" xfId="9316" xr:uid="{72CD043D-49F3-441B-829E-0BA6417EF737}"/>
    <cellStyle name="Vírgula 10 2 3 7 7 2" xfId="29659" xr:uid="{2DDEF7C0-D6F6-45E7-AA5A-599E268D136B}"/>
    <cellStyle name="Vírgula 10 2 3 7 8" xfId="26165" xr:uid="{26F17F52-E415-4AFE-BE2E-0EFFE5B41277}"/>
    <cellStyle name="Vírgula 10 2 3 8" xfId="6394" xr:uid="{40776E40-0C8F-484C-85D1-B1256DB0DEEB}"/>
    <cellStyle name="Vírgula 10 2 3 8 2" xfId="16680" xr:uid="{3F3C2D10-07F3-4A75-A908-31A533D666DA}"/>
    <cellStyle name="Vírgula 10 2 3 8 2 2" xfId="37020" xr:uid="{DFE3BC40-1E92-43A4-BB0C-F116EF53126C}"/>
    <cellStyle name="Vírgula 10 2 3 8 3" xfId="20182" xr:uid="{42246A8C-796B-4D14-B166-3CF71DFAE96A}"/>
    <cellStyle name="Vírgula 10 2 3 8 3 2" xfId="40521" xr:uid="{4B3BC682-4E44-4F2D-9BE0-DA7EF431073B}"/>
    <cellStyle name="Vírgula 10 2 3 8 4" xfId="23437" xr:uid="{A62CB54B-3D1E-4A10-9DD8-22910810D7C0}"/>
    <cellStyle name="Vírgula 10 2 3 8 4 2" xfId="43772" xr:uid="{A99E5EEE-5595-41F3-9721-AD71AE0AF5FA}"/>
    <cellStyle name="Vírgula 10 2 3 8 5" xfId="13771" xr:uid="{BE1EFD95-EED6-4A0F-B62F-02FBACC994B3}"/>
    <cellStyle name="Vírgula 10 2 3 8 5 2" xfId="34112" xr:uid="{00D6B61C-BCD2-4BE6-A2AA-AF71FAFD062C}"/>
    <cellStyle name="Vírgula 10 2 3 8 6" xfId="9893" xr:uid="{36819F93-92BA-4CDF-B1AC-0C8479665437}"/>
    <cellStyle name="Vírgula 10 2 3 8 6 2" xfId="30236" xr:uid="{A1A10C04-6F7A-450D-9253-2D77E104F945}"/>
    <cellStyle name="Vírgula 10 2 3 8 7" xfId="26742" xr:uid="{3A263FC7-887C-45EB-9290-F10A24178578}"/>
    <cellStyle name="Vírgula 10 2 3 9" xfId="7558" xr:uid="{0B93DA34-2F2E-42B9-9B24-F87019476A94}"/>
    <cellStyle name="Vírgula 10 2 3 9 2" xfId="17843" xr:uid="{15DB8CF1-D731-4236-B45A-A75BFBE00C7B}"/>
    <cellStyle name="Vírgula 10 2 3 9 2 2" xfId="38183" xr:uid="{619B12EA-0FE1-4FBB-904D-1D8275346381}"/>
    <cellStyle name="Vírgula 10 2 3 9 3" xfId="21345" xr:uid="{271E3EE8-1C30-4270-A3E6-776F8E38A4B8}"/>
    <cellStyle name="Vírgula 10 2 3 9 3 2" xfId="41684" xr:uid="{58681C8A-CA3F-4269-AA46-8406CA941C9D}"/>
    <cellStyle name="Vírgula 10 2 3 9 4" xfId="24600" xr:uid="{4857EDFB-B7E4-4206-81D4-379D76E84636}"/>
    <cellStyle name="Vírgula 10 2 3 9 4 2" xfId="44935" xr:uid="{5CC07DAE-C866-44FD-9943-E4EF3F05733F}"/>
    <cellStyle name="Vírgula 10 2 3 9 5" xfId="14935" xr:uid="{2322E95D-36B0-4BFF-A999-D1196DD019D4}"/>
    <cellStyle name="Vírgula 10 2 3 9 5 2" xfId="35275" xr:uid="{7F2EBC92-1449-4B5D-B8F5-DC8DB67BD631}"/>
    <cellStyle name="Vírgula 10 2 3 9 6" xfId="11056" xr:uid="{04C06722-A4E2-4A70-B3FC-437E34091782}"/>
    <cellStyle name="Vírgula 10 2 3 9 6 2" xfId="31399" xr:uid="{ACBFE1F8-DA40-40F7-A01F-F99A45ACAD6E}"/>
    <cellStyle name="Vírgula 10 2 3 9 7" xfId="27905" xr:uid="{BBB385A2-0C4B-4918-9418-9E98A0B3A486}"/>
    <cellStyle name="Vírgula 10 2 4" xfId="793" xr:uid="{0A7D783D-68A2-4822-AA5B-CD6C9281613F}"/>
    <cellStyle name="Vírgula 10 2 4 10" xfId="22366" xr:uid="{1C943AA0-D67F-48BA-97DB-E3F3CCDD4A26}"/>
    <cellStyle name="Vírgula 10 2 4 10 2" xfId="42701" xr:uid="{CB919F94-983F-45A1-876F-9F25446E88B0}"/>
    <cellStyle name="Vírgula 10 2 4 11" xfId="12083" xr:uid="{D352ABF4-48B5-4E7E-B3E9-CCC0814993E5}"/>
    <cellStyle name="Vírgula 10 2 4 11 2" xfId="32424" xr:uid="{6BA6235F-C30F-4367-88D8-21FC2C5BF2F0}"/>
    <cellStyle name="Vírgula 10 2 4 12" xfId="8822" xr:uid="{AF28BAB1-68AE-43EF-8785-774342392277}"/>
    <cellStyle name="Vírgula 10 2 4 12 2" xfId="29165" xr:uid="{56CA28A0-90EA-4924-9BA6-9C7D720EB944}"/>
    <cellStyle name="Vírgula 10 2 4 13" xfId="25671" xr:uid="{CC066563-98EA-416D-821D-B2D6314E14A8}"/>
    <cellStyle name="Vírgula 10 2 4 14" xfId="45880" xr:uid="{E71EF5E1-6558-4852-B0BE-3BBF6A3176FD}"/>
    <cellStyle name="Vírgula 10 2 4 15" xfId="46366" xr:uid="{79C06FD5-36ED-409A-899D-9F2A1ECD3D11}"/>
    <cellStyle name="Vírgula 10 2 4 16" xfId="46858" xr:uid="{C3DDD900-9B10-4B7D-9C86-DF8D057D2D69}"/>
    <cellStyle name="Vírgula 10 2 4 17" xfId="48357" xr:uid="{F77EC5FB-9F88-4BE8-BA4E-D56ABDB5F33B}"/>
    <cellStyle name="Vírgula 10 2 4 18" xfId="50025" xr:uid="{ECDB89D5-267D-437B-92EB-473209469D6F}"/>
    <cellStyle name="Vírgula 10 2 4 19" xfId="53320" xr:uid="{922FCF52-772F-4C62-B87C-EEEB513192F0}"/>
    <cellStyle name="Vírgula 10 2 4 2" xfId="2509" xr:uid="{F36833C8-B6AB-4B48-8B50-73E00F2E26C9}"/>
    <cellStyle name="Vírgula 10 2 4 2 10" xfId="12470" xr:uid="{B998FA91-EC57-45E5-B231-9DDDE147CD3A}"/>
    <cellStyle name="Vírgula 10 2 4 2 10 2" xfId="32811" xr:uid="{08BD746A-D799-4491-AC4E-A1402702D1B2}"/>
    <cellStyle name="Vírgula 10 2 4 2 11" xfId="9209" xr:uid="{73D7A4D8-8A62-44E4-8255-1617DA13CAC2}"/>
    <cellStyle name="Vírgula 10 2 4 2 11 2" xfId="29552" xr:uid="{A8B875D4-1B6F-431D-B771-AE20F620976A}"/>
    <cellStyle name="Vírgula 10 2 4 2 12" xfId="26058" xr:uid="{14200BF1-85CC-4002-81A7-7E1E3A49F172}"/>
    <cellStyle name="Vírgula 10 2 4 2 13" xfId="45964" xr:uid="{45C847C6-F3B9-4092-A948-B8CBD3887A84}"/>
    <cellStyle name="Vírgula 10 2 4 2 14" xfId="46450" xr:uid="{9F3244FC-6446-4611-80EB-0C887BFD6B10}"/>
    <cellStyle name="Vírgula 10 2 4 2 15" xfId="46942" xr:uid="{8CD38842-7236-4456-A4B0-6DBA92784BF1}"/>
    <cellStyle name="Vírgula 10 2 4 2 16" xfId="51659" xr:uid="{8D96969D-B2D9-4121-98AA-824AECF59F86}"/>
    <cellStyle name="Vírgula 10 2 4 2 17" xfId="54953" xr:uid="{91780694-8807-45DB-B636-C6F6265768FF}"/>
    <cellStyle name="Vírgula 10 2 4 2 18" xfId="5719" xr:uid="{FF1B282C-F330-4DB9-95F5-BE89C08B9C34}"/>
    <cellStyle name="Vírgula 10 2 4 2 19" xfId="5082" xr:uid="{F982F2BD-EB8B-4AEC-B218-6E54344B57E5}"/>
    <cellStyle name="Vírgula 10 2 4 2 2" xfId="6291" xr:uid="{1EE8CD74-6777-458F-B6C9-AD3B41D8215C}"/>
    <cellStyle name="Vírgula 10 2 4 2 2 10" xfId="46693" xr:uid="{F5A0340B-CCD7-4621-B102-9FB1745A4D72}"/>
    <cellStyle name="Vírgula 10 2 4 2 2 11" xfId="47185" xr:uid="{ABC4C7A8-F79D-4749-B2A1-A2D46111AA76}"/>
    <cellStyle name="Vírgula 10 2 4 2 2 2" xfId="7449" xr:uid="{1EB13705-BA71-4B97-A4FE-0AA12298B8EF}"/>
    <cellStyle name="Vírgula 10 2 4 2 2 2 2" xfId="17735" xr:uid="{7402B128-6A26-40DC-9628-39CD8D0F482D}"/>
    <cellStyle name="Vírgula 10 2 4 2 2 2 2 2" xfId="38075" xr:uid="{B1055CB5-2CA9-409B-9EFB-D6E8A7B515D8}"/>
    <cellStyle name="Vírgula 10 2 4 2 2 2 3" xfId="21237" xr:uid="{C6C78706-3284-4BF3-A98F-9D160B3BFEED}"/>
    <cellStyle name="Vírgula 10 2 4 2 2 2 3 2" xfId="41576" xr:uid="{FF67A8CA-6EB0-4FE2-BCB6-18F6C8BC394E}"/>
    <cellStyle name="Vírgula 10 2 4 2 2 2 4" xfId="24492" xr:uid="{9897D82B-38A1-4DF3-8870-CEFF05FA5AA1}"/>
    <cellStyle name="Vírgula 10 2 4 2 2 2 4 2" xfId="44827" xr:uid="{CE384A28-B026-4BED-9ABA-BF2DD5214D22}"/>
    <cellStyle name="Vírgula 10 2 4 2 2 2 5" xfId="14826" xr:uid="{02B55C76-45BB-49FF-BE3A-643D090EF96B}"/>
    <cellStyle name="Vírgula 10 2 4 2 2 2 5 2" xfId="35167" xr:uid="{AC5CB47A-A162-4821-AD7D-554361AAA068}"/>
    <cellStyle name="Vírgula 10 2 4 2 2 2 6" xfId="10948" xr:uid="{2ACEF150-432D-474D-A6EE-1CAA21B8699D}"/>
    <cellStyle name="Vírgula 10 2 4 2 2 2 6 2" xfId="31291" xr:uid="{BFA465DA-24CD-4178-9348-9F9E00ED2C51}"/>
    <cellStyle name="Vírgula 10 2 4 2 2 2 7" xfId="27797" xr:uid="{EAB63FBF-58B5-4D39-A1B8-C87F8AA09D8F}"/>
    <cellStyle name="Vírgula 10 2 4 2 2 3" xfId="16577" xr:uid="{DE8B6438-EAD3-48FD-8594-602395346D1E}"/>
    <cellStyle name="Vírgula 10 2 4 2 2 3 2" xfId="36917" xr:uid="{EB689D2D-4EA5-4282-BF44-180790926FF4}"/>
    <cellStyle name="Vírgula 10 2 4 2 2 4" xfId="20079" xr:uid="{FF48337E-B7B3-4988-8DAD-B54CB1837825}"/>
    <cellStyle name="Vírgula 10 2 4 2 2 4 2" xfId="40418" xr:uid="{2120B553-FF0E-4CDF-8E77-8C785AF44008}"/>
    <cellStyle name="Vírgula 10 2 4 2 2 5" xfId="23334" xr:uid="{B9BB1C34-CEFE-4CD8-B0A0-02621E96BEA2}"/>
    <cellStyle name="Vírgula 10 2 4 2 2 5 2" xfId="43669" xr:uid="{9EF650EF-3444-4972-BD4C-9EB9FC461566}"/>
    <cellStyle name="Vírgula 10 2 4 2 2 6" xfId="13668" xr:uid="{E246E3CE-C057-4035-8587-4ACFCFE3DF50}"/>
    <cellStyle name="Vírgula 10 2 4 2 2 6 2" xfId="34009" xr:uid="{94DD275D-58B6-476D-BF4B-1CA2D4C878A1}"/>
    <cellStyle name="Vírgula 10 2 4 2 2 7" xfId="9790" xr:uid="{035D43EE-7CE6-4096-A1E7-7F5107441CA7}"/>
    <cellStyle name="Vírgula 10 2 4 2 2 7 2" xfId="30133" xr:uid="{FB6C1D9D-1EAA-46EB-81D0-BD4CF97CF288}"/>
    <cellStyle name="Vírgula 10 2 4 2 2 8" xfId="26639" xr:uid="{4CDADB93-D8F0-47FD-B710-0674772B6AF5}"/>
    <cellStyle name="Vírgula 10 2 4 2 2 9" xfId="46207" xr:uid="{238E4562-17D9-423B-869B-750A0663C8A1}"/>
    <cellStyle name="Vírgula 10 2 4 2 3" xfId="6868" xr:uid="{3DD3E363-B00F-4CC6-9442-D613D97BFBB9}"/>
    <cellStyle name="Vírgula 10 2 4 2 3 2" xfId="17154" xr:uid="{0BB2DB0D-7A85-4C99-B077-C22966106A71}"/>
    <cellStyle name="Vírgula 10 2 4 2 3 2 2" xfId="37494" xr:uid="{0500941B-1D23-4503-945C-332B41263D27}"/>
    <cellStyle name="Vírgula 10 2 4 2 3 3" xfId="20656" xr:uid="{A95907ED-D3FE-4A2F-81AC-F45E96E46F4D}"/>
    <cellStyle name="Vírgula 10 2 4 2 3 3 2" xfId="40995" xr:uid="{2FC9A635-AD0B-452C-AF26-FAEF2D1B0795}"/>
    <cellStyle name="Vírgula 10 2 4 2 3 4" xfId="23911" xr:uid="{A16A13D4-7189-43AF-86AD-5090C0F90EA3}"/>
    <cellStyle name="Vírgula 10 2 4 2 3 4 2" xfId="44246" xr:uid="{15344731-D326-42D6-B0A1-DCAFF55D6F08}"/>
    <cellStyle name="Vírgula 10 2 4 2 3 5" xfId="14245" xr:uid="{C6E71FAB-6D18-4003-8A77-54942998A0D0}"/>
    <cellStyle name="Vírgula 10 2 4 2 3 5 2" xfId="34586" xr:uid="{5C8B1C82-093B-4AF9-AA06-EABF05760434}"/>
    <cellStyle name="Vírgula 10 2 4 2 3 6" xfId="10367" xr:uid="{786D1D0A-A0B6-4E52-B4B8-3B0CF4FB0C49}"/>
    <cellStyle name="Vírgula 10 2 4 2 3 6 2" xfId="30710" xr:uid="{355B6B3D-CFE7-4C58-A5C5-F4AA74201014}"/>
    <cellStyle name="Vírgula 10 2 4 2 3 7" xfId="27216" xr:uid="{CE61E810-F665-4AC1-833A-A70B51B57486}"/>
    <cellStyle name="Vírgula 10 2 4 2 4" xfId="8032" xr:uid="{EF393301-E385-4435-8BB5-33F8CD557697}"/>
    <cellStyle name="Vírgula 10 2 4 2 4 2" xfId="18317" xr:uid="{C1222B2B-C2F5-453A-B003-64EF905BA77E}"/>
    <cellStyle name="Vírgula 10 2 4 2 4 2 2" xfId="38657" xr:uid="{A32B98FD-F13C-4F69-9569-27AAECD6A6F1}"/>
    <cellStyle name="Vírgula 10 2 4 2 4 3" xfId="21819" xr:uid="{B1A144B5-FEEC-4002-938C-C6CDCD694B50}"/>
    <cellStyle name="Vírgula 10 2 4 2 4 3 2" xfId="42158" xr:uid="{D7375750-C0B9-453A-B819-105C6B1BBF7C}"/>
    <cellStyle name="Vírgula 10 2 4 2 4 4" xfId="25074" xr:uid="{1894E124-798C-442A-B402-C06AAF84506B}"/>
    <cellStyle name="Vírgula 10 2 4 2 4 4 2" xfId="45409" xr:uid="{265AB337-C4E1-4048-9927-2BEB8667DED9}"/>
    <cellStyle name="Vírgula 10 2 4 2 4 5" xfId="15409" xr:uid="{964809F9-2E5D-4C90-8E0D-6BC7E6E1176E}"/>
    <cellStyle name="Vírgula 10 2 4 2 4 5 2" xfId="35749" xr:uid="{43E26358-B3C2-4C52-ACB4-91D2479B841B}"/>
    <cellStyle name="Vírgula 10 2 4 2 4 6" xfId="11530" xr:uid="{A219A978-10AD-45CA-9FCC-6A3787622E2C}"/>
    <cellStyle name="Vírgula 10 2 4 2 4 6 2" xfId="31873" xr:uid="{2D31C33F-47EF-4EFA-89BD-4A0EA48A848D}"/>
    <cellStyle name="Vírgula 10 2 4 2 4 7" xfId="28379" xr:uid="{B7545CF3-DCF9-4F7C-9E1F-2A5819E9BCD4}"/>
    <cellStyle name="Vírgula 10 2 4 2 5" xfId="8173" xr:uid="{4E180BA6-475E-4D76-86D0-CE375A3ED1F6}"/>
    <cellStyle name="Vírgula 10 2 4 2 5 2" xfId="21960" xr:uid="{2A6A81CA-A1A0-4C8B-B5DD-D453ACFBCA8D}"/>
    <cellStyle name="Vírgula 10 2 4 2 5 2 2" xfId="42296" xr:uid="{C4809C43-C190-412A-953B-CA6DC6143C35}"/>
    <cellStyle name="Vírgula 10 2 4 2 5 3" xfId="25212" xr:uid="{4D5C474D-C9A6-4419-AA81-95B095A2C6A1}"/>
    <cellStyle name="Vírgula 10 2 4 2 5 3 2" xfId="45547" xr:uid="{14900848-ABF4-4B0E-944F-4B6198B9EA5E}"/>
    <cellStyle name="Vírgula 10 2 4 2 5 4" xfId="13099" xr:uid="{41E26765-1D0D-4C7E-8AB4-7E4913716F49}"/>
    <cellStyle name="Vírgula 10 2 4 2 5 4 2" xfId="33440" xr:uid="{2D377C25-4705-43D7-94CE-2C0BE0C7EC13}"/>
    <cellStyle name="Vírgula 10 2 4 2 5 5" xfId="11669" xr:uid="{DF98B29C-853A-461D-9EBD-8D880EC9360B}"/>
    <cellStyle name="Vírgula 10 2 4 2 5 5 2" xfId="32011" xr:uid="{FECCF62B-BD49-4246-8D0C-B88CC7108FB7}"/>
    <cellStyle name="Vírgula 10 2 4 2 5 6" xfId="28517" xr:uid="{1DBAD8BF-ECA1-49DB-A1B7-64817F2F9696}"/>
    <cellStyle name="Vírgula 10 2 4 2 6" xfId="8589" xr:uid="{80B0F7CE-78E2-4D4B-ADF3-D61E63A6E3BE}"/>
    <cellStyle name="Vírgula 10 2 4 2 6 2" xfId="15996" xr:uid="{A878BC8E-D655-498A-9B69-01F5628C4254}"/>
    <cellStyle name="Vírgula 10 2 4 2 6 2 2" xfId="36336" xr:uid="{7812A9F2-1847-4B15-8260-0874FC9EE9EB}"/>
    <cellStyle name="Vírgula 10 2 4 2 6 3" xfId="28932" xr:uid="{B9ED07AE-C87B-4EDE-9F34-4B6FA6DDEE21}"/>
    <cellStyle name="Vírgula 10 2 4 2 7" xfId="18910" xr:uid="{ABB7B7DC-20CB-4617-9709-753E2C8EFA9B}"/>
    <cellStyle name="Vírgula 10 2 4 2 7 2" xfId="39250" xr:uid="{C4871C74-58D0-4D8F-8675-E150A658CBBF}"/>
    <cellStyle name="Vírgula 10 2 4 2 8" xfId="19498" xr:uid="{D314540B-1FCD-41CE-9720-26526B2A8258}"/>
    <cellStyle name="Vírgula 10 2 4 2 8 2" xfId="39837" xr:uid="{A14B2A13-6990-437F-A489-EC611D495F16}"/>
    <cellStyle name="Vírgula 10 2 4 2 9" xfId="22753" xr:uid="{AC58075A-7058-4D55-A633-EFF52D42E294}"/>
    <cellStyle name="Vírgula 10 2 4 2 9 2" xfId="43088" xr:uid="{430A83FE-2DFA-4E24-8A26-FC10F9E4DECB}"/>
    <cellStyle name="Vírgula 10 2 4 20" xfId="5350" xr:uid="{E336CF1C-8E8F-4120-A015-7CB11EDB8D7A}"/>
    <cellStyle name="Vírgula 10 2 4 21" xfId="4863" xr:uid="{D2FD576A-77AC-4EA1-AFFD-6C61E4D74C55}"/>
    <cellStyle name="Vírgula 10 2 4 3" xfId="5009" xr:uid="{57044F18-C698-4872-B231-6803D8325317}"/>
    <cellStyle name="Vírgula 10 2 4 3 10" xfId="46609" xr:uid="{2CFE2EED-8E95-4BFD-8DC2-2CD6534BF9D1}"/>
    <cellStyle name="Vírgula 10 2 4 3 11" xfId="47101" xr:uid="{6149683F-68F2-46EC-B118-34A9CB0E85C5}"/>
    <cellStyle name="Vírgula 10 2 4 3 12" xfId="56664" xr:uid="{FCB82E40-98E8-47CD-85F3-7B259FB47C18}"/>
    <cellStyle name="Vírgula 10 2 4 3 13" xfId="5904" xr:uid="{978AF749-0791-4348-90CC-5F773AED8B4D}"/>
    <cellStyle name="Vírgula 10 2 4 3 2" xfId="7062" xr:uid="{304DBA5A-DFCC-4A7F-BD51-A2FA2610BE7A}"/>
    <cellStyle name="Vírgula 10 2 4 3 2 2" xfId="17348" xr:uid="{4E364DE7-EDA3-4253-9057-1FA35341DC2F}"/>
    <cellStyle name="Vírgula 10 2 4 3 2 2 2" xfId="37688" xr:uid="{4783DB7D-72C3-4BD8-892F-DC3A027DD03C}"/>
    <cellStyle name="Vírgula 10 2 4 3 2 3" xfId="20850" xr:uid="{939B25BF-3A94-406E-B3DA-6E310090A4F7}"/>
    <cellStyle name="Vírgula 10 2 4 3 2 3 2" xfId="41189" xr:uid="{FD4E7E7C-F1BF-4443-B3CF-99BB1BEA49A6}"/>
    <cellStyle name="Vírgula 10 2 4 3 2 4" xfId="24105" xr:uid="{0B0671D3-C1E1-4AA6-B16E-952F6BA45299}"/>
    <cellStyle name="Vírgula 10 2 4 3 2 4 2" xfId="44440" xr:uid="{0160862C-2C93-400B-A3F8-7918D24656CD}"/>
    <cellStyle name="Vírgula 10 2 4 3 2 5" xfId="14439" xr:uid="{865E60C0-15B6-42C6-950F-457F4D5486EC}"/>
    <cellStyle name="Vírgula 10 2 4 3 2 5 2" xfId="34780" xr:uid="{5EB7409C-192A-4F2F-8751-AF7FE7D89AD8}"/>
    <cellStyle name="Vírgula 10 2 4 3 2 6" xfId="10561" xr:uid="{3A91D7E2-271B-43FE-9460-CF8AC9C2A020}"/>
    <cellStyle name="Vírgula 10 2 4 3 2 6 2" xfId="30904" xr:uid="{2789F144-C2C3-44C4-B91E-C370771B6A48}"/>
    <cellStyle name="Vírgula 10 2 4 3 2 7" xfId="27410" xr:uid="{0C16A241-0487-49DE-917A-285CC89C5300}"/>
    <cellStyle name="Vírgula 10 2 4 3 3" xfId="8174" xr:uid="{7D7C1CC5-28F1-4DC8-9563-842EF22D62EE}"/>
    <cellStyle name="Vírgula 10 2 4 3 3 2" xfId="21961" xr:uid="{33BE1CE1-B2E7-4239-B657-2879CAD53517}"/>
    <cellStyle name="Vírgula 10 2 4 3 3 2 2" xfId="42297" xr:uid="{C3CC6535-0635-4810-B298-FF267237741D}"/>
    <cellStyle name="Vírgula 10 2 4 3 3 3" xfId="25213" xr:uid="{AF090A98-23C4-4125-B052-CD1A9F0B01A5}"/>
    <cellStyle name="Vírgula 10 2 4 3 3 3 2" xfId="45548" xr:uid="{52E7DAE2-1364-408B-9093-489ED5557354}"/>
    <cellStyle name="Vírgula 10 2 4 3 3 4" xfId="16190" xr:uid="{3995CA54-0F45-4CAC-B2B1-C16637ED7388}"/>
    <cellStyle name="Vírgula 10 2 4 3 3 4 2" xfId="36530" xr:uid="{B5511CD5-8A8D-4C96-B51D-0CBF17741A70}"/>
    <cellStyle name="Vírgula 10 2 4 3 3 5" xfId="11670" xr:uid="{DB957F6B-4025-4F02-8A20-69ED16A92D6B}"/>
    <cellStyle name="Vírgula 10 2 4 3 3 5 2" xfId="32012" xr:uid="{7E18E1D2-A1A2-4F91-A6A2-46B5E8B0ED89}"/>
    <cellStyle name="Vírgula 10 2 4 3 3 6" xfId="28518" xr:uid="{7646C427-2840-480F-ADAF-14B49C289A0B}"/>
    <cellStyle name="Vírgula 10 2 4 3 4" xfId="19692" xr:uid="{B79D124E-2865-423C-BDEA-5B9BAFC7E8F0}"/>
    <cellStyle name="Vírgula 10 2 4 3 4 2" xfId="40031" xr:uid="{9AB3FEDB-F060-42C6-9EBC-B6FB02C3A0DA}"/>
    <cellStyle name="Vírgula 10 2 4 3 5" xfId="22947" xr:uid="{888DC1FB-B8C8-4FAB-9CE7-C9130C06AA58}"/>
    <cellStyle name="Vírgula 10 2 4 3 5 2" xfId="43282" xr:uid="{35D88745-7D12-4424-9598-2003915C65F3}"/>
    <cellStyle name="Vírgula 10 2 4 3 6" xfId="13283" xr:uid="{1224444D-A62A-4EA5-84BF-9F77355A9C74}"/>
    <cellStyle name="Vírgula 10 2 4 3 6 2" xfId="33624" xr:uid="{AB056B96-E6F8-47A3-A610-B2FE10B38657}"/>
    <cellStyle name="Vírgula 10 2 4 3 7" xfId="9403" xr:uid="{6A2A6E34-38BD-45A8-9CCB-2848E22C781F}"/>
    <cellStyle name="Vírgula 10 2 4 3 7 2" xfId="29746" xr:uid="{39ECB911-C217-4134-9C74-296366412703}"/>
    <cellStyle name="Vírgula 10 2 4 3 8" xfId="26252" xr:uid="{61E55B04-86E3-4194-A383-B90EA5291AF1}"/>
    <cellStyle name="Vírgula 10 2 4 3 9" xfId="46123" xr:uid="{0C5DA1CB-181A-426E-8034-E3A75790E6EB}"/>
    <cellStyle name="Vírgula 10 2 4 4" xfId="6481" xr:uid="{B435BB0A-85FF-4EAC-8A9E-C6FC35AE9B1E}"/>
    <cellStyle name="Vírgula 10 2 4 4 2" xfId="16767" xr:uid="{44053B02-79F1-4F6C-9482-A344C5C8C93A}"/>
    <cellStyle name="Vírgula 10 2 4 4 2 2" xfId="37107" xr:uid="{80FC4C23-B288-4FD0-A3BE-7F8083A1C66A}"/>
    <cellStyle name="Vírgula 10 2 4 4 3" xfId="20269" xr:uid="{FC6DB9CC-CFA4-4EA9-A1F7-9E53DD0354A2}"/>
    <cellStyle name="Vírgula 10 2 4 4 3 2" xfId="40608" xr:uid="{1511D5CF-C8D6-44A8-9663-3491E93A87C3}"/>
    <cellStyle name="Vírgula 10 2 4 4 4" xfId="23524" xr:uid="{84559DFA-EA4F-4405-8EB9-803A479637FA}"/>
    <cellStyle name="Vírgula 10 2 4 4 4 2" xfId="43859" xr:uid="{3D5E0326-67B4-42D6-B740-5DDE7107D669}"/>
    <cellStyle name="Vírgula 10 2 4 4 5" xfId="13858" xr:uid="{ECF9AE3F-CD74-47A4-8AF2-161B03B249C4}"/>
    <cellStyle name="Vírgula 10 2 4 4 5 2" xfId="34199" xr:uid="{0540C360-EA2F-4030-A741-D4CDA4432B0E}"/>
    <cellStyle name="Vírgula 10 2 4 4 6" xfId="9980" xr:uid="{A58FFFA9-6F3F-4DD0-BA6A-A97D1695C414}"/>
    <cellStyle name="Vírgula 10 2 4 4 6 2" xfId="30323" xr:uid="{E9C3A081-C147-48DC-B22E-86E4516C4541}"/>
    <cellStyle name="Vírgula 10 2 4 4 7" xfId="26829" xr:uid="{6CA3DF23-1449-416C-9395-66855A747B35}"/>
    <cellStyle name="Vírgula 10 2 4 5" xfId="7645" xr:uid="{B618D1FD-4AED-4DCB-9167-0A59FEFD1F78}"/>
    <cellStyle name="Vírgula 10 2 4 5 2" xfId="17930" xr:uid="{1976D58D-78D4-48DD-B52D-230578F33C0E}"/>
    <cellStyle name="Vírgula 10 2 4 5 2 2" xfId="38270" xr:uid="{E44BC851-DFC7-4D6A-9BBE-0FEDA787AF33}"/>
    <cellStyle name="Vírgula 10 2 4 5 3" xfId="21432" xr:uid="{DAA87459-D6AD-460B-B73D-7D44C94D8681}"/>
    <cellStyle name="Vírgula 10 2 4 5 3 2" xfId="41771" xr:uid="{FB80A568-5A9D-43A0-A57F-07FB3CEDC398}"/>
    <cellStyle name="Vírgula 10 2 4 5 4" xfId="24687" xr:uid="{5B81648D-64BE-4841-B89A-6AD1094EB6C5}"/>
    <cellStyle name="Vírgula 10 2 4 5 4 2" xfId="45022" xr:uid="{E56666FB-768E-416D-8709-959ADA394A8A}"/>
    <cellStyle name="Vírgula 10 2 4 5 5" xfId="15022" xr:uid="{B86496DE-F2A8-4241-8D26-198CB72EC5BC}"/>
    <cellStyle name="Vírgula 10 2 4 5 5 2" xfId="35362" xr:uid="{0BDE917E-2005-4097-A277-950C6A74347A}"/>
    <cellStyle name="Vírgula 10 2 4 5 6" xfId="11143" xr:uid="{19016540-6C02-4AFD-9C1E-67EA628E7E46}"/>
    <cellStyle name="Vírgula 10 2 4 5 6 2" xfId="31486" xr:uid="{6B7F5485-225B-4779-84BE-711ED2856516}"/>
    <cellStyle name="Vírgula 10 2 4 5 7" xfId="27992" xr:uid="{C5644434-52BB-4BA4-991A-5599F81B5D33}"/>
    <cellStyle name="Vírgula 10 2 4 6" xfId="8172" xr:uid="{B732AF63-6D0B-4E3F-872E-BF200190FFE0}"/>
    <cellStyle name="Vírgula 10 2 4 6 2" xfId="21959" xr:uid="{D80192A1-E1B6-471F-952A-CD2C982F6C94}"/>
    <cellStyle name="Vírgula 10 2 4 6 2 2" xfId="42295" xr:uid="{96365611-6295-41B3-9973-9B72FB49638B}"/>
    <cellStyle name="Vírgula 10 2 4 6 3" xfId="25211" xr:uid="{3918AC6A-227F-4801-9D79-D289C0A9E871}"/>
    <cellStyle name="Vírgula 10 2 4 6 3 2" xfId="45546" xr:uid="{00346E6E-1DE6-4FAE-9D81-6351603B2E57}"/>
    <cellStyle name="Vírgula 10 2 4 6 4" xfId="12714" xr:uid="{968DBB83-C8A1-47DD-9889-32C0BE3BD63D}"/>
    <cellStyle name="Vírgula 10 2 4 6 4 2" xfId="33055" xr:uid="{DBA841B6-3E03-4911-9AF1-87364E665759}"/>
    <cellStyle name="Vírgula 10 2 4 6 5" xfId="11668" xr:uid="{362EE048-1F89-477C-9DC8-882503A4B59B}"/>
    <cellStyle name="Vírgula 10 2 4 6 5 2" xfId="32010" xr:uid="{7268E5FD-6B3D-4528-86C7-E3E84EF9712D}"/>
    <cellStyle name="Vírgula 10 2 4 6 6" xfId="28516" xr:uid="{D6CBE6DB-C18A-4F11-B7F4-F5A3DC42C785}"/>
    <cellStyle name="Vírgula 10 2 4 7" xfId="8505" xr:uid="{81B3AF53-E2D2-478F-A2CC-67091481CDEF}"/>
    <cellStyle name="Vírgula 10 2 4 7 2" xfId="15609" xr:uid="{E8BC01D2-93FC-4285-A678-5CA31CEECC20}"/>
    <cellStyle name="Vírgula 10 2 4 7 2 2" xfId="35949" xr:uid="{574027E2-409A-4892-B31B-90669B8F7E83}"/>
    <cellStyle name="Vírgula 10 2 4 7 3" xfId="28848" xr:uid="{B9DFA4D3-EA16-4F3F-B580-D511EBF0DB3B}"/>
    <cellStyle name="Vírgula 10 2 4 8" xfId="18523" xr:uid="{A6BA162F-1879-46F2-83D1-15705009F4D8}"/>
    <cellStyle name="Vírgula 10 2 4 8 2" xfId="38863" xr:uid="{33286976-4703-44F1-B014-C3894E3C7DBF}"/>
    <cellStyle name="Vírgula 10 2 4 9" xfId="19111" xr:uid="{5F1BE489-96A4-4803-B51B-5868CCB4198F}"/>
    <cellStyle name="Vírgula 10 2 4 9 2" xfId="39450" xr:uid="{60256950-94DB-49AA-A240-FA5B1C875307}"/>
    <cellStyle name="Vírgula 10 2 5" xfId="3649" xr:uid="{AB924C5D-895E-4843-ABF6-4369885FD3D3}"/>
    <cellStyle name="Vírgula 10 2 5 10" xfId="12179" xr:uid="{19E15379-EA08-438C-AB09-B2E5889866C0}"/>
    <cellStyle name="Vírgula 10 2 5 10 2" xfId="32520" xr:uid="{AECE9D7D-93BE-4562-8C90-4E0FB7282D12}"/>
    <cellStyle name="Vírgula 10 2 5 11" xfId="8918" xr:uid="{564A1E6B-F914-4294-9E46-9A76DDA9A0CD}"/>
    <cellStyle name="Vírgula 10 2 5 11 2" xfId="29261" xr:uid="{D5FA10B7-E53C-49DE-913D-E957432BEDCC}"/>
    <cellStyle name="Vírgula 10 2 5 12" xfId="25767" xr:uid="{B7AF73D3-F65C-4E75-B4C5-BF719DF1376D}"/>
    <cellStyle name="Vírgula 10 2 5 13" xfId="45955" xr:uid="{D77B5A90-4A53-4D13-93C4-FE2F0B617AA6}"/>
    <cellStyle name="Vírgula 10 2 5 14" xfId="46441" xr:uid="{4C40C1AE-BAAE-4FD5-85D1-7E5D1CA2D59B}"/>
    <cellStyle name="Vírgula 10 2 5 15" xfId="46933" xr:uid="{46652F1A-5952-4F21-AA9C-2FE798DF39D3}"/>
    <cellStyle name="Vírgula 10 2 5 16" xfId="51655" xr:uid="{E2F62C02-6A4C-4151-9CCE-08D389961E99}"/>
    <cellStyle name="Vírgula 10 2 5 17" xfId="54949" xr:uid="{7B1E7BC4-472A-4E90-80B0-BB82A8F4E31A}"/>
    <cellStyle name="Vírgula 10 2 5 18" xfId="5435" xr:uid="{E338E4FF-0376-49C3-9C56-1D89989E6FAF}"/>
    <cellStyle name="Vírgula 10 2 5 19" xfId="4854" xr:uid="{05776A9B-A11D-414F-B5A7-465228D7451A}"/>
    <cellStyle name="Vírgula 10 2 5 2" xfId="5073" xr:uid="{A858DA7B-9302-4B22-84C4-6973D71583EF}"/>
    <cellStyle name="Vírgula 10 2 5 2 10" xfId="46684" xr:uid="{DF0D46D5-8F75-49F6-B972-85E424DE5F7D}"/>
    <cellStyle name="Vírgula 10 2 5 2 11" xfId="47176" xr:uid="{008BE5D0-02EE-4363-9DD4-FAF0188BF88E}"/>
    <cellStyle name="Vírgula 10 2 5 2 12" xfId="6000" xr:uid="{0F26EB26-A641-4910-9AAA-3626FDBB5433}"/>
    <cellStyle name="Vírgula 10 2 5 2 2" xfId="7158" xr:uid="{871CDE5A-076D-43B7-B304-C96A4DD89DFC}"/>
    <cellStyle name="Vírgula 10 2 5 2 2 2" xfId="17444" xr:uid="{9FEF3547-6A0D-4BAC-9B9B-9628F750E26E}"/>
    <cellStyle name="Vírgula 10 2 5 2 2 2 2" xfId="37784" xr:uid="{D9F53BD2-0ACE-4631-9648-DCE7E32DDEBB}"/>
    <cellStyle name="Vírgula 10 2 5 2 2 3" xfId="20946" xr:uid="{C02E1B56-C2C6-46DE-BB69-B3E4AC16E934}"/>
    <cellStyle name="Vírgula 10 2 5 2 2 3 2" xfId="41285" xr:uid="{562EA5BD-F5AF-4CF0-BD35-97804EEDA430}"/>
    <cellStyle name="Vírgula 10 2 5 2 2 4" xfId="24201" xr:uid="{B7907DDB-2B81-464A-8E06-6E0F261572AE}"/>
    <cellStyle name="Vírgula 10 2 5 2 2 4 2" xfId="44536" xr:uid="{277E6EBF-CE6A-4E44-B1E1-AA8027D72BA0}"/>
    <cellStyle name="Vírgula 10 2 5 2 2 5" xfId="14535" xr:uid="{1B206C6A-092B-41A4-9EA9-33980EEF760E}"/>
    <cellStyle name="Vírgula 10 2 5 2 2 5 2" xfId="34876" xr:uid="{37E07C78-3F3E-452C-91AF-2C785F392CEB}"/>
    <cellStyle name="Vírgula 10 2 5 2 2 6" xfId="10657" xr:uid="{92DF9C0F-AE2C-4BA7-BE70-865A8A788FA0}"/>
    <cellStyle name="Vírgula 10 2 5 2 2 6 2" xfId="31000" xr:uid="{976F5B48-A24B-4A84-8B57-148E5C5935BA}"/>
    <cellStyle name="Vírgula 10 2 5 2 2 7" xfId="27506" xr:uid="{508140D3-A020-4485-85BC-1C69931E485C}"/>
    <cellStyle name="Vírgula 10 2 5 2 3" xfId="16286" xr:uid="{877ACADB-3B7E-4B00-919B-61F104262DE0}"/>
    <cellStyle name="Vírgula 10 2 5 2 3 2" xfId="36626" xr:uid="{FB31F09C-F47C-4AFA-AEF0-272B9BF064A4}"/>
    <cellStyle name="Vírgula 10 2 5 2 4" xfId="19788" xr:uid="{2D8F331B-125A-486E-A5FF-1C7D0FABB841}"/>
    <cellStyle name="Vírgula 10 2 5 2 4 2" xfId="40127" xr:uid="{4616DF2A-FF58-4F3D-890C-66F16D3E5085}"/>
    <cellStyle name="Vírgula 10 2 5 2 5" xfId="23043" xr:uid="{B16D9ABA-DADE-465F-A42A-8B34D9B51765}"/>
    <cellStyle name="Vírgula 10 2 5 2 5 2" xfId="43378" xr:uid="{3F22C9CA-CA76-4974-A70C-59438F591B5A}"/>
    <cellStyle name="Vírgula 10 2 5 2 6" xfId="13377" xr:uid="{588D7CB8-FEA6-40A6-85CF-9D6511E1BBA7}"/>
    <cellStyle name="Vírgula 10 2 5 2 6 2" xfId="33718" xr:uid="{50E5608F-C8C4-49BE-9AA0-060D87BC77C7}"/>
    <cellStyle name="Vírgula 10 2 5 2 7" xfId="9499" xr:uid="{72AEC9F9-65D0-4DA7-9588-7BE178C29562}"/>
    <cellStyle name="Vírgula 10 2 5 2 7 2" xfId="29842" xr:uid="{9F61A6FD-2BA8-40A3-A510-93E2818FECF1}"/>
    <cellStyle name="Vírgula 10 2 5 2 8" xfId="26348" xr:uid="{D63D77BC-F9BB-4394-A805-6C282C39F574}"/>
    <cellStyle name="Vírgula 10 2 5 2 9" xfId="46198" xr:uid="{C865B0F1-49F1-4F84-BE91-C75F7E1D2739}"/>
    <cellStyle name="Vírgula 10 2 5 3" xfId="6577" xr:uid="{D42561A5-1520-466D-BF09-4D99954FE709}"/>
    <cellStyle name="Vírgula 10 2 5 3 2" xfId="16863" xr:uid="{4E64C8CE-9B6F-495B-B8C1-E3B15020992F}"/>
    <cellStyle name="Vírgula 10 2 5 3 2 2" xfId="37203" xr:uid="{1F5A9EEC-44F5-48FA-A1E6-A36447219503}"/>
    <cellStyle name="Vírgula 10 2 5 3 3" xfId="20365" xr:uid="{C59E26C7-6054-41A1-989C-73A3848BFDEF}"/>
    <cellStyle name="Vírgula 10 2 5 3 3 2" xfId="40704" xr:uid="{551BE87F-DB83-44FA-831B-F130B2DD3B6A}"/>
    <cellStyle name="Vírgula 10 2 5 3 4" xfId="23620" xr:uid="{04A3939F-E694-4D8D-B418-38066CFC8D7A}"/>
    <cellStyle name="Vírgula 10 2 5 3 4 2" xfId="43955" xr:uid="{8CDC3965-2E5E-432F-BFD8-B37F531A06AC}"/>
    <cellStyle name="Vírgula 10 2 5 3 5" xfId="13954" xr:uid="{2609E73D-35DF-4125-9784-59EECAAF42FA}"/>
    <cellStyle name="Vírgula 10 2 5 3 5 2" xfId="34295" xr:uid="{AF5D9007-C340-466E-BA4F-382F6E0AAAE1}"/>
    <cellStyle name="Vírgula 10 2 5 3 6" xfId="10076" xr:uid="{8FC617AE-B8C1-465C-9C83-6D6D392480E6}"/>
    <cellStyle name="Vírgula 10 2 5 3 6 2" xfId="30419" xr:uid="{2068C1B2-9F20-45BC-87B1-CF371B0DA650}"/>
    <cellStyle name="Vírgula 10 2 5 3 7" xfId="26925" xr:uid="{B44E66A0-AA70-40EE-816D-565513AD9E24}"/>
    <cellStyle name="Vírgula 10 2 5 4" xfId="7741" xr:uid="{25BD2353-1915-4B73-8C71-F86F6181A2BB}"/>
    <cellStyle name="Vírgula 10 2 5 4 2" xfId="18026" xr:uid="{FF23EC37-01AF-4DD7-92AC-A7AA9E7D9FB2}"/>
    <cellStyle name="Vírgula 10 2 5 4 2 2" xfId="38366" xr:uid="{D0738A83-8345-4ADE-9ACA-623B1586915E}"/>
    <cellStyle name="Vírgula 10 2 5 4 3" xfId="21528" xr:uid="{1D88A036-768E-4A84-B3FA-D8DB57A0F20F}"/>
    <cellStyle name="Vírgula 10 2 5 4 3 2" xfId="41867" xr:uid="{E6CCF5F5-27AC-4FAD-8BB7-EAB7D52080A2}"/>
    <cellStyle name="Vírgula 10 2 5 4 4" xfId="24783" xr:uid="{12280147-872B-4E90-90D3-CAD3556DA96C}"/>
    <cellStyle name="Vírgula 10 2 5 4 4 2" xfId="45118" xr:uid="{B8FDF7E2-EB1E-498A-B4E2-CF4621932374}"/>
    <cellStyle name="Vírgula 10 2 5 4 5" xfId="15118" xr:uid="{FBA75B78-D6CE-4BA0-8B0A-128081EE8487}"/>
    <cellStyle name="Vírgula 10 2 5 4 5 2" xfId="35458" xr:uid="{81A23C75-F128-44D1-A4BB-150D5A1E83E0}"/>
    <cellStyle name="Vírgula 10 2 5 4 6" xfId="11239" xr:uid="{5A8EF971-823A-4502-8792-CF969FAD259F}"/>
    <cellStyle name="Vírgula 10 2 5 4 6 2" xfId="31582" xr:uid="{03B69985-FFC4-4EDA-B31E-9F7BB3CEC81F}"/>
    <cellStyle name="Vírgula 10 2 5 4 7" xfId="28088" xr:uid="{9617D621-142E-496C-B41F-E05B04CA2497}"/>
    <cellStyle name="Vírgula 10 2 5 5" xfId="8175" xr:uid="{2B06ABBB-B857-4986-9FCC-855B156E597B}"/>
    <cellStyle name="Vírgula 10 2 5 5 2" xfId="21962" xr:uid="{3C12104C-3240-47A6-A758-A49CAC38B05E}"/>
    <cellStyle name="Vírgula 10 2 5 5 2 2" xfId="42298" xr:uid="{ACA5CD47-EAEC-4554-8A62-F6AE0D5C34D0}"/>
    <cellStyle name="Vírgula 10 2 5 5 3" xfId="25214" xr:uid="{4BE8D8FE-AB98-4E83-8FFF-DDF8E9F37EF5}"/>
    <cellStyle name="Vírgula 10 2 5 5 3 2" xfId="45549" xr:uid="{6DC8210D-2267-416E-9DDB-FEDBFCF1B89A}"/>
    <cellStyle name="Vírgula 10 2 5 5 4" xfId="12808" xr:uid="{B9693F52-3FF7-49CA-927C-20C7FE7CE236}"/>
    <cellStyle name="Vírgula 10 2 5 5 4 2" xfId="33149" xr:uid="{0D4588CB-F3EE-4D3A-AE29-DB6D739394BF}"/>
    <cellStyle name="Vírgula 10 2 5 5 5" xfId="11671" xr:uid="{BBCC1860-3F11-4839-A494-DF8122825C5A}"/>
    <cellStyle name="Vírgula 10 2 5 5 5 2" xfId="32013" xr:uid="{4DFB4ADF-ABA7-41C0-AA33-B831A39FD69E}"/>
    <cellStyle name="Vírgula 10 2 5 5 6" xfId="28519" xr:uid="{6396FCF4-CFBB-41D8-BE5C-46AB47936489}"/>
    <cellStyle name="Vírgula 10 2 5 6" xfId="8580" xr:uid="{FE7B68EE-3C8F-4C69-8FF5-E2D149B67B9D}"/>
    <cellStyle name="Vírgula 10 2 5 6 2" xfId="15705" xr:uid="{81E7EE6A-A784-4E2F-8E03-CD964DC6F884}"/>
    <cellStyle name="Vírgula 10 2 5 6 2 2" xfId="36045" xr:uid="{11815A76-7995-4C4D-87FC-14D3E0C244D2}"/>
    <cellStyle name="Vírgula 10 2 5 6 3" xfId="28923" xr:uid="{9E3DB6FD-6A41-43A1-B6FD-29C1597C801B}"/>
    <cellStyle name="Vírgula 10 2 5 7" xfId="18619" xr:uid="{3C90C539-AED9-475F-94B2-CF670F65BDBF}"/>
    <cellStyle name="Vírgula 10 2 5 7 2" xfId="38959" xr:uid="{0F63844F-C805-40D9-B4FE-53A691F8FFA5}"/>
    <cellStyle name="Vírgula 10 2 5 8" xfId="19207" xr:uid="{5F1F111F-9591-48FA-80D5-9B16941AFF86}"/>
    <cellStyle name="Vírgula 10 2 5 8 2" xfId="39546" xr:uid="{3E141251-04BD-4521-B2C8-0CE63F03CD32}"/>
    <cellStyle name="Vírgula 10 2 5 9" xfId="22462" xr:uid="{55715373-9889-4433-BBF9-742F1B60945E}"/>
    <cellStyle name="Vírgula 10 2 5 9 2" xfId="42797" xr:uid="{ED4F9861-F6F2-4C94-9711-EB22DF0DCF49}"/>
    <cellStyle name="Vírgula 10 2 6" xfId="3899" xr:uid="{F19979EC-2C84-447F-BC41-69B62F922054}"/>
    <cellStyle name="Vírgula 10 2 6 10" xfId="12237" xr:uid="{64984998-8BD3-4699-8A80-0E84774E7FEC}"/>
    <cellStyle name="Vírgula 10 2 6 10 2" xfId="32578" xr:uid="{D60A4AF2-9FED-43FC-8297-D44360978E82}"/>
    <cellStyle name="Vírgula 10 2 6 11" xfId="8976" xr:uid="{D4C847BF-586E-47EF-A3E2-F96D876B26BF}"/>
    <cellStyle name="Vírgula 10 2 6 11 2" xfId="29319" xr:uid="{57FC14C6-C4A1-4876-A11E-E67120A6AFF7}"/>
    <cellStyle name="Vírgula 10 2 6 12" xfId="25825" xr:uid="{0F197DF6-9D51-4043-AA93-BC8E354F4E0B}"/>
    <cellStyle name="Vírgula 10 2 6 13" xfId="46063" xr:uid="{CFC21DE5-A7B8-4244-A78E-3C7CAADA29E7}"/>
    <cellStyle name="Vírgula 10 2 6 14" xfId="46549" xr:uid="{14CF6619-C59B-4108-9C08-E49030D0495B}"/>
    <cellStyle name="Vírgula 10 2 6 15" xfId="47041" xr:uid="{29BC4C69-88ED-4A30-81FC-51EF7E09096B}"/>
    <cellStyle name="Vírgula 10 2 6 16" xfId="56255" xr:uid="{C88689BB-CCD9-4312-B174-1AE8D406EBEE}"/>
    <cellStyle name="Vírgula 10 2 6 17" xfId="5486" xr:uid="{32EED9F1-41CF-49AF-A8DB-2A91B1489129}"/>
    <cellStyle name="Vírgula 10 2 6 18" xfId="4964" xr:uid="{0ED8DE85-4337-4A7C-A174-1A456F597D8D}"/>
    <cellStyle name="Vírgula 10 2 6 2" xfId="6058" xr:uid="{38EA88F9-A8B0-47CA-B52E-79E75B0B06D9}"/>
    <cellStyle name="Vírgula 10 2 6 2 2" xfId="7216" xr:uid="{D9478417-92DD-4420-8CB3-2E1425DDD74B}"/>
    <cellStyle name="Vírgula 10 2 6 2 2 2" xfId="17502" xr:uid="{8BCF5847-09F3-4400-9C05-DB61C2683B56}"/>
    <cellStyle name="Vírgula 10 2 6 2 2 2 2" xfId="37842" xr:uid="{7E60E0CC-D491-4273-956B-757DFA6C4063}"/>
    <cellStyle name="Vírgula 10 2 6 2 2 3" xfId="21004" xr:uid="{0CC0C313-33C3-4973-92E6-4DE2ADCE226D}"/>
    <cellStyle name="Vírgula 10 2 6 2 2 3 2" xfId="41343" xr:uid="{97E051C3-467E-4236-85DB-B6913E1F1D1A}"/>
    <cellStyle name="Vírgula 10 2 6 2 2 4" xfId="24259" xr:uid="{0FBB38B7-0F54-4230-BC2A-335124539A73}"/>
    <cellStyle name="Vírgula 10 2 6 2 2 4 2" xfId="44594" xr:uid="{5C79E5FC-2C58-4503-9479-9102056E335C}"/>
    <cellStyle name="Vírgula 10 2 6 2 2 5" xfId="14593" xr:uid="{6B244E29-8785-4294-896A-62DDC197C0F6}"/>
    <cellStyle name="Vírgula 10 2 6 2 2 5 2" xfId="34934" xr:uid="{C66B3769-B841-4D64-860E-A2417380C276}"/>
    <cellStyle name="Vírgula 10 2 6 2 2 6" xfId="10715" xr:uid="{3FD72A2F-C270-46F7-B252-17A59CB90BA4}"/>
    <cellStyle name="Vírgula 10 2 6 2 2 6 2" xfId="31058" xr:uid="{6C96D0F4-0E80-46BB-98F1-532FE18AE1E8}"/>
    <cellStyle name="Vírgula 10 2 6 2 2 7" xfId="27564" xr:uid="{D94EF630-4E31-4699-81C3-FE8F633B96B1}"/>
    <cellStyle name="Vírgula 10 2 6 2 3" xfId="16344" xr:uid="{D5150074-2DC1-45DC-8613-B918E4C0B110}"/>
    <cellStyle name="Vírgula 10 2 6 2 3 2" xfId="36684" xr:uid="{4AC2E943-5CCA-4A6A-A38A-E172DD994C7A}"/>
    <cellStyle name="Vírgula 10 2 6 2 4" xfId="19846" xr:uid="{B2A22D60-A4D4-4997-B288-5DE427352F55}"/>
    <cellStyle name="Vírgula 10 2 6 2 4 2" xfId="40185" xr:uid="{9A3FA1A9-FEC5-4FEE-80CF-80ED744815E3}"/>
    <cellStyle name="Vírgula 10 2 6 2 5" xfId="23101" xr:uid="{1AE03B34-9F9C-4F98-9FC9-00D051E288E3}"/>
    <cellStyle name="Vírgula 10 2 6 2 5 2" xfId="43436" xr:uid="{4A444D96-7905-44AB-A1AE-EC5636B15EC1}"/>
    <cellStyle name="Vírgula 10 2 6 2 6" xfId="13435" xr:uid="{C3695FC7-C62A-4477-B681-37D125C4BF3C}"/>
    <cellStyle name="Vírgula 10 2 6 2 6 2" xfId="33776" xr:uid="{4641A393-4D87-40D3-81C7-449628A6946B}"/>
    <cellStyle name="Vírgula 10 2 6 2 7" xfId="9557" xr:uid="{289BA572-3BEF-4DC1-84D7-759C7480982A}"/>
    <cellStyle name="Vírgula 10 2 6 2 7 2" xfId="29900" xr:uid="{CE7F2E63-3D28-4E0A-AA06-68D54510011D}"/>
    <cellStyle name="Vírgula 10 2 6 2 8" xfId="26406" xr:uid="{EA292B0C-9787-45E6-9DA6-4B0B0D5E5C6F}"/>
    <cellStyle name="Vírgula 10 2 6 3" xfId="6635" xr:uid="{0CDD9E46-1313-4C7C-9E56-5656800CF2E1}"/>
    <cellStyle name="Vírgula 10 2 6 3 2" xfId="16921" xr:uid="{473A21AC-8289-456B-8243-11ED90982171}"/>
    <cellStyle name="Vírgula 10 2 6 3 2 2" xfId="37261" xr:uid="{EC09119D-3148-4534-AA9F-A73577E97462}"/>
    <cellStyle name="Vírgula 10 2 6 3 3" xfId="20423" xr:uid="{45871F55-C5EC-48E0-9475-DE643DBDD172}"/>
    <cellStyle name="Vírgula 10 2 6 3 3 2" xfId="40762" xr:uid="{6BC5C063-BC4A-4D77-A65A-8C097E88F1F2}"/>
    <cellStyle name="Vírgula 10 2 6 3 4" xfId="23678" xr:uid="{119B68D8-7A5E-4292-A73A-E197B7CB0EF0}"/>
    <cellStyle name="Vírgula 10 2 6 3 4 2" xfId="44013" xr:uid="{3FF7E1B7-8B6E-4EEA-965E-025EC41132D8}"/>
    <cellStyle name="Vírgula 10 2 6 3 5" xfId="14012" xr:uid="{B51F4E9A-FB38-451E-919A-A43C43951AE8}"/>
    <cellStyle name="Vírgula 10 2 6 3 5 2" xfId="34353" xr:uid="{E774C641-D138-42EC-BCE9-8B54EE0A5AEF}"/>
    <cellStyle name="Vírgula 10 2 6 3 6" xfId="10134" xr:uid="{46BAA7DA-FB4C-4074-96E9-78397CE3B9F1}"/>
    <cellStyle name="Vírgula 10 2 6 3 6 2" xfId="30477" xr:uid="{2AE2C180-F674-41FD-812C-D8FC9928ADBF}"/>
    <cellStyle name="Vírgula 10 2 6 3 7" xfId="26983" xr:uid="{BECD20D3-B81A-41A1-BD00-7C079A38495C}"/>
    <cellStyle name="Vírgula 10 2 6 4" xfId="7799" xr:uid="{36E9C713-617C-4324-B964-405C02B87778}"/>
    <cellStyle name="Vírgula 10 2 6 4 2" xfId="18084" xr:uid="{8B044A40-E673-4DBB-9CEA-9860891193F8}"/>
    <cellStyle name="Vírgula 10 2 6 4 2 2" xfId="38424" xr:uid="{24441A6B-CD4F-4989-BB12-640F0E4D6EEF}"/>
    <cellStyle name="Vírgula 10 2 6 4 3" xfId="21586" xr:uid="{E66599FE-64DC-4FE6-9948-1C6416C70847}"/>
    <cellStyle name="Vírgula 10 2 6 4 3 2" xfId="41925" xr:uid="{03AF7A8D-A134-4997-A230-8B074CBD1AC2}"/>
    <cellStyle name="Vírgula 10 2 6 4 4" xfId="24841" xr:uid="{F065E90E-0EEF-4A2C-BF6E-0586FDAD68F9}"/>
    <cellStyle name="Vírgula 10 2 6 4 4 2" xfId="45176" xr:uid="{9B509ED7-055B-4F84-B683-DC39676AFDCE}"/>
    <cellStyle name="Vírgula 10 2 6 4 5" xfId="15176" xr:uid="{EAFCF6A0-A7BD-4A8A-9349-FEC76508C2B8}"/>
    <cellStyle name="Vírgula 10 2 6 4 5 2" xfId="35516" xr:uid="{ED81BF22-F3E0-48C4-A9BD-0B855ABE2B1C}"/>
    <cellStyle name="Vírgula 10 2 6 4 6" xfId="11297" xr:uid="{772C2FE8-3FBC-40BC-842B-222CCE71EC3C}"/>
    <cellStyle name="Vírgula 10 2 6 4 6 2" xfId="31640" xr:uid="{D4C78DEF-3B65-4C79-8C62-942FCD59CEA5}"/>
    <cellStyle name="Vírgula 10 2 6 4 7" xfId="28146" xr:uid="{764F3673-C61C-4D16-BD9F-1832D341E554}"/>
    <cellStyle name="Vírgula 10 2 6 5" xfId="8176" xr:uid="{28EFE1AF-C8D8-4857-B7E3-6B8A093BC256}"/>
    <cellStyle name="Vírgula 10 2 6 5 2" xfId="21963" xr:uid="{1DAB4E20-C8F2-4F86-9ED6-1FFBBA2B5EED}"/>
    <cellStyle name="Vírgula 10 2 6 5 2 2" xfId="42299" xr:uid="{D41C71BF-34D6-4D2D-9383-53F007EC5D54}"/>
    <cellStyle name="Vírgula 10 2 6 5 3" xfId="25215" xr:uid="{0CC3A4E6-8579-4737-B35F-325E2C8F7B0B}"/>
    <cellStyle name="Vírgula 10 2 6 5 3 2" xfId="45550" xr:uid="{233A88B8-3781-460C-9A54-DCAD87FE137F}"/>
    <cellStyle name="Vírgula 10 2 6 5 4" xfId="12866" xr:uid="{2DF9BC1B-EBC7-421C-A2D9-8B518C5ED941}"/>
    <cellStyle name="Vírgula 10 2 6 5 4 2" xfId="33207" xr:uid="{AB585A3A-8582-45F6-8B82-7B4B422FFF50}"/>
    <cellStyle name="Vírgula 10 2 6 5 5" xfId="11672" xr:uid="{DF32FDB9-65DC-41C6-AC07-F80FB27B3FAB}"/>
    <cellStyle name="Vírgula 10 2 6 5 5 2" xfId="32014" xr:uid="{7ECDCD3A-4268-4C8A-9E09-D74017CEA26E}"/>
    <cellStyle name="Vírgula 10 2 6 5 6" xfId="28520" xr:uid="{B5405EF7-5C36-4FDE-9822-A4213C5F1176}"/>
    <cellStyle name="Vírgula 10 2 6 6" xfId="15763" xr:uid="{A3484E4C-C435-43DB-A231-837E6131A043}"/>
    <cellStyle name="Vírgula 10 2 6 6 2" xfId="36103" xr:uid="{BC27EB96-1C4C-4077-BA0A-312462F63D04}"/>
    <cellStyle name="Vírgula 10 2 6 7" xfId="18677" xr:uid="{75920C54-FC66-48AC-B3AB-6CDE421D187F}"/>
    <cellStyle name="Vírgula 10 2 6 7 2" xfId="39017" xr:uid="{0479F5D3-B1B3-447B-B276-B87EE8C70763}"/>
    <cellStyle name="Vírgula 10 2 6 8" xfId="19265" xr:uid="{7D4F649D-F2FB-4EED-8BCF-71B563E55EFE}"/>
    <cellStyle name="Vírgula 10 2 6 8 2" xfId="39604" xr:uid="{2DD1110A-28BD-40E8-8E7B-CAA7B590131D}"/>
    <cellStyle name="Vírgula 10 2 6 9" xfId="22520" xr:uid="{03BC603C-6A70-465C-922A-8B3BC5363114}"/>
    <cellStyle name="Vírgula 10 2 6 9 2" xfId="42855" xr:uid="{ACC36025-82DB-4228-9C5E-13448DEDA560}"/>
    <cellStyle name="Vírgula 10 2 7" xfId="1998" xr:uid="{12385CFD-E7B2-4974-9AAA-AA45FB249F51}"/>
    <cellStyle name="Vírgula 10 2 7 10" xfId="12312" xr:uid="{E2736AD5-E64A-4837-9185-7BBABFD01E98}"/>
    <cellStyle name="Vírgula 10 2 7 10 2" xfId="32653" xr:uid="{C4751527-D431-4E4D-97B2-1579255DDA06}"/>
    <cellStyle name="Vírgula 10 2 7 11" xfId="9051" xr:uid="{1E19E398-8762-4973-A8EF-A6797F86BCD2}"/>
    <cellStyle name="Vírgula 10 2 7 11 2" xfId="29394" xr:uid="{02379621-C333-4CF8-A924-A4E1CFDC7630}"/>
    <cellStyle name="Vírgula 10 2 7 12" xfId="25900" xr:uid="{8A6F38E4-5D28-4675-A161-E8B78662FC22}"/>
    <cellStyle name="Vírgula 10 2 7 13" xfId="5561" xr:uid="{5A130B2B-9F87-48C4-A536-1FBFD421C486}"/>
    <cellStyle name="Vírgula 10 2 7 14" xfId="4794" xr:uid="{75BD6426-0010-4F55-B89E-951029DE9A3A}"/>
    <cellStyle name="Vírgula 10 2 7 2" xfId="6133" xr:uid="{16A65022-B77C-4D06-9680-9C16A3E1E1AD}"/>
    <cellStyle name="Vírgula 10 2 7 2 2" xfId="7291" xr:uid="{0F9B9B8F-BDE2-47F7-969E-6EFBC3177F4B}"/>
    <cellStyle name="Vírgula 10 2 7 2 2 2" xfId="17577" xr:uid="{5BE560DF-1493-44D4-9BE7-CAE1DDD30348}"/>
    <cellStyle name="Vírgula 10 2 7 2 2 2 2" xfId="37917" xr:uid="{5975AC32-0468-486B-8D19-8B90A21928D8}"/>
    <cellStyle name="Vírgula 10 2 7 2 2 3" xfId="21079" xr:uid="{1C17114E-3467-4C64-8BFE-C1845CAF6027}"/>
    <cellStyle name="Vírgula 10 2 7 2 2 3 2" xfId="41418" xr:uid="{B3947243-5745-4DA0-8E12-19A2A152BA8A}"/>
    <cellStyle name="Vírgula 10 2 7 2 2 4" xfId="24334" xr:uid="{A1E9E28A-DEEC-4BDF-91E2-98CC90740B46}"/>
    <cellStyle name="Vírgula 10 2 7 2 2 4 2" xfId="44669" xr:uid="{1CC75D3B-7BA0-4EA9-9CC7-F338A15F1ADA}"/>
    <cellStyle name="Vírgula 10 2 7 2 2 5" xfId="14668" xr:uid="{C360B963-BD75-4212-8AFD-582F002469F7}"/>
    <cellStyle name="Vírgula 10 2 7 2 2 5 2" xfId="35009" xr:uid="{861A7825-46CE-4C81-924E-44D01EC76442}"/>
    <cellStyle name="Vírgula 10 2 7 2 2 6" xfId="10790" xr:uid="{B4D3DCF8-8027-4D73-8FAF-BEDC33ECADE0}"/>
    <cellStyle name="Vírgula 10 2 7 2 2 6 2" xfId="31133" xr:uid="{AC377A7B-6C08-4E48-BE72-838071DA0452}"/>
    <cellStyle name="Vírgula 10 2 7 2 2 7" xfId="27639" xr:uid="{979F32B3-655C-4CB9-B4A1-5E18BDE41455}"/>
    <cellStyle name="Vírgula 10 2 7 2 3" xfId="16419" xr:uid="{DE9C555B-5194-4B8F-B2DD-ECE4D966FC6F}"/>
    <cellStyle name="Vírgula 10 2 7 2 3 2" xfId="36759" xr:uid="{43A0A3BC-90FF-484D-8ED4-C967A8708ED3}"/>
    <cellStyle name="Vírgula 10 2 7 2 4" xfId="19921" xr:uid="{B9247552-F9BB-486E-AF5D-6D0D4EB79E7A}"/>
    <cellStyle name="Vírgula 10 2 7 2 4 2" xfId="40260" xr:uid="{0AE1AEF3-A18C-4C74-A6FD-DADBFD598EF6}"/>
    <cellStyle name="Vírgula 10 2 7 2 5" xfId="23176" xr:uid="{20974446-1623-4345-A695-7221DB501B6B}"/>
    <cellStyle name="Vírgula 10 2 7 2 5 2" xfId="43511" xr:uid="{746C8677-3F5B-45F8-BC53-087B8B35F56B}"/>
    <cellStyle name="Vírgula 10 2 7 2 6" xfId="13510" xr:uid="{3BD8A034-4A93-403E-B998-88A0EB1377EA}"/>
    <cellStyle name="Vírgula 10 2 7 2 6 2" xfId="33851" xr:uid="{4B41F984-1369-4FE7-8B51-493D5F2AEA9F}"/>
    <cellStyle name="Vírgula 10 2 7 2 7" xfId="9632" xr:uid="{F7A94C1C-D637-4B5D-90D8-3D6A74583609}"/>
    <cellStyle name="Vírgula 10 2 7 2 7 2" xfId="29975" xr:uid="{6B5467F4-3A32-4220-89AA-40046887478B}"/>
    <cellStyle name="Vírgula 10 2 7 2 8" xfId="26481" xr:uid="{AD690056-1FA4-4618-9B2D-0ADA8C531CF5}"/>
    <cellStyle name="Vírgula 10 2 7 3" xfId="6710" xr:uid="{02028310-E17C-4C7B-8AC7-84B8AA91FC7D}"/>
    <cellStyle name="Vírgula 10 2 7 3 2" xfId="16996" xr:uid="{E3617DA2-F957-4CE0-B277-0B5FD3EC2476}"/>
    <cellStyle name="Vírgula 10 2 7 3 2 2" xfId="37336" xr:uid="{E0D47A38-023E-46B3-A4FE-21509238A4E9}"/>
    <cellStyle name="Vírgula 10 2 7 3 3" xfId="20498" xr:uid="{93605B29-B708-46FE-A9F9-2CBCA9369BFF}"/>
    <cellStyle name="Vírgula 10 2 7 3 3 2" xfId="40837" xr:uid="{C1F560F4-ABFD-4757-8294-76CAF2DA9436}"/>
    <cellStyle name="Vírgula 10 2 7 3 4" xfId="23753" xr:uid="{405B1B76-0A88-489B-B3A4-13199D88D7EA}"/>
    <cellStyle name="Vírgula 10 2 7 3 4 2" xfId="44088" xr:uid="{93747232-10A9-48BF-8F51-98C3515C296E}"/>
    <cellStyle name="Vírgula 10 2 7 3 5" xfId="14087" xr:uid="{B0A32698-7D34-47C3-914A-65223343521F}"/>
    <cellStyle name="Vírgula 10 2 7 3 5 2" xfId="34428" xr:uid="{6EA9DA3B-EE5A-47BA-8DE4-881460CF93A5}"/>
    <cellStyle name="Vírgula 10 2 7 3 6" xfId="10209" xr:uid="{551DA08B-4BD1-4D3F-8895-AF883EA78A1B}"/>
    <cellStyle name="Vírgula 10 2 7 3 6 2" xfId="30552" xr:uid="{F655DCF9-16B0-455A-A189-318D74BF47F1}"/>
    <cellStyle name="Vírgula 10 2 7 3 7" xfId="27058" xr:uid="{1C2CB3D1-0B6F-4E06-8877-612BCC9757E7}"/>
    <cellStyle name="Vírgula 10 2 7 4" xfId="7874" xr:uid="{E2BE51B7-903C-4DD2-ACB5-AF5A17D308B7}"/>
    <cellStyle name="Vírgula 10 2 7 4 2" xfId="18159" xr:uid="{C5D55D39-FA29-40DD-A832-9735C1D2BA42}"/>
    <cellStyle name="Vírgula 10 2 7 4 2 2" xfId="38499" xr:uid="{DF7AF6A9-8F3C-46DA-BEE2-B3D136C8A4AE}"/>
    <cellStyle name="Vírgula 10 2 7 4 3" xfId="21661" xr:uid="{4962DB6A-37AE-4057-8A0D-6FFCEFB2DA89}"/>
    <cellStyle name="Vírgula 10 2 7 4 3 2" xfId="42000" xr:uid="{71F8B14C-0FF0-4F4C-9B4E-DC10D4D4030F}"/>
    <cellStyle name="Vírgula 10 2 7 4 4" xfId="24916" xr:uid="{66FBFA5C-1223-4855-88DF-00A87400C683}"/>
    <cellStyle name="Vírgula 10 2 7 4 4 2" xfId="45251" xr:uid="{F72AE094-316C-466B-8820-2037C8086E82}"/>
    <cellStyle name="Vírgula 10 2 7 4 5" xfId="15251" xr:uid="{0B2C7772-A478-41C6-A1F0-A745ABEB2EC2}"/>
    <cellStyle name="Vírgula 10 2 7 4 5 2" xfId="35591" xr:uid="{A8027197-8CBE-4CE4-811C-F1E56F96A902}"/>
    <cellStyle name="Vírgula 10 2 7 4 6" xfId="11372" xr:uid="{5EC93CDE-C27D-4611-A50B-97110BE7F4A2}"/>
    <cellStyle name="Vírgula 10 2 7 4 6 2" xfId="31715" xr:uid="{1B16C527-C0DA-416B-AA4C-3180425A1A28}"/>
    <cellStyle name="Vírgula 10 2 7 4 7" xfId="28221" xr:uid="{D5D38E77-2568-4C32-BFC8-30A947D446B1}"/>
    <cellStyle name="Vírgula 10 2 7 5" xfId="12941" xr:uid="{D698F95C-7A67-486D-92A4-BB8BADB005EC}"/>
    <cellStyle name="Vírgula 10 2 7 5 2" xfId="33282" xr:uid="{6A573701-C342-47BB-8E0E-2FBF110A41C3}"/>
    <cellStyle name="Vírgula 10 2 7 6" xfId="15838" xr:uid="{E2BB786C-3184-4014-BF8B-EFE67F73F46E}"/>
    <cellStyle name="Vírgula 10 2 7 6 2" xfId="36178" xr:uid="{07CF2874-85C4-471A-9E3B-BFD30C2E7C12}"/>
    <cellStyle name="Vírgula 10 2 7 7" xfId="18752" xr:uid="{D827D9AD-779C-4CD2-AB24-93E3A3A2FEE3}"/>
    <cellStyle name="Vírgula 10 2 7 7 2" xfId="39092" xr:uid="{0E20A8AB-1CDA-4B70-9314-D816B029C896}"/>
    <cellStyle name="Vírgula 10 2 7 8" xfId="19340" xr:uid="{7063CCCC-5BAD-44F2-AB7F-6AA78DE544E0}"/>
    <cellStyle name="Vírgula 10 2 7 8 2" xfId="39679" xr:uid="{44E5CFAB-8E8A-4630-B17C-812F73E7DD60}"/>
    <cellStyle name="Vírgula 10 2 7 9" xfId="22595" xr:uid="{49FE04A1-8677-4A0C-B97B-B0C771AD4099}"/>
    <cellStyle name="Vírgula 10 2 7 9 2" xfId="42930" xr:uid="{5BCF353B-D765-4D3E-9BC3-3556D5DEFDBF}"/>
    <cellStyle name="Vírgula 10 2 8" xfId="4349" xr:uid="{2A99AA3B-52BD-4AAA-968B-EE380AEBD068}"/>
    <cellStyle name="Vírgula 10 2 8 10" xfId="12410" xr:uid="{C378896B-AA96-4F9B-AE64-6BE78CD83084}"/>
    <cellStyle name="Vírgula 10 2 8 10 2" xfId="32751" xr:uid="{76745FB8-995A-434A-871A-0855BDDBCCD1}"/>
    <cellStyle name="Vírgula 10 2 8 11" xfId="9149" xr:uid="{8AD6C3DD-5DE2-4903-A236-73830740ADBA}"/>
    <cellStyle name="Vírgula 10 2 8 11 2" xfId="29492" xr:uid="{421679EF-E47A-4EDB-91C6-E467148E2DCA}"/>
    <cellStyle name="Vírgula 10 2 8 12" xfId="25998" xr:uid="{EC38F053-216B-4A84-AB76-62176CB951AE}"/>
    <cellStyle name="Vírgula 10 2 8 13" xfId="5659" xr:uid="{65DA75C7-FD3E-4843-9204-7D5A36A6102B}"/>
    <cellStyle name="Vírgula 10 2 8 2" xfId="6231" xr:uid="{166AEC07-FD88-4AEE-9ECC-AD7E689ADBE4}"/>
    <cellStyle name="Vírgula 10 2 8 2 2" xfId="7389" xr:uid="{4B54252F-B59A-4E73-AB1C-D0203EA355F0}"/>
    <cellStyle name="Vírgula 10 2 8 2 2 2" xfId="17675" xr:uid="{C6F9C372-4C07-4FB4-9F54-798CEC0CED56}"/>
    <cellStyle name="Vírgula 10 2 8 2 2 2 2" xfId="38015" xr:uid="{9936FC22-47D9-4C9E-87AB-6C2F943ECD39}"/>
    <cellStyle name="Vírgula 10 2 8 2 2 3" xfId="21177" xr:uid="{7F092C40-4DF9-4E01-80BE-7F0E1933BF74}"/>
    <cellStyle name="Vírgula 10 2 8 2 2 3 2" xfId="41516" xr:uid="{28F5D1E7-4445-4696-97C8-45EE4C35600D}"/>
    <cellStyle name="Vírgula 10 2 8 2 2 4" xfId="24432" xr:uid="{E3944B2F-93C4-4EBE-8DEA-A671A1CB9D0A}"/>
    <cellStyle name="Vírgula 10 2 8 2 2 4 2" xfId="44767" xr:uid="{E06FB1F2-566D-40FF-8C0E-B5CE360DAA60}"/>
    <cellStyle name="Vírgula 10 2 8 2 2 5" xfId="14766" xr:uid="{F225D1AA-0542-4878-B1A2-FACB62467870}"/>
    <cellStyle name="Vírgula 10 2 8 2 2 5 2" xfId="35107" xr:uid="{17031451-0DE5-4DAE-BBB0-49DE6E1A605B}"/>
    <cellStyle name="Vírgula 10 2 8 2 2 6" xfId="10888" xr:uid="{7FE3CF24-63D5-4EED-A3A4-B41645E36166}"/>
    <cellStyle name="Vírgula 10 2 8 2 2 6 2" xfId="31231" xr:uid="{03B86BF8-8A93-4D07-A437-1BD1509B0689}"/>
    <cellStyle name="Vírgula 10 2 8 2 2 7" xfId="27737" xr:uid="{701B0EBE-7E3B-4108-9C7B-3954214E02C7}"/>
    <cellStyle name="Vírgula 10 2 8 2 3" xfId="16517" xr:uid="{B6B239BA-5BB5-484A-BC31-4B19063AD246}"/>
    <cellStyle name="Vírgula 10 2 8 2 3 2" xfId="36857" xr:uid="{0CD10615-B1FB-421E-8666-3A65B7D7A332}"/>
    <cellStyle name="Vírgula 10 2 8 2 4" xfId="20019" xr:uid="{4ED7EC17-AFF5-45D3-AAFE-888931B5035F}"/>
    <cellStyle name="Vírgula 10 2 8 2 4 2" xfId="40358" xr:uid="{0646AFF6-96BC-4518-B03E-6686FBCD3AAE}"/>
    <cellStyle name="Vírgula 10 2 8 2 5" xfId="23274" xr:uid="{9F4F3DD9-F414-4CDA-9DEB-7860C11F0834}"/>
    <cellStyle name="Vírgula 10 2 8 2 5 2" xfId="43609" xr:uid="{94534517-6578-465F-9A57-ECCD83AB89D9}"/>
    <cellStyle name="Vírgula 10 2 8 2 6" xfId="13608" xr:uid="{530FDE44-623A-4815-B9BF-EB314EFA3023}"/>
    <cellStyle name="Vírgula 10 2 8 2 6 2" xfId="33949" xr:uid="{1F9ABCCD-0306-4142-9178-AA91E349EF40}"/>
    <cellStyle name="Vírgula 10 2 8 2 7" xfId="9730" xr:uid="{DDD57B3B-1483-450C-970E-1ACA0446FF5F}"/>
    <cellStyle name="Vírgula 10 2 8 2 7 2" xfId="30073" xr:uid="{C64044E1-341E-46BD-93CC-80FF3A28F096}"/>
    <cellStyle name="Vírgula 10 2 8 2 8" xfId="26579" xr:uid="{06B65262-E682-4C4D-B7FB-CFBF29C36E5F}"/>
    <cellStyle name="Vírgula 10 2 8 3" xfId="6808" xr:uid="{ADE04450-E7B8-4437-8B3F-9C096E6CE1A7}"/>
    <cellStyle name="Vírgula 10 2 8 3 2" xfId="17094" xr:uid="{5AE9EF4C-8D35-40AB-AB71-EE714B0EFB09}"/>
    <cellStyle name="Vírgula 10 2 8 3 2 2" xfId="37434" xr:uid="{4FE7A754-36DF-44D9-8AA3-D83A7716F3E9}"/>
    <cellStyle name="Vírgula 10 2 8 3 3" xfId="20596" xr:uid="{834E4024-0D0C-4B38-974E-6508FD48B787}"/>
    <cellStyle name="Vírgula 10 2 8 3 3 2" xfId="40935" xr:uid="{181D8AB4-4EBD-4C3C-ABBD-CFFF6F9C7C76}"/>
    <cellStyle name="Vírgula 10 2 8 3 4" xfId="23851" xr:uid="{91A6FB3D-9869-4327-9D48-BA5F7075D1D8}"/>
    <cellStyle name="Vírgula 10 2 8 3 4 2" xfId="44186" xr:uid="{B145A193-2F73-42D9-94BC-2DFCB845857D}"/>
    <cellStyle name="Vírgula 10 2 8 3 5" xfId="14185" xr:uid="{D1CA9F28-043C-4C8B-85E8-51ECF12F4E25}"/>
    <cellStyle name="Vírgula 10 2 8 3 5 2" xfId="34526" xr:uid="{64B6B8E4-9984-48B0-9027-4BE05632219C}"/>
    <cellStyle name="Vírgula 10 2 8 3 6" xfId="10307" xr:uid="{D08A1807-D47A-470E-A061-3EB14DF344A5}"/>
    <cellStyle name="Vírgula 10 2 8 3 6 2" xfId="30650" xr:uid="{D77535B7-3339-483B-BBFB-F83AE4974741}"/>
    <cellStyle name="Vírgula 10 2 8 3 7" xfId="27156" xr:uid="{472551A7-9E5A-40FE-8EF8-56BB45A7C18A}"/>
    <cellStyle name="Vírgula 10 2 8 4" xfId="7972" xr:uid="{6413FE47-173A-4E84-B42F-A5E030462B25}"/>
    <cellStyle name="Vírgula 10 2 8 4 2" xfId="18257" xr:uid="{6ABE5F9A-BFF5-4AFA-90DC-4E85DFABD405}"/>
    <cellStyle name="Vírgula 10 2 8 4 2 2" xfId="38597" xr:uid="{2BE2B935-A6CF-4545-A2B1-8BDA7F330DF1}"/>
    <cellStyle name="Vírgula 10 2 8 4 3" xfId="21759" xr:uid="{66C4F857-ECB3-4535-8B1E-C06540282E34}"/>
    <cellStyle name="Vírgula 10 2 8 4 3 2" xfId="42098" xr:uid="{0C11AA6E-051B-4662-AF7E-ED35BCBAF5A8}"/>
    <cellStyle name="Vírgula 10 2 8 4 4" xfId="25014" xr:uid="{5112929C-6FF0-4D20-B6A7-322973861816}"/>
    <cellStyle name="Vírgula 10 2 8 4 4 2" xfId="45349" xr:uid="{86B18EA0-E6B5-4453-81DA-90C033FD0D6B}"/>
    <cellStyle name="Vírgula 10 2 8 4 5" xfId="15349" xr:uid="{D84723AD-2361-4481-AD50-35C98B1F594A}"/>
    <cellStyle name="Vírgula 10 2 8 4 5 2" xfId="35689" xr:uid="{E6383641-8727-4036-AB51-D5D1AB6085EC}"/>
    <cellStyle name="Vírgula 10 2 8 4 6" xfId="11470" xr:uid="{211BA214-EEFD-42F7-BB2D-9F63DE095020}"/>
    <cellStyle name="Vírgula 10 2 8 4 6 2" xfId="31813" xr:uid="{D6090C04-7FAA-466C-BFCC-A1A0B2860830}"/>
    <cellStyle name="Vírgula 10 2 8 4 7" xfId="28319" xr:uid="{09F93426-39B8-49DF-A28B-95B303A5EDD1}"/>
    <cellStyle name="Vírgula 10 2 8 5" xfId="13039" xr:uid="{9052749D-C047-4C70-8433-F6D6C11FEEFA}"/>
    <cellStyle name="Vírgula 10 2 8 5 2" xfId="33380" xr:uid="{FB8D79D0-3F68-4C80-9CD1-23EBFEE26754}"/>
    <cellStyle name="Vírgula 10 2 8 6" xfId="15936" xr:uid="{3DBA389C-145D-42D5-9857-CAE3BC74446D}"/>
    <cellStyle name="Vírgula 10 2 8 6 2" xfId="36276" xr:uid="{E158067A-BB90-4C48-8102-78DD5E47234F}"/>
    <cellStyle name="Vírgula 10 2 8 7" xfId="18850" xr:uid="{5DB63BBE-965B-4E9F-8652-264B9C6C53E1}"/>
    <cellStyle name="Vírgula 10 2 8 7 2" xfId="39190" xr:uid="{121E89C7-95DE-40D0-840B-EF80CB4272E6}"/>
    <cellStyle name="Vírgula 10 2 8 8" xfId="19438" xr:uid="{E71F33E8-3D9A-4A4D-8D23-FDF5A1FF0689}"/>
    <cellStyle name="Vírgula 10 2 8 8 2" xfId="39777" xr:uid="{EABF4E28-5DAC-420C-B234-DF058A72BC82}"/>
    <cellStyle name="Vírgula 10 2 8 9" xfId="22693" xr:uid="{F2A54C91-951C-4DCC-9CC6-F483FEF2DBF2}"/>
    <cellStyle name="Vírgula 10 2 8 9 2" xfId="43028" xr:uid="{8F5E8355-1AA3-4CB0-A3A4-9FD51EF4ABBF}"/>
    <cellStyle name="Vírgula 10 2 9" xfId="5789" xr:uid="{A0D72DDB-8F6B-4AFE-A1DE-F3E75ED14484}"/>
    <cellStyle name="Vírgula 10 2 9 2" xfId="6947" xr:uid="{A87475B9-3677-4819-AA53-FA0E87BAE610}"/>
    <cellStyle name="Vírgula 10 2 9 2 2" xfId="17233" xr:uid="{637BB371-8C41-44A4-B789-65F0D3D8669E}"/>
    <cellStyle name="Vírgula 10 2 9 2 2 2" xfId="37573" xr:uid="{67B60A97-726C-46FA-A86D-098FAC536F74}"/>
    <cellStyle name="Vírgula 10 2 9 2 3" xfId="20735" xr:uid="{79CD82C4-A40E-45F3-979D-04E3C3295122}"/>
    <cellStyle name="Vírgula 10 2 9 2 3 2" xfId="41074" xr:uid="{EB24F304-BD52-4E0B-B410-15727B9D6D44}"/>
    <cellStyle name="Vírgula 10 2 9 2 4" xfId="23990" xr:uid="{E4558510-ACC1-4325-A48D-997BD981F1F8}"/>
    <cellStyle name="Vírgula 10 2 9 2 4 2" xfId="44325" xr:uid="{924FC4F6-CD50-4B33-8AF1-6BDCFAB4C7F7}"/>
    <cellStyle name="Vírgula 10 2 9 2 5" xfId="14324" xr:uid="{40CB8696-E9A4-4B8B-92E9-AA3C38740540}"/>
    <cellStyle name="Vírgula 10 2 9 2 5 2" xfId="34665" xr:uid="{6B649490-778B-4527-BD60-54678A6CEACE}"/>
    <cellStyle name="Vírgula 10 2 9 2 6" xfId="10446" xr:uid="{9FAE690A-AF64-4CCB-98A7-E925A76BA609}"/>
    <cellStyle name="Vírgula 10 2 9 2 6 2" xfId="30789" xr:uid="{72CB6407-2568-4D21-9399-2FE9AF438704}"/>
    <cellStyle name="Vírgula 10 2 9 2 7" xfId="27295" xr:uid="{C84795EC-532F-45A2-8393-89DCF46CD736}"/>
    <cellStyle name="Vírgula 10 2 9 3" xfId="16075" xr:uid="{28C2325A-972F-4470-87ED-7C5DA5A7DEC2}"/>
    <cellStyle name="Vírgula 10 2 9 3 2" xfId="36415" xr:uid="{FA6BDAF3-91CB-440D-94DE-001D96A71EE0}"/>
    <cellStyle name="Vírgula 10 2 9 4" xfId="19577" xr:uid="{361B329D-0F9E-4EF7-935B-D776ED2F7911}"/>
    <cellStyle name="Vírgula 10 2 9 4 2" xfId="39916" xr:uid="{7EC17BDA-DD4C-4281-81D6-4FF68869C859}"/>
    <cellStyle name="Vírgula 10 2 9 5" xfId="22832" xr:uid="{5FF8B720-3358-433C-ACAE-ED963AB20090}"/>
    <cellStyle name="Vírgula 10 2 9 5 2" xfId="43167" xr:uid="{427C26BC-F3F9-43BC-9BA2-674B30E719CB}"/>
    <cellStyle name="Vírgula 10 2 9 6" xfId="13175" xr:uid="{9232705D-93C3-4E23-A93C-E7AB5A7C431A}"/>
    <cellStyle name="Vírgula 10 2 9 6 2" xfId="33516" xr:uid="{2843A36C-0B33-4431-B831-274CDA3039C6}"/>
    <cellStyle name="Vírgula 10 2 9 7" xfId="9288" xr:uid="{83CFEF64-A217-407E-8DEE-CE0B4A7A1CD4}"/>
    <cellStyle name="Vírgula 10 2 9 7 2" xfId="29631" xr:uid="{DCE0A461-0938-4DD4-A099-7ED2C872CE65}"/>
    <cellStyle name="Vírgula 10 2 9 8" xfId="26137" xr:uid="{97A8EB8A-DAB4-4AAB-B3A8-11D92349527A}"/>
    <cellStyle name="Vírgula 10 20" xfId="25541" xr:uid="{2C231888-836D-4F6A-A87B-9D2E875144F8}"/>
    <cellStyle name="Vírgula 10 21" xfId="25519" xr:uid="{49F38746-B4B4-4255-BA82-1CB156BA25C9}"/>
    <cellStyle name="Vírgula 10 22" xfId="45809" xr:uid="{8C5A65A4-981C-48D0-9556-20B6166D66DD}"/>
    <cellStyle name="Vírgula 10 23" xfId="46295" xr:uid="{F1F3B301-E79C-4595-A4BC-9047792FA7DD}"/>
    <cellStyle name="Vírgula 10 24" xfId="46787" xr:uid="{65DAA3BC-6BC0-48DF-8300-EF6B39B104FA}"/>
    <cellStyle name="Vírgula 10 25" xfId="47363" xr:uid="{4C0D5A6F-AB10-4601-B475-B77282B5AC43}"/>
    <cellStyle name="Vírgula 10 26" xfId="47489" xr:uid="{2C75D3EC-D8B9-40C6-B556-AF6B6E7E131D}"/>
    <cellStyle name="Vírgula 10 27" xfId="47615" xr:uid="{04C26AB8-E86F-4001-A415-4273C598CAB2}"/>
    <cellStyle name="Vírgula 10 28" xfId="48352" xr:uid="{624C6DAE-1828-42CF-9FC1-94498BAA17A9}"/>
    <cellStyle name="Vírgula 10 29" xfId="50020" xr:uid="{12C38F4D-2F1F-43F9-A825-29C543D6B0EC}"/>
    <cellStyle name="Vírgula 10 3" xfId="195" xr:uid="{9F0B6D92-0EA1-4332-9181-5BB777BEFF0D}"/>
    <cellStyle name="Vírgula 10 3 10" xfId="7532" xr:uid="{AE3EA2A2-FD18-4AE5-B1CC-76C5BF9752FB}"/>
    <cellStyle name="Vírgula 10 3 10 2" xfId="17817" xr:uid="{BFE13405-7162-426E-A2C2-467480997E4C}"/>
    <cellStyle name="Vírgula 10 3 10 2 2" xfId="38157" xr:uid="{4A5E2BD2-7D8E-4DF8-B706-0B7C539A6CBC}"/>
    <cellStyle name="Vírgula 10 3 10 3" xfId="21319" xr:uid="{7F0E60F9-C0EB-42FA-B100-8EDAE41C8554}"/>
    <cellStyle name="Vírgula 10 3 10 3 2" xfId="41658" xr:uid="{15B0558A-406E-4788-8A78-0E668091A8EF}"/>
    <cellStyle name="Vírgula 10 3 10 4" xfId="24574" xr:uid="{15C0528F-E350-4510-BBD0-F80ABF36B469}"/>
    <cellStyle name="Vírgula 10 3 10 4 2" xfId="44909" xr:uid="{92D9F985-0967-4235-91ED-FF42620CB472}"/>
    <cellStyle name="Vírgula 10 3 10 5" xfId="14909" xr:uid="{20718F1C-71F3-4EDF-B853-9DCF5F1586E7}"/>
    <cellStyle name="Vírgula 10 3 10 5 2" xfId="35249" xr:uid="{4D4AB329-A58B-47DE-82D0-73DEEFD4ED3F}"/>
    <cellStyle name="Vírgula 10 3 10 6" xfId="11030" xr:uid="{2357EC67-71E4-4C9C-A1A6-95504D071C5B}"/>
    <cellStyle name="Vírgula 10 3 10 6 2" xfId="31373" xr:uid="{B3B4F20C-953C-46E1-9451-DB84F4CE17A3}"/>
    <cellStyle name="Vírgula 10 3 10 7" xfId="27879" xr:uid="{ECDAF57A-8471-4DCA-9B6A-F5C0EB62899A}"/>
    <cellStyle name="Vírgula 10 3 11" xfId="8177" xr:uid="{34AB13EE-2D54-42B8-8A63-EE7A5A26FEFD}"/>
    <cellStyle name="Vírgula 10 3 11 2" xfId="21964" xr:uid="{0AEAA4E4-F286-4836-879D-5AC38B49296F}"/>
    <cellStyle name="Vírgula 10 3 11 2 2" xfId="42300" xr:uid="{D5DEACEA-9881-44D0-915D-9ADE069C647D}"/>
    <cellStyle name="Vírgula 10 3 11 3" xfId="25216" xr:uid="{70FA9AC7-34C5-4DC1-910D-DFFADD1B20B2}"/>
    <cellStyle name="Vírgula 10 3 11 3 2" xfId="45551" xr:uid="{8E652559-A0D8-4489-9B9D-320C51D561E4}"/>
    <cellStyle name="Vírgula 10 3 11 4" xfId="12608" xr:uid="{5460CCCE-D0C8-4F95-B082-4CE7147316BE}"/>
    <cellStyle name="Vírgula 10 3 11 4 2" xfId="32949" xr:uid="{6796BA6A-7B9C-43EB-A755-A8B40C208EA5}"/>
    <cellStyle name="Vírgula 10 3 11 5" xfId="11673" xr:uid="{D301092D-C1FF-48A8-BD10-22B3AB99505A}"/>
    <cellStyle name="Vírgula 10 3 11 5 2" xfId="32015" xr:uid="{8AF45598-0EC4-48C1-814C-3FE43D17C055}"/>
    <cellStyle name="Vírgula 10 3 11 6" xfId="28521" xr:uid="{CA0A5FA8-76C6-42F7-8CBA-9A8BCC895F6B}"/>
    <cellStyle name="Vírgula 10 3 12" xfId="8447" xr:uid="{4D3B136C-A733-4B83-8036-347385BA758D}"/>
    <cellStyle name="Vírgula 10 3 12 2" xfId="15496" xr:uid="{158E8965-D618-4C4D-AEB5-F9B51E1CD71C}"/>
    <cellStyle name="Vírgula 10 3 12 2 2" xfId="35836" xr:uid="{431D5925-58FF-4531-8494-C10602A84D1B}"/>
    <cellStyle name="Vírgula 10 3 12 3" xfId="28790" xr:uid="{236190DE-0734-484B-9B5E-2FB7EF5D632D}"/>
    <cellStyle name="Vírgula 10 3 13" xfId="18410" xr:uid="{CE5363BB-65D0-4909-B801-FB9CEDD1AEF7}"/>
    <cellStyle name="Vírgula 10 3 13 2" xfId="38750" xr:uid="{91407E2B-F813-45A0-9D91-BD4773BB789C}"/>
    <cellStyle name="Vírgula 10 3 14" xfId="18998" xr:uid="{FDCC95B9-4A3E-446C-B53C-AF74BB387807}"/>
    <cellStyle name="Vírgula 10 3 14 2" xfId="39337" xr:uid="{3B4324D0-DAAD-4039-A16A-3BBD1D46D169}"/>
    <cellStyle name="Vírgula 10 3 15" xfId="22253" xr:uid="{3B5EE39B-0215-4BDA-9BB3-C880EB0CED6B}"/>
    <cellStyle name="Vírgula 10 3 15 2" xfId="42588" xr:uid="{F551A855-BDBA-4519-AE34-F078C692FDDB}"/>
    <cellStyle name="Vírgula 10 3 16" xfId="11970" xr:uid="{69609A02-56AC-4949-891A-BDFCC26C30DC}"/>
    <cellStyle name="Vírgula 10 3 16 2" xfId="32311" xr:uid="{37256AC1-940F-4802-9DC0-94701AA8FCAA}"/>
    <cellStyle name="Vírgula 10 3 17" xfId="8709" xr:uid="{3D89E5BD-8B8C-4B4F-8961-AE6316680EE3}"/>
    <cellStyle name="Vírgula 10 3 17 2" xfId="29052" xr:uid="{FD766D5A-09AB-41A6-B1E4-0AE7DA1C1498}"/>
    <cellStyle name="Vírgula 10 3 18" xfId="25554" xr:uid="{D03F1871-25E6-4CE8-AA28-70E0CCCD23F3}"/>
    <cellStyle name="Vírgula 10 3 19" xfId="45822" xr:uid="{F9363F0D-8CBD-4F01-87FE-AECE1A310B1D}"/>
    <cellStyle name="Vírgula 10 3 2" xfId="1011" xr:uid="{9E2703EA-FCDC-4631-9B0C-DC87E36C34E0}"/>
    <cellStyle name="Vírgula 10 3 2 10" xfId="8178" xr:uid="{6580FFE5-1E5E-4F70-8DE2-84F6DAAD29B3}"/>
    <cellStyle name="Vírgula 10 3 2 10 2" xfId="21965" xr:uid="{264E8B82-6FDE-4969-A382-B7E456A35A44}"/>
    <cellStyle name="Vírgula 10 3 2 10 2 2" xfId="42301" xr:uid="{F1929F10-2CBC-45B3-88F1-E818220B5FB0}"/>
    <cellStyle name="Vírgula 10 3 2 10 3" xfId="25217" xr:uid="{41CDE2C9-4E8A-40A8-9F78-C602E604C6C8}"/>
    <cellStyle name="Vírgula 10 3 2 10 3 2" xfId="45552" xr:uid="{0C1A1132-868B-47FA-8CE3-064A7E0ADAE2}"/>
    <cellStyle name="Vírgula 10 3 2 10 4" xfId="12631" xr:uid="{B7C422F2-FBC9-4361-A994-5782EC66776C}"/>
    <cellStyle name="Vírgula 10 3 2 10 4 2" xfId="32972" xr:uid="{F960B7C4-8A84-4A45-9CD6-03931E29C1ED}"/>
    <cellStyle name="Vírgula 10 3 2 10 5" xfId="11674" xr:uid="{2DC5E601-782F-4C45-A4BA-F8BEA4C76491}"/>
    <cellStyle name="Vírgula 10 3 2 10 5 2" xfId="32016" xr:uid="{33BB4603-7894-48DA-8FA7-BE88E5352384}"/>
    <cellStyle name="Vírgula 10 3 2 10 6" xfId="28522" xr:uid="{8D5C51DA-F4B6-4EFA-9886-0721B0FD7155}"/>
    <cellStyle name="Vírgula 10 3 2 11" xfId="8475" xr:uid="{F06D199D-F8B4-4EF3-95F4-23AFD65A3785}"/>
    <cellStyle name="Vírgula 10 3 2 11 2" xfId="15524" xr:uid="{0E5B1321-5906-4AA6-9A45-AE7BC1C3C4F5}"/>
    <cellStyle name="Vírgula 10 3 2 11 2 2" xfId="35864" xr:uid="{5E4D4136-F004-4849-BECD-877F533059FD}"/>
    <cellStyle name="Vírgula 10 3 2 11 3" xfId="28818" xr:uid="{658E34EC-0B61-43E5-90C9-97AFD035560B}"/>
    <cellStyle name="Vírgula 10 3 2 12" xfId="18438" xr:uid="{B8ADEE6F-3BA1-4CF4-BE90-DABF02CB13B6}"/>
    <cellStyle name="Vírgula 10 3 2 12 2" xfId="38778" xr:uid="{147102B7-32CE-4820-8F81-0713FDE830F9}"/>
    <cellStyle name="Vírgula 10 3 2 13" xfId="19026" xr:uid="{BE30DDDF-AC94-4026-AD28-3BCA8308388D}"/>
    <cellStyle name="Vírgula 10 3 2 13 2" xfId="39365" xr:uid="{0AFD71CE-87AD-42E4-8213-F16E1D8E4D4D}"/>
    <cellStyle name="Vírgula 10 3 2 14" xfId="22281" xr:uid="{FFF8BE36-F1A7-48C1-8A1B-BD5A3FA2DB67}"/>
    <cellStyle name="Vírgula 10 3 2 14 2" xfId="42616" xr:uid="{9F837069-2EA5-461D-9E99-A2FFB8C91D00}"/>
    <cellStyle name="Vírgula 10 3 2 15" xfId="11998" xr:uid="{5EAD3BD9-E62B-4BB2-B269-55D96888D636}"/>
    <cellStyle name="Vírgula 10 3 2 15 2" xfId="32339" xr:uid="{4DDDB14F-1D11-4013-A153-E95829FEF606}"/>
    <cellStyle name="Vírgula 10 3 2 16" xfId="8737" xr:uid="{4D51A63B-B7D8-4AD4-A4A0-772E1BCA93D3}"/>
    <cellStyle name="Vírgula 10 3 2 16 2" xfId="29080" xr:uid="{C077E279-133B-4C01-982F-87B0C1C015BA}"/>
    <cellStyle name="Vírgula 10 3 2 17" xfId="25582" xr:uid="{56D4F87D-F2A3-41E4-AFB4-47736A194AFC}"/>
    <cellStyle name="Vírgula 10 3 2 18" xfId="45850" xr:uid="{E3304A82-85AB-47AB-BAA2-215A6C8162E4}"/>
    <cellStyle name="Vírgula 10 3 2 19" xfId="46336" xr:uid="{F35F891C-D2A6-4C14-8E49-94A39DA42150}"/>
    <cellStyle name="Vírgula 10 3 2 2" xfId="4143" xr:uid="{92D18B94-F937-429E-B2A6-66F5D338D0B9}"/>
    <cellStyle name="Vírgula 10 3 2 2 10" xfId="22396" xr:uid="{4E332A2C-0FA9-475C-989E-FC60457C3B32}"/>
    <cellStyle name="Vírgula 10 3 2 2 10 2" xfId="42731" xr:uid="{DB27DAD0-842D-497A-93CA-D84E8E69DC74}"/>
    <cellStyle name="Vírgula 10 3 2 2 11" xfId="12113" xr:uid="{EA40A273-C9C0-4FAE-B999-A9ED5D970730}"/>
    <cellStyle name="Vírgula 10 3 2 2 11 2" xfId="32454" xr:uid="{CDEE78A3-F604-4F55-B46D-CE0AA816581A}"/>
    <cellStyle name="Vírgula 10 3 2 2 12" xfId="8852" xr:uid="{1A56761B-52B6-4575-A1F8-D409EBCA0C81}"/>
    <cellStyle name="Vírgula 10 3 2 2 12 2" xfId="29195" xr:uid="{AD47DAD8-E763-452A-819E-E862E9EE590E}"/>
    <cellStyle name="Vírgula 10 3 2 2 13" xfId="25701" xr:uid="{DFE659EF-AB65-48E1-AA78-253579EBD208}"/>
    <cellStyle name="Vírgula 10 3 2 2 14" xfId="45910" xr:uid="{3F4A13BD-D196-4F87-AFC4-A07B5FBAF6D9}"/>
    <cellStyle name="Vírgula 10 3 2 2 15" xfId="46396" xr:uid="{7B5A9621-595D-4D0F-9348-54D68F83DF10}"/>
    <cellStyle name="Vírgula 10 3 2 2 16" xfId="46888" xr:uid="{007E66CE-2C6A-4752-A88A-A7CBE5B8683B}"/>
    <cellStyle name="Vírgula 10 3 2 2 17" xfId="51661" xr:uid="{AB5EFCA0-ADAC-4A4E-AFFA-C9FD6DC4315B}"/>
    <cellStyle name="Vírgula 10 3 2 2 18" xfId="54955" xr:uid="{DA16CA04-9528-4C41-9C1E-E3CB923B46DC}"/>
    <cellStyle name="Vírgula 10 3 2 2 19" xfId="5374" xr:uid="{666BBB20-F159-4DC7-94EE-6180AC98D14B}"/>
    <cellStyle name="Vírgula 10 3 2 2 2" xfId="5085" xr:uid="{4E9D5585-3B65-42D9-8CD1-4F89DD2B9ACA}"/>
    <cellStyle name="Vírgula 10 3 2 2 2 10" xfId="12500" xr:uid="{FFAF0C85-7D94-46F8-A8D4-D9A6962F8F62}"/>
    <cellStyle name="Vírgula 10 3 2 2 2 10 2" xfId="32841" xr:uid="{BA74EADF-993E-4416-9AE4-7F8686D4B982}"/>
    <cellStyle name="Vírgula 10 3 2 2 2 11" xfId="9239" xr:uid="{387A314E-18A4-461E-A7E0-5B032FAB4953}"/>
    <cellStyle name="Vírgula 10 3 2 2 2 11 2" xfId="29582" xr:uid="{43F7E0B7-E410-477C-8DB2-EA04B3635B7D}"/>
    <cellStyle name="Vírgula 10 3 2 2 2 12" xfId="26088" xr:uid="{0A513522-EE35-4DFC-9108-E832F230BAED}"/>
    <cellStyle name="Vírgula 10 3 2 2 2 13" xfId="45967" xr:uid="{8A97567F-E87B-453B-AF5F-087F63186760}"/>
    <cellStyle name="Vírgula 10 3 2 2 2 14" xfId="46453" xr:uid="{8DC76ED6-315E-42F2-BD21-659B07C318A7}"/>
    <cellStyle name="Vírgula 10 3 2 2 2 15" xfId="46945" xr:uid="{C6F5ED38-45D6-4A30-8D87-EB90C7791506}"/>
    <cellStyle name="Vírgula 10 3 2 2 2 16" xfId="5745" xr:uid="{2382C5DC-304C-4DE7-8F68-A7FEAD1B0289}"/>
    <cellStyle name="Vírgula 10 3 2 2 2 2" xfId="6321" xr:uid="{62DC43E7-D730-4AF3-940D-E582F2848D0D}"/>
    <cellStyle name="Vírgula 10 3 2 2 2 2 10" xfId="46696" xr:uid="{687FE3D8-4A62-4446-B7AA-53DB95D60EEF}"/>
    <cellStyle name="Vírgula 10 3 2 2 2 2 11" xfId="47188" xr:uid="{873E615F-0B9C-493E-838E-E258EB2ECAF4}"/>
    <cellStyle name="Vírgula 10 3 2 2 2 2 2" xfId="7479" xr:uid="{DFCBB04D-152B-4617-950E-DF1181D769BA}"/>
    <cellStyle name="Vírgula 10 3 2 2 2 2 2 2" xfId="17765" xr:uid="{E33F5E1C-DC7F-41D0-B7E7-CBB9EFEAA15B}"/>
    <cellStyle name="Vírgula 10 3 2 2 2 2 2 2 2" xfId="38105" xr:uid="{94761D21-E9AE-4CAA-964C-2EADC1E06A0A}"/>
    <cellStyle name="Vírgula 10 3 2 2 2 2 2 3" xfId="21267" xr:uid="{BE6EE482-7E61-4E46-A621-AA54C69539E5}"/>
    <cellStyle name="Vírgula 10 3 2 2 2 2 2 3 2" xfId="41606" xr:uid="{156E0ABA-A516-470E-A0F4-BD3AAC4FF5C3}"/>
    <cellStyle name="Vírgula 10 3 2 2 2 2 2 4" xfId="24522" xr:uid="{ECFAC05E-EF33-4FFC-9590-F612C311113C}"/>
    <cellStyle name="Vírgula 10 3 2 2 2 2 2 4 2" xfId="44857" xr:uid="{C4894A59-2E3D-493C-A6E2-39F1E29238E0}"/>
    <cellStyle name="Vírgula 10 3 2 2 2 2 2 5" xfId="14856" xr:uid="{DB7094DD-F615-4AEF-99E1-F1B2B23D1D55}"/>
    <cellStyle name="Vírgula 10 3 2 2 2 2 2 5 2" xfId="35197" xr:uid="{356830F1-0B1F-4E7E-A966-E01D2C4D5238}"/>
    <cellStyle name="Vírgula 10 3 2 2 2 2 2 6" xfId="10978" xr:uid="{91C29F2F-A1CA-46ED-A1D5-17E431BE589B}"/>
    <cellStyle name="Vírgula 10 3 2 2 2 2 2 6 2" xfId="31321" xr:uid="{C89887CD-66E5-48A0-836D-D19720430B39}"/>
    <cellStyle name="Vírgula 10 3 2 2 2 2 2 7" xfId="27827" xr:uid="{A7F82DE5-93BD-48F0-8FA9-DAE07B548CAB}"/>
    <cellStyle name="Vírgula 10 3 2 2 2 2 3" xfId="16607" xr:uid="{2A7863D4-C2BE-4109-9546-11B00A08EA9E}"/>
    <cellStyle name="Vírgula 10 3 2 2 2 2 3 2" xfId="36947" xr:uid="{9FB21994-63AA-40A9-ABD6-017C8D710D38}"/>
    <cellStyle name="Vírgula 10 3 2 2 2 2 4" xfId="20109" xr:uid="{1FEDC2D8-F065-4411-8135-E2B906FEF92C}"/>
    <cellStyle name="Vírgula 10 3 2 2 2 2 4 2" xfId="40448" xr:uid="{190C9CD6-822E-4CF1-806A-FA181E31E034}"/>
    <cellStyle name="Vírgula 10 3 2 2 2 2 5" xfId="23364" xr:uid="{10FAF5D1-1560-4D9E-81A2-C2AFBDC566BB}"/>
    <cellStyle name="Vírgula 10 3 2 2 2 2 5 2" xfId="43699" xr:uid="{90E14E75-A168-4371-A3B5-922255F36E2E}"/>
    <cellStyle name="Vírgula 10 3 2 2 2 2 6" xfId="13698" xr:uid="{2668112B-0922-4CDC-9BDF-FE6166F9230D}"/>
    <cellStyle name="Vírgula 10 3 2 2 2 2 6 2" xfId="34039" xr:uid="{8C9E9B85-0CBE-4CD1-90CE-2A6130776173}"/>
    <cellStyle name="Vírgula 10 3 2 2 2 2 7" xfId="9820" xr:uid="{F17EF25A-699B-4431-BEA2-9718891BF2F2}"/>
    <cellStyle name="Vírgula 10 3 2 2 2 2 7 2" xfId="30163" xr:uid="{938618DB-A32B-4673-94FD-6AAFDA7FFD4C}"/>
    <cellStyle name="Vírgula 10 3 2 2 2 2 8" xfId="26669" xr:uid="{E72DAD0F-C413-4EF0-ABC5-150E1350FA71}"/>
    <cellStyle name="Vírgula 10 3 2 2 2 2 9" xfId="46210" xr:uid="{EFB4DC1C-1EF5-46D1-B420-C9C449D1BD18}"/>
    <cellStyle name="Vírgula 10 3 2 2 2 3" xfId="6898" xr:uid="{083741BF-B756-4ACA-B69A-6CEFDCB5213A}"/>
    <cellStyle name="Vírgula 10 3 2 2 2 3 2" xfId="17184" xr:uid="{A251579D-2FAF-442C-A99B-5900C7BCA233}"/>
    <cellStyle name="Vírgula 10 3 2 2 2 3 2 2" xfId="37524" xr:uid="{F962EFA2-5321-4915-BD75-AF2DC5426DB9}"/>
    <cellStyle name="Vírgula 10 3 2 2 2 3 3" xfId="20686" xr:uid="{FFBF1714-E515-4A70-83E5-E20DD9B8AD5A}"/>
    <cellStyle name="Vírgula 10 3 2 2 2 3 3 2" xfId="41025" xr:uid="{75504314-3AFE-4493-A75F-E90A6FE4B076}"/>
    <cellStyle name="Vírgula 10 3 2 2 2 3 4" xfId="23941" xr:uid="{F54FE513-E5D0-4BC8-B2EE-492FCA8B0DF6}"/>
    <cellStyle name="Vírgula 10 3 2 2 2 3 4 2" xfId="44276" xr:uid="{2299001D-8E3C-4356-AEF5-DC2552FEE051}"/>
    <cellStyle name="Vírgula 10 3 2 2 2 3 5" xfId="14275" xr:uid="{D088E4DA-6FA0-436D-8CD0-74E983733540}"/>
    <cellStyle name="Vírgula 10 3 2 2 2 3 5 2" xfId="34616" xr:uid="{7E0AA33F-1D1D-412B-BFE3-0D49C71C5438}"/>
    <cellStyle name="Vírgula 10 3 2 2 2 3 6" xfId="10397" xr:uid="{BD42D1A6-3CC8-4E05-8E47-762E98D40557}"/>
    <cellStyle name="Vírgula 10 3 2 2 2 3 6 2" xfId="30740" xr:uid="{6FB6ED9F-44BD-4F1B-925A-536A08A7BEB4}"/>
    <cellStyle name="Vírgula 10 3 2 2 2 3 7" xfId="27246" xr:uid="{F615E9F2-F480-492E-9D05-6DFCBFDB07D5}"/>
    <cellStyle name="Vírgula 10 3 2 2 2 4" xfId="8062" xr:uid="{F8661652-7681-4493-8F6F-A862847507C0}"/>
    <cellStyle name="Vírgula 10 3 2 2 2 4 2" xfId="18347" xr:uid="{68A35712-A838-4140-9A5A-DD86C1E44070}"/>
    <cellStyle name="Vírgula 10 3 2 2 2 4 2 2" xfId="38687" xr:uid="{3FD4DEF9-460D-494B-9AEF-00384659BABA}"/>
    <cellStyle name="Vírgula 10 3 2 2 2 4 3" xfId="21849" xr:uid="{CF1D88C4-9830-4243-BD45-B2A709470DE4}"/>
    <cellStyle name="Vírgula 10 3 2 2 2 4 3 2" xfId="42188" xr:uid="{1B0CD3D8-DFB3-44F9-AFAE-FBC9CFA2F07A}"/>
    <cellStyle name="Vírgula 10 3 2 2 2 4 4" xfId="25104" xr:uid="{636D399E-C289-410B-843D-30485005457B}"/>
    <cellStyle name="Vírgula 10 3 2 2 2 4 4 2" xfId="45439" xr:uid="{B7B3FC89-EA69-4CFA-B85C-B041EEF348D7}"/>
    <cellStyle name="Vírgula 10 3 2 2 2 4 5" xfId="15439" xr:uid="{7B0DB519-3AD6-4A19-8C70-AB49CD7D2842}"/>
    <cellStyle name="Vírgula 10 3 2 2 2 4 5 2" xfId="35779" xr:uid="{55C40203-D026-4D10-9175-049EF64F3D61}"/>
    <cellStyle name="Vírgula 10 3 2 2 2 4 6" xfId="11560" xr:uid="{CF3BF430-5B8B-47CB-BEF8-2D6F1ECFB12A}"/>
    <cellStyle name="Vírgula 10 3 2 2 2 4 6 2" xfId="31903" xr:uid="{556D06BE-77F4-4578-A7FB-3DF2B43BEF89}"/>
    <cellStyle name="Vírgula 10 3 2 2 2 4 7" xfId="28409" xr:uid="{90AD53C1-8DAA-40A3-97D9-652C3C1018D6}"/>
    <cellStyle name="Vírgula 10 3 2 2 2 5" xfId="8180" xr:uid="{14BDD5DA-095B-48EE-8BA5-48524A7B5387}"/>
    <cellStyle name="Vírgula 10 3 2 2 2 5 2" xfId="21967" xr:uid="{B70AA109-1325-43E5-9B3F-9CA6E9F2669C}"/>
    <cellStyle name="Vírgula 10 3 2 2 2 5 2 2" xfId="42303" xr:uid="{BC909F4E-7F27-4C0C-9D5C-A38A91C29E8E}"/>
    <cellStyle name="Vírgula 10 3 2 2 2 5 3" xfId="25219" xr:uid="{4651560E-0DD5-4D73-9FA8-4D28CAD9A148}"/>
    <cellStyle name="Vírgula 10 3 2 2 2 5 3 2" xfId="45554" xr:uid="{5031BDE6-156D-4276-9159-08841F389892}"/>
    <cellStyle name="Vírgula 10 3 2 2 2 5 4" xfId="13129" xr:uid="{B0A1C2FE-4AED-4B19-984D-EA82B20EA740}"/>
    <cellStyle name="Vírgula 10 3 2 2 2 5 4 2" xfId="33470" xr:uid="{EBD0CE78-64BF-4D10-8492-4FCB578D7790}"/>
    <cellStyle name="Vírgula 10 3 2 2 2 5 5" xfId="11676" xr:uid="{BC597ADF-F3B9-49CF-9614-89AE8C6DE0B8}"/>
    <cellStyle name="Vírgula 10 3 2 2 2 5 5 2" xfId="32018" xr:uid="{95A728D1-045D-43B8-BEE6-DD84333F2C19}"/>
    <cellStyle name="Vírgula 10 3 2 2 2 5 6" xfId="28524" xr:uid="{8A360257-6F1E-4F63-95DF-70F9FC3B01BC}"/>
    <cellStyle name="Vírgula 10 3 2 2 2 6" xfId="8592" xr:uid="{FFECA05C-A60A-456F-BD4D-ABA40CDF9997}"/>
    <cellStyle name="Vírgula 10 3 2 2 2 6 2" xfId="16026" xr:uid="{917E256A-E90A-463F-A44D-73F5E9A7D35C}"/>
    <cellStyle name="Vírgula 10 3 2 2 2 6 2 2" xfId="36366" xr:uid="{D97F21A4-997A-4BE8-800F-1D0832394FBB}"/>
    <cellStyle name="Vírgula 10 3 2 2 2 6 3" xfId="28935" xr:uid="{42BFCB3D-AB9C-4A4E-B11D-5B2F7FC6BC9D}"/>
    <cellStyle name="Vírgula 10 3 2 2 2 7" xfId="18940" xr:uid="{A3715051-727C-4151-8DBA-C9E93E58DE17}"/>
    <cellStyle name="Vírgula 10 3 2 2 2 7 2" xfId="39280" xr:uid="{A72BC707-70F7-45E8-90E1-BB31C9046E5E}"/>
    <cellStyle name="Vírgula 10 3 2 2 2 8" xfId="19528" xr:uid="{64FD3732-054D-4121-8EFC-2086A265EC73}"/>
    <cellStyle name="Vírgula 10 3 2 2 2 8 2" xfId="39867" xr:uid="{3978775C-83A7-4E8E-87F0-28E2B1C7DF46}"/>
    <cellStyle name="Vírgula 10 3 2 2 2 9" xfId="22783" xr:uid="{0699F62F-37EC-4828-9BB8-D2CBDFADA946}"/>
    <cellStyle name="Vírgula 10 3 2 2 2 9 2" xfId="43118" xr:uid="{590779C8-8AC3-4528-B393-B586D20A7F85}"/>
    <cellStyle name="Vírgula 10 3 2 2 20" xfId="4866" xr:uid="{B0672AFD-5D94-4A83-96C3-B790FB43DCBA}"/>
    <cellStyle name="Vírgula 10 3 2 2 3" xfId="5032" xr:uid="{B40DE719-3236-46B7-B78B-1836BC31C331}"/>
    <cellStyle name="Vírgula 10 3 2 2 3 10" xfId="46639" xr:uid="{D54D968E-58E4-437E-8C5F-C1C2029907E8}"/>
    <cellStyle name="Vírgula 10 3 2 2 3 11" xfId="47131" xr:uid="{3822446E-164C-4778-BA22-F230D0B74357}"/>
    <cellStyle name="Vírgula 10 3 2 2 3 12" xfId="5934" xr:uid="{3EB2DACA-B939-4749-AEBC-5A514F0FE9BD}"/>
    <cellStyle name="Vírgula 10 3 2 2 3 2" xfId="7092" xr:uid="{910D7A91-ED87-4DE2-8387-8FD603AE09C9}"/>
    <cellStyle name="Vírgula 10 3 2 2 3 2 2" xfId="17378" xr:uid="{A055BA5B-85A0-4B7C-9778-4721D1E653E6}"/>
    <cellStyle name="Vírgula 10 3 2 2 3 2 2 2" xfId="37718" xr:uid="{2E7F34A2-9803-46D9-891E-B9A530E5AF0E}"/>
    <cellStyle name="Vírgula 10 3 2 2 3 2 3" xfId="20880" xr:uid="{8000BC1F-8497-416D-8032-C93D724C35E5}"/>
    <cellStyle name="Vírgula 10 3 2 2 3 2 3 2" xfId="41219" xr:uid="{65262855-617A-48D4-B4E0-0E18A4CE5401}"/>
    <cellStyle name="Vírgula 10 3 2 2 3 2 4" xfId="24135" xr:uid="{0F31CB3E-E8AE-400C-A78D-E41A90857DA8}"/>
    <cellStyle name="Vírgula 10 3 2 2 3 2 4 2" xfId="44470" xr:uid="{73277DD2-3CC9-4727-8195-57F8DCD593F2}"/>
    <cellStyle name="Vírgula 10 3 2 2 3 2 5" xfId="14469" xr:uid="{87D16FA9-F896-4087-B27E-B6A3648DAA3B}"/>
    <cellStyle name="Vírgula 10 3 2 2 3 2 5 2" xfId="34810" xr:uid="{D691787F-5F76-400D-ABE1-F55594C0E676}"/>
    <cellStyle name="Vírgula 10 3 2 2 3 2 6" xfId="10591" xr:uid="{F092B4F2-5D4E-49AD-9827-2F3DBD64F507}"/>
    <cellStyle name="Vírgula 10 3 2 2 3 2 6 2" xfId="30934" xr:uid="{932FB487-7ABA-4AA2-A1DA-5AA0A867BC0A}"/>
    <cellStyle name="Vírgula 10 3 2 2 3 2 7" xfId="27440" xr:uid="{72928171-8D79-4D6F-BFD4-20698F7BFA2B}"/>
    <cellStyle name="Vírgula 10 3 2 2 3 3" xfId="8181" xr:uid="{E8953E95-85F1-4EDC-9077-4C6E2C6D0E8E}"/>
    <cellStyle name="Vírgula 10 3 2 2 3 3 2" xfId="21968" xr:uid="{963048DD-2D26-4F9A-A8FF-7E9DA9EFE0FF}"/>
    <cellStyle name="Vírgula 10 3 2 2 3 3 2 2" xfId="42304" xr:uid="{85418F16-A7FB-4973-9287-04F9141B5E1D}"/>
    <cellStyle name="Vírgula 10 3 2 2 3 3 3" xfId="25220" xr:uid="{4308554B-7664-4DD6-B76E-5576DE8E23AB}"/>
    <cellStyle name="Vírgula 10 3 2 2 3 3 3 2" xfId="45555" xr:uid="{C16FDAE1-1146-4B26-82FE-67F624353882}"/>
    <cellStyle name="Vírgula 10 3 2 2 3 3 4" xfId="16220" xr:uid="{04B160D9-2ED3-4B1A-8675-B16BF1B3B841}"/>
    <cellStyle name="Vírgula 10 3 2 2 3 3 4 2" xfId="36560" xr:uid="{8ACA4B17-2D71-4664-B2E8-F755F49D216C}"/>
    <cellStyle name="Vírgula 10 3 2 2 3 3 5" xfId="11677" xr:uid="{B153C090-314F-4A7C-A5A3-ECB0C8CE6AE2}"/>
    <cellStyle name="Vírgula 10 3 2 2 3 3 5 2" xfId="32019" xr:uid="{464B8240-3069-4E70-AC40-69A97A0BE658}"/>
    <cellStyle name="Vírgula 10 3 2 2 3 3 6" xfId="28525" xr:uid="{135EA467-2921-41EF-8CEE-3ED704C8D689}"/>
    <cellStyle name="Vírgula 10 3 2 2 3 4" xfId="19722" xr:uid="{552FC8F8-5C90-4DA9-A3D5-93D568C04368}"/>
    <cellStyle name="Vírgula 10 3 2 2 3 4 2" xfId="40061" xr:uid="{CB8E8A09-EA07-405C-9A61-C5178F881812}"/>
    <cellStyle name="Vírgula 10 3 2 2 3 5" xfId="22977" xr:uid="{C099E6C0-E909-4507-A6FF-0B297D2AC54D}"/>
    <cellStyle name="Vírgula 10 3 2 2 3 5 2" xfId="43312" xr:uid="{5F6BBB3F-B6D6-41B3-AD05-735459E5E4B1}"/>
    <cellStyle name="Vírgula 10 3 2 2 3 6" xfId="13312" xr:uid="{0E0B7370-1EB1-4D7D-AE71-6A4461EAAAF4}"/>
    <cellStyle name="Vírgula 10 3 2 2 3 6 2" xfId="33653" xr:uid="{8D75AD93-857B-44D3-8AB4-96299D272C95}"/>
    <cellStyle name="Vírgula 10 3 2 2 3 7" xfId="9433" xr:uid="{486462A6-C89D-49F2-AFDA-71444163D1D8}"/>
    <cellStyle name="Vírgula 10 3 2 2 3 7 2" xfId="29776" xr:uid="{1BF86E19-801B-414E-BFE7-C26F9F6EC578}"/>
    <cellStyle name="Vírgula 10 3 2 2 3 8" xfId="26282" xr:uid="{4F2A0282-74AB-41FB-9705-B43E8E198549}"/>
    <cellStyle name="Vírgula 10 3 2 2 3 9" xfId="46153" xr:uid="{6A41ECF5-80D9-4CCA-82CA-0D6060738CEF}"/>
    <cellStyle name="Vírgula 10 3 2 2 4" xfId="6511" xr:uid="{95645221-241F-4812-AA9A-063B9770F12D}"/>
    <cellStyle name="Vírgula 10 3 2 2 4 2" xfId="16797" xr:uid="{59E61708-0CFF-4330-ABB9-04F7E6EE2665}"/>
    <cellStyle name="Vírgula 10 3 2 2 4 2 2" xfId="37137" xr:uid="{C7116E4A-2EE6-4815-866B-718166C27FF4}"/>
    <cellStyle name="Vírgula 10 3 2 2 4 3" xfId="20299" xr:uid="{F94B9556-F69D-4AA1-9BAB-D509DBF98743}"/>
    <cellStyle name="Vírgula 10 3 2 2 4 3 2" xfId="40638" xr:uid="{4115D097-679F-4626-9095-8DBFB6E4AF01}"/>
    <cellStyle name="Vírgula 10 3 2 2 4 4" xfId="23554" xr:uid="{BC8F641C-2C9B-4E5C-A826-6C45A66D972C}"/>
    <cellStyle name="Vírgula 10 3 2 2 4 4 2" xfId="43889" xr:uid="{01F2CAFE-C90C-410D-BF37-24D2F155E0E3}"/>
    <cellStyle name="Vírgula 10 3 2 2 4 5" xfId="13888" xr:uid="{DB194848-0B52-45D9-8BB0-0BCAC874C0A3}"/>
    <cellStyle name="Vírgula 10 3 2 2 4 5 2" xfId="34229" xr:uid="{76919423-4106-41AE-9353-B8909CC6BFC7}"/>
    <cellStyle name="Vírgula 10 3 2 2 4 6" xfId="10010" xr:uid="{B34F6DF9-B7E4-4B73-99DA-29B37ABE3020}"/>
    <cellStyle name="Vírgula 10 3 2 2 4 6 2" xfId="30353" xr:uid="{BE6C4D70-91EC-4867-A3FC-2B100658C452}"/>
    <cellStyle name="Vírgula 10 3 2 2 4 7" xfId="26859" xr:uid="{00DDE312-68C4-48CB-AEBE-DACA017F1C79}"/>
    <cellStyle name="Vírgula 10 3 2 2 5" xfId="7675" xr:uid="{8A55DD26-0650-4433-BD9B-07A5E72D7D8B}"/>
    <cellStyle name="Vírgula 10 3 2 2 5 2" xfId="17960" xr:uid="{A70AB382-A052-477A-8494-C55E91AFE49E}"/>
    <cellStyle name="Vírgula 10 3 2 2 5 2 2" xfId="38300" xr:uid="{C24372A5-80EF-4E75-BB51-31FEF8E6B9C7}"/>
    <cellStyle name="Vírgula 10 3 2 2 5 3" xfId="21462" xr:uid="{233DE47A-BBBE-41E0-B39F-8E2CB642F675}"/>
    <cellStyle name="Vírgula 10 3 2 2 5 3 2" xfId="41801" xr:uid="{AD0F666D-E775-4329-8615-BBBD1CDFFA38}"/>
    <cellStyle name="Vírgula 10 3 2 2 5 4" xfId="24717" xr:uid="{28B00024-A412-47FF-8257-1898656BBC8E}"/>
    <cellStyle name="Vírgula 10 3 2 2 5 4 2" xfId="45052" xr:uid="{ED141C41-E737-4540-932C-228917B21C6E}"/>
    <cellStyle name="Vírgula 10 3 2 2 5 5" xfId="15052" xr:uid="{070ECF35-76F4-4341-8EDB-7774F2005DA6}"/>
    <cellStyle name="Vírgula 10 3 2 2 5 5 2" xfId="35392" xr:uid="{CC0FB599-65C7-49E7-9C69-B3C02207D5B7}"/>
    <cellStyle name="Vírgula 10 3 2 2 5 6" xfId="11173" xr:uid="{9195D54A-D493-4047-B1AB-6556E67DA48C}"/>
    <cellStyle name="Vírgula 10 3 2 2 5 6 2" xfId="31516" xr:uid="{4D8D685B-CA23-4836-AB38-B313E30ADAEB}"/>
    <cellStyle name="Vírgula 10 3 2 2 5 7" xfId="28022" xr:uid="{22FC6A88-E09C-4CE1-AC14-440AAF2F01D3}"/>
    <cellStyle name="Vírgula 10 3 2 2 6" xfId="8179" xr:uid="{11458362-E39A-4A4B-8422-2E56F7E63A5C}"/>
    <cellStyle name="Vírgula 10 3 2 2 6 2" xfId="21966" xr:uid="{6DCAB2FF-BF0C-4231-AC50-71B16807A295}"/>
    <cellStyle name="Vírgula 10 3 2 2 6 2 2" xfId="42302" xr:uid="{0E3B2656-EE8D-4881-ADC7-5EA2875EC0F4}"/>
    <cellStyle name="Vírgula 10 3 2 2 6 3" xfId="25218" xr:uid="{498EA983-4BC4-4990-8E37-337BAB83C355}"/>
    <cellStyle name="Vírgula 10 3 2 2 6 3 2" xfId="45553" xr:uid="{70CE3666-2945-457C-8019-F7E6F68BF961}"/>
    <cellStyle name="Vírgula 10 3 2 2 6 4" xfId="12743" xr:uid="{9C7E4AD5-D263-4FA6-8EDE-0B526900A2A4}"/>
    <cellStyle name="Vírgula 10 3 2 2 6 4 2" xfId="33084" xr:uid="{68B41E2E-BF76-481B-9C26-6AA26CDEC06E}"/>
    <cellStyle name="Vírgula 10 3 2 2 6 5" xfId="11675" xr:uid="{72257346-1980-41AD-A6C4-0790AC448ABE}"/>
    <cellStyle name="Vírgula 10 3 2 2 6 5 2" xfId="32017" xr:uid="{00651D2D-8021-4618-92B3-54AE8A0E6765}"/>
    <cellStyle name="Vírgula 10 3 2 2 6 6" xfId="28523" xr:uid="{2A1C14FB-B016-49C9-9121-FEF244FA0657}"/>
    <cellStyle name="Vírgula 10 3 2 2 7" xfId="8535" xr:uid="{6101DC15-5FC2-4DCC-A2E7-3DC9609FE228}"/>
    <cellStyle name="Vírgula 10 3 2 2 7 2" xfId="15639" xr:uid="{34089EF8-0B13-42DB-9CF5-A9F8D70EB43C}"/>
    <cellStyle name="Vírgula 10 3 2 2 7 2 2" xfId="35979" xr:uid="{B4EA5FB7-014D-42B7-ABEB-218D277511E0}"/>
    <cellStyle name="Vírgula 10 3 2 2 7 3" xfId="28878" xr:uid="{1AD744E0-1CD9-4B83-96ED-B6DB4429D1EF}"/>
    <cellStyle name="Vírgula 10 3 2 2 8" xfId="18553" xr:uid="{2E27CD52-D183-4B86-ABD8-2D7C5DE614FA}"/>
    <cellStyle name="Vírgula 10 3 2 2 8 2" xfId="38893" xr:uid="{4B848B78-DF9D-4669-925A-0521C48DDF95}"/>
    <cellStyle name="Vírgula 10 3 2 2 9" xfId="19141" xr:uid="{21301D57-028F-44B2-8725-4D9065D2B10E}"/>
    <cellStyle name="Vírgula 10 3 2 2 9 2" xfId="39480" xr:uid="{375029B5-DFF9-4ECC-97AC-49F6C30A1CD0}"/>
    <cellStyle name="Vírgula 10 3 2 20" xfId="46828" xr:uid="{2E67490C-8FC3-420E-91C9-6B3A6737E937}"/>
    <cellStyle name="Vírgula 10 3 2 21" xfId="48359" xr:uid="{9324E084-5135-425A-A5F6-242BAE3BF325}"/>
    <cellStyle name="Vírgula 10 3 2 22" xfId="50027" xr:uid="{97F7FE68-91FC-4855-B7D2-67483E953ED2}"/>
    <cellStyle name="Vírgula 10 3 2 23" xfId="53322" xr:uid="{669FCB0F-1D66-4AC7-B576-95B8825AC988}"/>
    <cellStyle name="Vírgula 10 3 2 24" xfId="5251" xr:uid="{87789578-5ADB-4351-8FEA-9322765B66FA}"/>
    <cellStyle name="Vírgula 10 3 2 25" xfId="4822" xr:uid="{1016D0E7-C450-48D5-AEFE-6A09FAF778B9}"/>
    <cellStyle name="Vírgula 10 3 2 3" xfId="2700" xr:uid="{2DF2FD33-81E8-4C08-92A8-2FD806F6254D}"/>
    <cellStyle name="Vírgula 10 3 2 3 10" xfId="12209" xr:uid="{5A1F4CDA-C8CD-41A1-8D3B-D6CB23E4F231}"/>
    <cellStyle name="Vírgula 10 3 2 3 10 2" xfId="32550" xr:uid="{E06C0E4C-A9B5-48C6-BB5D-6966B57447B3}"/>
    <cellStyle name="Vírgula 10 3 2 3 11" xfId="8948" xr:uid="{6FBB21DA-2788-49EF-ACFD-3DDD764168AE}"/>
    <cellStyle name="Vírgula 10 3 2 3 11 2" xfId="29291" xr:uid="{03C40CF2-E754-477C-926F-347F448AA1C8}"/>
    <cellStyle name="Vírgula 10 3 2 3 12" xfId="25797" xr:uid="{8F646FD6-FCBC-4CC8-BC09-51146FC2A484}"/>
    <cellStyle name="Vírgula 10 3 2 3 13" xfId="45966" xr:uid="{4E2028E9-A236-4030-AFFA-7A5A7AA138C9}"/>
    <cellStyle name="Vírgula 10 3 2 3 14" xfId="46452" xr:uid="{33DF48E2-C263-424E-A88B-A9BFCBC031B0}"/>
    <cellStyle name="Vírgula 10 3 2 3 15" xfId="46944" xr:uid="{93D5E5A0-11A9-4829-8A13-D6BE8FB65541}"/>
    <cellStyle name="Vírgula 10 3 2 3 16" xfId="56882" xr:uid="{75F586EF-E167-4086-A32D-6B08D2704EA9}"/>
    <cellStyle name="Vírgula 10 3 2 3 17" xfId="5462" xr:uid="{CF4EE073-AD2D-4893-AF6E-D7C6CF9F863A}"/>
    <cellStyle name="Vírgula 10 3 2 3 18" xfId="4865" xr:uid="{D979B493-9E17-4C6B-BE6C-0182688F2CDA}"/>
    <cellStyle name="Vírgula 10 3 2 3 2" xfId="5084" xr:uid="{AB3E32BC-B621-45CA-A916-240417E5E593}"/>
    <cellStyle name="Vírgula 10 3 2 3 2 10" xfId="46695" xr:uid="{F666FF99-3A24-4D04-862A-AA2E7F01FCFB}"/>
    <cellStyle name="Vírgula 10 3 2 3 2 11" xfId="47187" xr:uid="{4D298395-2C2D-477F-BFAF-878B79E37E48}"/>
    <cellStyle name="Vírgula 10 3 2 3 2 12" xfId="6030" xr:uid="{573AEAFC-469E-4AC6-A23F-E9CEABF00E34}"/>
    <cellStyle name="Vírgula 10 3 2 3 2 2" xfId="7188" xr:uid="{3F9CF78B-CD93-4FAF-8093-BC3A2B95D3CD}"/>
    <cellStyle name="Vírgula 10 3 2 3 2 2 2" xfId="17474" xr:uid="{6A8A9B62-DC05-4E90-9CEE-FF6624BC801A}"/>
    <cellStyle name="Vírgula 10 3 2 3 2 2 2 2" xfId="37814" xr:uid="{25415C75-E5CF-40CE-A3E1-B8BCA90651EF}"/>
    <cellStyle name="Vírgula 10 3 2 3 2 2 3" xfId="20976" xr:uid="{404AAF72-512D-40AD-BB68-480230B73C48}"/>
    <cellStyle name="Vírgula 10 3 2 3 2 2 3 2" xfId="41315" xr:uid="{A503612C-5A73-4A04-B31A-E0DA8CB70398}"/>
    <cellStyle name="Vírgula 10 3 2 3 2 2 4" xfId="24231" xr:uid="{30641982-0624-4E7F-8E22-6B9FEBFAF4D0}"/>
    <cellStyle name="Vírgula 10 3 2 3 2 2 4 2" xfId="44566" xr:uid="{FACFFAFA-7344-4A0D-8D66-B21EACD2D56A}"/>
    <cellStyle name="Vírgula 10 3 2 3 2 2 5" xfId="14565" xr:uid="{F9FC2467-CADA-4305-A631-2C8ED71CFFD7}"/>
    <cellStyle name="Vírgula 10 3 2 3 2 2 5 2" xfId="34906" xr:uid="{795BDE23-D6A0-4D37-9821-EE7DF51A7264}"/>
    <cellStyle name="Vírgula 10 3 2 3 2 2 6" xfId="10687" xr:uid="{01D5CEC1-ACB6-40E9-80A5-417E3A4DF403}"/>
    <cellStyle name="Vírgula 10 3 2 3 2 2 6 2" xfId="31030" xr:uid="{D95339BE-7283-4491-81A1-14CC1D1D5704}"/>
    <cellStyle name="Vírgula 10 3 2 3 2 2 7" xfId="27536" xr:uid="{9D0F6CAF-F41B-49C6-9086-ADDA7AF32709}"/>
    <cellStyle name="Vírgula 10 3 2 3 2 3" xfId="16316" xr:uid="{776CCC50-8219-40D8-9E05-4427C470B707}"/>
    <cellStyle name="Vírgula 10 3 2 3 2 3 2" xfId="36656" xr:uid="{3E94C363-8C81-4085-9354-7387FCFCDAF6}"/>
    <cellStyle name="Vírgula 10 3 2 3 2 4" xfId="19818" xr:uid="{F1584AEA-1CB3-4EB3-86E7-AE32BB5F6D16}"/>
    <cellStyle name="Vírgula 10 3 2 3 2 4 2" xfId="40157" xr:uid="{D829B74D-FC7E-43D9-AC7B-20CFB3A43DA6}"/>
    <cellStyle name="Vírgula 10 3 2 3 2 5" xfId="23073" xr:uid="{CC444115-0565-4AE0-B90E-389670781337}"/>
    <cellStyle name="Vírgula 10 3 2 3 2 5 2" xfId="43408" xr:uid="{096AF8C0-26B5-479D-935A-9A3A8CCAD6F7}"/>
    <cellStyle name="Vírgula 10 3 2 3 2 6" xfId="13407" xr:uid="{B79A24E4-9E67-4D61-8C70-794FC7756C23}"/>
    <cellStyle name="Vírgula 10 3 2 3 2 6 2" xfId="33748" xr:uid="{5ECF7E06-16CE-48F4-848D-4B3BDC88B328}"/>
    <cellStyle name="Vírgula 10 3 2 3 2 7" xfId="9529" xr:uid="{14A2CD0A-12FC-4609-96D1-B60C50FA041A}"/>
    <cellStyle name="Vírgula 10 3 2 3 2 7 2" xfId="29872" xr:uid="{8EDB9D48-8DDB-4A72-A2E1-CBC0092D8331}"/>
    <cellStyle name="Vírgula 10 3 2 3 2 8" xfId="26378" xr:uid="{DD7FDF6E-5B52-4787-A0E5-E841B81FD387}"/>
    <cellStyle name="Vírgula 10 3 2 3 2 9" xfId="46209" xr:uid="{38B1F934-67ED-42B7-9B8C-95C06DEB492D}"/>
    <cellStyle name="Vírgula 10 3 2 3 3" xfId="6607" xr:uid="{9B619880-9933-451B-ADB2-1C7FE286053E}"/>
    <cellStyle name="Vírgula 10 3 2 3 3 2" xfId="16893" xr:uid="{62F3F95F-0D22-440E-9D0E-FE05E692C600}"/>
    <cellStyle name="Vírgula 10 3 2 3 3 2 2" xfId="37233" xr:uid="{E5446CC8-5B7D-4745-BDC6-D122EB4173CC}"/>
    <cellStyle name="Vírgula 10 3 2 3 3 3" xfId="20395" xr:uid="{EE00DE61-9DCC-4764-99CF-58D957749979}"/>
    <cellStyle name="Vírgula 10 3 2 3 3 3 2" xfId="40734" xr:uid="{6AFCB70E-6407-47CF-B10B-6367F81E11E5}"/>
    <cellStyle name="Vírgula 10 3 2 3 3 4" xfId="23650" xr:uid="{CB05E329-51A2-4E97-8AE7-9122F6E06F03}"/>
    <cellStyle name="Vírgula 10 3 2 3 3 4 2" xfId="43985" xr:uid="{BB399EDF-02FB-4AD6-AA71-A935E7AD1932}"/>
    <cellStyle name="Vírgula 10 3 2 3 3 5" xfId="13984" xr:uid="{E1608C01-8340-48BE-B0EF-73FF127B71CB}"/>
    <cellStyle name="Vírgula 10 3 2 3 3 5 2" xfId="34325" xr:uid="{CF78D14D-E5E7-43E5-84B5-8E6DC4C5BEC2}"/>
    <cellStyle name="Vírgula 10 3 2 3 3 6" xfId="10106" xr:uid="{08273F4D-BAED-41E3-92BF-578D0E68E8E8}"/>
    <cellStyle name="Vírgula 10 3 2 3 3 6 2" xfId="30449" xr:uid="{D9AA1D39-D4D3-477F-B74E-6A7056D7401A}"/>
    <cellStyle name="Vírgula 10 3 2 3 3 7" xfId="26955" xr:uid="{7E8C70AB-1BCC-4AD7-AF0E-5B78D9141073}"/>
    <cellStyle name="Vírgula 10 3 2 3 4" xfId="7771" xr:uid="{B6FA884D-A947-4E16-BE38-1E74A06FF541}"/>
    <cellStyle name="Vírgula 10 3 2 3 4 2" xfId="18056" xr:uid="{12EFBF4C-14FE-470A-8651-8B9F32F7C758}"/>
    <cellStyle name="Vírgula 10 3 2 3 4 2 2" xfId="38396" xr:uid="{1F70B549-DB8C-4072-9809-81924EE2CEBD}"/>
    <cellStyle name="Vírgula 10 3 2 3 4 3" xfId="21558" xr:uid="{DD60EA4A-CDC7-4258-837A-68E85FB93422}"/>
    <cellStyle name="Vírgula 10 3 2 3 4 3 2" xfId="41897" xr:uid="{D5ABF0B6-E5C0-4BFE-AADC-39FA53F4662D}"/>
    <cellStyle name="Vírgula 10 3 2 3 4 4" xfId="24813" xr:uid="{850D7A2F-6F37-4577-B6D0-2531187A7626}"/>
    <cellStyle name="Vírgula 10 3 2 3 4 4 2" xfId="45148" xr:uid="{362150FC-5EB3-4127-A366-681A80A81E1A}"/>
    <cellStyle name="Vírgula 10 3 2 3 4 5" xfId="15148" xr:uid="{3A50160D-8CB5-477B-BFCD-67DB30B78EFB}"/>
    <cellStyle name="Vírgula 10 3 2 3 4 5 2" xfId="35488" xr:uid="{A207FE18-8DF0-494F-BFCE-D60A066882EB}"/>
    <cellStyle name="Vírgula 10 3 2 3 4 6" xfId="11269" xr:uid="{A6365BFC-3B4B-435E-A546-5812F102BDFB}"/>
    <cellStyle name="Vírgula 10 3 2 3 4 6 2" xfId="31612" xr:uid="{EE93ECE0-B5EE-49C5-967C-E4C116F041AE}"/>
    <cellStyle name="Vírgula 10 3 2 3 4 7" xfId="28118" xr:uid="{22C64D4A-DEFD-408F-9098-2BA0073DFE01}"/>
    <cellStyle name="Vírgula 10 3 2 3 5" xfId="8182" xr:uid="{F079F741-525E-4CD4-8AC3-6645DAB3D9E6}"/>
    <cellStyle name="Vírgula 10 3 2 3 5 2" xfId="21969" xr:uid="{19523780-D657-4A38-BADD-DBE16EE26CE7}"/>
    <cellStyle name="Vírgula 10 3 2 3 5 2 2" xfId="42305" xr:uid="{14C0803F-2D17-466A-9564-B7C79BAA0EA5}"/>
    <cellStyle name="Vírgula 10 3 2 3 5 3" xfId="25221" xr:uid="{9B509F3D-C623-42D8-91AD-7437230C1F0D}"/>
    <cellStyle name="Vírgula 10 3 2 3 5 3 2" xfId="45556" xr:uid="{8B96B8EE-C26B-43E8-B525-D2E97391D3A9}"/>
    <cellStyle name="Vírgula 10 3 2 3 5 4" xfId="12838" xr:uid="{842DD010-438E-4C4D-ACDE-66CF64207012}"/>
    <cellStyle name="Vírgula 10 3 2 3 5 4 2" xfId="33179" xr:uid="{9A2C0872-08B9-44F6-8F87-CAD191129530}"/>
    <cellStyle name="Vírgula 10 3 2 3 5 5" xfId="11678" xr:uid="{919D1E26-82A6-4589-BA67-89987D467EA7}"/>
    <cellStyle name="Vírgula 10 3 2 3 5 5 2" xfId="32020" xr:uid="{24991C6D-6D1E-4BC1-BA4F-DCDB3E29FD8B}"/>
    <cellStyle name="Vírgula 10 3 2 3 5 6" xfId="28526" xr:uid="{A582FEC9-65F1-48E5-84C8-64E87530D459}"/>
    <cellStyle name="Vírgula 10 3 2 3 6" xfId="8591" xr:uid="{D7B1D7A0-2146-4F56-8ACF-F06B78404786}"/>
    <cellStyle name="Vírgula 10 3 2 3 6 2" xfId="15735" xr:uid="{24D7BAC3-D1F5-4D71-A0BF-B1C214B84B70}"/>
    <cellStyle name="Vírgula 10 3 2 3 6 2 2" xfId="36075" xr:uid="{EC01AE79-B996-4EDB-8C8B-CE7BB9937F95}"/>
    <cellStyle name="Vírgula 10 3 2 3 6 3" xfId="28934" xr:uid="{E3493DCB-88EE-480E-9C70-7D187F0740D4}"/>
    <cellStyle name="Vírgula 10 3 2 3 7" xfId="18649" xr:uid="{9812C8EB-82C0-4813-B44D-F136E49D3A70}"/>
    <cellStyle name="Vírgula 10 3 2 3 7 2" xfId="38989" xr:uid="{51410E85-A0E4-40DC-90E6-CC910717B6D8}"/>
    <cellStyle name="Vírgula 10 3 2 3 8" xfId="19237" xr:uid="{F4D24AD5-C9D6-4BC7-B89D-9633BF5E12EA}"/>
    <cellStyle name="Vírgula 10 3 2 3 8 2" xfId="39576" xr:uid="{C18340A0-A6F4-4A22-8BED-4044283FF120}"/>
    <cellStyle name="Vírgula 10 3 2 3 9" xfId="22492" xr:uid="{C05C9020-7669-4961-9D14-E20481566659}"/>
    <cellStyle name="Vírgula 10 3 2 3 9 2" xfId="42827" xr:uid="{F85C5B76-037A-4562-8C42-915A6948EAA0}"/>
    <cellStyle name="Vírgula 10 3 2 4" xfId="4987" xr:uid="{C38FC30E-DFE9-494B-BF3F-25B7DBE62CCF}"/>
    <cellStyle name="Vírgula 10 3 2 4 10" xfId="12267" xr:uid="{7B367F40-43DA-4B3F-9951-6CB212C79BFE}"/>
    <cellStyle name="Vírgula 10 3 2 4 10 2" xfId="32608" xr:uid="{F2C99299-42AE-47D5-BB35-37BE5C7BC4EB}"/>
    <cellStyle name="Vírgula 10 3 2 4 11" xfId="9006" xr:uid="{F23C1868-77CB-4561-9ED7-74AFCA2FC48B}"/>
    <cellStyle name="Vírgula 10 3 2 4 11 2" xfId="29349" xr:uid="{3B913590-848D-48D6-9287-88EA89155C6E}"/>
    <cellStyle name="Vírgula 10 3 2 4 12" xfId="25855" xr:uid="{A42A25F7-6932-4569-AF13-565885CF1CEC}"/>
    <cellStyle name="Vírgula 10 3 2 4 13" xfId="46093" xr:uid="{9FF63387-B4CA-4FB6-9CA0-AEB35DBE8333}"/>
    <cellStyle name="Vírgula 10 3 2 4 14" xfId="46579" xr:uid="{B9913D0C-F86D-4713-AFF9-F50C293C78C4}"/>
    <cellStyle name="Vírgula 10 3 2 4 15" xfId="47071" xr:uid="{158B03B8-0A8C-4526-B50B-5239648860FD}"/>
    <cellStyle name="Vírgula 10 3 2 4 16" xfId="5516" xr:uid="{96C3B731-33B5-49BD-B408-95E4B42E5456}"/>
    <cellStyle name="Vírgula 10 3 2 4 2" xfId="6088" xr:uid="{221B4861-5E1E-409B-AA05-67CC64892CBB}"/>
    <cellStyle name="Vírgula 10 3 2 4 2 2" xfId="7246" xr:uid="{933D05F1-D859-4A40-AF25-10741E2CB4F2}"/>
    <cellStyle name="Vírgula 10 3 2 4 2 2 2" xfId="17532" xr:uid="{3E446D82-0D2D-4DAC-95A6-F4626C6E4A7D}"/>
    <cellStyle name="Vírgula 10 3 2 4 2 2 2 2" xfId="37872" xr:uid="{C0B7EB21-D540-42BA-9F44-436940B7374C}"/>
    <cellStyle name="Vírgula 10 3 2 4 2 2 3" xfId="21034" xr:uid="{EEA2941E-1233-4099-8A3A-2F1184A0A2C1}"/>
    <cellStyle name="Vírgula 10 3 2 4 2 2 3 2" xfId="41373" xr:uid="{46E64D9A-3789-43B6-B550-8B2F0CE9B68D}"/>
    <cellStyle name="Vírgula 10 3 2 4 2 2 4" xfId="24289" xr:uid="{C168C119-CAAF-4491-B9EE-3BDAB2C7C1A1}"/>
    <cellStyle name="Vírgula 10 3 2 4 2 2 4 2" xfId="44624" xr:uid="{28AAC2FD-61C8-410D-BB52-B4098FE14D93}"/>
    <cellStyle name="Vírgula 10 3 2 4 2 2 5" xfId="14623" xr:uid="{AA3F0ACB-692F-4D97-99BE-828087B83CB6}"/>
    <cellStyle name="Vírgula 10 3 2 4 2 2 5 2" xfId="34964" xr:uid="{DAE7A80F-21E8-43FB-B17A-AA3263D60085}"/>
    <cellStyle name="Vírgula 10 3 2 4 2 2 6" xfId="10745" xr:uid="{BB483C7B-3145-4479-B006-49506AFC1703}"/>
    <cellStyle name="Vírgula 10 3 2 4 2 2 6 2" xfId="31088" xr:uid="{F513B131-085B-46DD-AEE8-AA1237709AC7}"/>
    <cellStyle name="Vírgula 10 3 2 4 2 2 7" xfId="27594" xr:uid="{0FE83A6D-B34D-434C-8F03-3CD3D54E812E}"/>
    <cellStyle name="Vírgula 10 3 2 4 2 3" xfId="16374" xr:uid="{DB3F047B-810E-4255-AF4F-5C6A0737DF98}"/>
    <cellStyle name="Vírgula 10 3 2 4 2 3 2" xfId="36714" xr:uid="{251DF837-0967-4DF4-9CD5-4DEAF01848B2}"/>
    <cellStyle name="Vírgula 10 3 2 4 2 4" xfId="19876" xr:uid="{68E71E97-0C86-4EC1-8F45-D7749757E526}"/>
    <cellStyle name="Vírgula 10 3 2 4 2 4 2" xfId="40215" xr:uid="{31A9FF6A-FBE7-4271-B3D7-B445515B99C7}"/>
    <cellStyle name="Vírgula 10 3 2 4 2 5" xfId="23131" xr:uid="{11539300-78F3-41C2-A9A6-744DCFB6C1AB}"/>
    <cellStyle name="Vírgula 10 3 2 4 2 5 2" xfId="43466" xr:uid="{67EC73D5-3C80-43FD-A65D-F0599DF2F485}"/>
    <cellStyle name="Vírgula 10 3 2 4 2 6" xfId="13465" xr:uid="{F886C717-54F5-4DA3-9A61-374BE4415FB0}"/>
    <cellStyle name="Vírgula 10 3 2 4 2 6 2" xfId="33806" xr:uid="{B7C230FD-F65F-40E7-880F-0DB467520F04}"/>
    <cellStyle name="Vírgula 10 3 2 4 2 7" xfId="9587" xr:uid="{79F34091-CDB5-4804-96BE-873529630593}"/>
    <cellStyle name="Vírgula 10 3 2 4 2 7 2" xfId="29930" xr:uid="{1E0DC4F1-AFD2-4551-8E99-963DB2D4F501}"/>
    <cellStyle name="Vírgula 10 3 2 4 2 8" xfId="26436" xr:uid="{E486FB31-B2E8-4B72-B659-B5440DE0F8B9}"/>
    <cellStyle name="Vírgula 10 3 2 4 3" xfId="6665" xr:uid="{8F8DF1C3-577A-41D8-8185-FBE085ECB6FC}"/>
    <cellStyle name="Vírgula 10 3 2 4 3 2" xfId="16951" xr:uid="{406D8214-51CD-496C-AF54-4ECE6924F27C}"/>
    <cellStyle name="Vírgula 10 3 2 4 3 2 2" xfId="37291" xr:uid="{CF87CF53-3C81-4A8A-9D2E-81A7B4366BE5}"/>
    <cellStyle name="Vírgula 10 3 2 4 3 3" xfId="20453" xr:uid="{9208BE9E-4BC8-42F4-8375-894B885B240B}"/>
    <cellStyle name="Vírgula 10 3 2 4 3 3 2" xfId="40792" xr:uid="{DBF072F2-F807-4266-908E-0DB6439B10D7}"/>
    <cellStyle name="Vírgula 10 3 2 4 3 4" xfId="23708" xr:uid="{EE86C306-F588-45C9-A893-F9931112B07E}"/>
    <cellStyle name="Vírgula 10 3 2 4 3 4 2" xfId="44043" xr:uid="{CB2991B4-5DB4-46C1-8A4C-341221515844}"/>
    <cellStyle name="Vírgula 10 3 2 4 3 5" xfId="14042" xr:uid="{83341366-D185-4BB0-8D4F-6D7473EF1574}"/>
    <cellStyle name="Vírgula 10 3 2 4 3 5 2" xfId="34383" xr:uid="{8D723D78-5E49-451B-AB15-8F842A7E6775}"/>
    <cellStyle name="Vírgula 10 3 2 4 3 6" xfId="10164" xr:uid="{13FC5C04-AA1A-41B0-866A-8BA83FA225CF}"/>
    <cellStyle name="Vírgula 10 3 2 4 3 6 2" xfId="30507" xr:uid="{4B7FA287-FD46-46C5-A896-9954F6F9915F}"/>
    <cellStyle name="Vírgula 10 3 2 4 3 7" xfId="27013" xr:uid="{3929491A-DD61-4C1A-9D22-9BE497CC2B42}"/>
    <cellStyle name="Vírgula 10 3 2 4 4" xfId="7829" xr:uid="{C290EA1A-DDBD-4ACE-BD34-8B46F5A085C8}"/>
    <cellStyle name="Vírgula 10 3 2 4 4 2" xfId="18114" xr:uid="{63527A79-538E-412B-A6D7-63F308724E4A}"/>
    <cellStyle name="Vírgula 10 3 2 4 4 2 2" xfId="38454" xr:uid="{472A30E7-5ABB-4174-8906-CAABB16BBE20}"/>
    <cellStyle name="Vírgula 10 3 2 4 4 3" xfId="21616" xr:uid="{ADA00DC7-B5E3-46D5-AC8F-5DAD6AD3CC8A}"/>
    <cellStyle name="Vírgula 10 3 2 4 4 3 2" xfId="41955" xr:uid="{665B4C85-9912-4290-B476-5E88A56423A7}"/>
    <cellStyle name="Vírgula 10 3 2 4 4 4" xfId="24871" xr:uid="{F3728D7A-5E90-4F6B-B98E-17E26A3C0B41}"/>
    <cellStyle name="Vírgula 10 3 2 4 4 4 2" xfId="45206" xr:uid="{BEB337B0-9DDF-4718-A878-81C7FDFD5F3A}"/>
    <cellStyle name="Vírgula 10 3 2 4 4 5" xfId="15206" xr:uid="{50340A50-2550-4D41-9AC8-9B084D8C0AF7}"/>
    <cellStyle name="Vírgula 10 3 2 4 4 5 2" xfId="35546" xr:uid="{EEC6D8B9-3C64-4B22-B386-7965AB1F3B47}"/>
    <cellStyle name="Vírgula 10 3 2 4 4 6" xfId="11327" xr:uid="{A697CBF6-854A-4251-B6C0-B5A12EE6B288}"/>
    <cellStyle name="Vírgula 10 3 2 4 4 6 2" xfId="31670" xr:uid="{A620C914-8E75-492F-A661-490F9FA4B698}"/>
    <cellStyle name="Vírgula 10 3 2 4 4 7" xfId="28176" xr:uid="{87D278E4-2BFA-4353-AE76-F4AE40B5BC92}"/>
    <cellStyle name="Vírgula 10 3 2 4 5" xfId="8183" xr:uid="{CC35B8DA-579C-4774-B37C-E1CE17729685}"/>
    <cellStyle name="Vírgula 10 3 2 4 5 2" xfId="21970" xr:uid="{A9F8F44C-F716-4939-AF88-C5884A244766}"/>
    <cellStyle name="Vírgula 10 3 2 4 5 2 2" xfId="42306" xr:uid="{5BA6F195-4600-45C7-9CBA-3859344634E8}"/>
    <cellStyle name="Vírgula 10 3 2 4 5 3" xfId="25222" xr:uid="{239BA965-B4D4-4BBF-A60A-486776C7A679}"/>
    <cellStyle name="Vírgula 10 3 2 4 5 3 2" xfId="45557" xr:uid="{38EF07EE-ADCF-4BF8-BA4E-1EBDA6CBD0C3}"/>
    <cellStyle name="Vírgula 10 3 2 4 5 4" xfId="12896" xr:uid="{8FC1E02C-0856-4136-ADA7-A1ACCA6BC915}"/>
    <cellStyle name="Vírgula 10 3 2 4 5 4 2" xfId="33237" xr:uid="{306F66B1-63F3-479B-BA9A-15F7B7CBE4FC}"/>
    <cellStyle name="Vírgula 10 3 2 4 5 5" xfId="11679" xr:uid="{316011A9-8849-425C-B8E2-B3BB9C17E78A}"/>
    <cellStyle name="Vírgula 10 3 2 4 5 5 2" xfId="32021" xr:uid="{98B7C761-3BE8-4A1B-B1AF-5C562F0AD993}"/>
    <cellStyle name="Vírgula 10 3 2 4 5 6" xfId="28527" xr:uid="{7ACDCA27-0134-4ABC-A2C0-86714B6C500F}"/>
    <cellStyle name="Vírgula 10 3 2 4 6" xfId="15793" xr:uid="{BEFD23D2-EF2A-4DAC-8157-9004E1B1C8FC}"/>
    <cellStyle name="Vírgula 10 3 2 4 6 2" xfId="36133" xr:uid="{E67F70E1-3666-4286-BA93-FE40F9A5F615}"/>
    <cellStyle name="Vírgula 10 3 2 4 7" xfId="18707" xr:uid="{10A28E52-1DDA-4DD4-9961-C050927263D2}"/>
    <cellStyle name="Vírgula 10 3 2 4 7 2" xfId="39047" xr:uid="{6F29D2D4-3044-4885-A029-4196B8D8C04B}"/>
    <cellStyle name="Vírgula 10 3 2 4 8" xfId="19295" xr:uid="{BB79844C-18D6-44F9-8EFF-AD04638475A0}"/>
    <cellStyle name="Vírgula 10 3 2 4 8 2" xfId="39634" xr:uid="{93AE95A6-26B4-49E1-A121-4572BB9BB375}"/>
    <cellStyle name="Vírgula 10 3 2 4 9" xfId="22550" xr:uid="{67F5840B-6559-4023-ADDB-155FD053453D}"/>
    <cellStyle name="Vírgula 10 3 2 4 9 2" xfId="42885" xr:uid="{AADA9F63-DD12-4380-A616-564A80ABB567}"/>
    <cellStyle name="Vírgula 10 3 2 5" xfId="5591" xr:uid="{BCDDC67D-3374-4CC3-A5EC-0032B8DE3A1F}"/>
    <cellStyle name="Vírgula 10 3 2 5 10" xfId="12342" xr:uid="{7A4B485B-D772-4EFC-BBE5-538678C10EC5}"/>
    <cellStyle name="Vírgula 10 3 2 5 10 2" xfId="32683" xr:uid="{9C808CB2-6FD8-4C3E-99FC-34AFAE2CE036}"/>
    <cellStyle name="Vírgula 10 3 2 5 11" xfId="9081" xr:uid="{15488E7C-72C9-489D-B172-1A0A649708D8}"/>
    <cellStyle name="Vírgula 10 3 2 5 11 2" xfId="29424" xr:uid="{78383D71-4886-497B-B4A5-A010738A73A3}"/>
    <cellStyle name="Vírgula 10 3 2 5 12" xfId="25930" xr:uid="{5A8C0097-3126-4B74-9A4B-2DB7B1FAFF16}"/>
    <cellStyle name="Vírgula 10 3 2 5 2" xfId="6163" xr:uid="{590BCAE4-016A-4E55-A3F6-D6A60F1B4C85}"/>
    <cellStyle name="Vírgula 10 3 2 5 2 2" xfId="7321" xr:uid="{37C1DEF3-74E1-4E3C-828E-E56CD6CD01A6}"/>
    <cellStyle name="Vírgula 10 3 2 5 2 2 2" xfId="17607" xr:uid="{94E94D07-76DD-44D4-ABC6-3F0C24B8B605}"/>
    <cellStyle name="Vírgula 10 3 2 5 2 2 2 2" xfId="37947" xr:uid="{909B3385-FC84-4EFF-A45A-B7763E286DF6}"/>
    <cellStyle name="Vírgula 10 3 2 5 2 2 3" xfId="21109" xr:uid="{7FDC6EE3-BB0A-4919-82D1-7E579400DD98}"/>
    <cellStyle name="Vírgula 10 3 2 5 2 2 3 2" xfId="41448" xr:uid="{683E4097-79C4-4F89-BC89-7AF9066F71B7}"/>
    <cellStyle name="Vírgula 10 3 2 5 2 2 4" xfId="24364" xr:uid="{3EA093F1-2ED4-4D51-8CA2-DD1BEA5BC08F}"/>
    <cellStyle name="Vírgula 10 3 2 5 2 2 4 2" xfId="44699" xr:uid="{74436DFB-8D7D-4A67-A00B-3422855BDFB2}"/>
    <cellStyle name="Vírgula 10 3 2 5 2 2 5" xfId="14698" xr:uid="{6B4B4416-90A5-49BF-93BC-B0414CEDCE4E}"/>
    <cellStyle name="Vírgula 10 3 2 5 2 2 5 2" xfId="35039" xr:uid="{7A5705AD-86AB-4641-B7C4-C1EBE05E8D50}"/>
    <cellStyle name="Vírgula 10 3 2 5 2 2 6" xfId="10820" xr:uid="{E59C2E6A-E500-4867-BB42-F48B9A42079C}"/>
    <cellStyle name="Vírgula 10 3 2 5 2 2 6 2" xfId="31163" xr:uid="{90FD50B7-562E-4DB1-92D5-E9B3877DA47D}"/>
    <cellStyle name="Vírgula 10 3 2 5 2 2 7" xfId="27669" xr:uid="{C9FA9791-7E29-41CD-83F4-7F7ECD8E4DCA}"/>
    <cellStyle name="Vírgula 10 3 2 5 2 3" xfId="16449" xr:uid="{E1FCDF30-CF49-44AC-A4D4-6117798DBC3A}"/>
    <cellStyle name="Vírgula 10 3 2 5 2 3 2" xfId="36789" xr:uid="{7323999A-85C9-418A-82A4-2D57D1A434A5}"/>
    <cellStyle name="Vírgula 10 3 2 5 2 4" xfId="19951" xr:uid="{194A33AA-4E08-48A7-A49D-A2840608A2D5}"/>
    <cellStyle name="Vírgula 10 3 2 5 2 4 2" xfId="40290" xr:uid="{F6B8E6F1-4863-47F1-8C59-C8673990225A}"/>
    <cellStyle name="Vírgula 10 3 2 5 2 5" xfId="23206" xr:uid="{F1010777-DB12-4677-BAB0-D10109CFB59F}"/>
    <cellStyle name="Vírgula 10 3 2 5 2 5 2" xfId="43541" xr:uid="{99C02899-9C50-4F36-8021-0BE87F43183F}"/>
    <cellStyle name="Vírgula 10 3 2 5 2 6" xfId="13540" xr:uid="{BB350D8C-485D-4523-8352-A3A2418548DE}"/>
    <cellStyle name="Vírgula 10 3 2 5 2 6 2" xfId="33881" xr:uid="{3944E72C-D227-48EF-BD3E-A1284858F94E}"/>
    <cellStyle name="Vírgula 10 3 2 5 2 7" xfId="9662" xr:uid="{6800AEC1-EB9B-4918-9507-0D65FE2EAB43}"/>
    <cellStyle name="Vírgula 10 3 2 5 2 7 2" xfId="30005" xr:uid="{B9C8E946-4814-4980-ADB5-49641974D4BA}"/>
    <cellStyle name="Vírgula 10 3 2 5 2 8" xfId="26511" xr:uid="{9CBED3A4-6C93-4B20-B7DE-90F00F037D4E}"/>
    <cellStyle name="Vírgula 10 3 2 5 3" xfId="6740" xr:uid="{3B5DCDB6-3DCF-48EA-A579-BD547A393D0F}"/>
    <cellStyle name="Vírgula 10 3 2 5 3 2" xfId="17026" xr:uid="{9D18F6D5-30E5-4858-BA45-FAAE1F1ED279}"/>
    <cellStyle name="Vírgula 10 3 2 5 3 2 2" xfId="37366" xr:uid="{B72EF521-DF9A-440B-8A30-7D10D4C365C4}"/>
    <cellStyle name="Vírgula 10 3 2 5 3 3" xfId="20528" xr:uid="{9507672F-D986-4E27-8A48-F7356B35989B}"/>
    <cellStyle name="Vírgula 10 3 2 5 3 3 2" xfId="40867" xr:uid="{FD515B52-B16B-41C3-9D2A-72A965F295A9}"/>
    <cellStyle name="Vírgula 10 3 2 5 3 4" xfId="23783" xr:uid="{7504B471-7598-47F0-AFD5-A609184C24E7}"/>
    <cellStyle name="Vírgula 10 3 2 5 3 4 2" xfId="44118" xr:uid="{AA36F0EA-84C0-47CF-9EC5-D1E09C67E7B0}"/>
    <cellStyle name="Vírgula 10 3 2 5 3 5" xfId="14117" xr:uid="{1825AFD5-2C5B-48B7-9EBA-7CFA4F65E7D4}"/>
    <cellStyle name="Vírgula 10 3 2 5 3 5 2" xfId="34458" xr:uid="{1818E6E0-EB78-44DB-8E72-87D8D01A05C0}"/>
    <cellStyle name="Vírgula 10 3 2 5 3 6" xfId="10239" xr:uid="{7F48B170-408F-44CB-87D4-CCCAFACC864E}"/>
    <cellStyle name="Vírgula 10 3 2 5 3 6 2" xfId="30582" xr:uid="{DAA598D7-9AEB-4EA7-AEE6-E1599A743FF0}"/>
    <cellStyle name="Vírgula 10 3 2 5 3 7" xfId="27088" xr:uid="{D6F0123E-9790-4B49-9F1B-EB34E719EC13}"/>
    <cellStyle name="Vírgula 10 3 2 5 4" xfId="7904" xr:uid="{3D506EA3-4CB4-4381-829E-5250B736D129}"/>
    <cellStyle name="Vírgula 10 3 2 5 4 2" xfId="18189" xr:uid="{A1855516-DD89-41FD-A093-4D4CC3032472}"/>
    <cellStyle name="Vírgula 10 3 2 5 4 2 2" xfId="38529" xr:uid="{0D141347-1AF2-4D21-9954-E8696D26ACA1}"/>
    <cellStyle name="Vírgula 10 3 2 5 4 3" xfId="21691" xr:uid="{1191F57B-A375-4402-AC0B-05F23FDD8F95}"/>
    <cellStyle name="Vírgula 10 3 2 5 4 3 2" xfId="42030" xr:uid="{F394011B-884C-4846-AF61-CAF171662E78}"/>
    <cellStyle name="Vírgula 10 3 2 5 4 4" xfId="24946" xr:uid="{4810785F-1C1B-4662-B958-47D5BF487530}"/>
    <cellStyle name="Vírgula 10 3 2 5 4 4 2" xfId="45281" xr:uid="{51EAD5EA-CDAF-4DFC-8312-DABC365FCE42}"/>
    <cellStyle name="Vírgula 10 3 2 5 4 5" xfId="15281" xr:uid="{EA629EC2-3CFC-44D3-BCED-E11AB90367A3}"/>
    <cellStyle name="Vírgula 10 3 2 5 4 5 2" xfId="35621" xr:uid="{B828462D-96FE-4660-B520-C7F688B4B019}"/>
    <cellStyle name="Vírgula 10 3 2 5 4 6" xfId="11402" xr:uid="{30EFE72B-3A52-4A0D-B19C-E20D2AFB07E1}"/>
    <cellStyle name="Vírgula 10 3 2 5 4 6 2" xfId="31745" xr:uid="{13084D79-C587-4546-B5FA-170C48C2486C}"/>
    <cellStyle name="Vírgula 10 3 2 5 4 7" xfId="28251" xr:uid="{36639545-3361-4953-BBCC-793D2BB8AB3F}"/>
    <cellStyle name="Vírgula 10 3 2 5 5" xfId="12971" xr:uid="{EC221461-7DE7-41E9-9CD5-E148C24519F8}"/>
    <cellStyle name="Vírgula 10 3 2 5 5 2" xfId="33312" xr:uid="{66E197FE-4EB0-414C-A152-194B68ABA3B0}"/>
    <cellStyle name="Vírgula 10 3 2 5 6" xfId="15868" xr:uid="{42B4FFEA-708F-49AE-8064-A3025EDD5DD1}"/>
    <cellStyle name="Vírgula 10 3 2 5 6 2" xfId="36208" xr:uid="{DB2DAB76-5323-43B4-BC4E-0672F1C9C1A6}"/>
    <cellStyle name="Vírgula 10 3 2 5 7" xfId="18782" xr:uid="{02968708-CFEF-4095-AEDD-AE6C6A0620C6}"/>
    <cellStyle name="Vírgula 10 3 2 5 7 2" xfId="39122" xr:uid="{DBBCAD33-5338-472E-A4A4-5A8AD4689AB2}"/>
    <cellStyle name="Vírgula 10 3 2 5 8" xfId="19370" xr:uid="{95F94290-7DC6-4538-84CA-3396B321EED4}"/>
    <cellStyle name="Vírgula 10 3 2 5 8 2" xfId="39709" xr:uid="{FBCB59A1-DBBE-495C-B118-EAF7982FA65A}"/>
    <cellStyle name="Vírgula 10 3 2 5 9" xfId="22625" xr:uid="{C3A76B44-36D6-4A1F-9207-2E979A13ECF0}"/>
    <cellStyle name="Vírgula 10 3 2 5 9 2" xfId="42960" xr:uid="{21DA246A-627A-435D-8219-B7FB9D9AD0B5}"/>
    <cellStyle name="Vírgula 10 3 2 6" xfId="5689" xr:uid="{261C0F08-85E3-403A-B30C-7A16DE6FCA09}"/>
    <cellStyle name="Vírgula 10 3 2 6 10" xfId="12440" xr:uid="{3147992A-0BC8-4D48-9FA0-9FDB8E250AD9}"/>
    <cellStyle name="Vírgula 10 3 2 6 10 2" xfId="32781" xr:uid="{A65DA281-2C1F-4621-8F1F-F6AD1856A152}"/>
    <cellStyle name="Vírgula 10 3 2 6 11" xfId="9179" xr:uid="{35DFA68D-43E3-4F15-8DBE-96C8BBAE5E28}"/>
    <cellStyle name="Vírgula 10 3 2 6 11 2" xfId="29522" xr:uid="{296C9A18-69BD-48C2-9CCC-8C188AFC7E24}"/>
    <cellStyle name="Vírgula 10 3 2 6 12" xfId="26028" xr:uid="{218FC4EB-C0C3-461B-B703-B08B9EAF4F27}"/>
    <cellStyle name="Vírgula 10 3 2 6 2" xfId="6261" xr:uid="{55ACEC27-4001-452D-853A-95E3AC150971}"/>
    <cellStyle name="Vírgula 10 3 2 6 2 2" xfId="7419" xr:uid="{C2115EBE-7EF3-45B1-ADC7-3446D8992610}"/>
    <cellStyle name="Vírgula 10 3 2 6 2 2 2" xfId="17705" xr:uid="{69C37397-92DA-4E76-808B-F01F4648E9F2}"/>
    <cellStyle name="Vírgula 10 3 2 6 2 2 2 2" xfId="38045" xr:uid="{EC9F7762-A12F-483B-8106-66E9026C10D8}"/>
    <cellStyle name="Vírgula 10 3 2 6 2 2 3" xfId="21207" xr:uid="{D6C1EA24-CC49-4319-9BA0-B4A70E78C509}"/>
    <cellStyle name="Vírgula 10 3 2 6 2 2 3 2" xfId="41546" xr:uid="{AE1694EE-69FA-4F05-A78C-0A888222BB89}"/>
    <cellStyle name="Vírgula 10 3 2 6 2 2 4" xfId="24462" xr:uid="{A18FA5DB-EC1D-4DF3-ADA6-1C6E5B909A2B}"/>
    <cellStyle name="Vírgula 10 3 2 6 2 2 4 2" xfId="44797" xr:uid="{68AB5CD6-AE68-4636-82D6-997417AD4ED6}"/>
    <cellStyle name="Vírgula 10 3 2 6 2 2 5" xfId="14796" xr:uid="{01E90B6B-46E0-43E3-A8DC-727A44665CBB}"/>
    <cellStyle name="Vírgula 10 3 2 6 2 2 5 2" xfId="35137" xr:uid="{284E1779-7DC1-4C9C-AF23-98E1C1165541}"/>
    <cellStyle name="Vírgula 10 3 2 6 2 2 6" xfId="10918" xr:uid="{A07DC883-66C4-4D74-B44A-C638D87FD8AC}"/>
    <cellStyle name="Vírgula 10 3 2 6 2 2 6 2" xfId="31261" xr:uid="{B32DA845-8E12-488B-8530-561C55389F35}"/>
    <cellStyle name="Vírgula 10 3 2 6 2 2 7" xfId="27767" xr:uid="{53A8C3C2-60BC-4EFA-AA3E-5456C0D86037}"/>
    <cellStyle name="Vírgula 10 3 2 6 2 3" xfId="16547" xr:uid="{28080C10-DC7C-45BC-9A11-7E4ED8706421}"/>
    <cellStyle name="Vírgula 10 3 2 6 2 3 2" xfId="36887" xr:uid="{1F5289E4-2001-4264-B6CB-D6E5B0ABE7E9}"/>
    <cellStyle name="Vírgula 10 3 2 6 2 4" xfId="20049" xr:uid="{9088E137-FFB5-45D7-BB2C-486FECCE0BFA}"/>
    <cellStyle name="Vírgula 10 3 2 6 2 4 2" xfId="40388" xr:uid="{26813070-4A1C-4E95-8070-7B0A63844890}"/>
    <cellStyle name="Vírgula 10 3 2 6 2 5" xfId="23304" xr:uid="{6CA97D94-8CA5-4D3C-BA47-7525DD1AA1BE}"/>
    <cellStyle name="Vírgula 10 3 2 6 2 5 2" xfId="43639" xr:uid="{FA436275-B32B-404E-855F-73180F5E779F}"/>
    <cellStyle name="Vírgula 10 3 2 6 2 6" xfId="13638" xr:uid="{EF6BE6AD-CBB6-455A-94D0-9E78D66B1970}"/>
    <cellStyle name="Vírgula 10 3 2 6 2 6 2" xfId="33979" xr:uid="{7E765CD8-7CDA-4508-8641-30E06C75DF5E}"/>
    <cellStyle name="Vírgula 10 3 2 6 2 7" xfId="9760" xr:uid="{6FAA843C-B312-4DCD-9168-0B14A717FFF5}"/>
    <cellStyle name="Vírgula 10 3 2 6 2 7 2" xfId="30103" xr:uid="{D5C1ED59-1CD4-46F0-A6DC-474C19751BCA}"/>
    <cellStyle name="Vírgula 10 3 2 6 2 8" xfId="26609" xr:uid="{D8CB4D48-2306-4DEE-B84D-7D4AD91D5362}"/>
    <cellStyle name="Vírgula 10 3 2 6 3" xfId="6838" xr:uid="{7185C0E1-CE9A-433A-93CE-07B0FC3CF144}"/>
    <cellStyle name="Vírgula 10 3 2 6 3 2" xfId="17124" xr:uid="{DE226EA1-2A0E-4743-8BC3-6D9772FF80A6}"/>
    <cellStyle name="Vírgula 10 3 2 6 3 2 2" xfId="37464" xr:uid="{AE5D9DCC-B32E-4003-823F-A3D210A599CF}"/>
    <cellStyle name="Vírgula 10 3 2 6 3 3" xfId="20626" xr:uid="{D66EF995-2BAB-4EF0-AF03-4A23615B7C57}"/>
    <cellStyle name="Vírgula 10 3 2 6 3 3 2" xfId="40965" xr:uid="{133BDC40-AC27-411B-913F-4F9B576938CC}"/>
    <cellStyle name="Vírgula 10 3 2 6 3 4" xfId="23881" xr:uid="{5BFC854A-F1F6-4F69-9F4B-46A0F8C9148F}"/>
    <cellStyle name="Vírgula 10 3 2 6 3 4 2" xfId="44216" xr:uid="{C383DB77-029E-400A-8177-EADCA4686BAF}"/>
    <cellStyle name="Vírgula 10 3 2 6 3 5" xfId="14215" xr:uid="{EA1DB113-26D7-451A-8537-F0401858808A}"/>
    <cellStyle name="Vírgula 10 3 2 6 3 5 2" xfId="34556" xr:uid="{2BBA88A6-28BB-4AF2-AF57-A594A7CB00EC}"/>
    <cellStyle name="Vírgula 10 3 2 6 3 6" xfId="10337" xr:uid="{4B0388E5-7C8B-4B23-AA82-4CED5CEC6101}"/>
    <cellStyle name="Vírgula 10 3 2 6 3 6 2" xfId="30680" xr:uid="{CBC8B296-4CDA-425F-A1FC-A18CD3D27278}"/>
    <cellStyle name="Vírgula 10 3 2 6 3 7" xfId="27186" xr:uid="{402406F6-392E-4B15-9F20-0FA61AEEA9C1}"/>
    <cellStyle name="Vírgula 10 3 2 6 4" xfId="8002" xr:uid="{E3C75F55-727F-4ACB-9407-09D243A96D5F}"/>
    <cellStyle name="Vírgula 10 3 2 6 4 2" xfId="18287" xr:uid="{D2BA7BE5-6DE6-4F9B-8775-70A294FEFA5D}"/>
    <cellStyle name="Vírgula 10 3 2 6 4 2 2" xfId="38627" xr:uid="{31A1BFBE-C1A4-4C3C-B385-BB32902775EF}"/>
    <cellStyle name="Vírgula 10 3 2 6 4 3" xfId="21789" xr:uid="{430D2531-5222-40C7-B68C-EF4EC89B19B1}"/>
    <cellStyle name="Vírgula 10 3 2 6 4 3 2" xfId="42128" xr:uid="{FC291E16-1120-4FD5-A67C-A2E6A2BC255A}"/>
    <cellStyle name="Vírgula 10 3 2 6 4 4" xfId="25044" xr:uid="{0DC4F147-9C8A-494D-A771-D0D107D404F4}"/>
    <cellStyle name="Vírgula 10 3 2 6 4 4 2" xfId="45379" xr:uid="{AD06D0B2-E439-4D3A-81B5-5B944468B8F3}"/>
    <cellStyle name="Vírgula 10 3 2 6 4 5" xfId="15379" xr:uid="{57642A37-C7CE-4E0F-BA4B-FE6D151F9607}"/>
    <cellStyle name="Vírgula 10 3 2 6 4 5 2" xfId="35719" xr:uid="{A32427BC-CA05-49B3-94A8-8AAFFDBD0495}"/>
    <cellStyle name="Vírgula 10 3 2 6 4 6" xfId="11500" xr:uid="{43C412BB-B355-4A83-82A5-D3B4764ED219}"/>
    <cellStyle name="Vírgula 10 3 2 6 4 6 2" xfId="31843" xr:uid="{8CD7D809-6C94-4BB4-A860-A17FFABACB30}"/>
    <cellStyle name="Vírgula 10 3 2 6 4 7" xfId="28349" xr:uid="{6F694671-D14F-43A3-8D2E-0D0E370B6AF3}"/>
    <cellStyle name="Vírgula 10 3 2 6 5" xfId="13069" xr:uid="{279F1A59-2BFC-46FC-977C-1B15C9BA5F33}"/>
    <cellStyle name="Vírgula 10 3 2 6 5 2" xfId="33410" xr:uid="{B0702DCD-9CD2-4BF9-97A1-1DF55E35A2C5}"/>
    <cellStyle name="Vírgula 10 3 2 6 6" xfId="15966" xr:uid="{74F36364-EA0B-4109-8DBF-4DC321B27C23}"/>
    <cellStyle name="Vírgula 10 3 2 6 6 2" xfId="36306" xr:uid="{7A67F59E-78E1-4A53-8D81-4B9C34C035AF}"/>
    <cellStyle name="Vírgula 10 3 2 6 7" xfId="18880" xr:uid="{F1CF39A9-AFE5-43E5-B206-4DE366EABEF2}"/>
    <cellStyle name="Vírgula 10 3 2 6 7 2" xfId="39220" xr:uid="{FA7CCB69-4527-4CC0-B6C3-8220F3D06C35}"/>
    <cellStyle name="Vírgula 10 3 2 6 8" xfId="19468" xr:uid="{4C12AEB5-528A-473E-B5D4-F524DAD54228}"/>
    <cellStyle name="Vírgula 10 3 2 6 8 2" xfId="39807" xr:uid="{8975A49E-2792-400B-9D5A-C0F3F9F688B3}"/>
    <cellStyle name="Vírgula 10 3 2 6 9" xfId="22723" xr:uid="{59763CE1-D526-4CEA-ABB1-7394E85716BB}"/>
    <cellStyle name="Vírgula 10 3 2 6 9 2" xfId="43058" xr:uid="{9333886C-892F-4D46-AB88-5971D0126C58}"/>
    <cellStyle name="Vírgula 10 3 2 7" xfId="5819" xr:uid="{CCF33546-DF9B-4168-B944-C8E1B21B9A8A}"/>
    <cellStyle name="Vírgula 10 3 2 7 2" xfId="6977" xr:uid="{CDA9CB2D-652A-488C-B86F-17477A0532C6}"/>
    <cellStyle name="Vírgula 10 3 2 7 2 2" xfId="17263" xr:uid="{21D1FB1C-570C-490D-88C9-6452F7BF7EB6}"/>
    <cellStyle name="Vírgula 10 3 2 7 2 2 2" xfId="37603" xr:uid="{57F406E5-3CBF-44FB-B885-5BFA83A38011}"/>
    <cellStyle name="Vírgula 10 3 2 7 2 3" xfId="20765" xr:uid="{7108EB0F-4DCF-4C6E-BE5E-6708C7FA9F5A}"/>
    <cellStyle name="Vírgula 10 3 2 7 2 3 2" xfId="41104" xr:uid="{7EC1A625-097E-414C-BF73-EC5B48E9A278}"/>
    <cellStyle name="Vírgula 10 3 2 7 2 4" xfId="24020" xr:uid="{5ABC49A0-5FAE-4C07-88D9-CB0ADEE2AE1F}"/>
    <cellStyle name="Vírgula 10 3 2 7 2 4 2" xfId="44355" xr:uid="{14F31568-0795-439E-B00C-74EA0BAEC330}"/>
    <cellStyle name="Vírgula 10 3 2 7 2 5" xfId="14354" xr:uid="{E40645E2-D1FB-4432-A355-E9CC711C12BE}"/>
    <cellStyle name="Vírgula 10 3 2 7 2 5 2" xfId="34695" xr:uid="{FC9F2E3D-F796-4EBC-9F5F-E14B78CF25A7}"/>
    <cellStyle name="Vírgula 10 3 2 7 2 6" xfId="10476" xr:uid="{482FA792-039D-40A9-BDCB-A1B748318AFD}"/>
    <cellStyle name="Vírgula 10 3 2 7 2 6 2" xfId="30819" xr:uid="{9F1034D1-FF1E-4D76-AF35-170AFC08AEAC}"/>
    <cellStyle name="Vírgula 10 3 2 7 2 7" xfId="27325" xr:uid="{9BF56D89-3960-4BF6-AFCA-36385F46F1E2}"/>
    <cellStyle name="Vírgula 10 3 2 7 3" xfId="16105" xr:uid="{730FEB04-2D9D-42E8-9EFC-65DAB15D87E5}"/>
    <cellStyle name="Vírgula 10 3 2 7 3 2" xfId="36445" xr:uid="{0B06281C-4A79-4929-A64C-E81476348479}"/>
    <cellStyle name="Vírgula 10 3 2 7 4" xfId="19607" xr:uid="{C1DE8AC4-D1E4-4460-BD1A-BC27D73BA3D0}"/>
    <cellStyle name="Vírgula 10 3 2 7 4 2" xfId="39946" xr:uid="{8B2E2FB6-8A07-478D-B970-DEACC4D1731B}"/>
    <cellStyle name="Vírgula 10 3 2 7 5" xfId="22862" xr:uid="{A0538727-F368-428D-BDE7-5821F9E07FA5}"/>
    <cellStyle name="Vírgula 10 3 2 7 5 2" xfId="43197" xr:uid="{2E0C496C-E480-429D-9ED4-B7D450467F63}"/>
    <cellStyle name="Vírgula 10 3 2 7 6" xfId="13200" xr:uid="{537AD535-6943-4005-B56C-CAA13398B00F}"/>
    <cellStyle name="Vírgula 10 3 2 7 6 2" xfId="33541" xr:uid="{7A4EBD4B-EB24-4715-9367-B11EBBF7C4D2}"/>
    <cellStyle name="Vírgula 10 3 2 7 7" xfId="9318" xr:uid="{B28E1A0C-C737-4C87-AA61-E3A689EDF154}"/>
    <cellStyle name="Vírgula 10 3 2 7 7 2" xfId="29661" xr:uid="{AA149605-9497-4195-AB67-80054098CE52}"/>
    <cellStyle name="Vírgula 10 3 2 7 8" xfId="26167" xr:uid="{2EB60C45-2261-4314-BBE9-BDE2EFFCB611}"/>
    <cellStyle name="Vírgula 10 3 2 8" xfId="6396" xr:uid="{776B2C78-AA69-4ACF-AA56-9E7AF3C535D7}"/>
    <cellStyle name="Vírgula 10 3 2 8 2" xfId="16682" xr:uid="{B0E5511E-81A2-4BB0-808F-A6DA26F7ADF6}"/>
    <cellStyle name="Vírgula 10 3 2 8 2 2" xfId="37022" xr:uid="{F255459F-1DD4-4D3F-AC47-0BDADAA54C6D}"/>
    <cellStyle name="Vírgula 10 3 2 8 3" xfId="20184" xr:uid="{5F401C7F-C578-465B-AB49-01308E61536E}"/>
    <cellStyle name="Vírgula 10 3 2 8 3 2" xfId="40523" xr:uid="{60F425B0-DDBD-43CA-A5DE-2ED614A16961}"/>
    <cellStyle name="Vírgula 10 3 2 8 4" xfId="23439" xr:uid="{02D024DE-28B8-4A09-8842-8A29DC13B0EB}"/>
    <cellStyle name="Vírgula 10 3 2 8 4 2" xfId="43774" xr:uid="{3DCCAD13-C036-4E2D-A976-52B1CA363BA5}"/>
    <cellStyle name="Vírgula 10 3 2 8 5" xfId="13773" xr:uid="{5BB7E2B2-98D4-40FF-B2F1-94148F71D5FB}"/>
    <cellStyle name="Vírgula 10 3 2 8 5 2" xfId="34114" xr:uid="{5FCA99F6-907B-4727-9A76-31FDD2DD06AA}"/>
    <cellStyle name="Vírgula 10 3 2 8 6" xfId="9895" xr:uid="{84CBEAEC-E7B0-47A1-B38D-D0495E6B210F}"/>
    <cellStyle name="Vírgula 10 3 2 8 6 2" xfId="30238" xr:uid="{5293AACA-6716-4F61-865C-E597A3497F29}"/>
    <cellStyle name="Vírgula 10 3 2 8 7" xfId="26744" xr:uid="{E64AB733-3F97-44E1-9036-3EE34BCCD2ED}"/>
    <cellStyle name="Vírgula 10 3 2 9" xfId="7560" xr:uid="{2B4C7359-5E0A-4E91-9940-B0537CA3FBBD}"/>
    <cellStyle name="Vírgula 10 3 2 9 2" xfId="17845" xr:uid="{C0B76D77-2F54-423F-BDA6-4427542C3826}"/>
    <cellStyle name="Vírgula 10 3 2 9 2 2" xfId="38185" xr:uid="{547D14CB-973B-4EDC-9221-7024620F20C6}"/>
    <cellStyle name="Vírgula 10 3 2 9 3" xfId="21347" xr:uid="{79085B3E-E563-42CD-B0CD-B8AD0AB4BF81}"/>
    <cellStyle name="Vírgula 10 3 2 9 3 2" xfId="41686" xr:uid="{A75D4CE6-F4E0-40E8-BEFD-5B1D87AC1092}"/>
    <cellStyle name="Vírgula 10 3 2 9 4" xfId="24602" xr:uid="{545C619E-0A18-4F5D-A34D-6B3E9F761E7D}"/>
    <cellStyle name="Vírgula 10 3 2 9 4 2" xfId="44937" xr:uid="{1FA69B72-6A9B-4E31-BF7C-DA64DB83D622}"/>
    <cellStyle name="Vírgula 10 3 2 9 5" xfId="14937" xr:uid="{5D50062B-BF3B-4B6F-A12D-8C37D0D47A7B}"/>
    <cellStyle name="Vírgula 10 3 2 9 5 2" xfId="35277" xr:uid="{5FE55274-DC81-4E39-A3DF-EFA44B30820D}"/>
    <cellStyle name="Vírgula 10 3 2 9 6" xfId="11058" xr:uid="{A6B68C2A-6DC5-4BF5-9DC4-2A684CB46572}"/>
    <cellStyle name="Vírgula 10 3 2 9 6 2" xfId="31401" xr:uid="{6EE140FF-B7F0-4573-91ED-F3447C81A59E}"/>
    <cellStyle name="Vírgula 10 3 2 9 7" xfId="27907" xr:uid="{4C5610F4-8AE9-4F7A-B998-44CBB3811E8C}"/>
    <cellStyle name="Vírgula 10 3 20" xfId="46308" xr:uid="{64D73419-B3F4-41C9-896C-33E15546E676}"/>
    <cellStyle name="Vírgula 10 3 21" xfId="46800" xr:uid="{EA74C851-E495-4986-A34C-2C2585DB9E25}"/>
    <cellStyle name="Vírgula 10 3 22" xfId="48358" xr:uid="{0C98DEFC-027A-4485-9E43-346401236488}"/>
    <cellStyle name="Vírgula 10 3 23" xfId="50026" xr:uid="{12E8E192-B510-454A-9C62-055AF649062E}"/>
    <cellStyle name="Vírgula 10 3 24" xfId="53321" xr:uid="{3D72D391-D447-44D7-BF1B-2EB308812F32}"/>
    <cellStyle name="Vírgula 10 3 25" xfId="5230" xr:uid="{16E8F990-A4B9-46BF-B139-F05771744E4F}"/>
    <cellStyle name="Vírgula 10 3 26" xfId="4476" xr:uid="{BF87C7A1-A8B5-4AE9-8F0C-2C85D0F64567}"/>
    <cellStyle name="Vírgula 10 3 3" xfId="1417" xr:uid="{4100D39B-FF11-4B27-9547-48840D09F8A9}"/>
    <cellStyle name="Vírgula 10 3 3 10" xfId="22368" xr:uid="{EB38B83C-44D7-425F-A234-25072796DC30}"/>
    <cellStyle name="Vírgula 10 3 3 10 2" xfId="42703" xr:uid="{FE70D167-CF64-4579-9D3B-3890FA46D4C0}"/>
    <cellStyle name="Vírgula 10 3 3 11" xfId="12085" xr:uid="{E6D6F9DC-6EAC-48CD-9C33-558E3F52E127}"/>
    <cellStyle name="Vírgula 10 3 3 11 2" xfId="32426" xr:uid="{F78F7719-4EBB-4EB8-B794-5BFD12857C06}"/>
    <cellStyle name="Vírgula 10 3 3 12" xfId="8824" xr:uid="{2B1BC53C-2530-4182-A6FC-E386A48B67CF}"/>
    <cellStyle name="Vírgula 10 3 3 12 2" xfId="29167" xr:uid="{71D7F05A-DC59-41A1-8BAC-9D623B635C9E}"/>
    <cellStyle name="Vírgula 10 3 3 13" xfId="25673" xr:uid="{9EFE99D8-0C40-4BFC-BEA0-92C2904F6F37}"/>
    <cellStyle name="Vírgula 10 3 3 14" xfId="45882" xr:uid="{FF1F74F0-7815-4F44-9BA7-140E2666800D}"/>
    <cellStyle name="Vírgula 10 3 3 15" xfId="46368" xr:uid="{DB61404B-F67C-4422-B361-92083AF02E13}"/>
    <cellStyle name="Vírgula 10 3 3 16" xfId="46860" xr:uid="{AE1D0F67-4EA6-406E-AA02-F54F8681E093}"/>
    <cellStyle name="Vírgula 10 3 3 17" xfId="48360" xr:uid="{E1F2E77C-205D-4DAD-9730-9838662DC7DB}"/>
    <cellStyle name="Vírgula 10 3 3 18" xfId="50028" xr:uid="{ACF95605-1C28-4A9A-9F53-D0CA491743CB}"/>
    <cellStyle name="Vírgula 10 3 3 19" xfId="53323" xr:uid="{D240E4C9-8DB4-4110-871D-9CC9CCB1C210}"/>
    <cellStyle name="Vírgula 10 3 3 2" xfId="4315" xr:uid="{AC87F831-6DF5-4743-8BBC-43E1F3067C1E}"/>
    <cellStyle name="Vírgula 10 3 3 2 10" xfId="12472" xr:uid="{AFB1CD77-D11B-48A0-BAC5-ED83B8706A78}"/>
    <cellStyle name="Vírgula 10 3 3 2 10 2" xfId="32813" xr:uid="{740A7A75-E105-4613-8E38-66B5D2032E6A}"/>
    <cellStyle name="Vírgula 10 3 3 2 11" xfId="9211" xr:uid="{DB095A90-2EC0-4B46-869C-032DFED0CF4D}"/>
    <cellStyle name="Vírgula 10 3 3 2 11 2" xfId="29554" xr:uid="{24C555B0-F790-492E-BB2E-58886D602615}"/>
    <cellStyle name="Vírgula 10 3 3 2 12" xfId="26060" xr:uid="{034D90F1-604D-44AA-83C4-F7411F9AE9E6}"/>
    <cellStyle name="Vírgula 10 3 3 2 13" xfId="45968" xr:uid="{9326DA31-02D8-472D-941C-4E0993051A4F}"/>
    <cellStyle name="Vírgula 10 3 3 2 14" xfId="46454" xr:uid="{F198D905-AAE2-4943-903B-196A9CC13AAD}"/>
    <cellStyle name="Vírgula 10 3 3 2 15" xfId="46946" xr:uid="{9243943F-23FA-4DDA-A15F-24DE908513F1}"/>
    <cellStyle name="Vírgula 10 3 3 2 16" xfId="51662" xr:uid="{E266E856-3E94-4CED-9998-1BB00905A736}"/>
    <cellStyle name="Vírgula 10 3 3 2 17" xfId="54956" xr:uid="{B56D6C5A-631D-476F-B899-602556D7A5C1}"/>
    <cellStyle name="Vírgula 10 3 3 2 18" xfId="5721" xr:uid="{77A6473E-87C1-4542-A815-1657C40EB48B}"/>
    <cellStyle name="Vírgula 10 3 3 2 19" xfId="5086" xr:uid="{5F2AB515-3231-45DC-88B9-2CFBF02930B0}"/>
    <cellStyle name="Vírgula 10 3 3 2 2" xfId="6293" xr:uid="{03F2F3FB-54AA-4560-9B54-2811BD1478A8}"/>
    <cellStyle name="Vírgula 10 3 3 2 2 10" xfId="46697" xr:uid="{31E82915-362E-4E75-8EAF-5C761395A6EA}"/>
    <cellStyle name="Vírgula 10 3 3 2 2 11" xfId="47189" xr:uid="{9A5B571C-7337-4AFE-BE72-6E6B751D409B}"/>
    <cellStyle name="Vírgula 10 3 3 2 2 2" xfId="7451" xr:uid="{5FE5F680-EC48-4341-A770-A018EE39F45B}"/>
    <cellStyle name="Vírgula 10 3 3 2 2 2 2" xfId="17737" xr:uid="{A96E12B9-FF5E-4306-AF23-A1E2F1502FE1}"/>
    <cellStyle name="Vírgula 10 3 3 2 2 2 2 2" xfId="38077" xr:uid="{505C934B-4D94-489E-9CD2-7CF66A3ECE3E}"/>
    <cellStyle name="Vírgula 10 3 3 2 2 2 3" xfId="21239" xr:uid="{6CCF6B86-D722-4009-A457-9834EAB0AF7A}"/>
    <cellStyle name="Vírgula 10 3 3 2 2 2 3 2" xfId="41578" xr:uid="{B3E1FC47-613E-4646-B0D8-446B6F04F21D}"/>
    <cellStyle name="Vírgula 10 3 3 2 2 2 4" xfId="24494" xr:uid="{C9032D6B-A69E-43FC-87E8-BF9E35A4CAE3}"/>
    <cellStyle name="Vírgula 10 3 3 2 2 2 4 2" xfId="44829" xr:uid="{B7E4958E-44FC-40A4-A71B-9003F40C9086}"/>
    <cellStyle name="Vírgula 10 3 3 2 2 2 5" xfId="14828" xr:uid="{4920A9B9-DAB6-48DB-A4F2-3857DCD374BE}"/>
    <cellStyle name="Vírgula 10 3 3 2 2 2 5 2" xfId="35169" xr:uid="{53B1E1FB-5C69-49BF-B3C6-219484FB20E9}"/>
    <cellStyle name="Vírgula 10 3 3 2 2 2 6" xfId="10950" xr:uid="{C376E89B-399E-4C16-9055-08B8DC1349C4}"/>
    <cellStyle name="Vírgula 10 3 3 2 2 2 6 2" xfId="31293" xr:uid="{612DF3EF-6AA8-4C9D-A5BE-D15A94365D8B}"/>
    <cellStyle name="Vírgula 10 3 3 2 2 2 7" xfId="27799" xr:uid="{3974409B-B2D1-4071-BDB4-D4A4CAAD6720}"/>
    <cellStyle name="Vírgula 10 3 3 2 2 3" xfId="16579" xr:uid="{2CADCF30-0914-49F2-9778-1062F682EDCD}"/>
    <cellStyle name="Vírgula 10 3 3 2 2 3 2" xfId="36919" xr:uid="{C6EC2ECC-6462-44D2-ABF3-E505B8785A0B}"/>
    <cellStyle name="Vírgula 10 3 3 2 2 4" xfId="20081" xr:uid="{13CE0CEE-24D8-41FF-92BC-332A06E59F6D}"/>
    <cellStyle name="Vírgula 10 3 3 2 2 4 2" xfId="40420" xr:uid="{59DA2971-99D2-48AC-9B3B-F57E0D4CB82E}"/>
    <cellStyle name="Vírgula 10 3 3 2 2 5" xfId="23336" xr:uid="{A3F9C022-6D06-4D02-9346-7A8200CF0194}"/>
    <cellStyle name="Vírgula 10 3 3 2 2 5 2" xfId="43671" xr:uid="{92439257-EFB8-4A4A-98A1-2409F5B314F1}"/>
    <cellStyle name="Vírgula 10 3 3 2 2 6" xfId="13670" xr:uid="{2A072060-109B-4D6A-8769-EE221520A3E1}"/>
    <cellStyle name="Vírgula 10 3 3 2 2 6 2" xfId="34011" xr:uid="{73F56F26-BFEA-4E2E-8E7D-DDDE7E2787B3}"/>
    <cellStyle name="Vírgula 10 3 3 2 2 7" xfId="9792" xr:uid="{58156C06-9BA2-4740-A1FD-B0F0E9C3B42D}"/>
    <cellStyle name="Vírgula 10 3 3 2 2 7 2" xfId="30135" xr:uid="{D8356424-758F-4A17-AE0E-439B14AA92A3}"/>
    <cellStyle name="Vírgula 10 3 3 2 2 8" xfId="26641" xr:uid="{5A0B1087-B7F4-408E-8F9B-A902D012E55F}"/>
    <cellStyle name="Vírgula 10 3 3 2 2 9" xfId="46211" xr:uid="{1084B1BB-7289-46F8-9F92-77A7B261BB9A}"/>
    <cellStyle name="Vírgula 10 3 3 2 3" xfId="6870" xr:uid="{AF1CC31E-729C-411A-879D-4EF5D83EC7A5}"/>
    <cellStyle name="Vírgula 10 3 3 2 3 2" xfId="17156" xr:uid="{DE7A2575-A8AB-4F2A-BB53-8ECD06C00319}"/>
    <cellStyle name="Vírgula 10 3 3 2 3 2 2" xfId="37496" xr:uid="{F8417855-EEA2-4E22-81DB-BD4896E75BB9}"/>
    <cellStyle name="Vírgula 10 3 3 2 3 3" xfId="20658" xr:uid="{C6A8FB03-E02C-4F84-96EE-F96F96D8F865}"/>
    <cellStyle name="Vírgula 10 3 3 2 3 3 2" xfId="40997" xr:uid="{2831763A-B862-4061-9629-3C7945BCB18E}"/>
    <cellStyle name="Vírgula 10 3 3 2 3 4" xfId="23913" xr:uid="{A690E876-41B4-405D-A3B8-7ED566A85DF4}"/>
    <cellStyle name="Vírgula 10 3 3 2 3 4 2" xfId="44248" xr:uid="{5521F56A-05B6-4E6A-9246-3A592FF8AB7D}"/>
    <cellStyle name="Vírgula 10 3 3 2 3 5" xfId="14247" xr:uid="{C66719E0-3CA9-4739-92BE-7DD2F3ACAA3D}"/>
    <cellStyle name="Vírgula 10 3 3 2 3 5 2" xfId="34588" xr:uid="{C8A79CE1-E2E4-49B2-937B-F8E332AD04D3}"/>
    <cellStyle name="Vírgula 10 3 3 2 3 6" xfId="10369" xr:uid="{5DC546A0-DE7C-4162-BA8F-4DA2365FFE58}"/>
    <cellStyle name="Vírgula 10 3 3 2 3 6 2" xfId="30712" xr:uid="{B7003F63-E2C5-4B6E-A7B1-F2228C7B4C8A}"/>
    <cellStyle name="Vírgula 10 3 3 2 3 7" xfId="27218" xr:uid="{E9A23707-1010-410A-9DE8-4DD2010539E5}"/>
    <cellStyle name="Vírgula 10 3 3 2 4" xfId="8034" xr:uid="{35BE9FE4-4164-4FCB-AFC9-E14F7D778D77}"/>
    <cellStyle name="Vírgula 10 3 3 2 4 2" xfId="18319" xr:uid="{C95ED861-5824-4A21-86CA-9291D34B6A06}"/>
    <cellStyle name="Vírgula 10 3 3 2 4 2 2" xfId="38659" xr:uid="{EF0EB281-F389-4632-BD9B-F23BC8A4B994}"/>
    <cellStyle name="Vírgula 10 3 3 2 4 3" xfId="21821" xr:uid="{D7FECF2F-D7DF-42D5-A4B5-C0D562505198}"/>
    <cellStyle name="Vírgula 10 3 3 2 4 3 2" xfId="42160" xr:uid="{5BC19031-728E-484B-9E13-6AFA4AE0288D}"/>
    <cellStyle name="Vírgula 10 3 3 2 4 4" xfId="25076" xr:uid="{FEFB40CB-8363-4418-A667-1CDB844AC5C2}"/>
    <cellStyle name="Vírgula 10 3 3 2 4 4 2" xfId="45411" xr:uid="{835AED6B-4F1F-48C6-9B0B-779A3165A6B8}"/>
    <cellStyle name="Vírgula 10 3 3 2 4 5" xfId="15411" xr:uid="{F4E45D6F-4136-4753-BCDD-21894F494B28}"/>
    <cellStyle name="Vírgula 10 3 3 2 4 5 2" xfId="35751" xr:uid="{845E50C2-1124-4A86-9653-68551485422D}"/>
    <cellStyle name="Vírgula 10 3 3 2 4 6" xfId="11532" xr:uid="{8D4DE5E7-2DA6-45E4-8349-B3D12ED70CD5}"/>
    <cellStyle name="Vírgula 10 3 3 2 4 6 2" xfId="31875" xr:uid="{DA8C1D95-BEB3-40D6-9828-09A83DA44090}"/>
    <cellStyle name="Vírgula 10 3 3 2 4 7" xfId="28381" xr:uid="{CD896222-8335-456F-A764-EB569991E4C4}"/>
    <cellStyle name="Vírgula 10 3 3 2 5" xfId="8185" xr:uid="{E5F98C85-39C8-479A-B346-B5B6F938A362}"/>
    <cellStyle name="Vírgula 10 3 3 2 5 2" xfId="21972" xr:uid="{350C7690-864D-46C8-BB5B-1E43DB2ABA17}"/>
    <cellStyle name="Vírgula 10 3 3 2 5 2 2" xfId="42308" xr:uid="{0A6B02F5-E83C-4BE8-AE70-27276311A0DB}"/>
    <cellStyle name="Vírgula 10 3 3 2 5 3" xfId="25224" xr:uid="{29A295FD-0852-45E5-9923-010015FF665A}"/>
    <cellStyle name="Vírgula 10 3 3 2 5 3 2" xfId="45559" xr:uid="{6AD4205D-24C1-4C6B-84B7-CC7DCA7433E5}"/>
    <cellStyle name="Vírgula 10 3 3 2 5 4" xfId="13101" xr:uid="{C2E6131B-D034-416C-8A35-158886E6FEA3}"/>
    <cellStyle name="Vírgula 10 3 3 2 5 4 2" xfId="33442" xr:uid="{5ECD4DBE-229C-4B2D-BA95-E688752BE608}"/>
    <cellStyle name="Vírgula 10 3 3 2 5 5" xfId="11681" xr:uid="{B0D68039-8D54-4FD9-BDE6-561451DA3AF1}"/>
    <cellStyle name="Vírgula 10 3 3 2 5 5 2" xfId="32023" xr:uid="{3C9CBDC2-8866-4FA6-9E76-A5B7B6EAB5CE}"/>
    <cellStyle name="Vírgula 10 3 3 2 5 6" xfId="28529" xr:uid="{3D4CA668-392F-449C-8375-B19D30CDD589}"/>
    <cellStyle name="Vírgula 10 3 3 2 6" xfId="8593" xr:uid="{DA3D2E25-BB76-40EA-AA19-8297575170C6}"/>
    <cellStyle name="Vírgula 10 3 3 2 6 2" xfId="15998" xr:uid="{CB129ACE-057D-4E64-AFC6-BD5E3974C446}"/>
    <cellStyle name="Vírgula 10 3 3 2 6 2 2" xfId="36338" xr:uid="{F90B9F16-DE02-4554-AE74-BC74AC382ADC}"/>
    <cellStyle name="Vírgula 10 3 3 2 6 3" xfId="28936" xr:uid="{698D681D-007A-454D-AB28-816E359BCE5A}"/>
    <cellStyle name="Vírgula 10 3 3 2 7" xfId="18912" xr:uid="{6EF893EA-CDEF-462A-9BEB-2D0D45633A29}"/>
    <cellStyle name="Vírgula 10 3 3 2 7 2" xfId="39252" xr:uid="{AEE71C15-72C4-48BF-B1A7-6EC43D29CC82}"/>
    <cellStyle name="Vírgula 10 3 3 2 8" xfId="19500" xr:uid="{6E028804-07F7-4800-9E46-A2B271CF77FF}"/>
    <cellStyle name="Vírgula 10 3 3 2 8 2" xfId="39839" xr:uid="{F3397363-7DEC-4E45-9B13-E8AFA7866A25}"/>
    <cellStyle name="Vírgula 10 3 3 2 9" xfId="22755" xr:uid="{0E564551-547D-4308-93E5-B16535C4DD56}"/>
    <cellStyle name="Vírgula 10 3 3 2 9 2" xfId="43090" xr:uid="{89720EC4-61A5-49D0-B814-79F53F94871F}"/>
    <cellStyle name="Vírgula 10 3 3 20" xfId="5352" xr:uid="{D98E8C7C-317D-4380-9F82-22E3EFC3CE2B}"/>
    <cellStyle name="Vírgula 10 3 3 21" xfId="4867" xr:uid="{C39197F8-CCC9-4F15-B3AD-323109C30D5F}"/>
    <cellStyle name="Vírgula 10 3 3 3" xfId="3078" xr:uid="{215CC911-4314-4AE7-A193-5C2A1825911A}"/>
    <cellStyle name="Vírgula 10 3 3 3 10" xfId="46611" xr:uid="{CB4199C3-A8E3-4A9A-85E0-AE5D6DE0AF4F}"/>
    <cellStyle name="Vírgula 10 3 3 3 11" xfId="47103" xr:uid="{43FCBCD7-0B48-4AC2-97FB-46B8BEEFA009}"/>
    <cellStyle name="Vírgula 10 3 3 3 12" xfId="57288" xr:uid="{D5D1E59C-256C-4F1A-8765-7F9007C9EEC7}"/>
    <cellStyle name="Vírgula 10 3 3 3 13" xfId="5906" xr:uid="{ADC0BBD3-85BF-484B-B601-4FCC457AD647}"/>
    <cellStyle name="Vírgula 10 3 3 3 14" xfId="5011" xr:uid="{86B5DEE8-4894-4B4E-B50E-F2A1060CFC14}"/>
    <cellStyle name="Vírgula 10 3 3 3 2" xfId="7064" xr:uid="{373C1713-6B71-4D52-86BF-71E50D13EAD4}"/>
    <cellStyle name="Vírgula 10 3 3 3 2 2" xfId="17350" xr:uid="{27FAF0EF-A016-43BF-9DB2-11951988C33E}"/>
    <cellStyle name="Vírgula 10 3 3 3 2 2 2" xfId="37690" xr:uid="{EE9E55DF-22FD-435B-9643-2C0F6C81DF45}"/>
    <cellStyle name="Vírgula 10 3 3 3 2 3" xfId="20852" xr:uid="{331761CB-8CFF-434E-86DD-DA8ED0E2938D}"/>
    <cellStyle name="Vírgula 10 3 3 3 2 3 2" xfId="41191" xr:uid="{196221E8-3A33-40F2-8DD6-8C6B2BDD4110}"/>
    <cellStyle name="Vírgula 10 3 3 3 2 4" xfId="24107" xr:uid="{9F662451-D36F-4F2C-BC0E-6818C7657F01}"/>
    <cellStyle name="Vírgula 10 3 3 3 2 4 2" xfId="44442" xr:uid="{97122335-1FA9-4C16-B8FA-79297DBB85F7}"/>
    <cellStyle name="Vírgula 10 3 3 3 2 5" xfId="14441" xr:uid="{64CA0E9C-C407-4189-814D-E27927437A48}"/>
    <cellStyle name="Vírgula 10 3 3 3 2 5 2" xfId="34782" xr:uid="{6C96A25F-B292-4265-8EF7-7E191E53B324}"/>
    <cellStyle name="Vírgula 10 3 3 3 2 6" xfId="10563" xr:uid="{4A32D356-A4E2-422B-B571-57B1E4027069}"/>
    <cellStyle name="Vírgula 10 3 3 3 2 6 2" xfId="30906" xr:uid="{02367C43-A978-44F9-AD6B-9965E6D7AB66}"/>
    <cellStyle name="Vírgula 10 3 3 3 2 7" xfId="27412" xr:uid="{9907985F-4871-4133-B624-BD133EF395DE}"/>
    <cellStyle name="Vírgula 10 3 3 3 3" xfId="8186" xr:uid="{213FB6E6-B8D6-443D-9199-55E10D92D1B2}"/>
    <cellStyle name="Vírgula 10 3 3 3 3 2" xfId="21973" xr:uid="{5193F6A1-9316-44C1-89A9-0B8AE65E5A2C}"/>
    <cellStyle name="Vírgula 10 3 3 3 3 2 2" xfId="42309" xr:uid="{68AD119D-826F-4E08-9EE8-D27C621DF00D}"/>
    <cellStyle name="Vírgula 10 3 3 3 3 3" xfId="25225" xr:uid="{B02B8602-A493-4F60-84DA-8E5362AD23E8}"/>
    <cellStyle name="Vírgula 10 3 3 3 3 3 2" xfId="45560" xr:uid="{647BCDA6-F11C-46FC-9CE8-DB3E9EC5DAB8}"/>
    <cellStyle name="Vírgula 10 3 3 3 3 4" xfId="16192" xr:uid="{723CADB2-2429-47B1-AA71-5245BD4AA027}"/>
    <cellStyle name="Vírgula 10 3 3 3 3 4 2" xfId="36532" xr:uid="{B95F84A1-74B1-46BA-80DC-5C88E993681D}"/>
    <cellStyle name="Vírgula 10 3 3 3 3 5" xfId="11682" xr:uid="{D74791DC-F268-45CB-A487-25757C5E53E4}"/>
    <cellStyle name="Vírgula 10 3 3 3 3 5 2" xfId="32024" xr:uid="{24296AF6-12D8-43D8-B737-3B604FAED8C5}"/>
    <cellStyle name="Vírgula 10 3 3 3 3 6" xfId="28530" xr:uid="{876FF73A-641B-4B37-B2AB-41ECD94CB3FD}"/>
    <cellStyle name="Vírgula 10 3 3 3 4" xfId="19694" xr:uid="{D954D0F7-0C86-4937-9221-2BF06FBDDDDE}"/>
    <cellStyle name="Vírgula 10 3 3 3 4 2" xfId="40033" xr:uid="{DB409FB0-AEC8-4506-B123-73BC8C703D04}"/>
    <cellStyle name="Vírgula 10 3 3 3 5" xfId="22949" xr:uid="{C17DD925-CB4F-438F-B3AA-E6F3BF2FA004}"/>
    <cellStyle name="Vírgula 10 3 3 3 5 2" xfId="43284" xr:uid="{26C40C3A-5FA7-49AD-B9E1-9D2694E646D0}"/>
    <cellStyle name="Vírgula 10 3 3 3 6" xfId="13285" xr:uid="{10862C6A-8764-456A-B3E4-0EF11EDA0C19}"/>
    <cellStyle name="Vírgula 10 3 3 3 6 2" xfId="33626" xr:uid="{3BABE726-3D63-485A-8398-0D871A205373}"/>
    <cellStyle name="Vírgula 10 3 3 3 7" xfId="9405" xr:uid="{3A8E210E-1FB8-4994-A4A8-82DA9CC2732A}"/>
    <cellStyle name="Vírgula 10 3 3 3 7 2" xfId="29748" xr:uid="{49DFE1AB-5749-47A9-B7A8-9974FDDF9ED9}"/>
    <cellStyle name="Vírgula 10 3 3 3 8" xfId="26254" xr:uid="{BCBF06A8-3E3F-436B-A65E-8E6FC60816B1}"/>
    <cellStyle name="Vírgula 10 3 3 3 9" xfId="46125" xr:uid="{E0E410C2-C224-4A3E-B3DA-8B6935D93C07}"/>
    <cellStyle name="Vírgula 10 3 3 4" xfId="6483" xr:uid="{10F5D3DB-90CC-466E-98AB-9588A488E20D}"/>
    <cellStyle name="Vírgula 10 3 3 4 2" xfId="16769" xr:uid="{847739A3-19F8-44C6-AC4D-FC4EBE9381CC}"/>
    <cellStyle name="Vírgula 10 3 3 4 2 2" xfId="37109" xr:uid="{176497AA-E3F4-4142-9141-115FB5513525}"/>
    <cellStyle name="Vírgula 10 3 3 4 3" xfId="20271" xr:uid="{68916CF2-37F6-49C3-AB58-E710D18555DB}"/>
    <cellStyle name="Vírgula 10 3 3 4 3 2" xfId="40610" xr:uid="{9BD04564-09C1-4622-B319-AB154A5D5A26}"/>
    <cellStyle name="Vírgula 10 3 3 4 4" xfId="23526" xr:uid="{D00AF8B4-7DDF-4BE3-B5C0-4D6811FA8A12}"/>
    <cellStyle name="Vírgula 10 3 3 4 4 2" xfId="43861" xr:uid="{4EFDAADD-6FBC-4D3B-89E4-44563D53B323}"/>
    <cellStyle name="Vírgula 10 3 3 4 5" xfId="13860" xr:uid="{79F0DDBF-1D7C-4292-8D7C-098A19DD5515}"/>
    <cellStyle name="Vírgula 10 3 3 4 5 2" xfId="34201" xr:uid="{79A023D3-B6E2-4B0B-8D60-B9DEC151D474}"/>
    <cellStyle name="Vírgula 10 3 3 4 6" xfId="9982" xr:uid="{A6303F92-9909-4296-B203-9FD1495A489A}"/>
    <cellStyle name="Vírgula 10 3 3 4 6 2" xfId="30325" xr:uid="{9CC93F9A-BA23-4599-86F6-E5FC87DE73C3}"/>
    <cellStyle name="Vírgula 10 3 3 4 7" xfId="26831" xr:uid="{5D1F647C-EB66-47C3-AAF4-B92185B7FFB8}"/>
    <cellStyle name="Vírgula 10 3 3 5" xfId="7647" xr:uid="{22AB97C3-B4A0-4F28-A4BA-E55297B1219C}"/>
    <cellStyle name="Vírgula 10 3 3 5 2" xfId="17932" xr:uid="{0456EBB3-1FB4-4B0B-91E0-6911FCEE79B6}"/>
    <cellStyle name="Vírgula 10 3 3 5 2 2" xfId="38272" xr:uid="{C1180340-BFA7-4A83-AD37-1FB61024458A}"/>
    <cellStyle name="Vírgula 10 3 3 5 3" xfId="21434" xr:uid="{8C2C4F0D-0808-452A-80DA-F31D11B70F94}"/>
    <cellStyle name="Vírgula 10 3 3 5 3 2" xfId="41773" xr:uid="{2FD48BAA-BA00-4D5E-B589-CB8D899A2DF0}"/>
    <cellStyle name="Vírgula 10 3 3 5 4" xfId="24689" xr:uid="{B38E9634-4C26-4DEE-BDFE-655170EC65C9}"/>
    <cellStyle name="Vírgula 10 3 3 5 4 2" xfId="45024" xr:uid="{CEE07694-C8E4-46B2-8A03-C3F026D8763C}"/>
    <cellStyle name="Vírgula 10 3 3 5 5" xfId="15024" xr:uid="{1B89BAA4-BECC-4AAC-B31F-28CC973D544E}"/>
    <cellStyle name="Vírgula 10 3 3 5 5 2" xfId="35364" xr:uid="{CDA46C5E-6337-43D5-AA6D-D44DE98DA2FE}"/>
    <cellStyle name="Vírgula 10 3 3 5 6" xfId="11145" xr:uid="{79157522-075E-4841-88E8-2A45AA21AFA9}"/>
    <cellStyle name="Vírgula 10 3 3 5 6 2" xfId="31488" xr:uid="{AA8C8227-0A2A-44A0-80CC-66B575388176}"/>
    <cellStyle name="Vírgula 10 3 3 5 7" xfId="27994" xr:uid="{52441356-BE59-45D9-AB5C-F3A45A213A9D}"/>
    <cellStyle name="Vírgula 10 3 3 6" xfId="8184" xr:uid="{9E6B0C57-9B73-43B7-AEA1-5C4F64856812}"/>
    <cellStyle name="Vírgula 10 3 3 6 2" xfId="21971" xr:uid="{B61B8256-B791-48CE-A564-42C23D46C91E}"/>
    <cellStyle name="Vírgula 10 3 3 6 2 2" xfId="42307" xr:uid="{E5C753A6-2858-4AED-B539-751CDD2B2E7D}"/>
    <cellStyle name="Vírgula 10 3 3 6 3" xfId="25223" xr:uid="{DB5B45A9-136B-4C02-BB3F-DF0D03C4ED01}"/>
    <cellStyle name="Vírgula 10 3 3 6 3 2" xfId="45558" xr:uid="{F3907E66-9104-4D9E-ADA1-AF26D3B143EE}"/>
    <cellStyle name="Vírgula 10 3 3 6 4" xfId="12716" xr:uid="{61E9CCE1-B4BB-4C19-B798-61C2AA5AF6D8}"/>
    <cellStyle name="Vírgula 10 3 3 6 4 2" xfId="33057" xr:uid="{79506B80-0BEF-4A07-A5B6-DDD3F6F61D88}"/>
    <cellStyle name="Vírgula 10 3 3 6 5" xfId="11680" xr:uid="{2142A3CE-C401-48F4-AF8F-33A388E1EA0F}"/>
    <cellStyle name="Vírgula 10 3 3 6 5 2" xfId="32022" xr:uid="{87FEBD34-E430-481C-A789-CBA8CB9CCF9D}"/>
    <cellStyle name="Vírgula 10 3 3 6 6" xfId="28528" xr:uid="{427B76BF-8CC1-49AF-9F92-42B25A47DF16}"/>
    <cellStyle name="Vírgula 10 3 3 7" xfId="8507" xr:uid="{1E0170F3-8F1D-4CF2-80DF-F75F2ACAF7AF}"/>
    <cellStyle name="Vírgula 10 3 3 7 2" xfId="15611" xr:uid="{904143B7-AAC3-44E1-B19B-3FFC95BC4BDD}"/>
    <cellStyle name="Vírgula 10 3 3 7 2 2" xfId="35951" xr:uid="{8D4AAA2C-DABB-4537-8B6A-75CEE2E90810}"/>
    <cellStyle name="Vírgula 10 3 3 7 3" xfId="28850" xr:uid="{663BA9B3-09FD-4C60-95E4-D06EF70ECA5B}"/>
    <cellStyle name="Vírgula 10 3 3 8" xfId="18525" xr:uid="{CB70E59A-B821-46B0-B681-B954FE4FD2F2}"/>
    <cellStyle name="Vírgula 10 3 3 8 2" xfId="38865" xr:uid="{69326FE7-E7D0-4D92-8825-46CB9F4A1B99}"/>
    <cellStyle name="Vírgula 10 3 3 9" xfId="19113" xr:uid="{D096B43B-772B-448B-AA90-803BA7190824}"/>
    <cellStyle name="Vírgula 10 3 3 9 2" xfId="39452" xr:uid="{FF67E741-13B9-4846-BB51-BDA67438C8EB}"/>
    <cellStyle name="Vírgula 10 3 4" xfId="604" xr:uid="{4989FF60-E17E-4D66-A679-329CE01AF6AA}"/>
    <cellStyle name="Vírgula 10 3 4 10" xfId="12181" xr:uid="{869557D2-D953-4072-8074-440CFE74F1D0}"/>
    <cellStyle name="Vírgula 10 3 4 10 2" xfId="32522" xr:uid="{F48EAAAE-CB30-4A6F-A2F2-08C04BB8A671}"/>
    <cellStyle name="Vírgula 10 3 4 11" xfId="8920" xr:uid="{0ADAC522-6122-49F3-B19B-4015B0B412B9}"/>
    <cellStyle name="Vírgula 10 3 4 11 2" xfId="29263" xr:uid="{DD16758F-40B5-49FF-A203-2786CA1C9A74}"/>
    <cellStyle name="Vírgula 10 3 4 12" xfId="25769" xr:uid="{D0E67083-40C1-437C-8442-5C9606925562}"/>
    <cellStyle name="Vírgula 10 3 4 13" xfId="45965" xr:uid="{4998E76B-43E5-441E-ADFF-91B2DCB9C8B3}"/>
    <cellStyle name="Vírgula 10 3 4 14" xfId="46451" xr:uid="{6617EF35-FCF5-4E96-9E38-F3DFB06D4DDA}"/>
    <cellStyle name="Vírgula 10 3 4 15" xfId="46943" xr:uid="{6294DFB2-A30C-4DE3-A75A-4EC2E48D4B24}"/>
    <cellStyle name="Vírgula 10 3 4 16" xfId="48361" xr:uid="{57A606CD-A235-4741-9E5A-D3311817CE79}"/>
    <cellStyle name="Vírgula 10 3 4 17" xfId="50029" xr:uid="{6BB34401-64DE-48A7-AED9-7F51E828AD05}"/>
    <cellStyle name="Vírgula 10 3 4 18" xfId="53324" xr:uid="{97BA2682-08D0-4B6B-9FD5-16687964A208}"/>
    <cellStyle name="Vírgula 10 3 4 19" xfId="5437" xr:uid="{6881687A-C6DF-4EBB-95FF-A08CF8B5E90B}"/>
    <cellStyle name="Vírgula 10 3 4 2" xfId="2320" xr:uid="{AA4F46A1-A50A-428D-92EC-18AC17BC1D22}"/>
    <cellStyle name="Vírgula 10 3 4 2 10" xfId="46694" xr:uid="{7D80F729-0003-4BA7-B2E0-3E2E0EE9D8E7}"/>
    <cellStyle name="Vírgula 10 3 4 2 11" xfId="47186" xr:uid="{3BDFED84-E039-4696-B7F5-C305F7C7D233}"/>
    <cellStyle name="Vírgula 10 3 4 2 12" xfId="51663" xr:uid="{6BCF5E4D-D5EA-4A49-BA8E-2FDDDC1D0FD9}"/>
    <cellStyle name="Vírgula 10 3 4 2 13" xfId="54957" xr:uid="{D2B6C37A-B33D-47D2-AE83-3B36BE5C47FA}"/>
    <cellStyle name="Vírgula 10 3 4 2 14" xfId="6002" xr:uid="{90FD1454-391C-4D41-8840-A94B4FFD1212}"/>
    <cellStyle name="Vírgula 10 3 4 2 15" xfId="5083" xr:uid="{CB7D3F47-81A2-4563-91DC-138302445759}"/>
    <cellStyle name="Vírgula 10 3 4 2 2" xfId="7160" xr:uid="{2D4DB383-D913-44F7-B9BE-5551C2E86F95}"/>
    <cellStyle name="Vírgula 10 3 4 2 2 2" xfId="17446" xr:uid="{1C85ACBF-066A-425A-9DB4-398D09AFF180}"/>
    <cellStyle name="Vírgula 10 3 4 2 2 2 2" xfId="37786" xr:uid="{7E7D0D9F-04F4-4F90-ACFE-696D748EF72C}"/>
    <cellStyle name="Vírgula 10 3 4 2 2 3" xfId="20948" xr:uid="{08F8941E-9B64-4497-BF13-9D957EB9933F}"/>
    <cellStyle name="Vírgula 10 3 4 2 2 3 2" xfId="41287" xr:uid="{C91F0066-3643-4FB7-A1C6-DB7A201AC86E}"/>
    <cellStyle name="Vírgula 10 3 4 2 2 4" xfId="24203" xr:uid="{1384B59F-584E-48C7-9F5D-29D6CCDC8E1E}"/>
    <cellStyle name="Vírgula 10 3 4 2 2 4 2" xfId="44538" xr:uid="{49F91998-7BAA-43AA-A9CA-28B337878648}"/>
    <cellStyle name="Vírgula 10 3 4 2 2 5" xfId="14537" xr:uid="{D5B6A733-68E3-4517-9E9B-0E40CD470D7E}"/>
    <cellStyle name="Vírgula 10 3 4 2 2 5 2" xfId="34878" xr:uid="{D1D98787-5AB9-4915-B238-1DEE662C3605}"/>
    <cellStyle name="Vírgula 10 3 4 2 2 6" xfId="10659" xr:uid="{172F3F3A-ACFD-48C3-AA62-453F95A4D4B9}"/>
    <cellStyle name="Vírgula 10 3 4 2 2 6 2" xfId="31002" xr:uid="{912A1E8D-E59F-4038-89C1-32C73ED7F504}"/>
    <cellStyle name="Vírgula 10 3 4 2 2 7" xfId="27508" xr:uid="{3261193C-8031-439D-8F24-0A9A8D6EDB41}"/>
    <cellStyle name="Vírgula 10 3 4 2 3" xfId="16288" xr:uid="{C6F59F84-C2F9-4C5D-A17B-C62D60441643}"/>
    <cellStyle name="Vírgula 10 3 4 2 3 2" xfId="36628" xr:uid="{E7E94CA2-C352-4A9A-9C95-500A0F752E34}"/>
    <cellStyle name="Vírgula 10 3 4 2 4" xfId="19790" xr:uid="{C4BE39DB-EB80-4E9C-99C4-AE36D0E23A85}"/>
    <cellStyle name="Vírgula 10 3 4 2 4 2" xfId="40129" xr:uid="{54CF2E5A-8871-4B72-8842-84FC52EC577C}"/>
    <cellStyle name="Vírgula 10 3 4 2 5" xfId="23045" xr:uid="{B94C1F8B-2486-418D-AD68-7C562E1E1562}"/>
    <cellStyle name="Vírgula 10 3 4 2 5 2" xfId="43380" xr:uid="{A52C9B7D-B1D1-4533-98E8-637783A30DD7}"/>
    <cellStyle name="Vírgula 10 3 4 2 6" xfId="13379" xr:uid="{B85659DA-11F2-47DD-862D-786931194696}"/>
    <cellStyle name="Vírgula 10 3 4 2 6 2" xfId="33720" xr:uid="{76F6A4B1-7880-4A73-918A-5F9C89DDD59B}"/>
    <cellStyle name="Vírgula 10 3 4 2 7" xfId="9501" xr:uid="{F840351A-D706-45D9-9009-6DCD08A70080}"/>
    <cellStyle name="Vírgula 10 3 4 2 7 2" xfId="29844" xr:uid="{A99D028E-94E8-4C3C-BD39-464DA1BB784E}"/>
    <cellStyle name="Vírgula 10 3 4 2 8" xfId="26350" xr:uid="{80C06210-A71F-4D4E-83FD-8F2C2CC5BA65}"/>
    <cellStyle name="Vírgula 10 3 4 2 9" xfId="46208" xr:uid="{5E0B0856-EE4B-4EE8-BB15-A5F865E56D0E}"/>
    <cellStyle name="Vírgula 10 3 4 20" xfId="4864" xr:uid="{669CE65A-16EC-45C4-B7B9-CB01BE21EA3A}"/>
    <cellStyle name="Vírgula 10 3 4 3" xfId="6579" xr:uid="{8BA8B57A-FBD3-4B70-A145-DE318BBF748D}"/>
    <cellStyle name="Vírgula 10 3 4 3 2" xfId="16865" xr:uid="{7D19FC05-DE96-4E50-817B-5AD29383AB14}"/>
    <cellStyle name="Vírgula 10 3 4 3 2 2" xfId="37205" xr:uid="{8B99A0DA-B0AE-458F-8E39-C2BE75C4A37A}"/>
    <cellStyle name="Vírgula 10 3 4 3 3" xfId="20367" xr:uid="{1FA80F86-1167-4CC1-881D-8F3F1E598F71}"/>
    <cellStyle name="Vírgula 10 3 4 3 3 2" xfId="40706" xr:uid="{B23C3D76-33A5-46AB-8563-C52DE636F34A}"/>
    <cellStyle name="Vírgula 10 3 4 3 4" xfId="23622" xr:uid="{053B37C9-1D3A-43E2-B7D5-43C7915521DF}"/>
    <cellStyle name="Vírgula 10 3 4 3 4 2" xfId="43957" xr:uid="{E92703CC-25E7-463C-A21D-6AA80332D01A}"/>
    <cellStyle name="Vírgula 10 3 4 3 5" xfId="13956" xr:uid="{9CC2E40E-ECB9-41C5-9E88-98B23E37CB1C}"/>
    <cellStyle name="Vírgula 10 3 4 3 5 2" xfId="34297" xr:uid="{15B8845C-A924-4A73-845F-0BCF885C5355}"/>
    <cellStyle name="Vírgula 10 3 4 3 6" xfId="10078" xr:uid="{A29A60C3-EA80-40BD-96D4-3F580322CCB2}"/>
    <cellStyle name="Vírgula 10 3 4 3 6 2" xfId="30421" xr:uid="{2D78F012-87D1-4EFC-A904-17466FF413FA}"/>
    <cellStyle name="Vírgula 10 3 4 3 7" xfId="26927" xr:uid="{0D01FD2A-6609-4051-A0E2-E708C0B73494}"/>
    <cellStyle name="Vírgula 10 3 4 3 8" xfId="56475" xr:uid="{041EC966-9A06-41F1-8A66-782AE60BD726}"/>
    <cellStyle name="Vírgula 10 3 4 4" xfId="7743" xr:uid="{F14B7FB4-CB7B-465D-A97C-33CF17A23771}"/>
    <cellStyle name="Vírgula 10 3 4 4 2" xfId="18028" xr:uid="{35A8BD64-595F-46BE-8D8A-2C6EF6EF8261}"/>
    <cellStyle name="Vírgula 10 3 4 4 2 2" xfId="38368" xr:uid="{5718E22E-E0F7-46F0-A2FD-436566B7118F}"/>
    <cellStyle name="Vírgula 10 3 4 4 3" xfId="21530" xr:uid="{41EB5F66-2569-48FF-BDD6-6797BC406C32}"/>
    <cellStyle name="Vírgula 10 3 4 4 3 2" xfId="41869" xr:uid="{80C96516-6423-47F0-A445-465316F37DA4}"/>
    <cellStyle name="Vírgula 10 3 4 4 4" xfId="24785" xr:uid="{81DFCCB8-04E4-4FF4-B018-C5BFDB0FEF74}"/>
    <cellStyle name="Vírgula 10 3 4 4 4 2" xfId="45120" xr:uid="{181A59BA-E840-4D8A-A7E1-678ACF729D2B}"/>
    <cellStyle name="Vírgula 10 3 4 4 5" xfId="15120" xr:uid="{439CEE98-EC21-41E3-ABAF-F423958EC269}"/>
    <cellStyle name="Vírgula 10 3 4 4 5 2" xfId="35460" xr:uid="{96633848-6300-486C-A33D-151B1C8F74E1}"/>
    <cellStyle name="Vírgula 10 3 4 4 6" xfId="11241" xr:uid="{67A16B57-FADF-4F9E-9D4A-1D92EC6A3D83}"/>
    <cellStyle name="Vírgula 10 3 4 4 6 2" xfId="31584" xr:uid="{842D05B6-5D5D-413E-AEC3-D6FA70FBE725}"/>
    <cellStyle name="Vírgula 10 3 4 4 7" xfId="28090" xr:uid="{52A16E2E-8451-4869-863E-F762A8CA3B45}"/>
    <cellStyle name="Vírgula 10 3 4 5" xfId="8187" xr:uid="{6F866E12-2FB8-4835-9A5C-8DA08E36D34A}"/>
    <cellStyle name="Vírgula 10 3 4 5 2" xfId="21974" xr:uid="{3C5086F1-9CF7-4265-91C4-3C870507F653}"/>
    <cellStyle name="Vírgula 10 3 4 5 2 2" xfId="42310" xr:uid="{6E736FF7-E3CB-4A98-8B51-0969545D9787}"/>
    <cellStyle name="Vírgula 10 3 4 5 3" xfId="25226" xr:uid="{984B2C65-7FD7-4C5C-94C0-A242C84CC51E}"/>
    <cellStyle name="Vírgula 10 3 4 5 3 2" xfId="45561" xr:uid="{108F5542-A30B-46B6-9DEB-BCEBE172A467}"/>
    <cellStyle name="Vírgula 10 3 4 5 4" xfId="12810" xr:uid="{56507940-9AD1-452A-8015-B9586C61FB5A}"/>
    <cellStyle name="Vírgula 10 3 4 5 4 2" xfId="33151" xr:uid="{1DD26B40-28D9-4CCC-8FC3-607E87EE545F}"/>
    <cellStyle name="Vírgula 10 3 4 5 5" xfId="11683" xr:uid="{DAA62838-D019-43E5-ADCB-951A02A50786}"/>
    <cellStyle name="Vírgula 10 3 4 5 5 2" xfId="32025" xr:uid="{FDE59AC4-ADFC-48B2-BE8B-E19B96EB8329}"/>
    <cellStyle name="Vírgula 10 3 4 5 6" xfId="28531" xr:uid="{1E740105-542D-46CF-BDB0-6C1993D49B2F}"/>
    <cellStyle name="Vírgula 10 3 4 6" xfId="8590" xr:uid="{EFB37472-D9FA-427B-9B82-A2B096E84C41}"/>
    <cellStyle name="Vírgula 10 3 4 6 2" xfId="15707" xr:uid="{74FAB63C-511E-4C24-BBFE-F2B195A1D98C}"/>
    <cellStyle name="Vírgula 10 3 4 6 2 2" xfId="36047" xr:uid="{91553816-7029-4D09-8A75-3CF5E7784194}"/>
    <cellStyle name="Vírgula 10 3 4 6 3" xfId="28933" xr:uid="{67F0B525-B5FC-4B84-8900-7EBD84EE0F22}"/>
    <cellStyle name="Vírgula 10 3 4 7" xfId="18621" xr:uid="{C86E2F36-0ED5-471B-9A08-FED723F88953}"/>
    <cellStyle name="Vírgula 10 3 4 7 2" xfId="38961" xr:uid="{5D280488-27E9-40F3-AD5C-B1D13826E2BA}"/>
    <cellStyle name="Vírgula 10 3 4 8" xfId="19209" xr:uid="{266504CF-C612-4A51-808E-86EC1C4D9C2C}"/>
    <cellStyle name="Vírgula 10 3 4 8 2" xfId="39548" xr:uid="{9BCE7129-7518-4626-911E-AD9EA4FBE96F}"/>
    <cellStyle name="Vírgula 10 3 4 9" xfId="22464" xr:uid="{8DC6BC46-E024-498A-BBBB-BD4B896E1360}"/>
    <cellStyle name="Vírgula 10 3 4 9 2" xfId="42799" xr:uid="{A7200C4D-B059-4944-BE15-BC2FE2C6C90D}"/>
    <cellStyle name="Vírgula 10 3 5" xfId="3540" xr:uid="{BB8E24B1-A4DA-41E5-A81D-669E9C72EE97}"/>
    <cellStyle name="Vírgula 10 3 5 10" xfId="12239" xr:uid="{4D5F2B09-182E-4D45-8E29-5B4236887E16}"/>
    <cellStyle name="Vírgula 10 3 5 10 2" xfId="32580" xr:uid="{7F6AC9D1-13B0-4F32-A849-B3F79A56D97D}"/>
    <cellStyle name="Vírgula 10 3 5 11" xfId="8978" xr:uid="{AFCE7CF2-5D03-4214-9992-A218CDB236C1}"/>
    <cellStyle name="Vírgula 10 3 5 11 2" xfId="29321" xr:uid="{7A0759D9-A369-4BFA-8EEE-1889263FF46F}"/>
    <cellStyle name="Vírgula 10 3 5 12" xfId="25827" xr:uid="{B7E298EE-216A-4030-BAA1-623D43A52D6A}"/>
    <cellStyle name="Vírgula 10 3 5 13" xfId="46065" xr:uid="{9E6C9F5B-F3D6-4A18-B9E3-44BD30914B07}"/>
    <cellStyle name="Vírgula 10 3 5 14" xfId="46551" xr:uid="{00DDFE0A-F82B-458E-A891-55381C54F7B9}"/>
    <cellStyle name="Vírgula 10 3 5 15" xfId="47043" xr:uid="{8C48EA8B-D1BC-486A-BA8D-C7DD2D233217}"/>
    <cellStyle name="Vírgula 10 3 5 16" xfId="51660" xr:uid="{89D5B33F-3C0E-44F7-B290-43B0C1978078}"/>
    <cellStyle name="Vírgula 10 3 5 17" xfId="54954" xr:uid="{13879BC4-563D-4F41-B47D-126D8407DEBC}"/>
    <cellStyle name="Vírgula 10 3 5 18" xfId="5488" xr:uid="{F44D8B2F-F5CA-4C17-B46E-61BF094BE246}"/>
    <cellStyle name="Vírgula 10 3 5 19" xfId="4966" xr:uid="{04E32850-A1F8-497B-8AAF-C9ADEC3DE03B}"/>
    <cellStyle name="Vírgula 10 3 5 2" xfId="6060" xr:uid="{EA65C5E8-7FE8-494F-B726-C39223C2F112}"/>
    <cellStyle name="Vírgula 10 3 5 2 2" xfId="7218" xr:uid="{92004F6B-D8C4-4485-BF7E-77FEB9284A35}"/>
    <cellStyle name="Vírgula 10 3 5 2 2 2" xfId="17504" xr:uid="{E15093A8-6283-416A-BFC9-6E0AAF5577F5}"/>
    <cellStyle name="Vírgula 10 3 5 2 2 2 2" xfId="37844" xr:uid="{834A3407-B57C-4B83-BF41-EE01B933C391}"/>
    <cellStyle name="Vírgula 10 3 5 2 2 3" xfId="21006" xr:uid="{27AD86FC-1AF3-45EB-BD55-5C69829A4CD2}"/>
    <cellStyle name="Vírgula 10 3 5 2 2 3 2" xfId="41345" xr:uid="{555AA110-4ADD-4D01-820D-3FC1D8892D9A}"/>
    <cellStyle name="Vírgula 10 3 5 2 2 4" xfId="24261" xr:uid="{5F47F6E7-5AB3-4B7B-A3F3-D8CA575BA022}"/>
    <cellStyle name="Vírgula 10 3 5 2 2 4 2" xfId="44596" xr:uid="{4EC22851-330E-4632-B8EC-B8EC254873CE}"/>
    <cellStyle name="Vírgula 10 3 5 2 2 5" xfId="14595" xr:uid="{7D7A12FC-21FC-4A96-A7E3-BFD5B9D49E28}"/>
    <cellStyle name="Vírgula 10 3 5 2 2 5 2" xfId="34936" xr:uid="{479EDF96-7DF8-4109-97AD-F96A8D16B2D4}"/>
    <cellStyle name="Vírgula 10 3 5 2 2 6" xfId="10717" xr:uid="{514034DB-418E-4796-90BD-F7AD7D04EEA1}"/>
    <cellStyle name="Vírgula 10 3 5 2 2 6 2" xfId="31060" xr:uid="{26200C4D-F797-4617-AE90-97B3106AD4D6}"/>
    <cellStyle name="Vírgula 10 3 5 2 2 7" xfId="27566" xr:uid="{CE36E562-E126-40AC-8209-A672A04E6087}"/>
    <cellStyle name="Vírgula 10 3 5 2 3" xfId="16346" xr:uid="{F2F1177A-82AD-4272-915D-4D9530203589}"/>
    <cellStyle name="Vírgula 10 3 5 2 3 2" xfId="36686" xr:uid="{EF11FBFC-9A0A-4382-B7B0-502B4543BBD4}"/>
    <cellStyle name="Vírgula 10 3 5 2 4" xfId="19848" xr:uid="{F73C1C9B-05BA-47F5-B9D6-DE11E3448CDA}"/>
    <cellStyle name="Vírgula 10 3 5 2 4 2" xfId="40187" xr:uid="{4F7E3635-35F1-42B1-9C98-51AB8E46BE96}"/>
    <cellStyle name="Vírgula 10 3 5 2 5" xfId="23103" xr:uid="{60BF44C0-6040-478C-A7C6-F06743F6873C}"/>
    <cellStyle name="Vírgula 10 3 5 2 5 2" xfId="43438" xr:uid="{370DC927-BECC-421A-8603-EBF95A5C6E4D}"/>
    <cellStyle name="Vírgula 10 3 5 2 6" xfId="13437" xr:uid="{6125DF56-9249-4B0A-8015-7ABB299C3109}"/>
    <cellStyle name="Vírgula 10 3 5 2 6 2" xfId="33778" xr:uid="{4D156581-8730-406C-AA4B-1705607A0D61}"/>
    <cellStyle name="Vírgula 10 3 5 2 7" xfId="9559" xr:uid="{672CEC76-08EC-414D-97C3-68B7B5820D76}"/>
    <cellStyle name="Vírgula 10 3 5 2 7 2" xfId="29902" xr:uid="{D72A049F-668B-4E25-AA25-EDC5DC29FAE5}"/>
    <cellStyle name="Vírgula 10 3 5 2 8" xfId="26408" xr:uid="{CB783C9D-C22C-4E93-83EC-4B090E7809C7}"/>
    <cellStyle name="Vírgula 10 3 5 3" xfId="6637" xr:uid="{A9DAE42D-990C-4D79-BE5E-8406A8E15FD2}"/>
    <cellStyle name="Vírgula 10 3 5 3 2" xfId="16923" xr:uid="{0CB6767F-9767-4897-BF67-B8D5BE78B577}"/>
    <cellStyle name="Vírgula 10 3 5 3 2 2" xfId="37263" xr:uid="{480CAEBD-C46B-42CE-A350-9706FDFDA90D}"/>
    <cellStyle name="Vírgula 10 3 5 3 3" xfId="20425" xr:uid="{28FD49C8-CC98-4872-B0DB-3FA80205B675}"/>
    <cellStyle name="Vírgula 10 3 5 3 3 2" xfId="40764" xr:uid="{4ADA1601-AA53-456A-9E1D-24005F3EB276}"/>
    <cellStyle name="Vírgula 10 3 5 3 4" xfId="23680" xr:uid="{3D4862FF-B09A-4CDC-80AF-3D497AE944D7}"/>
    <cellStyle name="Vírgula 10 3 5 3 4 2" xfId="44015" xr:uid="{2686A700-85C2-4EF9-9926-2ADC051DE598}"/>
    <cellStyle name="Vírgula 10 3 5 3 5" xfId="14014" xr:uid="{50756EA2-CF26-4DB8-8B14-7A4E593E692F}"/>
    <cellStyle name="Vírgula 10 3 5 3 5 2" xfId="34355" xr:uid="{6847789E-F992-42AC-B29E-C555754EEFB4}"/>
    <cellStyle name="Vírgula 10 3 5 3 6" xfId="10136" xr:uid="{9CF062D9-86C3-4E65-9E37-2C44D73B4D6B}"/>
    <cellStyle name="Vírgula 10 3 5 3 6 2" xfId="30479" xr:uid="{D41E50F9-804A-495F-94B9-AB05DE87A300}"/>
    <cellStyle name="Vírgula 10 3 5 3 7" xfId="26985" xr:uid="{649383C4-514D-4949-8247-D041451B48FC}"/>
    <cellStyle name="Vírgula 10 3 5 4" xfId="7801" xr:uid="{11888DE4-C477-4F2F-B3A5-5E54D5C8077D}"/>
    <cellStyle name="Vírgula 10 3 5 4 2" xfId="18086" xr:uid="{BFE31E71-40A8-4FBF-96D4-44BEA5AAEBE1}"/>
    <cellStyle name="Vírgula 10 3 5 4 2 2" xfId="38426" xr:uid="{A4ACBD9E-2B5D-4C3D-8377-EE19326C5F14}"/>
    <cellStyle name="Vírgula 10 3 5 4 3" xfId="21588" xr:uid="{D88E072B-FE4A-4A81-A880-D65A37E9A68F}"/>
    <cellStyle name="Vírgula 10 3 5 4 3 2" xfId="41927" xr:uid="{69ED13D7-4CF5-45B3-B749-F78EAA9837AC}"/>
    <cellStyle name="Vírgula 10 3 5 4 4" xfId="24843" xr:uid="{FF291E43-AABA-4174-9A0E-9492907CD3D3}"/>
    <cellStyle name="Vírgula 10 3 5 4 4 2" xfId="45178" xr:uid="{9BD54998-EB5E-4462-9A31-EEC162671CF4}"/>
    <cellStyle name="Vírgula 10 3 5 4 5" xfId="15178" xr:uid="{D5E1BA6C-CEA3-469E-9A64-BA63DD8985CA}"/>
    <cellStyle name="Vírgula 10 3 5 4 5 2" xfId="35518" xr:uid="{DE06D816-8A34-401C-9094-F7DD26B29E5D}"/>
    <cellStyle name="Vírgula 10 3 5 4 6" xfId="11299" xr:uid="{DD11A693-4008-4457-84D5-A9837A482E25}"/>
    <cellStyle name="Vírgula 10 3 5 4 6 2" xfId="31642" xr:uid="{7DA6234D-0C9B-411F-8944-AE5BD64F4E19}"/>
    <cellStyle name="Vírgula 10 3 5 4 7" xfId="28148" xr:uid="{0C282BFB-1E01-47B6-9C83-04640566293C}"/>
    <cellStyle name="Vírgula 10 3 5 5" xfId="8188" xr:uid="{0A3AF2F0-C925-4097-8D3E-92A934CE33B1}"/>
    <cellStyle name="Vírgula 10 3 5 5 2" xfId="21975" xr:uid="{421889A9-6A1F-4F66-A476-5AC64BFC6209}"/>
    <cellStyle name="Vírgula 10 3 5 5 2 2" xfId="42311" xr:uid="{73677FA3-B89C-43A9-9F89-973028E53F50}"/>
    <cellStyle name="Vírgula 10 3 5 5 3" xfId="25227" xr:uid="{7A1663CD-5CF8-4376-9209-7D4A0EC0BE04}"/>
    <cellStyle name="Vírgula 10 3 5 5 3 2" xfId="45562" xr:uid="{FDEE911A-598E-444F-8ADB-B0843D9E2080}"/>
    <cellStyle name="Vírgula 10 3 5 5 4" xfId="12868" xr:uid="{F703CA5E-18F8-4231-B928-C6BB06644AC9}"/>
    <cellStyle name="Vírgula 10 3 5 5 4 2" xfId="33209" xr:uid="{A5BF5CC7-3168-49B3-B06C-040AC1A12EDE}"/>
    <cellStyle name="Vírgula 10 3 5 5 5" xfId="11684" xr:uid="{1123A918-23CF-4724-A973-1B9E6336EECD}"/>
    <cellStyle name="Vírgula 10 3 5 5 5 2" xfId="32026" xr:uid="{99ED8B9C-3230-4D49-98D7-00DF0782DB2C}"/>
    <cellStyle name="Vírgula 10 3 5 5 6" xfId="28532" xr:uid="{3CBCD59E-C35F-4BE5-94E2-19F03F93BB7A}"/>
    <cellStyle name="Vírgula 10 3 5 6" xfId="15765" xr:uid="{8C6797A5-1715-40DF-94D7-E7EAC6987F04}"/>
    <cellStyle name="Vírgula 10 3 5 6 2" xfId="36105" xr:uid="{955D54C2-8B22-4AC4-9C73-2CC845AB8C7F}"/>
    <cellStyle name="Vírgula 10 3 5 7" xfId="18679" xr:uid="{91A7DE25-27D4-450B-8DAF-325416DE6916}"/>
    <cellStyle name="Vírgula 10 3 5 7 2" xfId="39019" xr:uid="{F8091C59-94C0-4270-BEE0-57599DEC7781}"/>
    <cellStyle name="Vírgula 10 3 5 8" xfId="19267" xr:uid="{079023CB-0A12-4900-B2C9-95F1C026D5E0}"/>
    <cellStyle name="Vírgula 10 3 5 8 2" xfId="39606" xr:uid="{F79D6C08-B156-42B5-845A-FF0E5E6BD685}"/>
    <cellStyle name="Vírgula 10 3 5 9" xfId="22522" xr:uid="{F3CD2E31-0D03-40D6-80F0-90023FEBF451}"/>
    <cellStyle name="Vírgula 10 3 5 9 2" xfId="42857" xr:uid="{1337741D-3E40-462C-9C22-9D7C11B29C7F}"/>
    <cellStyle name="Vírgula 10 3 6" xfId="3971" xr:uid="{C5B61E61-8B01-46CC-8B3B-7C50CA84F442}"/>
    <cellStyle name="Vírgula 10 3 6 10" xfId="12314" xr:uid="{0D630013-6DFA-46E9-BE16-53EE045850BF}"/>
    <cellStyle name="Vírgula 10 3 6 10 2" xfId="32655" xr:uid="{53B8218A-3150-49D9-BA9D-F61500ED93CE}"/>
    <cellStyle name="Vírgula 10 3 6 11" xfId="9053" xr:uid="{23F7BB93-3F27-437E-8ED0-C3E839245DED}"/>
    <cellStyle name="Vírgula 10 3 6 11 2" xfId="29396" xr:uid="{34581FF8-3441-4C3A-9DAC-2821692CD913}"/>
    <cellStyle name="Vírgula 10 3 6 12" xfId="25902" xr:uid="{CAAA030E-0188-41D2-BD40-6BF2B9D65E2C}"/>
    <cellStyle name="Vírgula 10 3 6 13" xfId="56066" xr:uid="{0FE99616-F004-4269-A66B-09FC036CD4CA}"/>
    <cellStyle name="Vírgula 10 3 6 14" xfId="5563" xr:uid="{B1861236-7508-41E7-B3A4-CB3E501E576A}"/>
    <cellStyle name="Vírgula 10 3 6 15" xfId="4796" xr:uid="{9B21EDBC-D3B3-4117-AFF6-9BA31347911E}"/>
    <cellStyle name="Vírgula 10 3 6 2" xfId="6135" xr:uid="{F0E5C791-E016-4584-A7A7-20717B589E9D}"/>
    <cellStyle name="Vírgula 10 3 6 2 2" xfId="7293" xr:uid="{419E1F3D-1C5E-486A-BE53-831A45B021CC}"/>
    <cellStyle name="Vírgula 10 3 6 2 2 2" xfId="17579" xr:uid="{623E7D6D-E8F3-4A0E-A831-15E6F5F276D9}"/>
    <cellStyle name="Vírgula 10 3 6 2 2 2 2" xfId="37919" xr:uid="{89202F15-F19E-4DC7-AD3F-1329321FE1C6}"/>
    <cellStyle name="Vírgula 10 3 6 2 2 3" xfId="21081" xr:uid="{DE774D75-94C6-4B9A-AC40-B60DC7EC2E38}"/>
    <cellStyle name="Vírgula 10 3 6 2 2 3 2" xfId="41420" xr:uid="{4EC88FB0-E3AD-4858-A199-C653B0E9C755}"/>
    <cellStyle name="Vírgula 10 3 6 2 2 4" xfId="24336" xr:uid="{ECB86B25-A44F-47D6-B53A-DBDB6486F29D}"/>
    <cellStyle name="Vírgula 10 3 6 2 2 4 2" xfId="44671" xr:uid="{C340FFCA-2FC4-4D43-BAD9-E69606F64A1A}"/>
    <cellStyle name="Vírgula 10 3 6 2 2 5" xfId="14670" xr:uid="{E5BC8045-59D5-4BCA-932B-028BC8D1988F}"/>
    <cellStyle name="Vírgula 10 3 6 2 2 5 2" xfId="35011" xr:uid="{A8549C23-A4CF-438B-A5C6-45231DB49189}"/>
    <cellStyle name="Vírgula 10 3 6 2 2 6" xfId="10792" xr:uid="{E50D8773-9DC3-486F-BDF4-6C8B46DC7122}"/>
    <cellStyle name="Vírgula 10 3 6 2 2 6 2" xfId="31135" xr:uid="{18A17A04-F793-435C-AF7A-C678D70CF1C5}"/>
    <cellStyle name="Vírgula 10 3 6 2 2 7" xfId="27641" xr:uid="{C6541C3B-902F-45B0-A653-C7B1CE21ABC7}"/>
    <cellStyle name="Vírgula 10 3 6 2 3" xfId="16421" xr:uid="{16566008-D8DC-4922-BB12-5C589A21797F}"/>
    <cellStyle name="Vírgula 10 3 6 2 3 2" xfId="36761" xr:uid="{D1A18898-7E9F-4B5D-97C7-E5507A10CAF0}"/>
    <cellStyle name="Vírgula 10 3 6 2 4" xfId="19923" xr:uid="{0150BC9C-5ACD-4D3B-B9BE-B4C64BEDDFA9}"/>
    <cellStyle name="Vírgula 10 3 6 2 4 2" xfId="40262" xr:uid="{15042194-B9C3-4C1F-BF34-C17D00E82569}"/>
    <cellStyle name="Vírgula 10 3 6 2 5" xfId="23178" xr:uid="{F715B0F0-E4EA-44D5-86B2-E1DD715C3BCA}"/>
    <cellStyle name="Vírgula 10 3 6 2 5 2" xfId="43513" xr:uid="{CBEBF96B-0E91-490A-823D-996F44437F37}"/>
    <cellStyle name="Vírgula 10 3 6 2 6" xfId="13512" xr:uid="{D6495C7C-7BA1-432B-A30D-E440395130D2}"/>
    <cellStyle name="Vírgula 10 3 6 2 6 2" xfId="33853" xr:uid="{06BB4A5F-4AB6-4A88-A78E-47F2CB40348C}"/>
    <cellStyle name="Vírgula 10 3 6 2 7" xfId="9634" xr:uid="{FFA71837-C2AA-4611-BCAF-D37A323298E9}"/>
    <cellStyle name="Vírgula 10 3 6 2 7 2" xfId="29977" xr:uid="{D7F7FF3D-EDB0-4B7F-9243-C1B51DF4BEED}"/>
    <cellStyle name="Vírgula 10 3 6 2 8" xfId="26483" xr:uid="{46B10C59-3729-435B-AEAA-49851D649B5E}"/>
    <cellStyle name="Vírgula 10 3 6 3" xfId="6712" xr:uid="{374FE054-1309-4E39-AE8D-3EFE7D1FDF04}"/>
    <cellStyle name="Vírgula 10 3 6 3 2" xfId="16998" xr:uid="{D44A7980-9CC0-4170-9B57-F31CDFCDBB48}"/>
    <cellStyle name="Vírgula 10 3 6 3 2 2" xfId="37338" xr:uid="{42EB0D72-241D-4569-8B0D-BE4A6D1D0C97}"/>
    <cellStyle name="Vírgula 10 3 6 3 3" xfId="20500" xr:uid="{1E74C05A-1464-466A-87DA-83D24D93B16C}"/>
    <cellStyle name="Vírgula 10 3 6 3 3 2" xfId="40839" xr:uid="{25E8BA1B-C954-43CC-9494-218BD3CB0C73}"/>
    <cellStyle name="Vírgula 10 3 6 3 4" xfId="23755" xr:uid="{5767CC13-78F2-4B04-8C0F-09EA19525E59}"/>
    <cellStyle name="Vírgula 10 3 6 3 4 2" xfId="44090" xr:uid="{52DAC40F-C484-40EA-A120-D2C08988282C}"/>
    <cellStyle name="Vírgula 10 3 6 3 5" xfId="14089" xr:uid="{5413A44B-447B-41E0-A41B-D1EE5169A6E7}"/>
    <cellStyle name="Vírgula 10 3 6 3 5 2" xfId="34430" xr:uid="{4759525C-9CA6-44FD-AE4F-86278D75F658}"/>
    <cellStyle name="Vírgula 10 3 6 3 6" xfId="10211" xr:uid="{6838FB71-A37B-432C-A764-B19895EE1D34}"/>
    <cellStyle name="Vírgula 10 3 6 3 6 2" xfId="30554" xr:uid="{738263C1-6D3C-4935-8F3E-1B548DC0FFEA}"/>
    <cellStyle name="Vírgula 10 3 6 3 7" xfId="27060" xr:uid="{0F269AF5-F9E2-4975-A0EA-31F5295D2E87}"/>
    <cellStyle name="Vírgula 10 3 6 4" xfId="7876" xr:uid="{41A06A8D-3424-4B20-9CC1-A734A885802D}"/>
    <cellStyle name="Vírgula 10 3 6 4 2" xfId="18161" xr:uid="{CDAFDB42-702C-4AC7-B412-F52EA38491F7}"/>
    <cellStyle name="Vírgula 10 3 6 4 2 2" xfId="38501" xr:uid="{B4B001BA-180E-4069-980B-D0AF7D20A38E}"/>
    <cellStyle name="Vírgula 10 3 6 4 3" xfId="21663" xr:uid="{B4651F7E-AA4E-4727-BE38-5EFD83A8C4F0}"/>
    <cellStyle name="Vírgula 10 3 6 4 3 2" xfId="42002" xr:uid="{BF1259D5-580A-4122-8D8F-75764AD804BB}"/>
    <cellStyle name="Vírgula 10 3 6 4 4" xfId="24918" xr:uid="{FA258DDE-26A7-4AE1-BC41-AFC09DC7F818}"/>
    <cellStyle name="Vírgula 10 3 6 4 4 2" xfId="45253" xr:uid="{F75B655C-6BF5-4A54-B0C3-B9940BEA7E2D}"/>
    <cellStyle name="Vírgula 10 3 6 4 5" xfId="15253" xr:uid="{3E8436EE-6581-4E3C-8891-013D9ADE8C8D}"/>
    <cellStyle name="Vírgula 10 3 6 4 5 2" xfId="35593" xr:uid="{3BFE2631-4E7D-4B4E-BC2F-28263EC28E38}"/>
    <cellStyle name="Vírgula 10 3 6 4 6" xfId="11374" xr:uid="{0F6E17F2-A350-405A-8B0F-55E1F9D31188}"/>
    <cellStyle name="Vírgula 10 3 6 4 6 2" xfId="31717" xr:uid="{815527ED-F7F8-491B-A9DD-3B519839921A}"/>
    <cellStyle name="Vírgula 10 3 6 4 7" xfId="28223" xr:uid="{94ED56E7-6D9A-4076-B037-5B714883A4F4}"/>
    <cellStyle name="Vírgula 10 3 6 5" xfId="12943" xr:uid="{9238DBF6-B762-4146-AA7B-0F2F4713E013}"/>
    <cellStyle name="Vírgula 10 3 6 5 2" xfId="33284" xr:uid="{1169796D-3AB3-4E96-83DB-148B14E9AF6E}"/>
    <cellStyle name="Vírgula 10 3 6 6" xfId="15840" xr:uid="{C09E1918-268C-48B9-821F-BE68EC25F00D}"/>
    <cellStyle name="Vírgula 10 3 6 6 2" xfId="36180" xr:uid="{00B5BB33-F014-4D90-BB95-E16C8114D66B}"/>
    <cellStyle name="Vírgula 10 3 6 7" xfId="18754" xr:uid="{43E05EA4-E352-41C5-8391-0EF6B37702D6}"/>
    <cellStyle name="Vírgula 10 3 6 7 2" xfId="39094" xr:uid="{D814B3FC-C339-4519-A1ED-B971AA21E59E}"/>
    <cellStyle name="Vírgula 10 3 6 8" xfId="19342" xr:uid="{D9AF51A5-692E-42CF-B7CB-EEEB690C0B00}"/>
    <cellStyle name="Vírgula 10 3 6 8 2" xfId="39681" xr:uid="{9FB74DFE-C568-4F38-9298-79822764B615}"/>
    <cellStyle name="Vírgula 10 3 6 9" xfId="22597" xr:uid="{444B01E4-1278-4931-A656-33D6BA5A631E}"/>
    <cellStyle name="Vírgula 10 3 6 9 2" xfId="42932" xr:uid="{6267B79F-4FF7-4300-BC4C-4D5BC800023A}"/>
    <cellStyle name="Vírgula 10 3 7" xfId="1889" xr:uid="{D9D05E5E-CA7C-463C-8170-71A675DE46CD}"/>
    <cellStyle name="Vírgula 10 3 7 10" xfId="12412" xr:uid="{ED409E67-7364-45D0-8267-E46102C84C24}"/>
    <cellStyle name="Vírgula 10 3 7 10 2" xfId="32753" xr:uid="{3950E45D-ACF3-40BF-81CE-AD905F65E59A}"/>
    <cellStyle name="Vírgula 10 3 7 11" xfId="9151" xr:uid="{6CAA6619-20CF-4BE7-B98E-279E653B4304}"/>
    <cellStyle name="Vírgula 10 3 7 11 2" xfId="29494" xr:uid="{669E9186-0830-4CB7-825B-9E1AC97391EA}"/>
    <cellStyle name="Vírgula 10 3 7 12" xfId="26000" xr:uid="{BB842944-06EC-4DB7-A9CB-5F4A90E0232B}"/>
    <cellStyle name="Vírgula 10 3 7 13" xfId="5661" xr:uid="{66E3EF5C-BCC1-4D04-869C-7334DDC727B5}"/>
    <cellStyle name="Vírgula 10 3 7 2" xfId="6233" xr:uid="{1B24E375-AE8F-44CE-A183-C0C87F98240A}"/>
    <cellStyle name="Vírgula 10 3 7 2 2" xfId="7391" xr:uid="{940CD02B-EFCC-4280-8B2A-9F8F348B5FF2}"/>
    <cellStyle name="Vírgula 10 3 7 2 2 2" xfId="17677" xr:uid="{32C71647-304E-4063-B8C7-58276306FC4F}"/>
    <cellStyle name="Vírgula 10 3 7 2 2 2 2" xfId="38017" xr:uid="{9813EE05-4946-45DA-B493-09718CB1E093}"/>
    <cellStyle name="Vírgula 10 3 7 2 2 3" xfId="21179" xr:uid="{72ECD713-2D01-403F-8D71-6EBC9755BD9E}"/>
    <cellStyle name="Vírgula 10 3 7 2 2 3 2" xfId="41518" xr:uid="{75E49925-1B92-4752-84CD-D7B179A93065}"/>
    <cellStyle name="Vírgula 10 3 7 2 2 4" xfId="24434" xr:uid="{62A8217D-224B-4088-A65E-C69E56A6B5D3}"/>
    <cellStyle name="Vírgula 10 3 7 2 2 4 2" xfId="44769" xr:uid="{2FC70BC6-A037-4888-A4B9-078D834199D4}"/>
    <cellStyle name="Vírgula 10 3 7 2 2 5" xfId="14768" xr:uid="{4D4ED24E-3218-47E2-B235-D76128B25D52}"/>
    <cellStyle name="Vírgula 10 3 7 2 2 5 2" xfId="35109" xr:uid="{5D7E6B9E-00A8-42DC-AE45-9F1E93F97033}"/>
    <cellStyle name="Vírgula 10 3 7 2 2 6" xfId="10890" xr:uid="{B7CC5772-04FA-43BA-9570-064D3CF3F43F}"/>
    <cellStyle name="Vírgula 10 3 7 2 2 6 2" xfId="31233" xr:uid="{1B5EB41A-2FAA-42AB-AEA4-E1CC43C50C47}"/>
    <cellStyle name="Vírgula 10 3 7 2 2 7" xfId="27739" xr:uid="{F0101A75-D721-41D6-B211-B8D71B978C84}"/>
    <cellStyle name="Vírgula 10 3 7 2 3" xfId="16519" xr:uid="{CB828D29-65FC-40E8-AABF-78AF144D3EED}"/>
    <cellStyle name="Vírgula 10 3 7 2 3 2" xfId="36859" xr:uid="{81E50DE4-E72A-4F46-8200-55B8D8EF5E27}"/>
    <cellStyle name="Vírgula 10 3 7 2 4" xfId="20021" xr:uid="{73F8818D-E934-4ECF-BD46-8958F49F4890}"/>
    <cellStyle name="Vírgula 10 3 7 2 4 2" xfId="40360" xr:uid="{BC321576-34D9-40F0-85D8-328D935F7A23}"/>
    <cellStyle name="Vírgula 10 3 7 2 5" xfId="23276" xr:uid="{4B664DFE-5831-4FEF-B865-04ACDA821C35}"/>
    <cellStyle name="Vírgula 10 3 7 2 5 2" xfId="43611" xr:uid="{E4849719-FA21-4831-81EA-38B4A460B7E8}"/>
    <cellStyle name="Vírgula 10 3 7 2 6" xfId="13610" xr:uid="{F9643480-2138-41E9-BCAA-0D04F843F8CA}"/>
    <cellStyle name="Vírgula 10 3 7 2 6 2" xfId="33951" xr:uid="{229535E7-7162-403E-B9E6-F90504243AD4}"/>
    <cellStyle name="Vírgula 10 3 7 2 7" xfId="9732" xr:uid="{97BC6F6D-6AA2-458E-B0D2-292E641C7746}"/>
    <cellStyle name="Vírgula 10 3 7 2 7 2" xfId="30075" xr:uid="{E15FEF32-B215-4798-A817-B249E9BD7684}"/>
    <cellStyle name="Vírgula 10 3 7 2 8" xfId="26581" xr:uid="{FAF47CCC-3DBD-41D9-B98A-18FDD3B10CC8}"/>
    <cellStyle name="Vírgula 10 3 7 3" xfId="6810" xr:uid="{408B1912-4604-43E6-9C3C-72B059E1AF79}"/>
    <cellStyle name="Vírgula 10 3 7 3 2" xfId="17096" xr:uid="{0DED5180-FF2D-4264-9C99-ED66035C35A6}"/>
    <cellStyle name="Vírgula 10 3 7 3 2 2" xfId="37436" xr:uid="{2E726AE0-5B54-4D84-AD50-8571F4BD966D}"/>
    <cellStyle name="Vírgula 10 3 7 3 3" xfId="20598" xr:uid="{49472751-E33A-4735-AA2F-4795277D360A}"/>
    <cellStyle name="Vírgula 10 3 7 3 3 2" xfId="40937" xr:uid="{F8C9DE02-9CE9-44BF-85DA-F08A4579D1B8}"/>
    <cellStyle name="Vírgula 10 3 7 3 4" xfId="23853" xr:uid="{1DAFB767-FB45-4751-ABFC-6D116B3D865C}"/>
    <cellStyle name="Vírgula 10 3 7 3 4 2" xfId="44188" xr:uid="{5C3AAABF-1CA6-41A3-939C-F485E6407831}"/>
    <cellStyle name="Vírgula 10 3 7 3 5" xfId="14187" xr:uid="{B33A9C53-7671-4045-9BAB-FC1323AC558C}"/>
    <cellStyle name="Vírgula 10 3 7 3 5 2" xfId="34528" xr:uid="{24D4C7F9-86FC-4A09-8B92-63CAC0CDB1D3}"/>
    <cellStyle name="Vírgula 10 3 7 3 6" xfId="10309" xr:uid="{6633A98B-F3F3-4442-B269-68A181973765}"/>
    <cellStyle name="Vírgula 10 3 7 3 6 2" xfId="30652" xr:uid="{62D97B8B-AF1B-4AC8-A934-10FCB45FD591}"/>
    <cellStyle name="Vírgula 10 3 7 3 7" xfId="27158" xr:uid="{BEC639CD-DE16-44B1-A689-3BBABD38E005}"/>
    <cellStyle name="Vírgula 10 3 7 4" xfId="7974" xr:uid="{E0051089-BAA0-468B-8215-6992544BBD25}"/>
    <cellStyle name="Vírgula 10 3 7 4 2" xfId="18259" xr:uid="{96C06BE5-4C2B-496A-87B6-39FAA0670ABF}"/>
    <cellStyle name="Vírgula 10 3 7 4 2 2" xfId="38599" xr:uid="{6E8389E6-8998-4AE6-9ABF-12CA18A02C12}"/>
    <cellStyle name="Vírgula 10 3 7 4 3" xfId="21761" xr:uid="{2C3F66B1-0063-4753-AE59-C0D0487364D6}"/>
    <cellStyle name="Vírgula 10 3 7 4 3 2" xfId="42100" xr:uid="{7AFECBF9-9D97-4349-920E-DDBC0FF4468E}"/>
    <cellStyle name="Vírgula 10 3 7 4 4" xfId="25016" xr:uid="{7195B660-C973-4429-94D0-70B0FF1690F3}"/>
    <cellStyle name="Vírgula 10 3 7 4 4 2" xfId="45351" xr:uid="{DB9B0923-CB1C-4961-891F-90B2A4C2CE1D}"/>
    <cellStyle name="Vírgula 10 3 7 4 5" xfId="15351" xr:uid="{3CB4C44F-FCAF-422B-8E8A-028BA8719A7A}"/>
    <cellStyle name="Vírgula 10 3 7 4 5 2" xfId="35691" xr:uid="{86F88C82-6117-405F-BA2C-009DFE708FB6}"/>
    <cellStyle name="Vírgula 10 3 7 4 6" xfId="11472" xr:uid="{B8F0F7F5-2DFB-4AD2-B3C7-026B88EA31B2}"/>
    <cellStyle name="Vírgula 10 3 7 4 6 2" xfId="31815" xr:uid="{177D45D9-7242-41CE-8CC8-DA5003EA53BE}"/>
    <cellStyle name="Vírgula 10 3 7 4 7" xfId="28321" xr:uid="{91DF3380-2446-4E81-A638-D88DDC82D520}"/>
    <cellStyle name="Vírgula 10 3 7 5" xfId="13041" xr:uid="{8026947A-953C-4F00-A4B2-D84793E724EA}"/>
    <cellStyle name="Vírgula 10 3 7 5 2" xfId="33382" xr:uid="{9A9E5701-1189-426D-A886-6528AA3BC1CD}"/>
    <cellStyle name="Vírgula 10 3 7 6" xfId="15938" xr:uid="{82FF84FD-8F44-4F54-9266-D7D3DA83FD87}"/>
    <cellStyle name="Vírgula 10 3 7 6 2" xfId="36278" xr:uid="{10F450C7-F9C4-43E1-A9AD-EACE8FBF92DF}"/>
    <cellStyle name="Vírgula 10 3 7 7" xfId="18852" xr:uid="{80FAA4DF-5683-41AF-8F74-971CCC4907D8}"/>
    <cellStyle name="Vírgula 10 3 7 7 2" xfId="39192" xr:uid="{6A633F96-EE9F-4AF1-BEA1-264A3AF5EA0B}"/>
    <cellStyle name="Vírgula 10 3 7 8" xfId="19440" xr:uid="{66D07A2E-7F89-4A32-8A4B-AAFB50154FEC}"/>
    <cellStyle name="Vírgula 10 3 7 8 2" xfId="39779" xr:uid="{D71A387A-18F3-43B2-8029-7BD538AAD322}"/>
    <cellStyle name="Vírgula 10 3 7 9" xfId="22695" xr:uid="{9DC6C7B5-0D1D-4548-8D00-AC3372565621}"/>
    <cellStyle name="Vírgula 10 3 7 9 2" xfId="43030" xr:uid="{2894D4EC-4247-4B6B-BD66-E65C1323E043}"/>
    <cellStyle name="Vírgula 10 3 8" xfId="5791" xr:uid="{00C4DD92-9C84-463D-B69F-A4252A7759E3}"/>
    <cellStyle name="Vírgula 10 3 8 2" xfId="6949" xr:uid="{9745B7D2-5772-486A-84AB-C986CAEF9220}"/>
    <cellStyle name="Vírgula 10 3 8 2 2" xfId="17235" xr:uid="{C656C133-CE33-4917-994C-E1B5523DC7D9}"/>
    <cellStyle name="Vírgula 10 3 8 2 2 2" xfId="37575" xr:uid="{589BFF15-ADFF-4635-9950-5027DE4A4C00}"/>
    <cellStyle name="Vírgula 10 3 8 2 3" xfId="20737" xr:uid="{ABAA95A5-F488-418C-A0CD-8422909F0E4C}"/>
    <cellStyle name="Vírgula 10 3 8 2 3 2" xfId="41076" xr:uid="{488D6DF0-4FE5-4D1A-85B4-A28B23166391}"/>
    <cellStyle name="Vírgula 10 3 8 2 4" xfId="23992" xr:uid="{C8D479E4-AD2B-4112-9590-4025E7D254E2}"/>
    <cellStyle name="Vírgula 10 3 8 2 4 2" xfId="44327" xr:uid="{53E0BFBD-BBF0-4331-BC6D-EDAA2BDCDA46}"/>
    <cellStyle name="Vírgula 10 3 8 2 5" xfId="14326" xr:uid="{AF1CC907-3FAB-4AE3-BEC7-C1047E7AAB13}"/>
    <cellStyle name="Vírgula 10 3 8 2 5 2" xfId="34667" xr:uid="{418185B4-8C1F-406E-8124-44295A94252E}"/>
    <cellStyle name="Vírgula 10 3 8 2 6" xfId="10448" xr:uid="{AC7AB987-E336-4F44-B7A3-2F4446BB7B62}"/>
    <cellStyle name="Vírgula 10 3 8 2 6 2" xfId="30791" xr:uid="{E12FE181-6BB4-46E3-9452-1FF06020B815}"/>
    <cellStyle name="Vírgula 10 3 8 2 7" xfId="27297" xr:uid="{4043A61E-B209-4E63-BA8F-ACBB3FA01592}"/>
    <cellStyle name="Vírgula 10 3 8 3" xfId="16077" xr:uid="{CC90DAB8-D2E9-4C0A-8ABB-5326D304D129}"/>
    <cellStyle name="Vírgula 10 3 8 3 2" xfId="36417" xr:uid="{59C03FEB-12F5-4D51-A7D3-74BEDCDF3B3C}"/>
    <cellStyle name="Vírgula 10 3 8 4" xfId="19579" xr:uid="{21F1AF94-28AE-4E35-A7B7-9CFF25F9374B}"/>
    <cellStyle name="Vírgula 10 3 8 4 2" xfId="39918" xr:uid="{7B7260BF-EDF4-412C-B467-A423CF81B463}"/>
    <cellStyle name="Vírgula 10 3 8 5" xfId="22834" xr:uid="{09403093-B785-48A6-A3BC-CCF11CE93C3D}"/>
    <cellStyle name="Vírgula 10 3 8 5 2" xfId="43169" xr:uid="{4EDD1C4A-42EC-41A0-BF5D-C2B562C6182E}"/>
    <cellStyle name="Vírgula 10 3 8 6" xfId="13177" xr:uid="{C00C5890-D9A6-4A6E-9138-7972915630F6}"/>
    <cellStyle name="Vírgula 10 3 8 6 2" xfId="33518" xr:uid="{44271A9C-3DF5-4AA8-A63E-69F750DEFC98}"/>
    <cellStyle name="Vírgula 10 3 8 7" xfId="9290" xr:uid="{BDC8CBB4-56AA-432F-9406-5CD66CE1537D}"/>
    <cellStyle name="Vírgula 10 3 8 7 2" xfId="29633" xr:uid="{12EBC7D3-6732-4AF4-902A-8280DB15B528}"/>
    <cellStyle name="Vírgula 10 3 8 8" xfId="26139" xr:uid="{90843B63-67D5-4D94-BD38-A9F542CEEF21}"/>
    <cellStyle name="Vírgula 10 3 9" xfId="6368" xr:uid="{499F9CFB-7EFB-4B29-B2FE-7F4B259DA7CB}"/>
    <cellStyle name="Vírgula 10 3 9 2" xfId="16654" xr:uid="{A48A2E31-2D42-4690-A5CB-80C59CD21981}"/>
    <cellStyle name="Vírgula 10 3 9 2 2" xfId="36994" xr:uid="{157797DF-F0DB-4AC3-9484-CF648940C29A}"/>
    <cellStyle name="Vírgula 10 3 9 3" xfId="20156" xr:uid="{E33A28CD-693E-4232-839D-58791DDEAB27}"/>
    <cellStyle name="Vírgula 10 3 9 3 2" xfId="40495" xr:uid="{2E2D5109-29A1-4053-BCE3-0682B0F6CE1F}"/>
    <cellStyle name="Vírgula 10 3 9 4" xfId="23411" xr:uid="{507E33F0-D81B-4652-B995-EF4D6505DB97}"/>
    <cellStyle name="Vírgula 10 3 9 4 2" xfId="43746" xr:uid="{BDDD47A4-B044-4D44-A5CA-555DF7249597}"/>
    <cellStyle name="Vírgula 10 3 9 5" xfId="13745" xr:uid="{7D8E3D29-8810-4C2A-99C4-2E145150304B}"/>
    <cellStyle name="Vírgula 10 3 9 5 2" xfId="34086" xr:uid="{4DB8AD9D-0C1C-4E39-B81E-B9611750DA63}"/>
    <cellStyle name="Vírgula 10 3 9 6" xfId="9867" xr:uid="{B07ACF8F-88DB-49CE-AEFE-4798A55BBBE4}"/>
    <cellStyle name="Vírgula 10 3 9 6 2" xfId="30210" xr:uid="{718AEC50-71E0-484B-8C80-AB7ADF13101E}"/>
    <cellStyle name="Vírgula 10 3 9 7" xfId="26716" xr:uid="{54424B43-C11C-4C92-ADD5-E7C6E05BE5E0}"/>
    <cellStyle name="Vírgula 10 30" xfId="53315" xr:uid="{373A65D9-9D66-41A9-885C-B5F2A961F9ED}"/>
    <cellStyle name="Vírgula 10 31" xfId="5220" xr:uid="{F7FB69C2-E0AE-48B5-A425-F1E93FC0F1FA}"/>
    <cellStyle name="Vírgula 10 32" xfId="4391" xr:uid="{C42D91EF-D0D3-4895-8C00-5D06FDC785D9}"/>
    <cellStyle name="Vírgula 10 4" xfId="926" xr:uid="{0C1D22F1-8D19-4A47-905A-0A094B2E784B}"/>
    <cellStyle name="Vírgula 10 4 10" xfId="8189" xr:uid="{3638047A-972F-4DD5-BE41-DAC57C2C4F48}"/>
    <cellStyle name="Vírgula 10 4 10 2" xfId="21976" xr:uid="{AD2F6FC4-5225-4D6F-89A2-1329CC587F8B}"/>
    <cellStyle name="Vírgula 10 4 10 2 2" xfId="42312" xr:uid="{CF122255-3565-4402-9A84-6FD40E8A0A32}"/>
    <cellStyle name="Vírgula 10 4 10 3" xfId="25228" xr:uid="{BDD44374-C9D8-4A2A-8F27-94A7A34E08D1}"/>
    <cellStyle name="Vírgula 10 4 10 3 2" xfId="45563" xr:uid="{D1A828E5-A114-49FA-9336-BADCA812ADD8}"/>
    <cellStyle name="Vírgula 10 4 10 4" xfId="12620" xr:uid="{B0934B47-E2EA-4B0A-8B62-3EC04FD1AA72}"/>
    <cellStyle name="Vírgula 10 4 10 4 2" xfId="32961" xr:uid="{63E2C7BE-50C9-4C2C-BBBF-889D418B58BA}"/>
    <cellStyle name="Vírgula 10 4 10 5" xfId="11685" xr:uid="{6423C318-7A95-4B7E-A765-E98D7CB9F745}"/>
    <cellStyle name="Vírgula 10 4 10 5 2" xfId="32027" xr:uid="{C3191D9F-6496-40DB-9C5B-F7E3D789D21F}"/>
    <cellStyle name="Vírgula 10 4 10 6" xfId="28533" xr:uid="{B1557DFE-6929-4180-8607-98C93DB64714}"/>
    <cellStyle name="Vírgula 10 4 11" xfId="8462" xr:uid="{4805EA84-40C4-4276-8743-46779696977A}"/>
    <cellStyle name="Vírgula 10 4 11 2" xfId="15511" xr:uid="{1BF2B9B1-41A6-4D11-B106-E4A8392AB839}"/>
    <cellStyle name="Vírgula 10 4 11 2 2" xfId="35851" xr:uid="{F1B7DB53-B930-43EE-9561-5E9D62DD7540}"/>
    <cellStyle name="Vírgula 10 4 11 3" xfId="28805" xr:uid="{8B743D9E-3478-4BF7-9FF7-0FB7F066B976}"/>
    <cellStyle name="Vírgula 10 4 12" xfId="18425" xr:uid="{E8F5DA80-AC3B-410F-A94B-BDF6D9407398}"/>
    <cellStyle name="Vírgula 10 4 12 2" xfId="38765" xr:uid="{1B25C87C-FC83-4098-9327-93A64073845F}"/>
    <cellStyle name="Vírgula 10 4 13" xfId="19013" xr:uid="{AF451BCD-3558-443D-8734-6F56E8F49C5E}"/>
    <cellStyle name="Vírgula 10 4 13 2" xfId="39352" xr:uid="{2237050D-CDFD-41CF-B7DE-AEEA6343141D}"/>
    <cellStyle name="Vírgula 10 4 14" xfId="22268" xr:uid="{8B64F3D4-76ED-478D-9D34-F0445CD73649}"/>
    <cellStyle name="Vírgula 10 4 14 2" xfId="42603" xr:uid="{3C98ADB5-A99E-4D88-A8FA-5C256E7F2326}"/>
    <cellStyle name="Vírgula 10 4 15" xfId="11985" xr:uid="{3ECDF550-24C5-4568-9807-FF00883552DC}"/>
    <cellStyle name="Vírgula 10 4 15 2" xfId="32326" xr:uid="{745A7C7A-0B44-4D9F-98D7-D768BA01948A}"/>
    <cellStyle name="Vírgula 10 4 16" xfId="8724" xr:uid="{D4400D00-13D1-4956-BA1B-EAABD4576159}"/>
    <cellStyle name="Vírgula 10 4 16 2" xfId="29067" xr:uid="{DF364C7F-C675-454A-8E41-1E12105F7115}"/>
    <cellStyle name="Vírgula 10 4 17" xfId="25569" xr:uid="{029D705F-6F21-4205-AE69-27798131D2D5}"/>
    <cellStyle name="Vírgula 10 4 18" xfId="45837" xr:uid="{7E87F024-1747-4614-913B-32928C4E7D7E}"/>
    <cellStyle name="Vírgula 10 4 19" xfId="46323" xr:uid="{F16969E0-A93B-4640-83DB-861E776874BD}"/>
    <cellStyle name="Vírgula 10 4 2" xfId="3758" xr:uid="{CFF50D16-5733-4767-B50B-A51574F5716F}"/>
    <cellStyle name="Vírgula 10 4 2 10" xfId="22383" xr:uid="{E2558127-6402-4DE5-B442-918D8423FBB8}"/>
    <cellStyle name="Vírgula 10 4 2 10 2" xfId="42718" xr:uid="{029222A6-F8D8-4620-9831-7178B2E5F97A}"/>
    <cellStyle name="Vírgula 10 4 2 11" xfId="12100" xr:uid="{7E40C425-F9E3-4346-9831-86FE18EE3206}"/>
    <cellStyle name="Vírgula 10 4 2 11 2" xfId="32441" xr:uid="{4A37830E-18F2-4BEE-BBC7-AA984DDE61F5}"/>
    <cellStyle name="Vírgula 10 4 2 12" xfId="8839" xr:uid="{5F23757B-7727-420B-9B2D-877EA782443E}"/>
    <cellStyle name="Vírgula 10 4 2 12 2" xfId="29182" xr:uid="{B12D33D1-B6C6-4743-8134-AE3DB8C78357}"/>
    <cellStyle name="Vírgula 10 4 2 13" xfId="25688" xr:uid="{BFAF161B-FA21-4B43-9F9D-22AD8D60DA6E}"/>
    <cellStyle name="Vírgula 10 4 2 14" xfId="45897" xr:uid="{CCE206A1-DE9F-4EA8-A8EF-9C3C428ABD72}"/>
    <cellStyle name="Vírgula 10 4 2 15" xfId="46383" xr:uid="{2F09C991-7CAC-4E18-9EDB-F14CC3066E00}"/>
    <cellStyle name="Vírgula 10 4 2 16" xfId="46875" xr:uid="{C21CC875-D369-4112-9F50-9588A971351E}"/>
    <cellStyle name="Vírgula 10 4 2 17" xfId="51664" xr:uid="{9CA7F7F1-8AD8-4EA9-8432-91DAE9310406}"/>
    <cellStyle name="Vírgula 10 4 2 18" xfId="54958" xr:uid="{166CAAC0-71E0-4683-A9D6-901712A87416}"/>
    <cellStyle name="Vírgula 10 4 2 19" xfId="5363" xr:uid="{F1887F4D-30C0-4577-AB9B-F9534E79788B}"/>
    <cellStyle name="Vírgula 10 4 2 2" xfId="5088" xr:uid="{FF63FAE3-8105-4A82-974C-3B7CD114F3A5}"/>
    <cellStyle name="Vírgula 10 4 2 2 10" xfId="12487" xr:uid="{E183DE93-4BF8-42B5-A5F0-FB2CB32438A3}"/>
    <cellStyle name="Vírgula 10 4 2 2 10 2" xfId="32828" xr:uid="{75313162-C3E7-45ED-83BA-4B9A6583FCA5}"/>
    <cellStyle name="Vírgula 10 4 2 2 11" xfId="9226" xr:uid="{9ECC933A-2CE9-4044-958E-175875671173}"/>
    <cellStyle name="Vírgula 10 4 2 2 11 2" xfId="29569" xr:uid="{C9495137-6CB4-4697-B84F-227E60CC6D86}"/>
    <cellStyle name="Vírgula 10 4 2 2 12" xfId="26075" xr:uid="{BA48EF78-6785-4F76-8074-650C330F3BBD}"/>
    <cellStyle name="Vírgula 10 4 2 2 13" xfId="45970" xr:uid="{372DA33C-96FD-4F33-8DD9-100DF2648C30}"/>
    <cellStyle name="Vírgula 10 4 2 2 14" xfId="46456" xr:uid="{74B9ABA9-02D5-4F13-9491-F41DFDA9BB7B}"/>
    <cellStyle name="Vírgula 10 4 2 2 15" xfId="46948" xr:uid="{6AC44099-CF4D-4413-A681-7D890BA127B0}"/>
    <cellStyle name="Vírgula 10 4 2 2 16" xfId="5734" xr:uid="{BC6A7A01-7F86-4513-8352-3C5EA7A90CEE}"/>
    <cellStyle name="Vírgula 10 4 2 2 2" xfId="6308" xr:uid="{28184B4E-5AD9-4255-A349-CBEB7F2542BE}"/>
    <cellStyle name="Vírgula 10 4 2 2 2 10" xfId="46699" xr:uid="{2C9F44C9-6E4E-4D55-B8CC-B9BFEB90E6A3}"/>
    <cellStyle name="Vírgula 10 4 2 2 2 11" xfId="47191" xr:uid="{07E3A5DF-47EE-481C-97BB-21197F4E545B}"/>
    <cellStyle name="Vírgula 10 4 2 2 2 2" xfId="7466" xr:uid="{4290AC8A-1299-4F64-9E78-F58561960D79}"/>
    <cellStyle name="Vírgula 10 4 2 2 2 2 2" xfId="17752" xr:uid="{D8F98832-6447-45B6-8715-2DAFAB26FAC5}"/>
    <cellStyle name="Vírgula 10 4 2 2 2 2 2 2" xfId="38092" xr:uid="{7520D15D-73CD-4F8C-895A-5A31B21589DA}"/>
    <cellStyle name="Vírgula 10 4 2 2 2 2 3" xfId="21254" xr:uid="{471AC365-D67C-44CD-92A4-FB14A3D19E17}"/>
    <cellStyle name="Vírgula 10 4 2 2 2 2 3 2" xfId="41593" xr:uid="{8B124B14-5C19-423F-A277-2E4236475452}"/>
    <cellStyle name="Vírgula 10 4 2 2 2 2 4" xfId="24509" xr:uid="{9439BFF5-C7F8-4151-810B-4B6EFE52EC12}"/>
    <cellStyle name="Vírgula 10 4 2 2 2 2 4 2" xfId="44844" xr:uid="{968EDC23-30D2-494E-8688-B7AA38137AC5}"/>
    <cellStyle name="Vírgula 10 4 2 2 2 2 5" xfId="14843" xr:uid="{553F24B3-8C85-4DBB-B32C-F86FAB3657D7}"/>
    <cellStyle name="Vírgula 10 4 2 2 2 2 5 2" xfId="35184" xr:uid="{09973686-A82A-46F7-9BA4-38F40BFFD839}"/>
    <cellStyle name="Vírgula 10 4 2 2 2 2 6" xfId="10965" xr:uid="{636927BD-1613-4EAD-BA2F-756CEAA3BC8A}"/>
    <cellStyle name="Vírgula 10 4 2 2 2 2 6 2" xfId="31308" xr:uid="{CA50425D-D46A-477A-9A3E-1C6FBE5434E0}"/>
    <cellStyle name="Vírgula 10 4 2 2 2 2 7" xfId="27814" xr:uid="{81F2FD71-3DBF-4F21-9018-664A1262040C}"/>
    <cellStyle name="Vírgula 10 4 2 2 2 3" xfId="16594" xr:uid="{C31910C9-3E13-46BD-B31F-AAAC2F8156C5}"/>
    <cellStyle name="Vírgula 10 4 2 2 2 3 2" xfId="36934" xr:uid="{687A8808-F202-42D6-B425-0701A90C7299}"/>
    <cellStyle name="Vírgula 10 4 2 2 2 4" xfId="20096" xr:uid="{EE807D3F-8C9E-4F18-AEC9-E317306AE188}"/>
    <cellStyle name="Vírgula 10 4 2 2 2 4 2" xfId="40435" xr:uid="{EF095621-564F-4EEA-B959-EBA9F9749832}"/>
    <cellStyle name="Vírgula 10 4 2 2 2 5" xfId="23351" xr:uid="{A19DA278-5914-4DDC-8A3B-1D6104B80486}"/>
    <cellStyle name="Vírgula 10 4 2 2 2 5 2" xfId="43686" xr:uid="{F72025D9-1BCC-46F5-9571-BEDFC6325D8E}"/>
    <cellStyle name="Vírgula 10 4 2 2 2 6" xfId="13685" xr:uid="{23F91408-D4C2-4F40-B315-E2C00798D619}"/>
    <cellStyle name="Vírgula 10 4 2 2 2 6 2" xfId="34026" xr:uid="{5663BFA2-2F02-4B0A-A7FF-C9DF9DBFCBEB}"/>
    <cellStyle name="Vírgula 10 4 2 2 2 7" xfId="9807" xr:uid="{94DC1FAE-7FAE-4D08-BC98-B7895CEFDA17}"/>
    <cellStyle name="Vírgula 10 4 2 2 2 7 2" xfId="30150" xr:uid="{B9E8C330-5A8F-4B69-B1E4-90FA8B641506}"/>
    <cellStyle name="Vírgula 10 4 2 2 2 8" xfId="26656" xr:uid="{43C0C4A3-B9AE-4CB7-A2EA-6B6E335C3A10}"/>
    <cellStyle name="Vírgula 10 4 2 2 2 9" xfId="46213" xr:uid="{E94BA3DE-8270-4ACC-99B6-2869ABE31650}"/>
    <cellStyle name="Vírgula 10 4 2 2 3" xfId="6885" xr:uid="{048E3551-BD90-4534-A2F3-D7233B202E35}"/>
    <cellStyle name="Vírgula 10 4 2 2 3 2" xfId="17171" xr:uid="{858BC321-B608-4923-8748-12BF1919A54E}"/>
    <cellStyle name="Vírgula 10 4 2 2 3 2 2" xfId="37511" xr:uid="{42A85F12-9651-4AA6-8863-76AC746606B0}"/>
    <cellStyle name="Vírgula 10 4 2 2 3 3" xfId="20673" xr:uid="{8958DCF4-75D0-4C72-BA7B-CA5F3FBCA715}"/>
    <cellStyle name="Vírgula 10 4 2 2 3 3 2" xfId="41012" xr:uid="{18EFCA78-4412-435B-9BF9-4B6EDEFA9BA0}"/>
    <cellStyle name="Vírgula 10 4 2 2 3 4" xfId="23928" xr:uid="{A9E98BE8-0971-47A2-8801-64C1B23299D0}"/>
    <cellStyle name="Vírgula 10 4 2 2 3 4 2" xfId="44263" xr:uid="{16319938-740C-42F0-9315-7580E0B419C9}"/>
    <cellStyle name="Vírgula 10 4 2 2 3 5" xfId="14262" xr:uid="{BE449AF5-CD28-4931-AFDB-FDA8B95F1EB5}"/>
    <cellStyle name="Vírgula 10 4 2 2 3 5 2" xfId="34603" xr:uid="{13D77947-C3D8-4197-BFD3-FA462F26984F}"/>
    <cellStyle name="Vírgula 10 4 2 2 3 6" xfId="10384" xr:uid="{ADFE60A5-0EC7-4DD8-8CE5-35A8379C91DC}"/>
    <cellStyle name="Vírgula 10 4 2 2 3 6 2" xfId="30727" xr:uid="{F1ABE20D-2514-4F4B-AFA4-1CB8F3A4F9A7}"/>
    <cellStyle name="Vírgula 10 4 2 2 3 7" xfId="27233" xr:uid="{13EB5E29-6AE5-4674-AC8C-33A3FC0BF8D2}"/>
    <cellStyle name="Vírgula 10 4 2 2 4" xfId="8049" xr:uid="{88D238DE-1961-4017-B1A0-DE906E89819B}"/>
    <cellStyle name="Vírgula 10 4 2 2 4 2" xfId="18334" xr:uid="{30CE227A-9D38-495D-92A0-FCF409490583}"/>
    <cellStyle name="Vírgula 10 4 2 2 4 2 2" xfId="38674" xr:uid="{205F271E-EAE5-469C-80FA-EF3B47139E81}"/>
    <cellStyle name="Vírgula 10 4 2 2 4 3" xfId="21836" xr:uid="{F09CC6D7-B409-4A3C-82AF-159EFE6AC099}"/>
    <cellStyle name="Vírgula 10 4 2 2 4 3 2" xfId="42175" xr:uid="{C0480327-0762-4B53-A8D9-0FAC6715F155}"/>
    <cellStyle name="Vírgula 10 4 2 2 4 4" xfId="25091" xr:uid="{4579E2DB-94D5-4717-AA6C-15078C3C3143}"/>
    <cellStyle name="Vírgula 10 4 2 2 4 4 2" xfId="45426" xr:uid="{F55AAE9D-E7AA-4A49-8019-9E2042FCEDBB}"/>
    <cellStyle name="Vírgula 10 4 2 2 4 5" xfId="15426" xr:uid="{C1F9B2D4-F42D-4DC7-BFC8-F18F901E9428}"/>
    <cellStyle name="Vírgula 10 4 2 2 4 5 2" xfId="35766" xr:uid="{D8014A51-FA2A-46A9-91A4-76BD1024A934}"/>
    <cellStyle name="Vírgula 10 4 2 2 4 6" xfId="11547" xr:uid="{4AC9BF45-519D-42A6-9B5E-5D1009E65DF5}"/>
    <cellStyle name="Vírgula 10 4 2 2 4 6 2" xfId="31890" xr:uid="{DCB2DE96-484B-4DC0-BDDF-C91F05FD266D}"/>
    <cellStyle name="Vírgula 10 4 2 2 4 7" xfId="28396" xr:uid="{0AA12698-42F4-4622-A0C6-B0A5DE54F822}"/>
    <cellStyle name="Vírgula 10 4 2 2 5" xfId="8191" xr:uid="{C85960C7-23EF-4869-B685-25C4E900553B}"/>
    <cellStyle name="Vírgula 10 4 2 2 5 2" xfId="21978" xr:uid="{FF3F66A4-5FF3-4ADF-94DE-F1EAD0ACC647}"/>
    <cellStyle name="Vírgula 10 4 2 2 5 2 2" xfId="42314" xr:uid="{C646DCC8-32F8-4062-97E1-4C243B05D1F4}"/>
    <cellStyle name="Vírgula 10 4 2 2 5 3" xfId="25230" xr:uid="{8DB4E211-23D3-4907-90EC-9CCA50F5A53F}"/>
    <cellStyle name="Vírgula 10 4 2 2 5 3 2" xfId="45565" xr:uid="{31D361C9-7A28-4C02-A24B-BEFB4881573D}"/>
    <cellStyle name="Vírgula 10 4 2 2 5 4" xfId="13116" xr:uid="{337B5304-0E80-4C81-A481-5F35D4F24C50}"/>
    <cellStyle name="Vírgula 10 4 2 2 5 4 2" xfId="33457" xr:uid="{732F643B-213C-44F4-8244-A1C5DF2A7815}"/>
    <cellStyle name="Vírgula 10 4 2 2 5 5" xfId="11687" xr:uid="{E3AF4E80-0EA0-4794-B030-B956884B776C}"/>
    <cellStyle name="Vírgula 10 4 2 2 5 5 2" xfId="32029" xr:uid="{130137EA-1505-45DD-8545-D3C71CB0ABF6}"/>
    <cellStyle name="Vírgula 10 4 2 2 5 6" xfId="28535" xr:uid="{674C67C9-3D6A-47A4-892B-C3B3A1F2A90D}"/>
    <cellStyle name="Vírgula 10 4 2 2 6" xfId="8595" xr:uid="{1AB2A384-3FEF-487F-80D5-309102DD4BC6}"/>
    <cellStyle name="Vírgula 10 4 2 2 6 2" xfId="16013" xr:uid="{4F12BB0A-886D-4A65-8FF8-8C265AF37636}"/>
    <cellStyle name="Vírgula 10 4 2 2 6 2 2" xfId="36353" xr:uid="{65FADE79-FC52-4FED-B075-9D3AB182730C}"/>
    <cellStyle name="Vírgula 10 4 2 2 6 3" xfId="28938" xr:uid="{65062934-1E83-4B6E-B3AC-0EC4BAF57663}"/>
    <cellStyle name="Vírgula 10 4 2 2 7" xfId="18927" xr:uid="{F1FA1C4A-51DC-4FC4-BF59-66ABC9A8C31F}"/>
    <cellStyle name="Vírgula 10 4 2 2 7 2" xfId="39267" xr:uid="{4B33E8EA-2295-4B8E-AA75-6DA309C44E90}"/>
    <cellStyle name="Vírgula 10 4 2 2 8" xfId="19515" xr:uid="{1741BC0E-14F5-4DB5-B2F8-471DF87462A2}"/>
    <cellStyle name="Vírgula 10 4 2 2 8 2" xfId="39854" xr:uid="{1F006A12-479A-42CF-BB2A-5DB389ABAFC5}"/>
    <cellStyle name="Vírgula 10 4 2 2 9" xfId="22770" xr:uid="{E78A12BE-3065-4A87-9107-1D24163B88C8}"/>
    <cellStyle name="Vírgula 10 4 2 2 9 2" xfId="43105" xr:uid="{0BBA8674-4BF9-4824-B92B-55554DD451E9}"/>
    <cellStyle name="Vírgula 10 4 2 20" xfId="4869" xr:uid="{8A0EB6CA-7CEE-4E83-B35D-B5F2DFDE62FF}"/>
    <cellStyle name="Vírgula 10 4 2 3" xfId="5022" xr:uid="{47EF243D-BD74-4312-91A7-4336C82BA185}"/>
    <cellStyle name="Vírgula 10 4 2 3 10" xfId="46626" xr:uid="{B57C003F-0CBD-4EB9-A9D7-712B83E28F9D}"/>
    <cellStyle name="Vírgula 10 4 2 3 11" xfId="47118" xr:uid="{3AF94F5C-036B-4D1E-BFA0-354D1BE6F967}"/>
    <cellStyle name="Vírgula 10 4 2 3 12" xfId="5921" xr:uid="{236A00C4-C9F0-4827-93C1-E00654A658E1}"/>
    <cellStyle name="Vírgula 10 4 2 3 2" xfId="7079" xr:uid="{C0CD13BD-2E49-4424-82E1-AF6D458F516D}"/>
    <cellStyle name="Vírgula 10 4 2 3 2 2" xfId="17365" xr:uid="{996904C4-2B9B-42DB-8B20-4A37A7182361}"/>
    <cellStyle name="Vírgula 10 4 2 3 2 2 2" xfId="37705" xr:uid="{7970CF18-356B-4F28-9789-8F9146772442}"/>
    <cellStyle name="Vírgula 10 4 2 3 2 3" xfId="20867" xr:uid="{EEA653F9-56DE-4DE2-A4E0-9F72175F4C48}"/>
    <cellStyle name="Vírgula 10 4 2 3 2 3 2" xfId="41206" xr:uid="{DFDC1DD3-927D-4421-9613-F1EC8412E87E}"/>
    <cellStyle name="Vírgula 10 4 2 3 2 4" xfId="24122" xr:uid="{108ACB5B-5DA0-401E-B77E-10B5C96DFEE1}"/>
    <cellStyle name="Vírgula 10 4 2 3 2 4 2" xfId="44457" xr:uid="{055F03A9-9DA1-445C-A627-7E2806F7ADB9}"/>
    <cellStyle name="Vírgula 10 4 2 3 2 5" xfId="14456" xr:uid="{362A8341-2CBF-42E5-AAA9-C60F0262597F}"/>
    <cellStyle name="Vírgula 10 4 2 3 2 5 2" xfId="34797" xr:uid="{2D96D4E7-77B6-4538-9B4C-61F22B060F14}"/>
    <cellStyle name="Vírgula 10 4 2 3 2 6" xfId="10578" xr:uid="{6EB73D65-E60C-4341-94A0-9486402185E8}"/>
    <cellStyle name="Vírgula 10 4 2 3 2 6 2" xfId="30921" xr:uid="{7A445539-8D5B-4D10-837E-18A2C4D498BB}"/>
    <cellStyle name="Vírgula 10 4 2 3 2 7" xfId="27427" xr:uid="{30EF7C10-F69D-4090-A015-641D66D3967A}"/>
    <cellStyle name="Vírgula 10 4 2 3 3" xfId="8192" xr:uid="{3BF68032-21A0-402A-A9E2-EE69C68ABF42}"/>
    <cellStyle name="Vírgula 10 4 2 3 3 2" xfId="21979" xr:uid="{4A726B04-19A2-4CD2-8257-6B879EF3C680}"/>
    <cellStyle name="Vírgula 10 4 2 3 3 2 2" xfId="42315" xr:uid="{8BF604F4-41BA-41AC-9A50-FE6DE92F48A9}"/>
    <cellStyle name="Vírgula 10 4 2 3 3 3" xfId="25231" xr:uid="{AAEFD780-148D-4A70-9B62-85D206AE8450}"/>
    <cellStyle name="Vírgula 10 4 2 3 3 3 2" xfId="45566" xr:uid="{A63E0153-D09A-48E7-8B55-7D34233968BE}"/>
    <cellStyle name="Vírgula 10 4 2 3 3 4" xfId="16207" xr:uid="{0B93B333-E22C-474F-AF11-C2EF68415BDF}"/>
    <cellStyle name="Vírgula 10 4 2 3 3 4 2" xfId="36547" xr:uid="{0F083CF4-82A2-4145-8376-03733C586B5E}"/>
    <cellStyle name="Vírgula 10 4 2 3 3 5" xfId="11688" xr:uid="{10E40AEB-FF42-45AF-AC94-4C44A1D0D74E}"/>
    <cellStyle name="Vírgula 10 4 2 3 3 5 2" xfId="32030" xr:uid="{E34B4AB3-AAC8-4444-862A-D8A144AF9B53}"/>
    <cellStyle name="Vírgula 10 4 2 3 3 6" xfId="28536" xr:uid="{54208883-1777-4280-B483-E74A3270B20C}"/>
    <cellStyle name="Vírgula 10 4 2 3 4" xfId="19709" xr:uid="{2507EF39-B5EC-4CBD-9CDD-769F9F7F4B85}"/>
    <cellStyle name="Vírgula 10 4 2 3 4 2" xfId="40048" xr:uid="{D8CA8F5A-057D-44E3-A56D-FAF05E5E99AF}"/>
    <cellStyle name="Vírgula 10 4 2 3 5" xfId="22964" xr:uid="{C159F34F-AA41-428A-99C8-719FA3ABF247}"/>
    <cellStyle name="Vírgula 10 4 2 3 5 2" xfId="43299" xr:uid="{EEE12B5A-170A-4412-9BD6-A8AE874702BA}"/>
    <cellStyle name="Vírgula 10 4 2 3 6" xfId="13300" xr:uid="{BE78B4FD-D719-4DB1-AAC7-F357A9D5A988}"/>
    <cellStyle name="Vírgula 10 4 2 3 6 2" xfId="33641" xr:uid="{5A0B2179-01DF-4D1A-B28E-E3C7DD1A6AC9}"/>
    <cellStyle name="Vírgula 10 4 2 3 7" xfId="9420" xr:uid="{5DA17EE7-103F-44B1-AE13-995D43B320D1}"/>
    <cellStyle name="Vírgula 10 4 2 3 7 2" xfId="29763" xr:uid="{5B23D0AE-A28C-4017-AED7-884B36DB35CD}"/>
    <cellStyle name="Vírgula 10 4 2 3 8" xfId="26269" xr:uid="{9878A2F6-3D27-433E-B91D-CD045E1C0810}"/>
    <cellStyle name="Vírgula 10 4 2 3 9" xfId="46140" xr:uid="{AC136C2E-4CC5-4B74-9F55-1745DA99CDCD}"/>
    <cellStyle name="Vírgula 10 4 2 4" xfId="6498" xr:uid="{D1258F31-736C-48FD-A4BA-0D2A4A74C592}"/>
    <cellStyle name="Vírgula 10 4 2 4 2" xfId="16784" xr:uid="{4FD52F9A-9D66-45DE-9AFE-37FA067CCC3A}"/>
    <cellStyle name="Vírgula 10 4 2 4 2 2" xfId="37124" xr:uid="{465B749B-E575-4E0E-A3B6-BB787611C63C}"/>
    <cellStyle name="Vírgula 10 4 2 4 3" xfId="20286" xr:uid="{C8B831DE-ADDD-44C4-A1CE-5EBB5BCFFB6D}"/>
    <cellStyle name="Vírgula 10 4 2 4 3 2" xfId="40625" xr:uid="{BE7C7339-24B1-434A-8874-4FD7B67E7176}"/>
    <cellStyle name="Vírgula 10 4 2 4 4" xfId="23541" xr:uid="{3C9D1217-1217-474D-BA09-AF775635F00F}"/>
    <cellStyle name="Vírgula 10 4 2 4 4 2" xfId="43876" xr:uid="{71F30D65-7519-4CD9-A6ED-0E321F35B8E5}"/>
    <cellStyle name="Vírgula 10 4 2 4 5" xfId="13875" xr:uid="{7E00D008-AB6C-44F7-8A28-8FB963830200}"/>
    <cellStyle name="Vírgula 10 4 2 4 5 2" xfId="34216" xr:uid="{BA8E06F2-A7BE-4943-A482-30E28A731508}"/>
    <cellStyle name="Vírgula 10 4 2 4 6" xfId="9997" xr:uid="{2B618D99-8D00-40A8-A3D5-D794259D6C3E}"/>
    <cellStyle name="Vírgula 10 4 2 4 6 2" xfId="30340" xr:uid="{90368459-F3B4-4462-B12E-5EA75C8525F8}"/>
    <cellStyle name="Vírgula 10 4 2 4 7" xfId="26846" xr:uid="{ACDFCAC9-8A0D-4177-BA2F-F1BD079C6A79}"/>
    <cellStyle name="Vírgula 10 4 2 5" xfId="7662" xr:uid="{24F0E25B-93C6-495A-A370-A93A17093EE1}"/>
    <cellStyle name="Vírgula 10 4 2 5 2" xfId="17947" xr:uid="{DB328CC9-C21F-44F1-82DE-BC16893F4C78}"/>
    <cellStyle name="Vírgula 10 4 2 5 2 2" xfId="38287" xr:uid="{EFE5169B-B386-4A1D-968D-CA2B820F682B}"/>
    <cellStyle name="Vírgula 10 4 2 5 3" xfId="21449" xr:uid="{661176D5-B8D9-4317-8942-1A55711349F7}"/>
    <cellStyle name="Vírgula 10 4 2 5 3 2" xfId="41788" xr:uid="{5C5A2CAB-AD52-4574-ADC0-486591D49F60}"/>
    <cellStyle name="Vírgula 10 4 2 5 4" xfId="24704" xr:uid="{F882FB27-0390-469B-BF1E-5AD5BAA97DD8}"/>
    <cellStyle name="Vírgula 10 4 2 5 4 2" xfId="45039" xr:uid="{A52F938D-EC4C-424B-B9CD-A3549C362A81}"/>
    <cellStyle name="Vírgula 10 4 2 5 5" xfId="15039" xr:uid="{81B31356-EB6C-42E6-958C-916DE6E07422}"/>
    <cellStyle name="Vírgula 10 4 2 5 5 2" xfId="35379" xr:uid="{59E44D10-E872-4B37-BCE5-1C9487578876}"/>
    <cellStyle name="Vírgula 10 4 2 5 6" xfId="11160" xr:uid="{A7D8F8D7-B41A-4113-88A1-117AB503B5F5}"/>
    <cellStyle name="Vírgula 10 4 2 5 6 2" xfId="31503" xr:uid="{632C92EC-E3CC-47C7-B0A9-73AF36FD3D0E}"/>
    <cellStyle name="Vírgula 10 4 2 5 7" xfId="28009" xr:uid="{E14FBA19-1D21-4B1F-9141-B9AD35193079}"/>
    <cellStyle name="Vírgula 10 4 2 6" xfId="8190" xr:uid="{B919ADB9-ADE2-4B60-8F00-98C82AD2A53F}"/>
    <cellStyle name="Vírgula 10 4 2 6 2" xfId="21977" xr:uid="{44AB666F-E777-4BA9-9DC1-B9C44E3393A4}"/>
    <cellStyle name="Vírgula 10 4 2 6 2 2" xfId="42313" xr:uid="{7494196D-B432-434A-BB0B-69272BB6590B}"/>
    <cellStyle name="Vírgula 10 4 2 6 3" xfId="25229" xr:uid="{BC70FA24-CAC9-4F3D-B821-29CCF5A01928}"/>
    <cellStyle name="Vírgula 10 4 2 6 3 2" xfId="45564" xr:uid="{5CBA8F38-10DE-47B7-A924-751646080084}"/>
    <cellStyle name="Vírgula 10 4 2 6 4" xfId="12731" xr:uid="{45C2AE1E-08F4-47CE-8456-08358CB73B11}"/>
    <cellStyle name="Vírgula 10 4 2 6 4 2" xfId="33072" xr:uid="{0C0A9130-F6E4-4698-8FF7-720E6F27EEFB}"/>
    <cellStyle name="Vírgula 10 4 2 6 5" xfId="11686" xr:uid="{3F974250-A6AE-41E6-93AC-ED79454B06BA}"/>
    <cellStyle name="Vírgula 10 4 2 6 5 2" xfId="32028" xr:uid="{10A75919-6102-4761-BCE5-5D67B2276EC0}"/>
    <cellStyle name="Vírgula 10 4 2 6 6" xfId="28534" xr:uid="{773E8E4E-EFA4-4EAE-AFDA-5BB057AEC8F1}"/>
    <cellStyle name="Vírgula 10 4 2 7" xfId="8522" xr:uid="{FA54B5AF-2FCE-4E4D-9FA5-A4015CD099DD}"/>
    <cellStyle name="Vírgula 10 4 2 7 2" xfId="15626" xr:uid="{9EC083B8-7882-47E2-8FCD-20E3FF06A2A1}"/>
    <cellStyle name="Vírgula 10 4 2 7 2 2" xfId="35966" xr:uid="{6BC08A86-13DF-4807-A9F7-91C78B748FD3}"/>
    <cellStyle name="Vírgula 10 4 2 7 3" xfId="28865" xr:uid="{6B06D3CE-B54D-434D-9DB9-991B755B4793}"/>
    <cellStyle name="Vírgula 10 4 2 8" xfId="18540" xr:uid="{D36069C9-1DB0-4426-8715-6D32BB4A422B}"/>
    <cellStyle name="Vírgula 10 4 2 8 2" xfId="38880" xr:uid="{EAC5E7BF-27FB-4E09-8DB6-8485BCFC2A80}"/>
    <cellStyle name="Vírgula 10 4 2 9" xfId="19128" xr:uid="{0597CC5E-760A-4F66-AF52-15ABEB3997C7}"/>
    <cellStyle name="Vírgula 10 4 2 9 2" xfId="39467" xr:uid="{A514C9CB-1712-44F3-8C46-9FA7CEC7B483}"/>
    <cellStyle name="Vírgula 10 4 20" xfId="46815" xr:uid="{B9F27F45-9761-4C1C-B090-BCE750EC87CA}"/>
    <cellStyle name="Vírgula 10 4 21" xfId="48362" xr:uid="{2E960AEA-8848-4E6F-A6F3-C1DD42AAB3EA}"/>
    <cellStyle name="Vírgula 10 4 22" xfId="50030" xr:uid="{981F2FEA-25DB-476F-9A84-FFEC0AD12172}"/>
    <cellStyle name="Vírgula 10 4 23" xfId="53325" xr:uid="{229E6021-B4D2-4057-9463-D3A46118A84F}"/>
    <cellStyle name="Vírgula 10 4 24" xfId="5241" xr:uid="{D453B0F8-13D0-49A9-A221-B04E4995F5C5}"/>
    <cellStyle name="Vírgula 10 4 25" xfId="4809" xr:uid="{06D13770-5B38-485D-AC1A-2E4F51A6B347}"/>
    <cellStyle name="Vírgula 10 4 3" xfId="4030" xr:uid="{A26E44FC-FD68-49C9-90BB-F10C09CF6A52}"/>
    <cellStyle name="Vírgula 10 4 3 10" xfId="12196" xr:uid="{D51469FB-91AA-41E2-8029-0FECC57E1575}"/>
    <cellStyle name="Vírgula 10 4 3 10 2" xfId="32537" xr:uid="{99899754-33AC-43D2-AE71-386B87D44BA5}"/>
    <cellStyle name="Vírgula 10 4 3 11" xfId="8935" xr:uid="{4030D647-9435-4345-AA68-2D57FA10B2A3}"/>
    <cellStyle name="Vírgula 10 4 3 11 2" xfId="29278" xr:uid="{630A5E11-27F5-41EF-B044-F4C71A2871E7}"/>
    <cellStyle name="Vírgula 10 4 3 12" xfId="25784" xr:uid="{77534DDE-F5E3-4AFC-B768-BAB13CC9DC67}"/>
    <cellStyle name="Vírgula 10 4 3 13" xfId="45969" xr:uid="{2BF52627-F21D-4210-B159-3B5BD0314136}"/>
    <cellStyle name="Vírgula 10 4 3 14" xfId="46455" xr:uid="{2C7CFD52-2BE9-49B1-85D4-12D6A7A39EC9}"/>
    <cellStyle name="Vírgula 10 4 3 15" xfId="46947" xr:uid="{762DCE63-DEB5-4B07-8573-592D8106E514}"/>
    <cellStyle name="Vírgula 10 4 3 16" xfId="56797" xr:uid="{074ABD31-6AF6-4ECD-A879-52868C69CF7F}"/>
    <cellStyle name="Vírgula 10 4 3 17" xfId="5451" xr:uid="{12719305-C77F-47E2-8380-D75723976CDD}"/>
    <cellStyle name="Vírgula 10 4 3 18" xfId="4868" xr:uid="{0DC07935-9035-4A93-A48D-CF175C49B9BA}"/>
    <cellStyle name="Vírgula 10 4 3 2" xfId="5087" xr:uid="{A06C71BD-FD45-4DBA-B5F9-4205239675F2}"/>
    <cellStyle name="Vírgula 10 4 3 2 10" xfId="46698" xr:uid="{1145BF3D-0FAF-4A85-9608-0F918704DD5F}"/>
    <cellStyle name="Vírgula 10 4 3 2 11" xfId="47190" xr:uid="{B529B8F8-E127-4FF2-9538-149A80C430FA}"/>
    <cellStyle name="Vírgula 10 4 3 2 12" xfId="6017" xr:uid="{E6CD9284-7CF5-415C-99CD-AA08D36C6850}"/>
    <cellStyle name="Vírgula 10 4 3 2 2" xfId="7175" xr:uid="{833E0167-03F1-47AB-B4B9-BBF83E3E8760}"/>
    <cellStyle name="Vírgula 10 4 3 2 2 2" xfId="17461" xr:uid="{7F86FAF5-BF44-43CD-A0C0-0493D75777FE}"/>
    <cellStyle name="Vírgula 10 4 3 2 2 2 2" xfId="37801" xr:uid="{E8628AB4-C2A3-4933-95BE-D4081E7C189B}"/>
    <cellStyle name="Vírgula 10 4 3 2 2 3" xfId="20963" xr:uid="{D490ACB7-C63E-4C8D-A911-F4B90D171F47}"/>
    <cellStyle name="Vírgula 10 4 3 2 2 3 2" xfId="41302" xr:uid="{2F2DF0E6-A4C3-4FA0-AA80-74EC8C221C00}"/>
    <cellStyle name="Vírgula 10 4 3 2 2 4" xfId="24218" xr:uid="{4F955591-2375-4F16-BA5D-00A019A505A7}"/>
    <cellStyle name="Vírgula 10 4 3 2 2 4 2" xfId="44553" xr:uid="{C0373AA1-0180-418E-8946-BB3C79B1A0AA}"/>
    <cellStyle name="Vírgula 10 4 3 2 2 5" xfId="14552" xr:uid="{6FC20816-2069-4598-9AE0-A7365D276DF3}"/>
    <cellStyle name="Vírgula 10 4 3 2 2 5 2" xfId="34893" xr:uid="{5DBE8235-7C4C-49F8-BC06-570F9C0B3425}"/>
    <cellStyle name="Vírgula 10 4 3 2 2 6" xfId="10674" xr:uid="{30874012-4C37-42E2-B28A-199FB3C15BF3}"/>
    <cellStyle name="Vírgula 10 4 3 2 2 6 2" xfId="31017" xr:uid="{124B9457-44F5-4771-A0B5-B0F579E6E8D4}"/>
    <cellStyle name="Vírgula 10 4 3 2 2 7" xfId="27523" xr:uid="{5A28434D-1BDB-4C3F-80E6-C91493B642C7}"/>
    <cellStyle name="Vírgula 10 4 3 2 3" xfId="16303" xr:uid="{F5C7ABF7-1154-491F-A643-9E9FAAFC6F12}"/>
    <cellStyle name="Vírgula 10 4 3 2 3 2" xfId="36643" xr:uid="{8390C440-4146-4EB0-9BA4-DBE485F93506}"/>
    <cellStyle name="Vírgula 10 4 3 2 4" xfId="19805" xr:uid="{66BF0767-20E2-4B5E-80CB-110787612004}"/>
    <cellStyle name="Vírgula 10 4 3 2 4 2" xfId="40144" xr:uid="{6FE33231-6CE7-4D79-98BA-A300551A51EE}"/>
    <cellStyle name="Vírgula 10 4 3 2 5" xfId="23060" xr:uid="{C39093A9-A013-456A-B8FB-25AD0A248CAC}"/>
    <cellStyle name="Vírgula 10 4 3 2 5 2" xfId="43395" xr:uid="{B3C82181-1D9F-48A1-A460-0B98AF132C9A}"/>
    <cellStyle name="Vírgula 10 4 3 2 6" xfId="13394" xr:uid="{AA52D36B-8E92-4D14-8EA0-9D65B94ACD39}"/>
    <cellStyle name="Vírgula 10 4 3 2 6 2" xfId="33735" xr:uid="{DDA7853E-A0CC-4B22-B767-176099EF449B}"/>
    <cellStyle name="Vírgula 10 4 3 2 7" xfId="9516" xr:uid="{637FCCD0-03E0-47B4-BCC7-05188F86A638}"/>
    <cellStyle name="Vírgula 10 4 3 2 7 2" xfId="29859" xr:uid="{90161F79-5D58-4BEC-8FCD-7740699F6DDC}"/>
    <cellStyle name="Vírgula 10 4 3 2 8" xfId="26365" xr:uid="{3C5F677D-FA3D-4FB8-B320-B61DCFF5BBF6}"/>
    <cellStyle name="Vírgula 10 4 3 2 9" xfId="46212" xr:uid="{ABDB9214-2A56-468E-9450-A123B89DCDD7}"/>
    <cellStyle name="Vírgula 10 4 3 3" xfId="6594" xr:uid="{DBC7A509-5329-4751-AAA3-5C4635C6EC0F}"/>
    <cellStyle name="Vírgula 10 4 3 3 2" xfId="16880" xr:uid="{1337B360-E8A2-467F-B531-1737A4FBB925}"/>
    <cellStyle name="Vírgula 10 4 3 3 2 2" xfId="37220" xr:uid="{A1B48B97-C2F6-4077-9C17-C2B7AF21C095}"/>
    <cellStyle name="Vírgula 10 4 3 3 3" xfId="20382" xr:uid="{A9A720D0-628C-4C82-BF52-47164A7F8036}"/>
    <cellStyle name="Vírgula 10 4 3 3 3 2" xfId="40721" xr:uid="{81F6CC48-6018-465C-8827-0596EA40882F}"/>
    <cellStyle name="Vírgula 10 4 3 3 4" xfId="23637" xr:uid="{C640E667-BD79-4BA4-8CE1-D55DCE53A178}"/>
    <cellStyle name="Vírgula 10 4 3 3 4 2" xfId="43972" xr:uid="{DE474A55-D1D1-48B6-801C-C79AB36A65EE}"/>
    <cellStyle name="Vírgula 10 4 3 3 5" xfId="13971" xr:uid="{8C29F90A-9E9E-48F5-8831-31E4E64F888E}"/>
    <cellStyle name="Vírgula 10 4 3 3 5 2" xfId="34312" xr:uid="{63965ACE-B932-4D60-BA5E-8791E99B53DD}"/>
    <cellStyle name="Vírgula 10 4 3 3 6" xfId="10093" xr:uid="{57969736-B3CE-4EBA-BA91-210AE94BF4A1}"/>
    <cellStyle name="Vírgula 10 4 3 3 6 2" xfId="30436" xr:uid="{81C875C2-1951-4086-9DB5-3B956EB647C0}"/>
    <cellStyle name="Vírgula 10 4 3 3 7" xfId="26942" xr:uid="{8AFACFE5-455E-4612-9324-5765F355CC6A}"/>
    <cellStyle name="Vírgula 10 4 3 4" xfId="7758" xr:uid="{983D8F2D-4648-4BFD-B3B6-F05D20A6ABD4}"/>
    <cellStyle name="Vírgula 10 4 3 4 2" xfId="18043" xr:uid="{50B0B672-0CE4-4622-BBA6-25E5C51AEB0A}"/>
    <cellStyle name="Vírgula 10 4 3 4 2 2" xfId="38383" xr:uid="{9EE5AE6A-45C0-40BA-976A-E7860C996DAB}"/>
    <cellStyle name="Vírgula 10 4 3 4 3" xfId="21545" xr:uid="{545E0301-88B2-4CBC-BE56-2ECF87F4A843}"/>
    <cellStyle name="Vírgula 10 4 3 4 3 2" xfId="41884" xr:uid="{97F53C46-414E-4744-B3F6-9FE6FEC61484}"/>
    <cellStyle name="Vírgula 10 4 3 4 4" xfId="24800" xr:uid="{FEF1027F-D944-4BB8-B2CC-67033721BCDD}"/>
    <cellStyle name="Vírgula 10 4 3 4 4 2" xfId="45135" xr:uid="{405C20C1-7510-46BD-91A2-669BA72A332C}"/>
    <cellStyle name="Vírgula 10 4 3 4 5" xfId="15135" xr:uid="{3F08FBC1-4F6D-46DD-91EA-73CB63507E82}"/>
    <cellStyle name="Vírgula 10 4 3 4 5 2" xfId="35475" xr:uid="{D355C0FF-D7AA-43D1-AE47-DD8E3433D98B}"/>
    <cellStyle name="Vírgula 10 4 3 4 6" xfId="11256" xr:uid="{6BC36C5A-B4C0-4D47-8891-B5009DDFBCE9}"/>
    <cellStyle name="Vírgula 10 4 3 4 6 2" xfId="31599" xr:uid="{0D7F0EE7-392F-4403-8F7E-B65AFCD5B6DA}"/>
    <cellStyle name="Vírgula 10 4 3 4 7" xfId="28105" xr:uid="{5FDE472D-D0FD-45A3-A1BA-252F2ECB00D4}"/>
    <cellStyle name="Vírgula 10 4 3 5" xfId="8193" xr:uid="{897460A2-F7BD-4A34-9746-E1B3A34E2196}"/>
    <cellStyle name="Vírgula 10 4 3 5 2" xfId="21980" xr:uid="{9ACB4A11-301F-4C5D-A6CF-84B6B3387C4C}"/>
    <cellStyle name="Vírgula 10 4 3 5 2 2" xfId="42316" xr:uid="{CD11A50B-841E-472D-8A03-E10A2A70D081}"/>
    <cellStyle name="Vírgula 10 4 3 5 3" xfId="25232" xr:uid="{8B5A431D-908F-4B62-9194-2A433D07D970}"/>
    <cellStyle name="Vírgula 10 4 3 5 3 2" xfId="45567" xr:uid="{9D24A6BC-6F01-49A3-98F0-C3FD95046092}"/>
    <cellStyle name="Vírgula 10 4 3 5 4" xfId="12825" xr:uid="{C2A6419C-C1D2-4721-9A2C-1E47421E7E87}"/>
    <cellStyle name="Vírgula 10 4 3 5 4 2" xfId="33166" xr:uid="{42840569-6760-410A-8D7B-70EFA1CF9F95}"/>
    <cellStyle name="Vírgula 10 4 3 5 5" xfId="11689" xr:uid="{88964F74-91C5-4B0A-8D5C-41CC8D67A501}"/>
    <cellStyle name="Vírgula 10 4 3 5 5 2" xfId="32031" xr:uid="{65946C0B-7D8C-4E41-AB42-B88820F2F47F}"/>
    <cellStyle name="Vírgula 10 4 3 5 6" xfId="28537" xr:uid="{632EB634-6A93-401A-AAE7-518F8297400C}"/>
    <cellStyle name="Vírgula 10 4 3 6" xfId="8594" xr:uid="{EB7B9013-6FE1-47CD-85E7-FB18256FBFF9}"/>
    <cellStyle name="Vírgula 10 4 3 6 2" xfId="15722" xr:uid="{1FD52888-B72F-4481-936D-6D35EE7BBF5B}"/>
    <cellStyle name="Vírgula 10 4 3 6 2 2" xfId="36062" xr:uid="{84D017FC-42A8-4EC1-92F2-682CA60399F6}"/>
    <cellStyle name="Vírgula 10 4 3 6 3" xfId="28937" xr:uid="{B937065D-B38B-4D79-AFFB-CBA167B01BB6}"/>
    <cellStyle name="Vírgula 10 4 3 7" xfId="18636" xr:uid="{5A7C9154-CD07-427B-A7B8-A7486AF99495}"/>
    <cellStyle name="Vírgula 10 4 3 7 2" xfId="38976" xr:uid="{2BFAD05F-C2CA-4F59-A92D-71ECC01E084D}"/>
    <cellStyle name="Vírgula 10 4 3 8" xfId="19224" xr:uid="{DA7403C7-1563-4B3F-B150-91090BB3AFB2}"/>
    <cellStyle name="Vírgula 10 4 3 8 2" xfId="39563" xr:uid="{3D14234D-4C1B-440C-82BF-DC2A02DCD0DE}"/>
    <cellStyle name="Vírgula 10 4 3 9" xfId="22479" xr:uid="{F5F2B831-281A-4E34-9E9D-A682936EBA62}"/>
    <cellStyle name="Vírgula 10 4 3 9 2" xfId="42814" xr:uid="{0DB2E5D0-246B-4B96-8751-6266BB69C160}"/>
    <cellStyle name="Vírgula 10 4 4" xfId="2641" xr:uid="{7390BB9F-5134-4A21-960F-373574F28DBA}"/>
    <cellStyle name="Vírgula 10 4 4 10" xfId="12254" xr:uid="{018DE025-242D-486C-BF0A-AE46AA50423D}"/>
    <cellStyle name="Vírgula 10 4 4 10 2" xfId="32595" xr:uid="{4780651E-16A4-4E86-BB26-5EE33C4607EE}"/>
    <cellStyle name="Vírgula 10 4 4 11" xfId="8993" xr:uid="{DCA61146-C818-4AF4-BDC3-8BD1C84497B4}"/>
    <cellStyle name="Vírgula 10 4 4 11 2" xfId="29336" xr:uid="{39319308-EA6C-4841-8BD1-A22B315315A0}"/>
    <cellStyle name="Vírgula 10 4 4 12" xfId="25842" xr:uid="{8B3B12FD-6BEB-40F6-A3E6-666B60FF2028}"/>
    <cellStyle name="Vírgula 10 4 4 13" xfId="46080" xr:uid="{88985A48-BFDD-4966-945D-89E426B614CC}"/>
    <cellStyle name="Vírgula 10 4 4 14" xfId="46566" xr:uid="{AF4C84CD-25D0-4BCA-929E-6DF0A96B8A2F}"/>
    <cellStyle name="Vírgula 10 4 4 15" xfId="47058" xr:uid="{D16BC68A-CC51-4CC7-8EBF-1B53B0458B4C}"/>
    <cellStyle name="Vírgula 10 4 4 16" xfId="5503" xr:uid="{DB53FC7C-8353-41F6-AED3-95DFF0CE8A30}"/>
    <cellStyle name="Vírgula 10 4 4 17" xfId="4977" xr:uid="{11344DCC-D42B-45BB-8EC7-C0BB83F0BFE9}"/>
    <cellStyle name="Vírgula 10 4 4 2" xfId="6075" xr:uid="{8877DCDD-3CF8-4718-85B5-38969205DB13}"/>
    <cellStyle name="Vírgula 10 4 4 2 2" xfId="7233" xr:uid="{FA1B388A-7CED-4DDD-B013-045493CFD756}"/>
    <cellStyle name="Vírgula 10 4 4 2 2 2" xfId="17519" xr:uid="{384B8332-CDBF-48E8-97A7-C798A3241398}"/>
    <cellStyle name="Vírgula 10 4 4 2 2 2 2" xfId="37859" xr:uid="{EE97DFF1-EAB0-41B5-ACE2-66761E32B1C5}"/>
    <cellStyle name="Vírgula 10 4 4 2 2 3" xfId="21021" xr:uid="{7DB9E620-2E03-4379-B431-A8F3DF3978C7}"/>
    <cellStyle name="Vírgula 10 4 4 2 2 3 2" xfId="41360" xr:uid="{174DEB72-17F8-40C9-BD5A-B2A54D56F234}"/>
    <cellStyle name="Vírgula 10 4 4 2 2 4" xfId="24276" xr:uid="{633F2AD5-CE9C-4CAC-B077-A9CD6363CDA9}"/>
    <cellStyle name="Vírgula 10 4 4 2 2 4 2" xfId="44611" xr:uid="{3D510F23-5B48-4E9E-BDC5-79AF35203C60}"/>
    <cellStyle name="Vírgula 10 4 4 2 2 5" xfId="14610" xr:uid="{547D4BCF-800C-407D-B67D-3024246126A2}"/>
    <cellStyle name="Vírgula 10 4 4 2 2 5 2" xfId="34951" xr:uid="{ED48D06A-0D24-4FF1-A74A-4DE75C353425}"/>
    <cellStyle name="Vírgula 10 4 4 2 2 6" xfId="10732" xr:uid="{5E97F6B7-0DE7-4CC3-9C13-FA9E8CE59662}"/>
    <cellStyle name="Vírgula 10 4 4 2 2 6 2" xfId="31075" xr:uid="{EA70DE38-0BCB-4DAE-8A23-2D25F7B6C9CD}"/>
    <cellStyle name="Vírgula 10 4 4 2 2 7" xfId="27581" xr:uid="{97CA0ECE-759F-46D5-8746-7481F6F70853}"/>
    <cellStyle name="Vírgula 10 4 4 2 3" xfId="16361" xr:uid="{34A5E588-1A3F-4DEF-894A-4DB7D29631D7}"/>
    <cellStyle name="Vírgula 10 4 4 2 3 2" xfId="36701" xr:uid="{DD00C76D-8A31-4778-8178-5482E78F17CE}"/>
    <cellStyle name="Vírgula 10 4 4 2 4" xfId="19863" xr:uid="{F1E80F7C-4514-4C0C-9B19-CE4546656C2F}"/>
    <cellStyle name="Vírgula 10 4 4 2 4 2" xfId="40202" xr:uid="{3989AC44-3043-413A-8A4F-910CE5A0D20D}"/>
    <cellStyle name="Vírgula 10 4 4 2 5" xfId="23118" xr:uid="{509BF02E-97E4-4DC6-BF19-D82BB557B9B8}"/>
    <cellStyle name="Vírgula 10 4 4 2 5 2" xfId="43453" xr:uid="{F108B458-896F-4642-918D-EB18C612237D}"/>
    <cellStyle name="Vírgula 10 4 4 2 6" xfId="13452" xr:uid="{49EAF8CA-1FC2-432D-8E7F-5CA9E95D06DD}"/>
    <cellStyle name="Vírgula 10 4 4 2 6 2" xfId="33793" xr:uid="{587D023A-A79F-4C07-962B-66023FD53C39}"/>
    <cellStyle name="Vírgula 10 4 4 2 7" xfId="9574" xr:uid="{DE707639-C03F-42B2-B2F6-11AD0F254CB2}"/>
    <cellStyle name="Vírgula 10 4 4 2 7 2" xfId="29917" xr:uid="{D93AA542-3158-4982-A3F5-BA31F4894A35}"/>
    <cellStyle name="Vírgula 10 4 4 2 8" xfId="26423" xr:uid="{EAA563C2-2C78-4F26-A3E5-43FDA68036D8}"/>
    <cellStyle name="Vírgula 10 4 4 3" xfId="6652" xr:uid="{FC9B9915-6EAC-4532-A144-9C96B890C041}"/>
    <cellStyle name="Vírgula 10 4 4 3 2" xfId="16938" xr:uid="{68104F86-F2E7-4906-A90B-528B0F77F5C6}"/>
    <cellStyle name="Vírgula 10 4 4 3 2 2" xfId="37278" xr:uid="{7EB13609-237E-4FDA-9C30-4FA13453EE07}"/>
    <cellStyle name="Vírgula 10 4 4 3 3" xfId="20440" xr:uid="{6EEC4C63-AD20-437F-8415-BD58297E5A81}"/>
    <cellStyle name="Vírgula 10 4 4 3 3 2" xfId="40779" xr:uid="{4B3B90B1-B709-4F2F-8423-A2AFE1070FCE}"/>
    <cellStyle name="Vírgula 10 4 4 3 4" xfId="23695" xr:uid="{3509474D-1F59-4347-996C-BD8CDCAEB074}"/>
    <cellStyle name="Vírgula 10 4 4 3 4 2" xfId="44030" xr:uid="{18575397-1C2C-47FB-9C57-DFA8F5E54807}"/>
    <cellStyle name="Vírgula 10 4 4 3 5" xfId="14029" xr:uid="{F4D9462A-15AD-488C-8D80-F4E351A594E8}"/>
    <cellStyle name="Vírgula 10 4 4 3 5 2" xfId="34370" xr:uid="{F064E1D8-341F-4921-9F37-C97A48361FF1}"/>
    <cellStyle name="Vírgula 10 4 4 3 6" xfId="10151" xr:uid="{2C8AFBD0-4CC4-464C-AC4C-3ADE3BA47C71}"/>
    <cellStyle name="Vírgula 10 4 4 3 6 2" xfId="30494" xr:uid="{A7E13C40-584C-49AA-82E2-13E3445A26A2}"/>
    <cellStyle name="Vírgula 10 4 4 3 7" xfId="27000" xr:uid="{6F321A89-6E05-4F3C-BB96-BD66F05C80E8}"/>
    <cellStyle name="Vírgula 10 4 4 4" xfId="7816" xr:uid="{86F773E0-1665-4901-9FDD-2DAF70907BE5}"/>
    <cellStyle name="Vírgula 10 4 4 4 2" xfId="18101" xr:uid="{B5569C6B-656B-4C67-849C-837A1C883AF1}"/>
    <cellStyle name="Vírgula 10 4 4 4 2 2" xfId="38441" xr:uid="{B1C270D4-8C0B-4F94-AE3F-4144D00A2E72}"/>
    <cellStyle name="Vírgula 10 4 4 4 3" xfId="21603" xr:uid="{A1A154DB-6E2E-46F6-A651-90A2FFCBA332}"/>
    <cellStyle name="Vírgula 10 4 4 4 3 2" xfId="41942" xr:uid="{31E9AA84-722A-4D51-AA04-193E9D617B79}"/>
    <cellStyle name="Vírgula 10 4 4 4 4" xfId="24858" xr:uid="{B445E7FC-0E56-4B49-BCB9-CC505FCA8A25}"/>
    <cellStyle name="Vírgula 10 4 4 4 4 2" xfId="45193" xr:uid="{582490EA-C2DF-4FA5-97A6-051F0B0E9224}"/>
    <cellStyle name="Vírgula 10 4 4 4 5" xfId="15193" xr:uid="{07D8877C-6064-4E85-9BCC-D2BE988C2B02}"/>
    <cellStyle name="Vírgula 10 4 4 4 5 2" xfId="35533" xr:uid="{D6CB9B63-E5A6-4A0E-AED7-E7182EE3892D}"/>
    <cellStyle name="Vírgula 10 4 4 4 6" xfId="11314" xr:uid="{05274307-9569-4DA0-97AD-E487E4711C01}"/>
    <cellStyle name="Vírgula 10 4 4 4 6 2" xfId="31657" xr:uid="{9A320B66-509D-4624-9B83-09EABC84072C}"/>
    <cellStyle name="Vírgula 10 4 4 4 7" xfId="28163" xr:uid="{77947DDB-9CB7-4609-804C-97BA45FD8D96}"/>
    <cellStyle name="Vírgula 10 4 4 5" xfId="8194" xr:uid="{6BDBD733-5FA8-4B25-ACFB-56C970D45284}"/>
    <cellStyle name="Vírgula 10 4 4 5 2" xfId="21981" xr:uid="{DB0D5D94-8C5F-477E-9105-A493F915BC13}"/>
    <cellStyle name="Vírgula 10 4 4 5 2 2" xfId="42317" xr:uid="{E65CD839-2287-4A27-9CE3-4C68D506ECC8}"/>
    <cellStyle name="Vírgula 10 4 4 5 3" xfId="25233" xr:uid="{667BE7BB-00F5-4924-A6AA-7348ADD97F80}"/>
    <cellStyle name="Vírgula 10 4 4 5 3 2" xfId="45568" xr:uid="{84BED177-1CAB-4EC0-A356-A2855A8956D8}"/>
    <cellStyle name="Vírgula 10 4 4 5 4" xfId="12883" xr:uid="{F6CBEA4B-8096-427F-B9E7-DB58F121C380}"/>
    <cellStyle name="Vírgula 10 4 4 5 4 2" xfId="33224" xr:uid="{6A617C80-759C-4812-93FE-A5E93F9F0EDC}"/>
    <cellStyle name="Vírgula 10 4 4 5 5" xfId="11690" xr:uid="{ED37AE6D-D627-4C07-B5C7-0E71BFE67BD2}"/>
    <cellStyle name="Vírgula 10 4 4 5 5 2" xfId="32032" xr:uid="{DD5568DB-E7C9-4B71-BBC8-7C4B90E05582}"/>
    <cellStyle name="Vírgula 10 4 4 5 6" xfId="28538" xr:uid="{8BD0B8FE-6C54-47FD-B623-A8E907F80A58}"/>
    <cellStyle name="Vírgula 10 4 4 6" xfId="15780" xr:uid="{BAC0924C-3F40-4DDF-9A75-3E0740C1212B}"/>
    <cellStyle name="Vírgula 10 4 4 6 2" xfId="36120" xr:uid="{F890C354-E738-493D-A396-FEDC0610BA83}"/>
    <cellStyle name="Vírgula 10 4 4 7" xfId="18694" xr:uid="{DD5AF59D-3BF6-47EB-9B16-C25EAECD0C1F}"/>
    <cellStyle name="Vírgula 10 4 4 7 2" xfId="39034" xr:uid="{4706C420-1AF1-4BC6-8BF4-A6DA158319F6}"/>
    <cellStyle name="Vírgula 10 4 4 8" xfId="19282" xr:uid="{2F98C049-EA50-436F-8446-EE874758EFBD}"/>
    <cellStyle name="Vírgula 10 4 4 8 2" xfId="39621" xr:uid="{83B0D541-5BC6-4882-8E49-8352654DDC89}"/>
    <cellStyle name="Vírgula 10 4 4 9" xfId="22537" xr:uid="{7435C0A2-B232-4687-8E7E-1EBA64646209}"/>
    <cellStyle name="Vírgula 10 4 4 9 2" xfId="42872" xr:uid="{B8C7A83C-BF39-44E3-B02D-FF2E3ACF4C02}"/>
    <cellStyle name="Vírgula 10 4 5" xfId="5578" xr:uid="{2C2484B6-581E-44C6-8077-16BD7C06FF7B}"/>
    <cellStyle name="Vírgula 10 4 5 10" xfId="12329" xr:uid="{80FC4604-3A15-462B-B8A7-08E9C78DE989}"/>
    <cellStyle name="Vírgula 10 4 5 10 2" xfId="32670" xr:uid="{81A88080-9719-43CB-8398-5B11F396E418}"/>
    <cellStyle name="Vírgula 10 4 5 11" xfId="9068" xr:uid="{5DF3F76F-76A0-4198-8B30-37B840A99B85}"/>
    <cellStyle name="Vírgula 10 4 5 11 2" xfId="29411" xr:uid="{6194E0CF-0A79-43CC-828C-F90C29FC8015}"/>
    <cellStyle name="Vírgula 10 4 5 12" xfId="25917" xr:uid="{78A848A6-AE79-4F1A-8935-940D4A8E5D75}"/>
    <cellStyle name="Vírgula 10 4 5 2" xfId="6150" xr:uid="{D88F842D-0281-4022-8856-4051B0BCBEE5}"/>
    <cellStyle name="Vírgula 10 4 5 2 2" xfId="7308" xr:uid="{7AFC57D2-F57D-4C8E-AF15-9CB7AC0E59F5}"/>
    <cellStyle name="Vírgula 10 4 5 2 2 2" xfId="17594" xr:uid="{64D5790C-7A40-4B8C-ACD4-22327A38F92C}"/>
    <cellStyle name="Vírgula 10 4 5 2 2 2 2" xfId="37934" xr:uid="{4DF3ED33-4361-47CD-A7D2-47E7A0A28266}"/>
    <cellStyle name="Vírgula 10 4 5 2 2 3" xfId="21096" xr:uid="{7A0DFB71-1E01-4B02-B333-20CDC4FDA5D7}"/>
    <cellStyle name="Vírgula 10 4 5 2 2 3 2" xfId="41435" xr:uid="{5DD7F5F1-7DC9-4725-9E8F-2F0F1D8459C8}"/>
    <cellStyle name="Vírgula 10 4 5 2 2 4" xfId="24351" xr:uid="{BC63476E-616B-466A-A620-7942432F6084}"/>
    <cellStyle name="Vírgula 10 4 5 2 2 4 2" xfId="44686" xr:uid="{99482D9F-F028-4A48-AB53-AE5AAC73A48D}"/>
    <cellStyle name="Vírgula 10 4 5 2 2 5" xfId="14685" xr:uid="{4E667FFD-2678-40F7-BC89-3810908AA523}"/>
    <cellStyle name="Vírgula 10 4 5 2 2 5 2" xfId="35026" xr:uid="{08EFCA26-F5D6-4A2D-AD0E-CEE2DE84F0C4}"/>
    <cellStyle name="Vírgula 10 4 5 2 2 6" xfId="10807" xr:uid="{BA90ABA0-E764-454F-AF3D-C844D40F3FD8}"/>
    <cellStyle name="Vírgula 10 4 5 2 2 6 2" xfId="31150" xr:uid="{BDCD1C02-90B0-4AE5-A76D-89D7F2FB22C1}"/>
    <cellStyle name="Vírgula 10 4 5 2 2 7" xfId="27656" xr:uid="{ABF52297-62D3-46C3-A929-83CCB3391776}"/>
    <cellStyle name="Vírgula 10 4 5 2 3" xfId="16436" xr:uid="{B6AA183E-688F-4C0F-A3CE-36FC740A0BF0}"/>
    <cellStyle name="Vírgula 10 4 5 2 3 2" xfId="36776" xr:uid="{48A5791E-3585-4014-ABD7-50472FDF5EE9}"/>
    <cellStyle name="Vírgula 10 4 5 2 4" xfId="19938" xr:uid="{996AE0F9-3827-46F2-927B-679B97CB0043}"/>
    <cellStyle name="Vírgula 10 4 5 2 4 2" xfId="40277" xr:uid="{4CA823F1-4020-48A0-A1C2-37E81BE12BF1}"/>
    <cellStyle name="Vírgula 10 4 5 2 5" xfId="23193" xr:uid="{6DD9AC9A-CAC2-429C-B05B-BA2458AAEAFF}"/>
    <cellStyle name="Vírgula 10 4 5 2 5 2" xfId="43528" xr:uid="{E039A611-8746-4679-99E7-90514D3D1A60}"/>
    <cellStyle name="Vírgula 10 4 5 2 6" xfId="13527" xr:uid="{7EAEED66-88F7-48E9-839B-4AAAC5DA8BBF}"/>
    <cellStyle name="Vírgula 10 4 5 2 6 2" xfId="33868" xr:uid="{DB5D0CAC-5670-43C8-AEC1-19DBABF0BEFB}"/>
    <cellStyle name="Vírgula 10 4 5 2 7" xfId="9649" xr:uid="{C9D5E9CF-B899-45B3-81F4-8539E681EBB9}"/>
    <cellStyle name="Vírgula 10 4 5 2 7 2" xfId="29992" xr:uid="{C7698AC6-E5A3-466A-BA60-DDF02AC7545C}"/>
    <cellStyle name="Vírgula 10 4 5 2 8" xfId="26498" xr:uid="{86B90969-0D25-4AFE-A06B-BC1C4E0E1EAF}"/>
    <cellStyle name="Vírgula 10 4 5 3" xfId="6727" xr:uid="{E3612D8B-BA62-4A7E-A887-7412C2A0D7B3}"/>
    <cellStyle name="Vírgula 10 4 5 3 2" xfId="17013" xr:uid="{3733CA9A-287B-414F-815C-9F8FC9AED94F}"/>
    <cellStyle name="Vírgula 10 4 5 3 2 2" xfId="37353" xr:uid="{56B872BE-7693-42BD-9E40-3ED75AC985BC}"/>
    <cellStyle name="Vírgula 10 4 5 3 3" xfId="20515" xr:uid="{2E6F37A3-EA00-4A4E-986E-57EBB165DB14}"/>
    <cellStyle name="Vírgula 10 4 5 3 3 2" xfId="40854" xr:uid="{9FD945D3-1CFE-4AB4-9CE7-7ACE936D22C3}"/>
    <cellStyle name="Vírgula 10 4 5 3 4" xfId="23770" xr:uid="{3C79A851-8209-4DAC-A82B-46D5E60727C3}"/>
    <cellStyle name="Vírgula 10 4 5 3 4 2" xfId="44105" xr:uid="{56C6980E-2DA4-4B8C-87A4-3D596AE21CC0}"/>
    <cellStyle name="Vírgula 10 4 5 3 5" xfId="14104" xr:uid="{87EB644E-8338-4D4C-9C3A-1E8FF9105F10}"/>
    <cellStyle name="Vírgula 10 4 5 3 5 2" xfId="34445" xr:uid="{E6D4CE79-9BA1-48A2-8FED-8D88FFE9A535}"/>
    <cellStyle name="Vírgula 10 4 5 3 6" xfId="10226" xr:uid="{8FD861FC-F105-4888-9FF1-AA3E3DC3F8D4}"/>
    <cellStyle name="Vírgula 10 4 5 3 6 2" xfId="30569" xr:uid="{7DED4178-D165-423F-8EC6-00F7CE4EA709}"/>
    <cellStyle name="Vírgula 10 4 5 3 7" xfId="27075" xr:uid="{6E7F9EDD-7841-4F65-94C8-BECB1E28F0DD}"/>
    <cellStyle name="Vírgula 10 4 5 4" xfId="7891" xr:uid="{9E839D4A-F568-48BF-AEC9-3B680F010F86}"/>
    <cellStyle name="Vírgula 10 4 5 4 2" xfId="18176" xr:uid="{160DBB90-3853-4459-9648-CEE335E7A653}"/>
    <cellStyle name="Vírgula 10 4 5 4 2 2" xfId="38516" xr:uid="{0B174235-BEB8-4053-A435-861953CDB014}"/>
    <cellStyle name="Vírgula 10 4 5 4 3" xfId="21678" xr:uid="{165B84C8-729F-4320-A741-1D8748153F2A}"/>
    <cellStyle name="Vírgula 10 4 5 4 3 2" xfId="42017" xr:uid="{1DE6C399-784F-464C-9D1C-DE08CE3795BB}"/>
    <cellStyle name="Vírgula 10 4 5 4 4" xfId="24933" xr:uid="{EE7AC437-DCC0-44CC-B8C9-21ECD0C96061}"/>
    <cellStyle name="Vírgula 10 4 5 4 4 2" xfId="45268" xr:uid="{A171B32D-13A2-421A-AD5C-5ABC9351AE5A}"/>
    <cellStyle name="Vírgula 10 4 5 4 5" xfId="15268" xr:uid="{FA6DC063-9BD0-48C8-B120-8533A17E7045}"/>
    <cellStyle name="Vírgula 10 4 5 4 5 2" xfId="35608" xr:uid="{A961515D-1101-4E81-A673-F2D617C9BF9E}"/>
    <cellStyle name="Vírgula 10 4 5 4 6" xfId="11389" xr:uid="{8A9E5CA7-2013-4E1D-8A78-49087646F9AD}"/>
    <cellStyle name="Vírgula 10 4 5 4 6 2" xfId="31732" xr:uid="{35F09EAE-C796-4337-880F-711BB31D3908}"/>
    <cellStyle name="Vírgula 10 4 5 4 7" xfId="28238" xr:uid="{4470B23F-6E3A-4A75-B8C2-F545AF1E667B}"/>
    <cellStyle name="Vírgula 10 4 5 5" xfId="12958" xr:uid="{71CD2B17-0E8A-4C74-9E8F-BF8E6DA0CB3E}"/>
    <cellStyle name="Vírgula 10 4 5 5 2" xfId="33299" xr:uid="{B9E8F9AE-D81B-4CDB-AC12-2E931FD43D94}"/>
    <cellStyle name="Vírgula 10 4 5 6" xfId="15855" xr:uid="{7DCC0BD9-B625-4B9B-83F8-E342E9755746}"/>
    <cellStyle name="Vírgula 10 4 5 6 2" xfId="36195" xr:uid="{7028391B-FB48-48AB-BB8D-1C84249E0C03}"/>
    <cellStyle name="Vírgula 10 4 5 7" xfId="18769" xr:uid="{98612CC9-24A4-43DD-B27D-E1C097B8502A}"/>
    <cellStyle name="Vírgula 10 4 5 7 2" xfId="39109" xr:uid="{6C7662F0-5E58-4942-B2F6-D9D36F64B0CD}"/>
    <cellStyle name="Vírgula 10 4 5 8" xfId="19357" xr:uid="{6A26CB68-D5E3-4291-8C82-4550D2AF3C28}"/>
    <cellStyle name="Vírgula 10 4 5 8 2" xfId="39696" xr:uid="{EFC9280F-A604-43B8-A393-87561B43467A}"/>
    <cellStyle name="Vírgula 10 4 5 9" xfId="22612" xr:uid="{A6535943-8B29-4805-8AAE-064A0823AEA0}"/>
    <cellStyle name="Vírgula 10 4 5 9 2" xfId="42947" xr:uid="{E6ECB1A6-8950-4F0E-BFA7-C1208B98A4B1}"/>
    <cellStyle name="Vírgula 10 4 6" xfId="5676" xr:uid="{48DFC390-B1D9-4CDD-ACA3-DDD54C41DF35}"/>
    <cellStyle name="Vírgula 10 4 6 10" xfId="12427" xr:uid="{1CD795FB-DA30-4869-BCFE-C5AFF9472D96}"/>
    <cellStyle name="Vírgula 10 4 6 10 2" xfId="32768" xr:uid="{FC4AC85F-65C5-4ACB-87A4-95F751D66155}"/>
    <cellStyle name="Vírgula 10 4 6 11" xfId="9166" xr:uid="{CB01CF7F-B5F8-45F1-8CE9-445A73D4970D}"/>
    <cellStyle name="Vírgula 10 4 6 11 2" xfId="29509" xr:uid="{2B73261A-38E3-4572-AE78-021ADA42A47A}"/>
    <cellStyle name="Vírgula 10 4 6 12" xfId="26015" xr:uid="{F7F4E897-0872-447C-A339-7521439A646D}"/>
    <cellStyle name="Vírgula 10 4 6 2" xfId="6248" xr:uid="{0DFABEA0-D31E-4F9A-948B-C38C59084168}"/>
    <cellStyle name="Vírgula 10 4 6 2 2" xfId="7406" xr:uid="{41AEB1BB-9B4A-4B84-9E01-54C0FE254A59}"/>
    <cellStyle name="Vírgula 10 4 6 2 2 2" xfId="17692" xr:uid="{24FE49DC-305C-4C1E-B259-A5060C8963DB}"/>
    <cellStyle name="Vírgula 10 4 6 2 2 2 2" xfId="38032" xr:uid="{6AD901FB-0304-47B7-AA73-D224E2C6091A}"/>
    <cellStyle name="Vírgula 10 4 6 2 2 3" xfId="21194" xr:uid="{09C39255-77CB-4730-8E92-ABFFC2280A5C}"/>
    <cellStyle name="Vírgula 10 4 6 2 2 3 2" xfId="41533" xr:uid="{EEE75439-22B9-4D32-992F-2E0272D40DEB}"/>
    <cellStyle name="Vírgula 10 4 6 2 2 4" xfId="24449" xr:uid="{FC21AD07-4AA8-49D8-8541-4BF3FF5B467B}"/>
    <cellStyle name="Vírgula 10 4 6 2 2 4 2" xfId="44784" xr:uid="{51E52CCC-AB82-49E5-9A96-396B18E2B12B}"/>
    <cellStyle name="Vírgula 10 4 6 2 2 5" xfId="14783" xr:uid="{936E64CB-6EA4-4B7C-9DCF-8DF2F035AC54}"/>
    <cellStyle name="Vírgula 10 4 6 2 2 5 2" xfId="35124" xr:uid="{987825E5-3541-47A3-A9CA-6BCD51BD2F17}"/>
    <cellStyle name="Vírgula 10 4 6 2 2 6" xfId="10905" xr:uid="{857C63CB-0024-421B-A320-5BD9E8D01F59}"/>
    <cellStyle name="Vírgula 10 4 6 2 2 6 2" xfId="31248" xr:uid="{C77476C5-4EAF-40E3-9638-8A88F0CC009A}"/>
    <cellStyle name="Vírgula 10 4 6 2 2 7" xfId="27754" xr:uid="{DD262E11-D038-445B-8ACF-625DAA101862}"/>
    <cellStyle name="Vírgula 10 4 6 2 3" xfId="16534" xr:uid="{9BB8231E-8F93-4B45-959E-995B743D48A1}"/>
    <cellStyle name="Vírgula 10 4 6 2 3 2" xfId="36874" xr:uid="{8DC6767C-9700-4AD7-848E-485CFFFB5643}"/>
    <cellStyle name="Vírgula 10 4 6 2 4" xfId="20036" xr:uid="{F5186C8D-6518-4B20-ABC4-1C4E508C4165}"/>
    <cellStyle name="Vírgula 10 4 6 2 4 2" xfId="40375" xr:uid="{2FF8C40D-E9DE-44B9-A040-13021FF525C7}"/>
    <cellStyle name="Vírgula 10 4 6 2 5" xfId="23291" xr:uid="{55FBD4B1-564B-4211-A4F3-302945E3295F}"/>
    <cellStyle name="Vírgula 10 4 6 2 5 2" xfId="43626" xr:uid="{97BCE202-77D3-493C-AA86-D45AF3331A13}"/>
    <cellStyle name="Vírgula 10 4 6 2 6" xfId="13625" xr:uid="{682C7EF6-A945-412E-82CF-819F6472D369}"/>
    <cellStyle name="Vírgula 10 4 6 2 6 2" xfId="33966" xr:uid="{9F1D0B28-18A1-4831-9445-D2EA9E848D85}"/>
    <cellStyle name="Vírgula 10 4 6 2 7" xfId="9747" xr:uid="{D8C72C4E-9D8E-4379-9846-AAB617A65348}"/>
    <cellStyle name="Vírgula 10 4 6 2 7 2" xfId="30090" xr:uid="{B522D191-A38D-4FB0-A66D-FF1326875323}"/>
    <cellStyle name="Vírgula 10 4 6 2 8" xfId="26596" xr:uid="{0A182850-E40B-4393-BCB7-F78A6C638044}"/>
    <cellStyle name="Vírgula 10 4 6 3" xfId="6825" xr:uid="{40648792-C076-4D03-BF60-43B89C5122DA}"/>
    <cellStyle name="Vírgula 10 4 6 3 2" xfId="17111" xr:uid="{62F69AB8-55AC-427F-B623-0E49BDCB350C}"/>
    <cellStyle name="Vírgula 10 4 6 3 2 2" xfId="37451" xr:uid="{2EAF17E9-A121-4F8B-9908-DDE2BEBEDFA3}"/>
    <cellStyle name="Vírgula 10 4 6 3 3" xfId="20613" xr:uid="{C843B454-55C8-4546-A80B-499B579D7EED}"/>
    <cellStyle name="Vírgula 10 4 6 3 3 2" xfId="40952" xr:uid="{001A1C02-6E5C-46C0-9F53-53E826D6CBF7}"/>
    <cellStyle name="Vírgula 10 4 6 3 4" xfId="23868" xr:uid="{A43D980F-1929-4D2B-8912-4CA29376F400}"/>
    <cellStyle name="Vírgula 10 4 6 3 4 2" xfId="44203" xr:uid="{446494EC-3DAA-485A-BA64-1D77BD1A372D}"/>
    <cellStyle name="Vírgula 10 4 6 3 5" xfId="14202" xr:uid="{89257A2A-8BFE-4ABF-98AE-69E6DA278D6D}"/>
    <cellStyle name="Vírgula 10 4 6 3 5 2" xfId="34543" xr:uid="{1234403A-CD26-4221-82B9-05F5E45D8EFC}"/>
    <cellStyle name="Vírgula 10 4 6 3 6" xfId="10324" xr:uid="{86C65B3A-F001-432E-BA43-D3D9B56651F3}"/>
    <cellStyle name="Vírgula 10 4 6 3 6 2" xfId="30667" xr:uid="{DB82E4E5-CD80-4229-96DC-2B032887EA8D}"/>
    <cellStyle name="Vírgula 10 4 6 3 7" xfId="27173" xr:uid="{77904A9F-72EE-4E06-BE83-F8E89B391F51}"/>
    <cellStyle name="Vírgula 10 4 6 4" xfId="7989" xr:uid="{032D753F-A48C-4E2C-B1B4-48048DEE099D}"/>
    <cellStyle name="Vírgula 10 4 6 4 2" xfId="18274" xr:uid="{7E8C9B06-1FC9-4AA3-A943-E82DE86DAD39}"/>
    <cellStyle name="Vírgula 10 4 6 4 2 2" xfId="38614" xr:uid="{B33B70FE-B98A-485C-925F-323EB4D1B4B2}"/>
    <cellStyle name="Vírgula 10 4 6 4 3" xfId="21776" xr:uid="{9442B210-0B6B-49D8-996D-B08F70B4AD03}"/>
    <cellStyle name="Vírgula 10 4 6 4 3 2" xfId="42115" xr:uid="{25B6DA4F-B706-4D68-89FA-0A8746923B7C}"/>
    <cellStyle name="Vírgula 10 4 6 4 4" xfId="25031" xr:uid="{D7A96D3D-111A-47E7-8157-D41DE07C305A}"/>
    <cellStyle name="Vírgula 10 4 6 4 4 2" xfId="45366" xr:uid="{FBC296AB-E673-4793-BCE3-E19901717C5E}"/>
    <cellStyle name="Vírgula 10 4 6 4 5" xfId="15366" xr:uid="{29899E27-1830-4016-A013-6B2EDBA6228B}"/>
    <cellStyle name="Vírgula 10 4 6 4 5 2" xfId="35706" xr:uid="{084708B9-C1EF-410D-8F22-20A3D77F3066}"/>
    <cellStyle name="Vírgula 10 4 6 4 6" xfId="11487" xr:uid="{0C72C87D-62FE-4A10-82D4-DBE79E54DAD4}"/>
    <cellStyle name="Vírgula 10 4 6 4 6 2" xfId="31830" xr:uid="{1F02A42B-E208-4471-BDA0-23BC3E0F0B4C}"/>
    <cellStyle name="Vírgula 10 4 6 4 7" xfId="28336" xr:uid="{C9A8D41D-3D99-4FC0-9535-DAC66FC71A3D}"/>
    <cellStyle name="Vírgula 10 4 6 5" xfId="13056" xr:uid="{B885D1E4-9D33-4C37-8FF6-249D68A3ABBD}"/>
    <cellStyle name="Vírgula 10 4 6 5 2" xfId="33397" xr:uid="{FFE5DE6F-8083-4F91-BC50-4504A3BB569E}"/>
    <cellStyle name="Vírgula 10 4 6 6" xfId="15953" xr:uid="{EF466826-56EF-49D2-88A6-F6A7849373B5}"/>
    <cellStyle name="Vírgula 10 4 6 6 2" xfId="36293" xr:uid="{19F67794-313C-4127-B912-0A60B86D7245}"/>
    <cellStyle name="Vírgula 10 4 6 7" xfId="18867" xr:uid="{4E832AB4-9E35-4F2F-9C7B-CECE2D1260D3}"/>
    <cellStyle name="Vírgula 10 4 6 7 2" xfId="39207" xr:uid="{81E34207-4A9E-4875-9436-DC3AE4FBDF9F}"/>
    <cellStyle name="Vírgula 10 4 6 8" xfId="19455" xr:uid="{F97132B4-D1B7-46DF-AB26-93373CE41722}"/>
    <cellStyle name="Vírgula 10 4 6 8 2" xfId="39794" xr:uid="{C8E87AFA-6BDA-4642-AE0A-DC80E6E65663}"/>
    <cellStyle name="Vírgula 10 4 6 9" xfId="22710" xr:uid="{3803DA24-28C4-4C59-9043-4499E07048AE}"/>
    <cellStyle name="Vírgula 10 4 6 9 2" xfId="43045" xr:uid="{7F5C3458-D5BC-4175-BEE6-69D1DA7EF99A}"/>
    <cellStyle name="Vírgula 10 4 7" xfId="5806" xr:uid="{D47A726C-18CE-43E8-AB44-0B1CF5E298EE}"/>
    <cellStyle name="Vírgula 10 4 7 2" xfId="6964" xr:uid="{7C4D506E-B63D-44ED-9C13-5E882361D285}"/>
    <cellStyle name="Vírgula 10 4 7 2 2" xfId="17250" xr:uid="{FE763414-E270-4CD0-8E6C-D125D03D832B}"/>
    <cellStyle name="Vírgula 10 4 7 2 2 2" xfId="37590" xr:uid="{514ADD48-55DF-405B-87FA-A35C2B774FBD}"/>
    <cellStyle name="Vírgula 10 4 7 2 3" xfId="20752" xr:uid="{69D3FF2A-61AB-4BFE-A240-8F89ABE63A08}"/>
    <cellStyle name="Vírgula 10 4 7 2 3 2" xfId="41091" xr:uid="{47A37063-AF9B-4642-BF34-0E0FDD10064B}"/>
    <cellStyle name="Vírgula 10 4 7 2 4" xfId="24007" xr:uid="{D6BB10B9-276D-4955-95A6-B6BB9BF8A97F}"/>
    <cellStyle name="Vírgula 10 4 7 2 4 2" xfId="44342" xr:uid="{395C7BBE-E67D-4DD3-8DEB-A1A4690B5C49}"/>
    <cellStyle name="Vírgula 10 4 7 2 5" xfId="14341" xr:uid="{9F9A1751-662C-4477-AC4F-B0B28DAB2CC2}"/>
    <cellStyle name="Vírgula 10 4 7 2 5 2" xfId="34682" xr:uid="{C38319B7-D595-44AF-B532-BFDD80B09FFD}"/>
    <cellStyle name="Vírgula 10 4 7 2 6" xfId="10463" xr:uid="{7F7A77A1-ADF4-4127-9E19-8779C2032708}"/>
    <cellStyle name="Vírgula 10 4 7 2 6 2" xfId="30806" xr:uid="{3E30783B-D1D1-4E74-B9B0-14D12E5EEBFE}"/>
    <cellStyle name="Vírgula 10 4 7 2 7" xfId="27312" xr:uid="{7FD28079-BB2C-4C32-B68E-685CEABCA93C}"/>
    <cellStyle name="Vírgula 10 4 7 3" xfId="16092" xr:uid="{70531084-A20A-4DBF-AC1A-A503021AB281}"/>
    <cellStyle name="Vírgula 10 4 7 3 2" xfId="36432" xr:uid="{F51E890B-D16C-4DC2-AE93-A15E94E3B946}"/>
    <cellStyle name="Vírgula 10 4 7 4" xfId="19594" xr:uid="{AF103B85-E045-43B8-8931-D1AC4D048061}"/>
    <cellStyle name="Vírgula 10 4 7 4 2" xfId="39933" xr:uid="{EB1FDB9F-56CD-4921-ABDE-C9FE4817A128}"/>
    <cellStyle name="Vírgula 10 4 7 5" xfId="22849" xr:uid="{08B815EE-C180-478F-BA56-E49401DB1B66}"/>
    <cellStyle name="Vírgula 10 4 7 5 2" xfId="43184" xr:uid="{A0FA76B0-00CE-4D73-99E1-7D63328D2BA7}"/>
    <cellStyle name="Vírgula 10 4 7 6" xfId="13189" xr:uid="{B25511E3-9723-4CA2-8C11-CBBEE7B0B37E}"/>
    <cellStyle name="Vírgula 10 4 7 6 2" xfId="33530" xr:uid="{8E2E2FCD-3AC4-4DB6-848E-619C8064431C}"/>
    <cellStyle name="Vírgula 10 4 7 7" xfId="9305" xr:uid="{8123FFDC-D1B2-45AE-9FA3-6222356F1F7F}"/>
    <cellStyle name="Vírgula 10 4 7 7 2" xfId="29648" xr:uid="{AED7A48E-8B67-4F7D-A562-007DD3C97604}"/>
    <cellStyle name="Vírgula 10 4 7 8" xfId="26154" xr:uid="{5CB1468A-4199-4C8E-9722-0B92F0FB5517}"/>
    <cellStyle name="Vírgula 10 4 8" xfId="6383" xr:uid="{4F55ACAB-ADE7-4901-BD39-E9991D0C1E13}"/>
    <cellStyle name="Vírgula 10 4 8 2" xfId="16669" xr:uid="{D62FB1A1-2D9B-4589-ABC2-E3AA1C954D95}"/>
    <cellStyle name="Vírgula 10 4 8 2 2" xfId="37009" xr:uid="{05BDD3F3-DB3A-433D-AFDA-819493DACDC6}"/>
    <cellStyle name="Vírgula 10 4 8 3" xfId="20171" xr:uid="{81CF31D2-7148-410E-8866-9A98DAB1E70E}"/>
    <cellStyle name="Vírgula 10 4 8 3 2" xfId="40510" xr:uid="{CBF33D8E-E68F-47F9-A751-8F7E7A30CDA8}"/>
    <cellStyle name="Vírgula 10 4 8 4" xfId="23426" xr:uid="{137EE20F-47BC-4439-8C19-59E4C9E096D3}"/>
    <cellStyle name="Vírgula 10 4 8 4 2" xfId="43761" xr:uid="{4E767563-C4C6-43D5-B578-12415645F8FF}"/>
    <cellStyle name="Vírgula 10 4 8 5" xfId="13760" xr:uid="{2A87EACD-377B-4A87-9834-FCF66CAC6692}"/>
    <cellStyle name="Vírgula 10 4 8 5 2" xfId="34101" xr:uid="{547D8E10-3867-48B7-A170-BB5CDBF56A10}"/>
    <cellStyle name="Vírgula 10 4 8 6" xfId="9882" xr:uid="{16591268-335C-4A7F-8BB8-49A1FB9B3C3C}"/>
    <cellStyle name="Vírgula 10 4 8 6 2" xfId="30225" xr:uid="{9A4F420D-5A60-4940-8FAA-9847DB530B7F}"/>
    <cellStyle name="Vírgula 10 4 8 7" xfId="26731" xr:uid="{66999DCE-D729-462D-8AB3-DF941204075D}"/>
    <cellStyle name="Vírgula 10 4 9" xfId="7547" xr:uid="{BA07CC8A-C564-40C8-ACFD-AC523693A819}"/>
    <cellStyle name="Vírgula 10 4 9 2" xfId="17832" xr:uid="{DD850790-F687-4E45-8A38-89C35C9F6257}"/>
    <cellStyle name="Vírgula 10 4 9 2 2" xfId="38172" xr:uid="{462ED432-DA16-4C36-AEFD-76774B699195}"/>
    <cellStyle name="Vírgula 10 4 9 3" xfId="21334" xr:uid="{FC895017-E5C4-4CE2-AF30-F4C0A2C53F1E}"/>
    <cellStyle name="Vírgula 10 4 9 3 2" xfId="41673" xr:uid="{3350AA0D-CB38-423B-A615-8911EB7449F4}"/>
    <cellStyle name="Vírgula 10 4 9 4" xfId="24589" xr:uid="{6FE6F734-690C-400C-9523-F2FEC2BFFA16}"/>
    <cellStyle name="Vírgula 10 4 9 4 2" xfId="44924" xr:uid="{877B87CD-10BA-4F9C-B888-739195745993}"/>
    <cellStyle name="Vírgula 10 4 9 5" xfId="14924" xr:uid="{D3BC4B1E-37CF-4CE9-896E-BDFCC6BF2EB0}"/>
    <cellStyle name="Vírgula 10 4 9 5 2" xfId="35264" xr:uid="{3D7D6ACA-7AA1-4ED8-B75C-A6239F2BB8A6}"/>
    <cellStyle name="Vírgula 10 4 9 6" xfId="11045" xr:uid="{5048C230-24DE-48A5-BE97-E2B7CA632FED}"/>
    <cellStyle name="Vírgula 10 4 9 6 2" xfId="31388" xr:uid="{B6452B0E-270C-4D67-8573-C79BF02F801D}"/>
    <cellStyle name="Vírgula 10 4 9 7" xfId="27894" xr:uid="{1C50957F-55FB-41B0-A1B1-36962B7C7004}"/>
    <cellStyle name="Vírgula 10 5" xfId="1332" xr:uid="{91EF9E7E-D7CC-4A88-853C-28B2E10F5987}"/>
    <cellStyle name="Vírgula 10 5 10" xfId="22355" xr:uid="{253EBA0A-A4D6-4E78-A86F-98158812BFCA}"/>
    <cellStyle name="Vírgula 10 5 10 2" xfId="42690" xr:uid="{7A616C27-25F0-4B02-AA7B-1DB5E846B266}"/>
    <cellStyle name="Vírgula 10 5 11" xfId="12072" xr:uid="{223D5E9E-5341-43F9-84C8-AE3084F41878}"/>
    <cellStyle name="Vírgula 10 5 11 2" xfId="32413" xr:uid="{C4936B9E-D3BB-4394-9585-30C4AFF8B688}"/>
    <cellStyle name="Vírgula 10 5 12" xfId="8811" xr:uid="{2731B3FB-4917-42E3-BA09-0901BD26ABBB}"/>
    <cellStyle name="Vírgula 10 5 12 2" xfId="29154" xr:uid="{2C937DCF-1937-480C-92C6-EF04CFA6944C}"/>
    <cellStyle name="Vírgula 10 5 13" xfId="25660" xr:uid="{22417102-41CC-437C-A3AD-A7720255B4A9}"/>
    <cellStyle name="Vírgula 10 5 14" xfId="45869" xr:uid="{58CF13E4-258E-4EBB-B633-346000487072}"/>
    <cellStyle name="Vírgula 10 5 15" xfId="46355" xr:uid="{AE4F40C2-F81F-4968-BA9C-F0DB00C4E165}"/>
    <cellStyle name="Vírgula 10 5 16" xfId="46847" xr:uid="{064B138E-7FB4-4413-9EAF-86CFF1DA7BB1}"/>
    <cellStyle name="Vírgula 10 5 17" xfId="48363" xr:uid="{D04DD7A0-BCEC-4C97-9C3D-E1DACE22C51C}"/>
    <cellStyle name="Vírgula 10 5 18" xfId="50031" xr:uid="{811C44A9-EB27-4729-895D-CFC24F9763A8}"/>
    <cellStyle name="Vírgula 10 5 19" xfId="53326" xr:uid="{AC5DE5C4-DE65-48FD-A8C1-141A721DA5E1}"/>
    <cellStyle name="Vírgula 10 5 2" xfId="4202" xr:uid="{27D1BC84-7306-48D8-B75F-F3AEFEB39700}"/>
    <cellStyle name="Vírgula 10 5 2 10" xfId="12459" xr:uid="{DBFC27CA-B7C5-45AB-AA00-17B2BA633AE6}"/>
    <cellStyle name="Vírgula 10 5 2 10 2" xfId="32800" xr:uid="{46292D89-452B-4BCC-9EEB-6363BCA8AB28}"/>
    <cellStyle name="Vírgula 10 5 2 11" xfId="9198" xr:uid="{1B347EFB-327D-450D-9BFA-BF8575402B4C}"/>
    <cellStyle name="Vírgula 10 5 2 11 2" xfId="29541" xr:uid="{7ED5EE48-583E-4FCD-A5B1-DEDD36465F6D}"/>
    <cellStyle name="Vírgula 10 5 2 12" xfId="26047" xr:uid="{F60A4F08-205D-4072-8656-CF1EE04161B4}"/>
    <cellStyle name="Vírgula 10 5 2 13" xfId="45971" xr:uid="{A97636F6-3CD8-4255-AD8B-B7582DAC6AD8}"/>
    <cellStyle name="Vírgula 10 5 2 14" xfId="46457" xr:uid="{FBF847BD-4F27-49DC-9351-675811D8E7EC}"/>
    <cellStyle name="Vírgula 10 5 2 15" xfId="46949" xr:uid="{C5AD2577-D64F-4ED5-B92A-E333DDC7D876}"/>
    <cellStyle name="Vírgula 10 5 2 16" xfId="51665" xr:uid="{DF31B156-202B-442C-8D84-ADA4BD7706AE}"/>
    <cellStyle name="Vírgula 10 5 2 17" xfId="54959" xr:uid="{33392042-77BF-493B-AAC1-7D90D7BA606B}"/>
    <cellStyle name="Vírgula 10 5 2 18" xfId="5708" xr:uid="{4E37E456-3499-4423-A6A4-EFE2EDCBA69D}"/>
    <cellStyle name="Vírgula 10 5 2 19" xfId="5089" xr:uid="{808BC98C-0E5B-4BB9-9433-28BC8C730A85}"/>
    <cellStyle name="Vírgula 10 5 2 2" xfId="6280" xr:uid="{044746FC-BAF6-4B24-86C8-52C835B28D0E}"/>
    <cellStyle name="Vírgula 10 5 2 2 10" xfId="46700" xr:uid="{E001B223-DC6B-47B2-8A1D-039C0CC0BAD5}"/>
    <cellStyle name="Vírgula 10 5 2 2 11" xfId="47192" xr:uid="{F099B88C-44DA-45B2-AE94-1540D8FCD3CD}"/>
    <cellStyle name="Vírgula 10 5 2 2 2" xfId="7438" xr:uid="{588B41CF-FCD2-4206-99AC-0C2C85F6E2E6}"/>
    <cellStyle name="Vírgula 10 5 2 2 2 2" xfId="17724" xr:uid="{66EE9FA7-84AC-4FD5-BFAA-E30AC489F1C0}"/>
    <cellStyle name="Vírgula 10 5 2 2 2 2 2" xfId="38064" xr:uid="{EE5F6F58-E887-4426-BA0F-1AFBF424C606}"/>
    <cellStyle name="Vírgula 10 5 2 2 2 3" xfId="21226" xr:uid="{A8CFE10E-E8F5-4D15-937F-79D5ABC61DE0}"/>
    <cellStyle name="Vírgula 10 5 2 2 2 3 2" xfId="41565" xr:uid="{3BD758DA-9EB9-45E7-9C39-EA79E7E64E8A}"/>
    <cellStyle name="Vírgula 10 5 2 2 2 4" xfId="24481" xr:uid="{2097406A-C5AB-479C-BCF1-63943073BCBF}"/>
    <cellStyle name="Vírgula 10 5 2 2 2 4 2" xfId="44816" xr:uid="{1D9B0952-9773-41E6-A7A2-28D8CA170EA1}"/>
    <cellStyle name="Vírgula 10 5 2 2 2 5" xfId="14815" xr:uid="{AA9DB0B0-2944-4908-B69C-C28F9E7953A5}"/>
    <cellStyle name="Vírgula 10 5 2 2 2 5 2" xfId="35156" xr:uid="{5FAFDAE9-74A4-4872-8DE2-91678F9656E9}"/>
    <cellStyle name="Vírgula 10 5 2 2 2 6" xfId="10937" xr:uid="{F3284DB7-1409-486C-B76D-375B29728E5A}"/>
    <cellStyle name="Vírgula 10 5 2 2 2 6 2" xfId="31280" xr:uid="{FB60BF97-7AC4-42D3-9DEB-CBDB4B3E01D2}"/>
    <cellStyle name="Vírgula 10 5 2 2 2 7" xfId="27786" xr:uid="{087606CF-7CBC-455D-B580-FC431764BCBE}"/>
    <cellStyle name="Vírgula 10 5 2 2 3" xfId="16566" xr:uid="{53894543-E589-4D4A-AA66-55A33398E587}"/>
    <cellStyle name="Vírgula 10 5 2 2 3 2" xfId="36906" xr:uid="{BECA1CFD-A32B-4497-99CA-54DBE96758F7}"/>
    <cellStyle name="Vírgula 10 5 2 2 4" xfId="20068" xr:uid="{7551BEDA-00A3-427E-B385-7329E4321593}"/>
    <cellStyle name="Vírgula 10 5 2 2 4 2" xfId="40407" xr:uid="{0AD9668A-0926-4B46-9B08-F17801DB86C2}"/>
    <cellStyle name="Vírgula 10 5 2 2 5" xfId="23323" xr:uid="{2C092A6F-318A-414E-83AE-F1734D27D332}"/>
    <cellStyle name="Vírgula 10 5 2 2 5 2" xfId="43658" xr:uid="{75F8D2FC-99D9-4ED8-8E48-FCC74A8F5679}"/>
    <cellStyle name="Vírgula 10 5 2 2 6" xfId="13657" xr:uid="{80673C95-0330-4513-8EFC-FCD277388C84}"/>
    <cellStyle name="Vírgula 10 5 2 2 6 2" xfId="33998" xr:uid="{5CBEE37D-66EA-40DC-A7B7-1D5892883E99}"/>
    <cellStyle name="Vírgula 10 5 2 2 7" xfId="9779" xr:uid="{8809F253-9BDC-4844-8933-128EA2BA085F}"/>
    <cellStyle name="Vírgula 10 5 2 2 7 2" xfId="30122" xr:uid="{10291C98-1A8E-40AB-8D24-3EB40F9F20EF}"/>
    <cellStyle name="Vírgula 10 5 2 2 8" xfId="26628" xr:uid="{127BD2F4-8303-48BB-A0C5-388E6BC6B611}"/>
    <cellStyle name="Vírgula 10 5 2 2 9" xfId="46214" xr:uid="{0A998E09-B16B-46C9-A87C-82385D593EBD}"/>
    <cellStyle name="Vírgula 10 5 2 3" xfId="6857" xr:uid="{9F8FA3F3-E837-4FD8-B41B-E9C967E5A51A}"/>
    <cellStyle name="Vírgula 10 5 2 3 2" xfId="17143" xr:uid="{7C345340-168B-4D2F-B499-57154571534E}"/>
    <cellStyle name="Vírgula 10 5 2 3 2 2" xfId="37483" xr:uid="{F787A803-9440-41BD-9F95-E77E9B3F306C}"/>
    <cellStyle name="Vírgula 10 5 2 3 3" xfId="20645" xr:uid="{CBDA6AB0-841B-4AC1-B5BF-EA0D7D56136E}"/>
    <cellStyle name="Vírgula 10 5 2 3 3 2" xfId="40984" xr:uid="{5A8A5F92-9566-44D3-A179-76BB36DE43C3}"/>
    <cellStyle name="Vírgula 10 5 2 3 4" xfId="23900" xr:uid="{7C497274-E975-48DA-80AA-FA0FD92DF41C}"/>
    <cellStyle name="Vírgula 10 5 2 3 4 2" xfId="44235" xr:uid="{9EC48E0F-8818-474D-9771-C7790DA4C110}"/>
    <cellStyle name="Vírgula 10 5 2 3 5" xfId="14234" xr:uid="{0B0CFC96-9C2F-4DA0-B8DA-EF9FE55CD751}"/>
    <cellStyle name="Vírgula 10 5 2 3 5 2" xfId="34575" xr:uid="{14188D0D-1D28-4F41-BCBA-E17D79570E21}"/>
    <cellStyle name="Vírgula 10 5 2 3 6" xfId="10356" xr:uid="{4073F3B9-CC50-40B0-BC90-603A2FA1925D}"/>
    <cellStyle name="Vírgula 10 5 2 3 6 2" xfId="30699" xr:uid="{210AB80D-8B10-43AB-9CF1-D31D25661A01}"/>
    <cellStyle name="Vírgula 10 5 2 3 7" xfId="27205" xr:uid="{C7873AFF-13B7-497E-A2B9-4AAB2A9FDB61}"/>
    <cellStyle name="Vírgula 10 5 2 4" xfId="8021" xr:uid="{2024B705-F48F-4C3B-9BEB-3DCCF8014B4D}"/>
    <cellStyle name="Vírgula 10 5 2 4 2" xfId="18306" xr:uid="{C56D556B-F3C4-49D2-AEDB-61C41D197EB6}"/>
    <cellStyle name="Vírgula 10 5 2 4 2 2" xfId="38646" xr:uid="{D177840D-8B76-4D99-A23C-81CB5BDC7DD1}"/>
    <cellStyle name="Vírgula 10 5 2 4 3" xfId="21808" xr:uid="{C86A83F6-630C-422A-B050-94A5FB21D1EF}"/>
    <cellStyle name="Vírgula 10 5 2 4 3 2" xfId="42147" xr:uid="{9C25C35C-131E-414D-8B27-2EF83E97B043}"/>
    <cellStyle name="Vírgula 10 5 2 4 4" xfId="25063" xr:uid="{98F0F59E-40A2-45D5-A0B7-6F329D767300}"/>
    <cellStyle name="Vírgula 10 5 2 4 4 2" xfId="45398" xr:uid="{322D0C71-8AEF-4BD3-ACB7-13E16C52CE47}"/>
    <cellStyle name="Vírgula 10 5 2 4 5" xfId="15398" xr:uid="{F1593E36-FCEF-4214-9B47-6C9E604536ED}"/>
    <cellStyle name="Vírgula 10 5 2 4 5 2" xfId="35738" xr:uid="{094C2B9F-F987-421D-9327-8FDDA24121AC}"/>
    <cellStyle name="Vírgula 10 5 2 4 6" xfId="11519" xr:uid="{6F4077B6-B758-4CAC-B7CB-7D56E0320E7C}"/>
    <cellStyle name="Vírgula 10 5 2 4 6 2" xfId="31862" xr:uid="{0D8BC1E8-2369-4C7B-BB17-1BEF26A97CA7}"/>
    <cellStyle name="Vírgula 10 5 2 4 7" xfId="28368" xr:uid="{AD0CF266-B1BC-4C9C-9E67-A61A7F6F64AA}"/>
    <cellStyle name="Vírgula 10 5 2 5" xfId="8196" xr:uid="{EC4537C7-0051-463F-A641-07F80393A941}"/>
    <cellStyle name="Vírgula 10 5 2 5 2" xfId="21983" xr:uid="{3A123A2E-7520-40DE-A129-A049E758EDAE}"/>
    <cellStyle name="Vírgula 10 5 2 5 2 2" xfId="42319" xr:uid="{C284036F-A74B-4E4C-A41D-B94D1EA890C4}"/>
    <cellStyle name="Vírgula 10 5 2 5 3" xfId="25235" xr:uid="{0A13D735-3672-4F55-9CE0-B39040E75D7D}"/>
    <cellStyle name="Vírgula 10 5 2 5 3 2" xfId="45570" xr:uid="{6EF8306F-76D4-4728-8BEB-F60E07D41186}"/>
    <cellStyle name="Vírgula 10 5 2 5 4" xfId="13088" xr:uid="{98CAB072-B33D-4CB2-86A8-6FB57C1EDDD4}"/>
    <cellStyle name="Vírgula 10 5 2 5 4 2" xfId="33429" xr:uid="{E7E7A6E2-BCE7-4984-AF83-42227E12AA08}"/>
    <cellStyle name="Vírgula 10 5 2 5 5" xfId="11692" xr:uid="{9454FF43-9202-4D3A-B018-03081F896750}"/>
    <cellStyle name="Vírgula 10 5 2 5 5 2" xfId="32034" xr:uid="{EEDE993F-08D0-494D-B334-1335464F69CE}"/>
    <cellStyle name="Vírgula 10 5 2 5 6" xfId="28540" xr:uid="{884125E6-5C18-4AF8-8DD1-CF6A3123F9FC}"/>
    <cellStyle name="Vírgula 10 5 2 6" xfId="8596" xr:uid="{58709E4D-76F7-4C07-8282-82A8AA623E20}"/>
    <cellStyle name="Vírgula 10 5 2 6 2" xfId="15985" xr:uid="{44765A95-6E15-4DFC-A46E-8CE3FD074ACD}"/>
    <cellStyle name="Vírgula 10 5 2 6 2 2" xfId="36325" xr:uid="{8B5C764A-C3DE-43DC-8C8B-4B8E0E167D32}"/>
    <cellStyle name="Vírgula 10 5 2 6 3" xfId="28939" xr:uid="{9E0615B6-2A7A-45F3-A917-61D298AE0DBF}"/>
    <cellStyle name="Vírgula 10 5 2 7" xfId="18899" xr:uid="{0952FC09-27D9-49FD-B4D6-A45E68784FA5}"/>
    <cellStyle name="Vírgula 10 5 2 7 2" xfId="39239" xr:uid="{236ED228-71B0-4204-8DC9-765A62CBB3C4}"/>
    <cellStyle name="Vírgula 10 5 2 8" xfId="19487" xr:uid="{4B70B874-40AE-47B0-A950-B804E04606E6}"/>
    <cellStyle name="Vírgula 10 5 2 8 2" xfId="39826" xr:uid="{45D45660-864D-48DC-A3AF-32ADB12BCFCF}"/>
    <cellStyle name="Vírgula 10 5 2 9" xfId="22742" xr:uid="{639DEB35-9FB5-494E-B98E-FC290D47616B}"/>
    <cellStyle name="Vírgula 10 5 2 9 2" xfId="43077" xr:uid="{E820FBE1-1ED1-4427-BC68-5ADE5B39523E}"/>
    <cellStyle name="Vírgula 10 5 20" xfId="5342" xr:uid="{9640FAD9-DB73-4B90-B0E4-467AA33D48B5}"/>
    <cellStyle name="Vírgula 10 5 21" xfId="4870" xr:uid="{1611F7FA-0774-47A7-8354-0489422236F9}"/>
    <cellStyle name="Vírgula 10 5 3" xfId="2993" xr:uid="{0D228D7A-FBC3-4606-ABE4-B1935DD8BBB7}"/>
    <cellStyle name="Vírgula 10 5 3 10" xfId="46598" xr:uid="{A250A9D4-E5C6-4AD8-8BF0-DCE9FF4BC16A}"/>
    <cellStyle name="Vírgula 10 5 3 11" xfId="47090" xr:uid="{FCF82B47-A7A6-405A-A3D8-59E760B1EEFB}"/>
    <cellStyle name="Vírgula 10 5 3 12" xfId="57203" xr:uid="{D67D902A-0781-4282-AD95-66AE311A63A2}"/>
    <cellStyle name="Vírgula 10 5 3 13" xfId="5893" xr:uid="{0BB13123-8895-43FB-9C0D-55F36124B15D}"/>
    <cellStyle name="Vírgula 10 5 3 14" xfId="5001" xr:uid="{98C165CE-23B2-45C9-A69B-E33ADBC9AD2E}"/>
    <cellStyle name="Vírgula 10 5 3 2" xfId="7051" xr:uid="{160BDA32-C298-4B76-B934-FD5868A32917}"/>
    <cellStyle name="Vírgula 10 5 3 2 2" xfId="17337" xr:uid="{055F7C05-E83E-4DE1-8FA1-C19B9AA093A0}"/>
    <cellStyle name="Vírgula 10 5 3 2 2 2" xfId="37677" xr:uid="{0E09F6B6-9062-41C1-B160-4833BA5A653E}"/>
    <cellStyle name="Vírgula 10 5 3 2 3" xfId="20839" xr:uid="{3DF68501-B851-4474-8253-FC4D5E999CE9}"/>
    <cellStyle name="Vírgula 10 5 3 2 3 2" xfId="41178" xr:uid="{19466787-412F-4792-AAE7-D191AF186769}"/>
    <cellStyle name="Vírgula 10 5 3 2 4" xfId="24094" xr:uid="{3DE72831-2554-45B6-A297-6889CBF87A87}"/>
    <cellStyle name="Vírgula 10 5 3 2 4 2" xfId="44429" xr:uid="{D23F040B-B72C-4BC3-8941-484F1A8BBE60}"/>
    <cellStyle name="Vírgula 10 5 3 2 5" xfId="14428" xr:uid="{8B6C52F1-528C-441F-BA0A-9C7B2CAB118C}"/>
    <cellStyle name="Vírgula 10 5 3 2 5 2" xfId="34769" xr:uid="{4A9EBBC5-E739-484A-ADE4-46EF0531D73C}"/>
    <cellStyle name="Vírgula 10 5 3 2 6" xfId="10550" xr:uid="{74241466-0C3A-4231-9B3B-5CDD9BB1A2D8}"/>
    <cellStyle name="Vírgula 10 5 3 2 6 2" xfId="30893" xr:uid="{677B99E0-EEB7-4E7E-BB80-D6E47655FA68}"/>
    <cellStyle name="Vírgula 10 5 3 2 7" xfId="27399" xr:uid="{0C2A40C9-22BA-4BED-BE7B-A5D195780B8F}"/>
    <cellStyle name="Vírgula 10 5 3 3" xfId="8197" xr:uid="{A42A663F-EDEE-43B7-B5D8-FCA218B5510A}"/>
    <cellStyle name="Vírgula 10 5 3 3 2" xfId="21984" xr:uid="{AB0BEE51-D7BB-4ADF-8514-1BBBBA891488}"/>
    <cellStyle name="Vírgula 10 5 3 3 2 2" xfId="42320" xr:uid="{61788294-1BD3-4038-BB72-41C29366BA84}"/>
    <cellStyle name="Vírgula 10 5 3 3 3" xfId="25236" xr:uid="{6996E320-1584-42D6-BFBC-C04847F5F0FE}"/>
    <cellStyle name="Vírgula 10 5 3 3 3 2" xfId="45571" xr:uid="{AF66E997-B5AE-4BD3-A3D0-89A449FCAC13}"/>
    <cellStyle name="Vírgula 10 5 3 3 4" xfId="16179" xr:uid="{5F952776-D2C1-4496-A567-E669378C45D8}"/>
    <cellStyle name="Vírgula 10 5 3 3 4 2" xfId="36519" xr:uid="{91A1ABA8-FE7B-4C9F-AF4F-CCB93E4F649E}"/>
    <cellStyle name="Vírgula 10 5 3 3 5" xfId="11693" xr:uid="{106F958C-A9DE-42FA-BAF2-6A9F52425E47}"/>
    <cellStyle name="Vírgula 10 5 3 3 5 2" xfId="32035" xr:uid="{4460FE49-CD36-4CBE-BC81-38D736B0ED42}"/>
    <cellStyle name="Vírgula 10 5 3 3 6" xfId="28541" xr:uid="{76017E58-41F3-415B-BFAE-904F980E4B15}"/>
    <cellStyle name="Vírgula 10 5 3 4" xfId="19681" xr:uid="{51ADACDE-89D8-4D91-997C-D5CC01ABED65}"/>
    <cellStyle name="Vírgula 10 5 3 4 2" xfId="40020" xr:uid="{F58A92C1-99FC-49EF-8D76-47631497B5B9}"/>
    <cellStyle name="Vírgula 10 5 3 5" xfId="22936" xr:uid="{184C7AB8-6CAB-4B6F-A636-6C9413954298}"/>
    <cellStyle name="Vírgula 10 5 3 5 2" xfId="43271" xr:uid="{D0F37D75-C92C-4FFF-9739-0823ED0E009B}"/>
    <cellStyle name="Vírgula 10 5 3 6" xfId="13272" xr:uid="{E1D75087-9843-45CD-B2C6-F0529038960B}"/>
    <cellStyle name="Vírgula 10 5 3 6 2" xfId="33613" xr:uid="{AF54E3A3-9916-47DB-81CB-2A609FE2185B}"/>
    <cellStyle name="Vírgula 10 5 3 7" xfId="9392" xr:uid="{3D52A7B8-22B8-417C-BA8B-734924819FBF}"/>
    <cellStyle name="Vírgula 10 5 3 7 2" xfId="29735" xr:uid="{2AA6B793-0AB6-4B11-A51C-6BB9E4FC5E2D}"/>
    <cellStyle name="Vírgula 10 5 3 8" xfId="26241" xr:uid="{DA7A6056-3675-4607-A526-365B5C45FF9F}"/>
    <cellStyle name="Vírgula 10 5 3 9" xfId="46112" xr:uid="{BD91AC05-284A-49A2-B341-7C84A618A04C}"/>
    <cellStyle name="Vírgula 10 5 4" xfId="6470" xr:uid="{87161A00-D556-4743-90B5-C6151717740C}"/>
    <cellStyle name="Vírgula 10 5 4 2" xfId="16756" xr:uid="{DE89AE06-F5E9-4356-ACAA-815144E35A91}"/>
    <cellStyle name="Vírgula 10 5 4 2 2" xfId="37096" xr:uid="{85EAC8E6-D2E4-4855-80CD-AAFC74793693}"/>
    <cellStyle name="Vírgula 10 5 4 3" xfId="20258" xr:uid="{77AC20BD-EB2D-4E89-BC79-7DCDADAD8111}"/>
    <cellStyle name="Vírgula 10 5 4 3 2" xfId="40597" xr:uid="{A0140FF2-3098-406F-B9E4-723BA18E7D0A}"/>
    <cellStyle name="Vírgula 10 5 4 4" xfId="23513" xr:uid="{2EFB3C84-CAEB-452C-976B-29D5101D1B43}"/>
    <cellStyle name="Vírgula 10 5 4 4 2" xfId="43848" xr:uid="{E6A9FCA9-060F-47FC-B35D-3BE9DD9B6F98}"/>
    <cellStyle name="Vírgula 10 5 4 5" xfId="13847" xr:uid="{DA71723B-DAB9-4843-B29C-C8220EB91E83}"/>
    <cellStyle name="Vírgula 10 5 4 5 2" xfId="34188" xr:uid="{F4BAA02C-62A4-44C6-867B-F8CC49756A61}"/>
    <cellStyle name="Vírgula 10 5 4 6" xfId="9969" xr:uid="{606F0E4D-68F0-4BC5-914D-B58E88A85782}"/>
    <cellStyle name="Vírgula 10 5 4 6 2" xfId="30312" xr:uid="{73191C88-3EC8-46C1-8EBB-8A2E96CD2E8D}"/>
    <cellStyle name="Vírgula 10 5 4 7" xfId="26818" xr:uid="{EF49FCD2-D2FE-46A9-A7D4-CB0F546ADD64}"/>
    <cellStyle name="Vírgula 10 5 5" xfId="7634" xr:uid="{413BA36B-F97B-4B1F-A611-2F4119AAF8E3}"/>
    <cellStyle name="Vírgula 10 5 5 2" xfId="17919" xr:uid="{189E3A89-F068-40F8-A819-B5B4DB414AA8}"/>
    <cellStyle name="Vírgula 10 5 5 2 2" xfId="38259" xr:uid="{EAD11C65-D518-4D96-A8E3-577693AA5BD5}"/>
    <cellStyle name="Vírgula 10 5 5 3" xfId="21421" xr:uid="{BF7CCA1F-3112-41C6-A002-EB6B5255DC49}"/>
    <cellStyle name="Vírgula 10 5 5 3 2" xfId="41760" xr:uid="{8A8ABF6D-2A46-4B2B-AD8F-5C5834E81B54}"/>
    <cellStyle name="Vírgula 10 5 5 4" xfId="24676" xr:uid="{37DF2695-26E8-437D-8713-E068CFF6201E}"/>
    <cellStyle name="Vírgula 10 5 5 4 2" xfId="45011" xr:uid="{07F6C48B-06B0-45C1-978C-A5D85C883B8A}"/>
    <cellStyle name="Vírgula 10 5 5 5" xfId="15011" xr:uid="{137092DF-D92F-43AD-A874-ADEC2F885774}"/>
    <cellStyle name="Vírgula 10 5 5 5 2" xfId="35351" xr:uid="{68F5DB9E-862F-428A-8442-F498A284D0D8}"/>
    <cellStyle name="Vírgula 10 5 5 6" xfId="11132" xr:uid="{6411F86E-66C3-4850-BF97-E43302550B1E}"/>
    <cellStyle name="Vírgula 10 5 5 6 2" xfId="31475" xr:uid="{F2F88D06-022F-4719-960E-B6B0F2F2A336}"/>
    <cellStyle name="Vírgula 10 5 5 7" xfId="27981" xr:uid="{9D085EBD-8928-4C1F-BAA2-E4CA20ED3855}"/>
    <cellStyle name="Vírgula 10 5 6" xfId="8195" xr:uid="{5EBEBE1A-DD83-410C-B772-CB7F1F4C3A9D}"/>
    <cellStyle name="Vírgula 10 5 6 2" xfId="21982" xr:uid="{E310B8B4-86A2-49B8-8D63-306151FC5BA4}"/>
    <cellStyle name="Vírgula 10 5 6 2 2" xfId="42318" xr:uid="{639B7A00-26D3-4C1C-B3E3-39C8E25A4159}"/>
    <cellStyle name="Vírgula 10 5 6 3" xfId="25234" xr:uid="{2B269CE5-38D2-41A2-943B-9A2BE6F2B861}"/>
    <cellStyle name="Vírgula 10 5 6 3 2" xfId="45569" xr:uid="{C6F1769D-45BA-44E3-AB53-589106D9885A}"/>
    <cellStyle name="Vírgula 10 5 6 4" xfId="12703" xr:uid="{4CADBD75-5276-4CA3-8C91-22F82099B27D}"/>
    <cellStyle name="Vírgula 10 5 6 4 2" xfId="33044" xr:uid="{858AA69D-E254-40B9-AF27-C0CAEA632416}"/>
    <cellStyle name="Vírgula 10 5 6 5" xfId="11691" xr:uid="{2963DB16-4EEC-4603-9304-454CC2A0817F}"/>
    <cellStyle name="Vírgula 10 5 6 5 2" xfId="32033" xr:uid="{9A8BD3E0-3E65-4789-87C8-6D6E5C914DF9}"/>
    <cellStyle name="Vírgula 10 5 6 6" xfId="28539" xr:uid="{63940CE0-78E2-44A5-B974-E5AD9D6D6DD8}"/>
    <cellStyle name="Vírgula 10 5 7" xfId="8494" xr:uid="{D81A3A9D-17DB-414F-A1C6-F1CAF2C51A18}"/>
    <cellStyle name="Vírgula 10 5 7 2" xfId="15598" xr:uid="{B358B0ED-20A1-4F7C-9246-7D7BAA584D2B}"/>
    <cellStyle name="Vírgula 10 5 7 2 2" xfId="35938" xr:uid="{EA5C2610-52E0-480A-B020-3733E2F9129F}"/>
    <cellStyle name="Vírgula 10 5 7 3" xfId="28837" xr:uid="{825826DD-386F-41D0-93D5-8D093A42E248}"/>
    <cellStyle name="Vírgula 10 5 8" xfId="18512" xr:uid="{C1D73BCF-8DCF-4D20-8EB8-5E9B05CF5240}"/>
    <cellStyle name="Vírgula 10 5 8 2" xfId="38852" xr:uid="{2274888A-BF88-4A7B-A8D2-B0048E059309}"/>
    <cellStyle name="Vírgula 10 5 9" xfId="19100" xr:uid="{9398C3AE-6B7E-4FC5-B13D-8CBEDD741722}"/>
    <cellStyle name="Vírgula 10 5 9 2" xfId="39439" xr:uid="{C9F7EC6B-DC22-4B69-942C-0D0A34D1188F}"/>
    <cellStyle name="Vírgula 10 6" xfId="519" xr:uid="{27437C51-2FA4-41D6-879C-234D0BB7EC52}"/>
    <cellStyle name="Vírgula 10 6 10" xfId="12168" xr:uid="{CBE1DA5D-13BE-4520-9522-CEEE0F3A3943}"/>
    <cellStyle name="Vírgula 10 6 10 2" xfId="32509" xr:uid="{FB71921B-22CF-4545-9D3F-2FC8FC12672A}"/>
    <cellStyle name="Vírgula 10 6 11" xfId="8907" xr:uid="{F5BBECFE-BB3A-4026-AF1B-49D877C52E92}"/>
    <cellStyle name="Vírgula 10 6 11 2" xfId="29250" xr:uid="{3F6A3316-D6D0-4A1B-AD11-2E703BCE61E7}"/>
    <cellStyle name="Vírgula 10 6 12" xfId="25756" xr:uid="{17EDA848-E781-471E-8C23-5DE444B620B8}"/>
    <cellStyle name="Vírgula 10 6 13" xfId="45954" xr:uid="{26BC4CF1-7829-4A57-820A-9D8252B1F99D}"/>
    <cellStyle name="Vírgula 10 6 14" xfId="46440" xr:uid="{718F650D-18C0-45E5-8852-B56F4E44EA04}"/>
    <cellStyle name="Vírgula 10 6 15" xfId="46932" xr:uid="{E2F32EAD-7267-4BCE-8A44-FBE0390E8339}"/>
    <cellStyle name="Vírgula 10 6 16" xfId="48364" xr:uid="{00F57A77-A924-4261-9E7E-CF108F6E9C7C}"/>
    <cellStyle name="Vírgula 10 6 17" xfId="50032" xr:uid="{EE1AFEF4-4B65-4142-9647-6FA849FCCA70}"/>
    <cellStyle name="Vírgula 10 6 18" xfId="53327" xr:uid="{24967436-F1D9-4F48-94DA-1920AF4BECFE}"/>
    <cellStyle name="Vírgula 10 6 19" xfId="5425" xr:uid="{416D509B-376E-45FE-92F2-2B7E3B9AE6C7}"/>
    <cellStyle name="Vírgula 10 6 2" xfId="2235" xr:uid="{591BB15C-EBD1-4E58-9EC7-3AC72830CB20}"/>
    <cellStyle name="Vírgula 10 6 2 10" xfId="46683" xr:uid="{D8B30A74-6CEF-49B0-AEC4-192F24550034}"/>
    <cellStyle name="Vírgula 10 6 2 11" xfId="47175" xr:uid="{C9EEC4D9-24F9-4927-98C1-772094C08607}"/>
    <cellStyle name="Vírgula 10 6 2 12" xfId="51666" xr:uid="{C843FC7B-E9B5-49F1-8EE9-5E09461E390E}"/>
    <cellStyle name="Vírgula 10 6 2 13" xfId="54960" xr:uid="{0B1374D1-18AA-49F4-8B7A-29CF7B916996}"/>
    <cellStyle name="Vírgula 10 6 2 14" xfId="5989" xr:uid="{A4657E25-673C-4BB7-B26B-722ED51E52CA}"/>
    <cellStyle name="Vírgula 10 6 2 15" xfId="5072" xr:uid="{FCA13457-0349-46EF-A05D-EE59398E5AC2}"/>
    <cellStyle name="Vírgula 10 6 2 2" xfId="7147" xr:uid="{231F9439-8C77-4AD4-82EC-F49897501A8E}"/>
    <cellStyle name="Vírgula 10 6 2 2 2" xfId="17433" xr:uid="{2A861CD1-0CE1-412A-BEA5-EBB3FBA4DD41}"/>
    <cellStyle name="Vírgula 10 6 2 2 2 2" xfId="37773" xr:uid="{047ABF83-B87F-410B-87A4-19305DBE4D49}"/>
    <cellStyle name="Vírgula 10 6 2 2 3" xfId="20935" xr:uid="{A512BCF6-01DF-461E-AB95-7216A6B717B5}"/>
    <cellStyle name="Vírgula 10 6 2 2 3 2" xfId="41274" xr:uid="{241985C3-FC4F-4B94-909D-84403C889EA1}"/>
    <cellStyle name="Vírgula 10 6 2 2 4" xfId="24190" xr:uid="{B2061774-DC88-4FCB-BE35-33E858BB47B6}"/>
    <cellStyle name="Vírgula 10 6 2 2 4 2" xfId="44525" xr:uid="{432EBF41-9581-4F0F-B1A7-3253ED91DC05}"/>
    <cellStyle name="Vírgula 10 6 2 2 5" xfId="14524" xr:uid="{FA1312C0-CFB8-4814-B272-866738663267}"/>
    <cellStyle name="Vírgula 10 6 2 2 5 2" xfId="34865" xr:uid="{C1C3BDD2-95A0-4D77-84DB-941170BE751E}"/>
    <cellStyle name="Vírgula 10 6 2 2 6" xfId="10646" xr:uid="{ED79769F-EA6B-4FF2-A6C4-33E12FCBF4DD}"/>
    <cellStyle name="Vírgula 10 6 2 2 6 2" xfId="30989" xr:uid="{8FDAE2A0-5D43-45AE-8000-CD81562FEFB9}"/>
    <cellStyle name="Vírgula 10 6 2 2 7" xfId="27495" xr:uid="{4190B0A0-9705-4398-969C-B658EF409BEC}"/>
    <cellStyle name="Vírgula 10 6 2 3" xfId="16275" xr:uid="{BA492AAB-FAAC-4158-98D0-2B5481A21900}"/>
    <cellStyle name="Vírgula 10 6 2 3 2" xfId="36615" xr:uid="{645A021F-C16D-46C3-B921-8B24A3EA0D36}"/>
    <cellStyle name="Vírgula 10 6 2 4" xfId="19777" xr:uid="{78EADF5B-B15A-4AA5-B265-48D5DABAFDF4}"/>
    <cellStyle name="Vírgula 10 6 2 4 2" xfId="40116" xr:uid="{43EB552B-951C-43C1-8548-D3F636CAA7FB}"/>
    <cellStyle name="Vírgula 10 6 2 5" xfId="23032" xr:uid="{EE948C0D-14C6-49EC-8A9C-57A356560ED1}"/>
    <cellStyle name="Vírgula 10 6 2 5 2" xfId="43367" xr:uid="{D55D6FDF-5533-4AC5-8535-3BC0A0C33EA8}"/>
    <cellStyle name="Vírgula 10 6 2 6" xfId="13366" xr:uid="{36F5157C-48AE-428A-944D-498AF4FFC20D}"/>
    <cellStyle name="Vírgula 10 6 2 6 2" xfId="33707" xr:uid="{F5DD47F9-FB5B-4C3D-95D1-53A28E15145C}"/>
    <cellStyle name="Vírgula 10 6 2 7" xfId="9488" xr:uid="{1ADAFC46-FD5F-47EE-BA07-DE3FCB8051A9}"/>
    <cellStyle name="Vírgula 10 6 2 7 2" xfId="29831" xr:uid="{5D2DC85E-41F0-4407-A3DF-F9E4A9EDC87F}"/>
    <cellStyle name="Vírgula 10 6 2 8" xfId="26337" xr:uid="{D6289758-5B63-4AA9-A272-BDDBA0CAF4F2}"/>
    <cellStyle name="Vírgula 10 6 2 9" xfId="46197" xr:uid="{041AEC66-00FE-482B-9D3C-9FA165ED5592}"/>
    <cellStyle name="Vírgula 10 6 20" xfId="4853" xr:uid="{61FEAF76-3599-4AFA-A862-A7076D0CB0F6}"/>
    <cellStyle name="Vírgula 10 6 3" xfId="6566" xr:uid="{E652257A-2AC2-4899-8EDE-92F45FC0172D}"/>
    <cellStyle name="Vírgula 10 6 3 2" xfId="16852" xr:uid="{780D4300-BAA7-4DDC-9629-50CADEAF9333}"/>
    <cellStyle name="Vírgula 10 6 3 2 2" xfId="37192" xr:uid="{6E243302-3049-4A9F-9399-EB14FB5F1463}"/>
    <cellStyle name="Vírgula 10 6 3 3" xfId="20354" xr:uid="{551B7811-E0E6-4AAD-8C7F-8D80471D76D7}"/>
    <cellStyle name="Vírgula 10 6 3 3 2" xfId="40693" xr:uid="{49982146-FE4F-480C-AC35-ABE831897A58}"/>
    <cellStyle name="Vírgula 10 6 3 4" xfId="23609" xr:uid="{3AEE26ED-DE26-4F03-B7A2-877B9131EEBF}"/>
    <cellStyle name="Vírgula 10 6 3 4 2" xfId="43944" xr:uid="{77D55813-EED0-4684-8679-7C1C7ABC7A72}"/>
    <cellStyle name="Vírgula 10 6 3 5" xfId="13943" xr:uid="{3F49BC13-9C0E-4285-A5A8-BD64B3F246CA}"/>
    <cellStyle name="Vírgula 10 6 3 5 2" xfId="34284" xr:uid="{063456BF-4E7D-4051-8FAD-AE07C5F4A5A9}"/>
    <cellStyle name="Vírgula 10 6 3 6" xfId="10065" xr:uid="{031B8A4A-E29C-4EF6-AAC2-96E683A2918F}"/>
    <cellStyle name="Vírgula 10 6 3 6 2" xfId="30408" xr:uid="{86101B98-D7EC-4532-B6B5-33B0C0D29E0E}"/>
    <cellStyle name="Vírgula 10 6 3 7" xfId="26914" xr:uid="{CA9F6043-DC6A-4C09-A3B6-C086B6013F07}"/>
    <cellStyle name="Vírgula 10 6 3 8" xfId="56390" xr:uid="{7BB07A18-D33B-4B4C-A66C-937A5EF5AFEA}"/>
    <cellStyle name="Vírgula 10 6 4" xfId="7730" xr:uid="{8BEF1F65-B6E7-4019-BC6C-F92FFD613B8B}"/>
    <cellStyle name="Vírgula 10 6 4 2" xfId="18015" xr:uid="{85D4BEB7-D22F-420A-A4B2-60BFBA025A9B}"/>
    <cellStyle name="Vírgula 10 6 4 2 2" xfId="38355" xr:uid="{6D59844E-8914-4160-9266-E6F38AB88B1D}"/>
    <cellStyle name="Vírgula 10 6 4 3" xfId="21517" xr:uid="{89BB0B96-D477-4E0C-857E-A7BCB3322594}"/>
    <cellStyle name="Vírgula 10 6 4 3 2" xfId="41856" xr:uid="{BD5F2E14-E267-4E45-B551-B183A513DD38}"/>
    <cellStyle name="Vírgula 10 6 4 4" xfId="24772" xr:uid="{640B9BD3-1D85-4A16-A2C7-9CF446AED872}"/>
    <cellStyle name="Vírgula 10 6 4 4 2" xfId="45107" xr:uid="{F965EACC-CB6C-45B3-9455-B6A178A1C44F}"/>
    <cellStyle name="Vírgula 10 6 4 5" xfId="15107" xr:uid="{F80FB410-D03A-46BC-8DAE-983260B29032}"/>
    <cellStyle name="Vírgula 10 6 4 5 2" xfId="35447" xr:uid="{FF3C3C4B-4737-453F-A091-C16DB5880393}"/>
    <cellStyle name="Vírgula 10 6 4 6" xfId="11228" xr:uid="{CDBE5AA5-DBD5-44DE-A75D-F67E33112CBA}"/>
    <cellStyle name="Vírgula 10 6 4 6 2" xfId="31571" xr:uid="{24678A43-22DE-45D1-A085-8704C57CF9E5}"/>
    <cellStyle name="Vírgula 10 6 4 7" xfId="28077" xr:uid="{9B55E198-B3E4-4D59-8832-F5B0718AA8EA}"/>
    <cellStyle name="Vírgula 10 6 5" xfId="8198" xr:uid="{7408270F-8ABB-4317-AAAF-1D09002E8FD7}"/>
    <cellStyle name="Vírgula 10 6 5 2" xfId="21985" xr:uid="{79DB198E-5FC4-474F-8EEE-3AEB0259EE5A}"/>
    <cellStyle name="Vírgula 10 6 5 2 2" xfId="42321" xr:uid="{5807609C-A1C6-467E-B1C7-87C06559BF03}"/>
    <cellStyle name="Vírgula 10 6 5 3" xfId="25237" xr:uid="{85EE3244-68CE-4B7C-8441-2F5544003573}"/>
    <cellStyle name="Vírgula 10 6 5 3 2" xfId="45572" xr:uid="{666D848E-DA12-4CF7-9589-EC48B955153B}"/>
    <cellStyle name="Vírgula 10 6 5 4" xfId="12797" xr:uid="{794165B1-4F09-4B69-9242-6B95F3CBA21C}"/>
    <cellStyle name="Vírgula 10 6 5 4 2" xfId="33138" xr:uid="{B65E4266-3241-4FE7-8021-DD12EAE76A0B}"/>
    <cellStyle name="Vírgula 10 6 5 5" xfId="11694" xr:uid="{CD64ACC3-97B7-4E1A-89E9-65267015F699}"/>
    <cellStyle name="Vírgula 10 6 5 5 2" xfId="32036" xr:uid="{6878D823-FBC2-4A15-99DB-3AA5B31572FD}"/>
    <cellStyle name="Vírgula 10 6 5 6" xfId="28542" xr:uid="{3617C246-8A68-4BE7-9832-211082C89038}"/>
    <cellStyle name="Vírgula 10 6 6" xfId="8579" xr:uid="{BA3B7DFB-D5A3-4131-9E22-4BBF2AEE90DE}"/>
    <cellStyle name="Vírgula 10 6 6 2" xfId="15694" xr:uid="{19C401E5-AA12-4990-A67F-5A70226D3012}"/>
    <cellStyle name="Vírgula 10 6 6 2 2" xfId="36034" xr:uid="{9D5CF75D-2ED7-41F4-B905-93BFE537B8FF}"/>
    <cellStyle name="Vírgula 10 6 6 3" xfId="28922" xr:uid="{8E1FDFAB-25F5-40DF-A49B-41A38019C377}"/>
    <cellStyle name="Vírgula 10 6 7" xfId="18608" xr:uid="{75FB47D1-64B8-4E4F-AC76-73D518B35FC0}"/>
    <cellStyle name="Vírgula 10 6 7 2" xfId="38948" xr:uid="{576BB35F-A878-479E-AAA6-60CADE1A2707}"/>
    <cellStyle name="Vírgula 10 6 8" xfId="19196" xr:uid="{D6E03B9C-A8D5-48C6-89B8-964AB8C45373}"/>
    <cellStyle name="Vírgula 10 6 8 2" xfId="39535" xr:uid="{C837E295-68D5-404B-B0EA-3FEFC5FC07E1}"/>
    <cellStyle name="Vírgula 10 6 9" xfId="22451" xr:uid="{76ACC919-14BB-457C-857A-16AB34552A08}"/>
    <cellStyle name="Vírgula 10 6 9 2" xfId="42786" xr:uid="{DCC67FD6-55AE-47AB-8244-AD384A02D9FB}"/>
    <cellStyle name="Vírgula 10 7" xfId="2068" xr:uid="{87B56A30-DC12-46CA-A575-9A31568AA510}"/>
    <cellStyle name="Vírgula 10 7 10" xfId="12226" xr:uid="{129EB9B5-2751-49AE-9134-C925B1D4FDD6}"/>
    <cellStyle name="Vírgula 10 7 10 2" xfId="32567" xr:uid="{08A13A65-8576-4147-878A-2AE2A93EF26B}"/>
    <cellStyle name="Vírgula 10 7 11" xfId="8965" xr:uid="{3F7D5F0E-98FF-4BF7-A4B0-4DE8B525B39F}"/>
    <cellStyle name="Vírgula 10 7 11 2" xfId="29308" xr:uid="{51DE435C-3CCD-49DD-97DB-99DECE038687}"/>
    <cellStyle name="Vírgula 10 7 12" xfId="25814" xr:uid="{61F1BF36-6470-4D88-80BB-5A959AACDEAA}"/>
    <cellStyle name="Vírgula 10 7 13" xfId="46052" xr:uid="{E6204BF3-E61A-4473-9429-9A922143D99A}"/>
    <cellStyle name="Vírgula 10 7 14" xfId="46538" xr:uid="{498BE068-F2FE-48FF-8DF1-262642BB0F03}"/>
    <cellStyle name="Vírgula 10 7 15" xfId="47030" xr:uid="{201886DB-85EA-40C7-97A0-5D164FF75580}"/>
    <cellStyle name="Vírgula 10 7 16" xfId="51654" xr:uid="{AE7FADBA-023B-4234-9A47-1628F4745A57}"/>
    <cellStyle name="Vírgula 10 7 17" xfId="54948" xr:uid="{B8C7A1F6-A8DD-41F4-B291-160DD3EF8107}"/>
    <cellStyle name="Vírgula 10 7 18" xfId="5475" xr:uid="{AFCAE659-D0A2-491B-9666-C527BA44ED7D}"/>
    <cellStyle name="Vírgula 10 7 19" xfId="4955" xr:uid="{297DDED0-4A77-4523-9B60-5499D466878D}"/>
    <cellStyle name="Vírgula 10 7 2" xfId="6047" xr:uid="{4BFDD0DB-C324-451A-A760-EAE0ADEB114E}"/>
    <cellStyle name="Vírgula 10 7 2 2" xfId="7205" xr:uid="{50049B04-049E-42DC-A787-3FD6FD119307}"/>
    <cellStyle name="Vírgula 10 7 2 2 2" xfId="17491" xr:uid="{1E939030-22E8-4E2B-9046-08C5B7CD01C8}"/>
    <cellStyle name="Vírgula 10 7 2 2 2 2" xfId="37831" xr:uid="{731248F7-6FD0-4503-B804-77ED1DFE2A08}"/>
    <cellStyle name="Vírgula 10 7 2 2 3" xfId="20993" xr:uid="{FCB49FD5-6D45-41A5-B06E-BA599C33AC21}"/>
    <cellStyle name="Vírgula 10 7 2 2 3 2" xfId="41332" xr:uid="{88F3053C-2587-4755-B92E-757B4A1F4209}"/>
    <cellStyle name="Vírgula 10 7 2 2 4" xfId="24248" xr:uid="{46E80058-4159-447F-9A44-A65871875FDD}"/>
    <cellStyle name="Vírgula 10 7 2 2 4 2" xfId="44583" xr:uid="{6927C2E8-A751-4653-8582-C04C65B7EB39}"/>
    <cellStyle name="Vírgula 10 7 2 2 5" xfId="14582" xr:uid="{A28178F1-3BEF-4F10-B5C8-06DBA37E4D3A}"/>
    <cellStyle name="Vírgula 10 7 2 2 5 2" xfId="34923" xr:uid="{40902D3F-3CB3-4B07-8C27-D3914C3BCA64}"/>
    <cellStyle name="Vírgula 10 7 2 2 6" xfId="10704" xr:uid="{7814A6DE-E304-4068-BC2F-E770A8410E54}"/>
    <cellStyle name="Vírgula 10 7 2 2 6 2" xfId="31047" xr:uid="{D2C2011D-5E4C-4E42-B9BB-88C7A92A0FD9}"/>
    <cellStyle name="Vírgula 10 7 2 2 7" xfId="27553" xr:uid="{117CD03B-ABB5-4869-A0C7-CE74CA9F5058}"/>
    <cellStyle name="Vírgula 10 7 2 3" xfId="16333" xr:uid="{EEE3A694-495C-45AA-9662-915397F3ECA9}"/>
    <cellStyle name="Vírgula 10 7 2 3 2" xfId="36673" xr:uid="{69187819-8C77-4BBA-96B2-2EF5F33BDF3D}"/>
    <cellStyle name="Vírgula 10 7 2 4" xfId="19835" xr:uid="{125CABCF-3FF4-42EF-99C0-A52FAAC99827}"/>
    <cellStyle name="Vírgula 10 7 2 4 2" xfId="40174" xr:uid="{71476A28-5BF7-45F8-BE5F-1FF9508EA7D2}"/>
    <cellStyle name="Vírgula 10 7 2 5" xfId="23090" xr:uid="{6E7984FE-DD86-468A-86EE-F3424E599A78}"/>
    <cellStyle name="Vírgula 10 7 2 5 2" xfId="43425" xr:uid="{B624BABE-9350-4712-B3D6-AE1BA0E1BC63}"/>
    <cellStyle name="Vírgula 10 7 2 6" xfId="13424" xr:uid="{38474B01-6CFF-459B-BA8D-0F4EA710039B}"/>
    <cellStyle name="Vírgula 10 7 2 6 2" xfId="33765" xr:uid="{331351C5-75CC-40AE-8E0A-B7410FE09255}"/>
    <cellStyle name="Vírgula 10 7 2 7" xfId="9546" xr:uid="{314D6476-C5BD-4090-AE05-3AF152061C02}"/>
    <cellStyle name="Vírgula 10 7 2 7 2" xfId="29889" xr:uid="{DDA32EE4-2E4C-4D6F-BFA4-9C58AF47BDF6}"/>
    <cellStyle name="Vírgula 10 7 2 8" xfId="26395" xr:uid="{101965E3-C6A1-45A0-98EB-0679DB0B7125}"/>
    <cellStyle name="Vírgula 10 7 3" xfId="6624" xr:uid="{17766F76-B975-4F9D-AE3B-7916EF4CEB60}"/>
    <cellStyle name="Vírgula 10 7 3 2" xfId="16910" xr:uid="{EF6CF5AF-33CE-4B64-A876-329B6FBA1BCF}"/>
    <cellStyle name="Vírgula 10 7 3 2 2" xfId="37250" xr:uid="{3F42C797-F33A-43FE-9D62-F3979B81A305}"/>
    <cellStyle name="Vírgula 10 7 3 3" xfId="20412" xr:uid="{21D63FE3-140D-46A0-A5EC-1DAED6D8B9C5}"/>
    <cellStyle name="Vírgula 10 7 3 3 2" xfId="40751" xr:uid="{4A270007-5F4F-46C5-BCF2-6D9D2BACBF90}"/>
    <cellStyle name="Vírgula 10 7 3 4" xfId="23667" xr:uid="{EEB3A856-0EEC-4BDA-975F-E67062C6360A}"/>
    <cellStyle name="Vírgula 10 7 3 4 2" xfId="44002" xr:uid="{46B3274E-E2B5-4AE1-95E3-9925E9A8EE6A}"/>
    <cellStyle name="Vírgula 10 7 3 5" xfId="14001" xr:uid="{1D7DC0FE-C709-49FD-A414-A2FEE39697D5}"/>
    <cellStyle name="Vírgula 10 7 3 5 2" xfId="34342" xr:uid="{4F5C376D-F64E-4E66-8F78-C8FD3AE6642E}"/>
    <cellStyle name="Vírgula 10 7 3 6" xfId="10123" xr:uid="{A691219C-AB6E-45F9-B12F-17BDA451191C}"/>
    <cellStyle name="Vírgula 10 7 3 6 2" xfId="30466" xr:uid="{62392DA5-2212-4A73-8560-C1B1E84FAC61}"/>
    <cellStyle name="Vírgula 10 7 3 7" xfId="26972" xr:uid="{36A23899-22B1-4C21-9156-30CFCE511AC2}"/>
    <cellStyle name="Vírgula 10 7 4" xfId="7788" xr:uid="{C9841426-B9C0-498A-8FCF-16EC15DCB806}"/>
    <cellStyle name="Vírgula 10 7 4 2" xfId="18073" xr:uid="{964338B7-5380-4C35-8C6B-9CEDE4645AC8}"/>
    <cellStyle name="Vírgula 10 7 4 2 2" xfId="38413" xr:uid="{7BAB0F1B-0FDF-4B0C-9C84-9E606F51A3E4}"/>
    <cellStyle name="Vírgula 10 7 4 3" xfId="21575" xr:uid="{49C669D7-7EAB-4507-94AF-ED228038E04D}"/>
    <cellStyle name="Vírgula 10 7 4 3 2" xfId="41914" xr:uid="{22200EDA-D9A1-41FA-AB58-3B4A6724D162}"/>
    <cellStyle name="Vírgula 10 7 4 4" xfId="24830" xr:uid="{F21E545D-9126-4697-B83A-F3F4DDC1D1D5}"/>
    <cellStyle name="Vírgula 10 7 4 4 2" xfId="45165" xr:uid="{5B3F9FB7-F91E-4331-B4FB-A1C3188A40FB}"/>
    <cellStyle name="Vírgula 10 7 4 5" xfId="15165" xr:uid="{38E6468B-432F-43D9-AA8F-76199D828C28}"/>
    <cellStyle name="Vírgula 10 7 4 5 2" xfId="35505" xr:uid="{4365E2BC-4F00-4A50-B3DE-33FB5B0FBB0A}"/>
    <cellStyle name="Vírgula 10 7 4 6" xfId="11286" xr:uid="{448FBA03-7C9E-4B93-977E-45A76C1B6082}"/>
    <cellStyle name="Vírgula 10 7 4 6 2" xfId="31629" xr:uid="{C397346A-7A24-476D-994E-FE19DF0231A0}"/>
    <cellStyle name="Vírgula 10 7 4 7" xfId="28135" xr:uid="{5F61DC01-9F02-46C4-AE7A-23B95DAD56FC}"/>
    <cellStyle name="Vírgula 10 7 5" xfId="8199" xr:uid="{6A5DC6C1-4D29-47DC-B1A9-E598ADBDECF7}"/>
    <cellStyle name="Vírgula 10 7 5 2" xfId="21986" xr:uid="{E033C487-055B-4F46-A717-EBCA4622DF5C}"/>
    <cellStyle name="Vírgula 10 7 5 2 2" xfId="42322" xr:uid="{BCADF8EB-8665-4EA9-B476-9E4A8C8265A7}"/>
    <cellStyle name="Vírgula 10 7 5 3" xfId="25238" xr:uid="{E0E1DDDB-3A5F-406F-9054-BED4C4514E63}"/>
    <cellStyle name="Vírgula 10 7 5 3 2" xfId="45573" xr:uid="{C36DAB0A-6297-4924-BC3C-71D7B2A9C0DC}"/>
    <cellStyle name="Vírgula 10 7 5 4" xfId="12855" xr:uid="{A081733B-11DF-403D-B90B-07EBE84C8DA1}"/>
    <cellStyle name="Vírgula 10 7 5 4 2" xfId="33196" xr:uid="{C1D08C2C-3DD8-43AE-BE23-A42FB00FBA87}"/>
    <cellStyle name="Vírgula 10 7 5 5" xfId="11695" xr:uid="{6FD3D493-B4A2-4131-8705-3D3E3AC06A32}"/>
    <cellStyle name="Vírgula 10 7 5 5 2" xfId="32037" xr:uid="{B8B8793A-E25D-4883-ADF9-4747E7F1D0BE}"/>
    <cellStyle name="Vírgula 10 7 5 6" xfId="28543" xr:uid="{5F6BF181-3C5A-4E91-B106-1D92035346B7}"/>
    <cellStyle name="Vírgula 10 7 6" xfId="15752" xr:uid="{7C9731C5-0E12-4FF1-BC4C-69933413A8DC}"/>
    <cellStyle name="Vírgula 10 7 6 2" xfId="36092" xr:uid="{76EAE6EE-1267-4103-B8DF-4A3D01BC5A7B}"/>
    <cellStyle name="Vírgula 10 7 7" xfId="18666" xr:uid="{06A28154-4336-437C-BCDD-202EB01BE55C}"/>
    <cellStyle name="Vírgula 10 7 7 2" xfId="39006" xr:uid="{C339FD2C-1BED-4F36-B940-C503F9DE56A0}"/>
    <cellStyle name="Vírgula 10 7 8" xfId="19254" xr:uid="{A91FB94A-2830-4270-A72F-10CFB7019E34}"/>
    <cellStyle name="Vírgula 10 7 8 2" xfId="39593" xr:uid="{4513EE2F-C4A3-4B99-B687-9D962F8CAA2D}"/>
    <cellStyle name="Vírgula 10 7 9" xfId="22509" xr:uid="{E4C89BB9-1179-41DA-A4BC-F5B1AD5F1ACF}"/>
    <cellStyle name="Vírgula 10 7 9 2" xfId="42844" xr:uid="{2DFC50F4-CEFE-4BDB-A6A0-3099EB017824}"/>
    <cellStyle name="Vírgula 10 8" xfId="3430" xr:uid="{87052868-04E1-4370-9030-694AF3B54139}"/>
    <cellStyle name="Vírgula 10 8 10" xfId="12301" xr:uid="{AD03DD01-AC57-4A79-83A1-04A86D5EDFBB}"/>
    <cellStyle name="Vírgula 10 8 10 2" xfId="32642" xr:uid="{B32EB4CB-80BC-4FDD-9280-E1894BFAB7D8}"/>
    <cellStyle name="Vírgula 10 8 11" xfId="9040" xr:uid="{8FB2D08A-F633-4EF3-B52C-9324074C0425}"/>
    <cellStyle name="Vírgula 10 8 11 2" xfId="29383" xr:uid="{19216DC9-7702-49AF-B2E5-819C74602831}"/>
    <cellStyle name="Vírgula 10 8 12" xfId="25889" xr:uid="{3D06B143-C6DA-4B63-90C7-07A163D1155C}"/>
    <cellStyle name="Vírgula 10 8 13" xfId="55981" xr:uid="{A4A5136A-D9D0-4C0B-BB22-C7F91FE1C35D}"/>
    <cellStyle name="Vírgula 10 8 14" xfId="5550" xr:uid="{8D4D7C71-8C8A-434A-9C2A-19D4FA792DC5}"/>
    <cellStyle name="Vírgula 10 8 15" xfId="4774" xr:uid="{4D063E94-8CB9-42BF-9067-E45C1AC49A3F}"/>
    <cellStyle name="Vírgula 10 8 2" xfId="6122" xr:uid="{36160279-A76C-4A9C-959F-9FA9345BDA32}"/>
    <cellStyle name="Vírgula 10 8 2 2" xfId="7280" xr:uid="{9C2A812C-78E6-47AB-9430-1FE1492BF79B}"/>
    <cellStyle name="Vírgula 10 8 2 2 2" xfId="17566" xr:uid="{C215B7F9-1371-4D21-8150-AE0AFA7A5FA7}"/>
    <cellStyle name="Vírgula 10 8 2 2 2 2" xfId="37906" xr:uid="{24159155-C2CF-46A7-84C1-4E813CBB92A5}"/>
    <cellStyle name="Vírgula 10 8 2 2 3" xfId="21068" xr:uid="{56F0259B-E88B-474C-93A7-4ECD7F584031}"/>
    <cellStyle name="Vírgula 10 8 2 2 3 2" xfId="41407" xr:uid="{7C533D4C-6835-41BC-B4CB-BE836E1576F1}"/>
    <cellStyle name="Vírgula 10 8 2 2 4" xfId="24323" xr:uid="{7EF19E09-E425-4845-B1FB-E703D84745A5}"/>
    <cellStyle name="Vírgula 10 8 2 2 4 2" xfId="44658" xr:uid="{4F878501-5469-45DA-A973-2FD91E3DBAF4}"/>
    <cellStyle name="Vírgula 10 8 2 2 5" xfId="14657" xr:uid="{3D0C93E8-3565-4A0B-8844-EF55529E3F96}"/>
    <cellStyle name="Vírgula 10 8 2 2 5 2" xfId="34998" xr:uid="{527A7F91-D40A-4015-8CA1-E828AF0C4191}"/>
    <cellStyle name="Vírgula 10 8 2 2 6" xfId="10779" xr:uid="{B26438F1-96F5-46B1-8009-5D53E1360A91}"/>
    <cellStyle name="Vírgula 10 8 2 2 6 2" xfId="31122" xr:uid="{C1A2622E-D6A0-4FCE-A435-D59CCD857C0D}"/>
    <cellStyle name="Vírgula 10 8 2 2 7" xfId="27628" xr:uid="{55B67E96-B383-4477-BA10-69D3E21C7580}"/>
    <cellStyle name="Vírgula 10 8 2 3" xfId="16408" xr:uid="{496B14DB-7A75-4EF5-AD88-1C10589E5010}"/>
    <cellStyle name="Vírgula 10 8 2 3 2" xfId="36748" xr:uid="{2F3EEC23-EFB1-44A6-8C2C-4A6274868042}"/>
    <cellStyle name="Vírgula 10 8 2 4" xfId="19910" xr:uid="{0F9EEAA6-A088-4D42-8486-672225C51710}"/>
    <cellStyle name="Vírgula 10 8 2 4 2" xfId="40249" xr:uid="{9B7F3C08-9067-44D3-8B00-D6C854907E03}"/>
    <cellStyle name="Vírgula 10 8 2 5" xfId="23165" xr:uid="{C1071699-7F88-463B-9372-B94A1FC9EC4B}"/>
    <cellStyle name="Vírgula 10 8 2 5 2" xfId="43500" xr:uid="{800C59FC-7047-47FF-8F58-E886180FADE6}"/>
    <cellStyle name="Vírgula 10 8 2 6" xfId="13499" xr:uid="{75B43D0E-F0C1-4F6A-8AB0-746B81E91DE0}"/>
    <cellStyle name="Vírgula 10 8 2 6 2" xfId="33840" xr:uid="{B48B6839-5BA1-4A38-97E2-144A254FCEDC}"/>
    <cellStyle name="Vírgula 10 8 2 7" xfId="9621" xr:uid="{044DE89D-4BB4-4769-9BF6-5602168CD60A}"/>
    <cellStyle name="Vírgula 10 8 2 7 2" xfId="29964" xr:uid="{A39E96D5-ACEE-44B4-B498-141B98DDAA33}"/>
    <cellStyle name="Vírgula 10 8 2 8" xfId="26470" xr:uid="{68F8AA52-FAD4-40FD-91F3-9996769281A6}"/>
    <cellStyle name="Vírgula 10 8 3" xfId="6699" xr:uid="{AE8411F4-D5E7-4394-A593-D980F241F3D0}"/>
    <cellStyle name="Vírgula 10 8 3 2" xfId="16985" xr:uid="{353C1892-5794-4DA3-914C-740742F581C6}"/>
    <cellStyle name="Vírgula 10 8 3 2 2" xfId="37325" xr:uid="{D9544F14-A2EC-41E4-B52D-ADC56E469A5E}"/>
    <cellStyle name="Vírgula 10 8 3 3" xfId="20487" xr:uid="{C059DE58-44F7-4BB1-A87A-2CAC15046109}"/>
    <cellStyle name="Vírgula 10 8 3 3 2" xfId="40826" xr:uid="{CF5122CB-A5C7-47A5-AB61-889B9D7AB8B8}"/>
    <cellStyle name="Vírgula 10 8 3 4" xfId="23742" xr:uid="{46E26E17-80D8-4B45-84C0-5C73F3409A89}"/>
    <cellStyle name="Vírgula 10 8 3 4 2" xfId="44077" xr:uid="{B96B839D-163E-4917-AF8B-C5F3E3755AC2}"/>
    <cellStyle name="Vírgula 10 8 3 5" xfId="14076" xr:uid="{0616F4C7-2CD4-4EC1-A165-BF2A7C57A395}"/>
    <cellStyle name="Vírgula 10 8 3 5 2" xfId="34417" xr:uid="{DBE84E01-64F2-4B09-B925-66C2A6544513}"/>
    <cellStyle name="Vírgula 10 8 3 6" xfId="10198" xr:uid="{21D0AC86-8C22-47C2-A444-D4926E00775A}"/>
    <cellStyle name="Vírgula 10 8 3 6 2" xfId="30541" xr:uid="{C5A3BEDA-A1F4-4A38-86E7-000CC86F9853}"/>
    <cellStyle name="Vírgula 10 8 3 7" xfId="27047" xr:uid="{202A4A6C-776E-4B53-94E9-E97B49457253}"/>
    <cellStyle name="Vírgula 10 8 4" xfId="7863" xr:uid="{1BA074B8-32D0-49C1-AC55-EE33B624722A}"/>
    <cellStyle name="Vírgula 10 8 4 2" xfId="18148" xr:uid="{FC0C8F1B-EB2C-4428-8994-BEACBFF6CCFF}"/>
    <cellStyle name="Vírgula 10 8 4 2 2" xfId="38488" xr:uid="{67CB1CAE-4369-4096-8CA7-F431B629C346}"/>
    <cellStyle name="Vírgula 10 8 4 3" xfId="21650" xr:uid="{E659300C-21E0-4902-BF1E-824CCF0ABBA9}"/>
    <cellStyle name="Vírgula 10 8 4 3 2" xfId="41989" xr:uid="{8E6BF676-3764-44C9-B529-35B7AE72FCDA}"/>
    <cellStyle name="Vírgula 10 8 4 4" xfId="24905" xr:uid="{C7ACD6AD-DFB8-41CD-9C7F-4152A69854F9}"/>
    <cellStyle name="Vírgula 10 8 4 4 2" xfId="45240" xr:uid="{0F18E30B-4D69-48AC-A362-CC0B9D776E97}"/>
    <cellStyle name="Vírgula 10 8 4 5" xfId="15240" xr:uid="{DC777FE4-DE5F-4E17-9FD3-F78EDE9694BB}"/>
    <cellStyle name="Vírgula 10 8 4 5 2" xfId="35580" xr:uid="{498BA3D3-1E49-4302-8181-3B2A1D1DF9BC}"/>
    <cellStyle name="Vírgula 10 8 4 6" xfId="11361" xr:uid="{8FB38FD3-59D9-4771-99DC-B65572B79D77}"/>
    <cellStyle name="Vírgula 10 8 4 6 2" xfId="31704" xr:uid="{AC0E1C44-1BBC-4849-BE46-4594BA4CBC1B}"/>
    <cellStyle name="Vírgula 10 8 4 7" xfId="28210" xr:uid="{BE6F9602-ED28-4CD0-8E46-A159E4091C37}"/>
    <cellStyle name="Vírgula 10 8 5" xfId="12930" xr:uid="{0738BAD3-15D4-4209-BFC8-3C9141147E8D}"/>
    <cellStyle name="Vírgula 10 8 5 2" xfId="33271" xr:uid="{A25B0E46-2A72-404A-AD7E-3C002A4C3A5F}"/>
    <cellStyle name="Vírgula 10 8 6" xfId="15827" xr:uid="{D6A7FE96-4780-4D23-A355-CBD44B362DCA}"/>
    <cellStyle name="Vírgula 10 8 6 2" xfId="36167" xr:uid="{336AB5E2-B23B-473B-A5ED-AEC067B3093A}"/>
    <cellStyle name="Vírgula 10 8 7" xfId="18741" xr:uid="{B2DAA521-DE58-49C9-B091-4244FA303D0C}"/>
    <cellStyle name="Vírgula 10 8 7 2" xfId="39081" xr:uid="{3A3D82A5-AE1D-4B6F-AB2A-CE503B354411}"/>
    <cellStyle name="Vírgula 10 8 8" xfId="19329" xr:uid="{801E19FE-C5B3-44F3-92A5-191AC9525348}"/>
    <cellStyle name="Vírgula 10 8 8 2" xfId="39668" xr:uid="{361EBB1F-268D-4E02-B8C7-629B86E8C06B}"/>
    <cellStyle name="Vírgula 10 8 9" xfId="22584" xr:uid="{D8BADE83-C508-4EAD-9BF3-3A5A869F7CDC}"/>
    <cellStyle name="Vírgula 10 8 9 2" xfId="42919" xr:uid="{F7DAC8AA-AACF-457F-BB7C-1CC6586FA9E7}"/>
    <cellStyle name="Vírgula 10 9" xfId="3859" xr:uid="{7CA48612-5018-4BB9-BCF7-78CFFCAA4555}"/>
    <cellStyle name="Vírgula 10 9 10" xfId="12399" xr:uid="{9FBD153C-ADB5-417C-A807-DB307C04BA5F}"/>
    <cellStyle name="Vírgula 10 9 10 2" xfId="32740" xr:uid="{4F61D020-C779-4AED-B2DC-91619F3B78C8}"/>
    <cellStyle name="Vírgula 10 9 11" xfId="9138" xr:uid="{0C59BAD3-793E-41B2-80A2-54E8D852007C}"/>
    <cellStyle name="Vírgula 10 9 11 2" xfId="29481" xr:uid="{DD8CC470-F849-4A46-B959-83982CE9AD16}"/>
    <cellStyle name="Vírgula 10 9 12" xfId="25987" xr:uid="{E6C3437F-42A3-4EF1-B428-7BD193E0199B}"/>
    <cellStyle name="Vírgula 10 9 13" xfId="5648" xr:uid="{0CB49B1A-8C64-44A4-A0B9-C1B9050C7F62}"/>
    <cellStyle name="Vírgula 10 9 2" xfId="6220" xr:uid="{FF9F9684-57EE-4A2F-9720-8842D0BBF26D}"/>
    <cellStyle name="Vírgula 10 9 2 2" xfId="7378" xr:uid="{2E2193F1-924B-4219-AEF9-BFB5453FF040}"/>
    <cellStyle name="Vírgula 10 9 2 2 2" xfId="17664" xr:uid="{72DC2F5C-0A39-4AC8-8476-A95E3A9955AD}"/>
    <cellStyle name="Vírgula 10 9 2 2 2 2" xfId="38004" xr:uid="{B334EB2E-5BA7-4275-89EE-D252CB562232}"/>
    <cellStyle name="Vírgula 10 9 2 2 3" xfId="21166" xr:uid="{371AFC0A-44C3-4099-8BC7-8DBFF5694CA7}"/>
    <cellStyle name="Vírgula 10 9 2 2 3 2" xfId="41505" xr:uid="{A73FEAD6-B74A-494C-A107-7D14CA2483A2}"/>
    <cellStyle name="Vírgula 10 9 2 2 4" xfId="24421" xr:uid="{61ED5164-C4B2-46D3-B5AC-E815CEE6902A}"/>
    <cellStyle name="Vírgula 10 9 2 2 4 2" xfId="44756" xr:uid="{968FD124-CBA2-4AE6-A52F-3775DEA18FB3}"/>
    <cellStyle name="Vírgula 10 9 2 2 5" xfId="14755" xr:uid="{5C4FB52E-9534-4E63-9D97-F4C7A4D564A7}"/>
    <cellStyle name="Vírgula 10 9 2 2 5 2" xfId="35096" xr:uid="{CE0C21FA-980B-4266-8898-84E0B6D528D9}"/>
    <cellStyle name="Vírgula 10 9 2 2 6" xfId="10877" xr:uid="{4A2B79B1-2C0F-434F-B51D-C184E0C6D424}"/>
    <cellStyle name="Vírgula 10 9 2 2 6 2" xfId="31220" xr:uid="{DED4075B-2152-45BC-978A-1CB411505808}"/>
    <cellStyle name="Vírgula 10 9 2 2 7" xfId="27726" xr:uid="{DEF178A4-7FBF-4F84-8BB9-B00912EA047C}"/>
    <cellStyle name="Vírgula 10 9 2 3" xfId="16506" xr:uid="{9C3D57F8-5DB8-411B-81FA-8E459437F4DA}"/>
    <cellStyle name="Vírgula 10 9 2 3 2" xfId="36846" xr:uid="{9E8E7FDC-C096-4153-AB5F-58987E632FD8}"/>
    <cellStyle name="Vírgula 10 9 2 4" xfId="20008" xr:uid="{2E718E53-D98C-45E7-A042-2174AF7758FA}"/>
    <cellStyle name="Vírgula 10 9 2 4 2" xfId="40347" xr:uid="{D1CB960B-E30B-4E1E-9617-BC3F11425917}"/>
    <cellStyle name="Vírgula 10 9 2 5" xfId="23263" xr:uid="{68EEDFA8-5D8B-4EE0-A5D8-0EDC77238DD1}"/>
    <cellStyle name="Vírgula 10 9 2 5 2" xfId="43598" xr:uid="{0CCC30DD-DA44-4618-BBDC-829C8CCAACDB}"/>
    <cellStyle name="Vírgula 10 9 2 6" xfId="13597" xr:uid="{686B43A9-68D7-48DC-83A1-FBF82108C62A}"/>
    <cellStyle name="Vírgula 10 9 2 6 2" xfId="33938" xr:uid="{5BEA996A-B8EC-48F0-BBFB-C2486976E46B}"/>
    <cellStyle name="Vírgula 10 9 2 7" xfId="9719" xr:uid="{209EE1A1-E35D-48A4-87FB-708CF6E32E76}"/>
    <cellStyle name="Vírgula 10 9 2 7 2" xfId="30062" xr:uid="{D4AD83BA-9583-42B5-972A-56ED6AF24C3F}"/>
    <cellStyle name="Vírgula 10 9 2 8" xfId="26568" xr:uid="{10E910B9-F615-4C32-ABAD-186255D6B6E2}"/>
    <cellStyle name="Vírgula 10 9 3" xfId="6797" xr:uid="{328C46A7-EE71-492F-9A23-569255C14B01}"/>
    <cellStyle name="Vírgula 10 9 3 2" xfId="17083" xr:uid="{BD9FD50D-3203-4499-A4DA-5A6A2B7CAE1F}"/>
    <cellStyle name="Vírgula 10 9 3 2 2" xfId="37423" xr:uid="{0832E521-E8C0-4EED-BA98-CEBAF28C0253}"/>
    <cellStyle name="Vírgula 10 9 3 3" xfId="20585" xr:uid="{4FB4F7DF-F022-466A-98D6-FF357C1665F7}"/>
    <cellStyle name="Vírgula 10 9 3 3 2" xfId="40924" xr:uid="{326D8EE2-821E-4961-974B-502A2F466D07}"/>
    <cellStyle name="Vírgula 10 9 3 4" xfId="23840" xr:uid="{F98EB4F0-95A1-4AB9-8ACA-8D322DF67565}"/>
    <cellStyle name="Vírgula 10 9 3 4 2" xfId="44175" xr:uid="{D76FF6B5-5214-4940-9F2C-1E499F34BD0A}"/>
    <cellStyle name="Vírgula 10 9 3 5" xfId="14174" xr:uid="{52D12A9F-337A-4EC8-891E-E4BF82F51202}"/>
    <cellStyle name="Vírgula 10 9 3 5 2" xfId="34515" xr:uid="{8A1E13B6-7362-446C-A215-C38CB7CEDA6E}"/>
    <cellStyle name="Vírgula 10 9 3 6" xfId="10296" xr:uid="{A8292B19-02F7-4F1D-A772-597B774134C4}"/>
    <cellStyle name="Vírgula 10 9 3 6 2" xfId="30639" xr:uid="{B01ECDAD-E431-40FB-8905-791CE6D215C5}"/>
    <cellStyle name="Vírgula 10 9 3 7" xfId="27145" xr:uid="{87720D0A-D621-412D-BD24-C28AC4E8B0D2}"/>
    <cellStyle name="Vírgula 10 9 4" xfId="7961" xr:uid="{6EF14C88-AA65-4368-A8D1-71DD95CF1B85}"/>
    <cellStyle name="Vírgula 10 9 4 2" xfId="18246" xr:uid="{22DD8836-D371-4E28-8CF8-AE93DD36E8D3}"/>
    <cellStyle name="Vírgula 10 9 4 2 2" xfId="38586" xr:uid="{7FF51A26-3CEF-448E-9A9D-003CFB79965E}"/>
    <cellStyle name="Vírgula 10 9 4 3" xfId="21748" xr:uid="{C58A46C8-CB9A-4EF5-BD44-A8B9BA897587}"/>
    <cellStyle name="Vírgula 10 9 4 3 2" xfId="42087" xr:uid="{3B3F722E-ED65-4B71-B3EA-EB8A4880C95F}"/>
    <cellStyle name="Vírgula 10 9 4 4" xfId="25003" xr:uid="{67E31431-3261-4260-BA50-C0707C347D37}"/>
    <cellStyle name="Vírgula 10 9 4 4 2" xfId="45338" xr:uid="{1D1D7870-8215-4628-9D50-9D5BBF8D1F92}"/>
    <cellStyle name="Vírgula 10 9 4 5" xfId="15338" xr:uid="{393C4A0B-2233-4488-B477-2F9F2093DC47}"/>
    <cellStyle name="Vírgula 10 9 4 5 2" xfId="35678" xr:uid="{0ADDC590-922B-4CB5-BF36-A78BCE1D6E4D}"/>
    <cellStyle name="Vírgula 10 9 4 6" xfId="11459" xr:uid="{1A22AB68-7594-4657-A3DE-4C6EDF918842}"/>
    <cellStyle name="Vírgula 10 9 4 6 2" xfId="31802" xr:uid="{2D074C29-B03E-4CB8-867D-D5074837DEC0}"/>
    <cellStyle name="Vírgula 10 9 4 7" xfId="28308" xr:uid="{DF0C35D0-1EE0-423D-97CF-AB4F5D9790E3}"/>
    <cellStyle name="Vírgula 10 9 5" xfId="13028" xr:uid="{9F62F1A4-5321-4122-8550-814A74F6F1B6}"/>
    <cellStyle name="Vírgula 10 9 5 2" xfId="33369" xr:uid="{4FC23516-CEB8-452A-A1CC-678F07C0EEB3}"/>
    <cellStyle name="Vírgula 10 9 6" xfId="15925" xr:uid="{D72AB77B-18F3-4449-A89A-88874AC97CD6}"/>
    <cellStyle name="Vírgula 10 9 6 2" xfId="36265" xr:uid="{BF90630F-D8BF-4433-BAFF-B90A5E1E60D6}"/>
    <cellStyle name="Vírgula 10 9 7" xfId="18839" xr:uid="{8A2CC420-BA5E-47C0-9740-F6A93F559258}"/>
    <cellStyle name="Vírgula 10 9 7 2" xfId="39179" xr:uid="{96B83D8A-15C6-4EFA-A064-F1B052C24414}"/>
    <cellStyle name="Vírgula 10 9 8" xfId="19427" xr:uid="{3402B4AB-D2EB-49B1-8973-D1D33016DFC8}"/>
    <cellStyle name="Vírgula 10 9 8 2" xfId="39766" xr:uid="{D16CE496-83E0-4A18-A1C7-A86DA0EF8845}"/>
    <cellStyle name="Vírgula 10 9 9" xfId="22682" xr:uid="{3CD57943-241E-4FFD-8592-DEC3BD48C56A}"/>
    <cellStyle name="Vírgula 10 9 9 2" xfId="43017" xr:uid="{3388AB17-D3DF-419E-B62E-ED77AD9FF973}"/>
    <cellStyle name="Vírgula 11" xfId="247" xr:uid="{462B2187-70A7-4200-ABAB-F62BCE98D80C}"/>
    <cellStyle name="Vírgula 11 10" xfId="7495" xr:uid="{60EC46BA-BFDB-442B-8338-5713FC799BBA}"/>
    <cellStyle name="Vírgula 11 10 2" xfId="17781" xr:uid="{B2B34F07-2399-449E-A7F1-C58FCB54D93B}"/>
    <cellStyle name="Vírgula 11 10 2 2" xfId="38121" xr:uid="{960DFA3F-DD7F-4C17-B101-A69942D05B54}"/>
    <cellStyle name="Vírgula 11 10 3" xfId="21283" xr:uid="{18FDB55B-4113-418A-9C5B-45535E3D03D7}"/>
    <cellStyle name="Vírgula 11 10 3 2" xfId="41622" xr:uid="{526E3C6A-C701-4869-AD6A-626AD3879883}"/>
    <cellStyle name="Vírgula 11 10 4" xfId="24538" xr:uid="{EA6D89F7-A714-4086-926C-6AE4BC5C747A}"/>
    <cellStyle name="Vírgula 11 10 4 2" xfId="44873" xr:uid="{9136B1C8-2F19-44EE-9746-552B5C836F7E}"/>
    <cellStyle name="Vírgula 11 10 5" xfId="14872" xr:uid="{1899CA8D-8C89-417C-8B86-14740D66876D}"/>
    <cellStyle name="Vírgula 11 10 5 2" xfId="35213" xr:uid="{C1DBF5CA-5444-4231-B95C-0D2FA6F7ECAB}"/>
    <cellStyle name="Vírgula 11 10 6" xfId="10994" xr:uid="{F9D2B778-3D80-420A-A46C-47157F690245}"/>
    <cellStyle name="Vírgula 11 10 6 2" xfId="31337" xr:uid="{78EC8835-7FAF-42D0-800B-304D2C37A449}"/>
    <cellStyle name="Vírgula 11 10 7" xfId="27843" xr:uid="{33359245-C2BB-4C2E-90AA-57D647FAD092}"/>
    <cellStyle name="Vírgula 11 11" xfId="8200" xr:uid="{24ED3A4C-4025-4DD3-BDEE-C42E9A8E39A5}"/>
    <cellStyle name="Vírgula 11 11 2" xfId="21987" xr:uid="{F043BF3C-0432-4F6B-96CA-7DB79E904F5D}"/>
    <cellStyle name="Vírgula 11 11 2 2" xfId="42323" xr:uid="{B50AD8AE-8B37-4DBC-BBD4-9E4E9C32CF98}"/>
    <cellStyle name="Vírgula 11 11 3" xfId="25239" xr:uid="{F8645590-6819-4E8F-ABBD-A958FF9B0D50}"/>
    <cellStyle name="Vírgula 11 11 3 2" xfId="45574" xr:uid="{1AA258C8-C04B-43A9-91DF-36C122E2EDC0}"/>
    <cellStyle name="Vírgula 11 11 4" xfId="12622" xr:uid="{0236BF6B-230D-4CC4-8F99-76F7F5E476D5}"/>
    <cellStyle name="Vírgula 11 11 4 2" xfId="32963" xr:uid="{AA45824E-9A85-4B3D-94E9-1A88826093DE}"/>
    <cellStyle name="Vírgula 11 11 5" xfId="11696" xr:uid="{3C557FFA-DB27-4AC1-A5E3-D647DD6A4C3C}"/>
    <cellStyle name="Vírgula 11 11 5 2" xfId="32038" xr:uid="{DF391A14-4453-4479-96BD-E5CC8D6E42E2}"/>
    <cellStyle name="Vírgula 11 11 6" xfId="28544" xr:uid="{D136C7CB-002B-4DA5-B007-9958E4689473}"/>
    <cellStyle name="Vírgula 11 12" xfId="8464" xr:uid="{3EE71BF7-67D9-47A7-BF27-1809F8CB122B}"/>
    <cellStyle name="Vírgula 11 12 2" xfId="15513" xr:uid="{83CC1F58-E381-40F2-97F8-761D2AC3503D}"/>
    <cellStyle name="Vírgula 11 12 2 2" xfId="35853" xr:uid="{EE1029CB-CCA7-4204-A9BC-6F323D988F9A}"/>
    <cellStyle name="Vírgula 11 12 3" xfId="28807" xr:uid="{7AC8E842-948A-4B16-84CD-C93408E286FE}"/>
    <cellStyle name="Vírgula 11 13" xfId="18374" xr:uid="{565376EF-A118-4DA8-AD25-93668B38D52B}"/>
    <cellStyle name="Vírgula 11 13 2" xfId="38714" xr:uid="{1F8B18E2-C73F-4302-803C-803C87F48C5A}"/>
    <cellStyle name="Vírgula 11 14" xfId="19015" xr:uid="{267EEB49-4438-4BE2-8528-E7E0AEC5FE21}"/>
    <cellStyle name="Vírgula 11 14 2" xfId="39354" xr:uid="{AEA3CBD7-0096-4204-960A-CCB245CC510D}"/>
    <cellStyle name="Vírgula 11 15" xfId="22270" xr:uid="{C14165EE-38C5-4B2F-9707-2F20C1456A69}"/>
    <cellStyle name="Vírgula 11 15 2" xfId="42605" xr:uid="{246C0B3A-1410-487B-A35F-AE6BFBB9E1D9}"/>
    <cellStyle name="Vírgula 11 16" xfId="11934" xr:uid="{ADAEAFE5-7F07-4F1E-9FC0-F9DDADC6DFAD}"/>
    <cellStyle name="Vírgula 11 16 2" xfId="32275" xr:uid="{59AC22B0-1BA5-4FC1-A829-1FB42805DC72}"/>
    <cellStyle name="Vírgula 11 17" xfId="8726" xr:uid="{1ABA6CA9-932C-4F97-8C48-6868B9FADE5F}"/>
    <cellStyle name="Vírgula 11 17 2" xfId="29069" xr:uid="{D7120647-480B-42F7-A8E7-A4A44EC75F03}"/>
    <cellStyle name="Vírgula 11 18" xfId="25571" xr:uid="{1F13F484-B666-47DF-AD3C-240AD7F25F4E}"/>
    <cellStyle name="Vírgula 11 19" xfId="45839" xr:uid="{F4909F90-5F2D-4A00-B56B-6523B572A494}"/>
    <cellStyle name="Vírgula 11 2" xfId="436" xr:uid="{40AA1CC0-AABC-4CE0-94F1-153B699722FB}"/>
    <cellStyle name="Vírgula 11 2 10" xfId="22385" xr:uid="{4F041E6F-B0BE-47FC-83A3-C72FEB6B2A2E}"/>
    <cellStyle name="Vírgula 11 2 10 2" xfId="42720" xr:uid="{05AD05A6-5E43-4D89-BB9D-989911B70766}"/>
    <cellStyle name="Vírgula 11 2 11" xfId="12102" xr:uid="{FEEBEC52-2663-43C8-B362-71585C7B1C6F}"/>
    <cellStyle name="Vírgula 11 2 11 2" xfId="32443" xr:uid="{0E270223-ECC2-41FD-9AED-B874BD925F47}"/>
    <cellStyle name="Vírgula 11 2 12" xfId="8841" xr:uid="{49E9B3FE-CAF9-4E83-A919-9F37D4B310A4}"/>
    <cellStyle name="Vírgula 11 2 12 2" xfId="29184" xr:uid="{25B4F657-DC18-40F7-AFAF-72562F9B05C1}"/>
    <cellStyle name="Vírgula 11 2 13" xfId="25690" xr:uid="{E95C40A3-B163-4D6D-806E-DA5ABF999867}"/>
    <cellStyle name="Vírgula 11 2 14" xfId="45899" xr:uid="{51C41B37-A359-4E3C-94C7-F0F5D005BBBD}"/>
    <cellStyle name="Vírgula 11 2 15" xfId="46385" xr:uid="{9D8A3B64-8B1F-4A88-885D-C1E66334DE48}"/>
    <cellStyle name="Vírgula 11 2 16" xfId="46877" xr:uid="{12BB150A-7306-4C9D-903B-0C6536248843}"/>
    <cellStyle name="Vírgula 11 2 17" xfId="48366" xr:uid="{48104800-0586-402C-882A-BD52D3B83C42}"/>
    <cellStyle name="Vírgula 11 2 18" xfId="50034" xr:uid="{548A55F7-52B9-474B-BC47-F882AE54C44E}"/>
    <cellStyle name="Vírgula 11 2 19" xfId="53329" xr:uid="{D91B974C-5561-4D76-9F89-42CA48F88F70}"/>
    <cellStyle name="Vírgula 11 2 2" xfId="1252" xr:uid="{EA1D0232-79DF-4280-B86F-01231E310EA0}"/>
    <cellStyle name="Vírgula 11 2 2 10" xfId="12489" xr:uid="{448951DB-2393-440A-896B-6EBD5948CD79}"/>
    <cellStyle name="Vírgula 11 2 2 10 2" xfId="32830" xr:uid="{52749E6B-C0D8-4BB7-8587-CD0EED9D927E}"/>
    <cellStyle name="Vírgula 11 2 2 11" xfId="9228" xr:uid="{CD1749A6-EB79-4A1B-9B9C-6FBAF89C74F9}"/>
    <cellStyle name="Vírgula 11 2 2 11 2" xfId="29571" xr:uid="{7A11DB0C-88DD-46B0-8052-795A34B49F74}"/>
    <cellStyle name="Vírgula 11 2 2 12" xfId="26077" xr:uid="{8DE46A7A-F454-424E-BCE2-C50561628F26}"/>
    <cellStyle name="Vírgula 11 2 2 13" xfId="45974" xr:uid="{189E1D6B-1D5F-49D9-82C2-A92B02C411D4}"/>
    <cellStyle name="Vírgula 11 2 2 14" xfId="46460" xr:uid="{23D70D30-1327-42AD-A007-9C1B7AA8FED6}"/>
    <cellStyle name="Vírgula 11 2 2 15" xfId="46952" xr:uid="{AEB83E71-3A9E-4DED-9170-C942B1D51BCE}"/>
    <cellStyle name="Vírgula 11 2 2 16" xfId="48367" xr:uid="{10BAEF89-F45D-435D-8ACF-FD6570AC19F7}"/>
    <cellStyle name="Vírgula 11 2 2 17" xfId="50035" xr:uid="{213FEE72-175A-4298-9519-CD21D616735A}"/>
    <cellStyle name="Vírgula 11 2 2 18" xfId="53330" xr:uid="{3EE07A09-F590-499D-8827-FD1359F841CF}"/>
    <cellStyle name="Vírgula 11 2 2 19" xfId="5736" xr:uid="{37141256-ABA0-41F2-BC67-D35A39C8E804}"/>
    <cellStyle name="Vírgula 11 2 2 2" xfId="4076" xr:uid="{3137430B-23F4-4A79-854D-00FB0D32B343}"/>
    <cellStyle name="Vírgula 11 2 2 2 10" xfId="46703" xr:uid="{BF48E7CD-74A7-40E2-969F-ED570E9D8A7F}"/>
    <cellStyle name="Vírgula 11 2 2 2 11" xfId="47195" xr:uid="{30A7EC3C-C0A3-4198-BF0E-E3EC64D257F7}"/>
    <cellStyle name="Vírgula 11 2 2 2 12" xfId="51669" xr:uid="{A62E31A1-BA37-431F-A3DE-9FF45F4CD0E4}"/>
    <cellStyle name="Vírgula 11 2 2 2 13" xfId="54963" xr:uid="{C8E94305-928E-4CFA-8F7C-1FA850DA8A72}"/>
    <cellStyle name="Vírgula 11 2 2 2 14" xfId="6310" xr:uid="{408E49EF-B6DD-4487-B533-1367341A272B}"/>
    <cellStyle name="Vírgula 11 2 2 2 15" xfId="5092" xr:uid="{2870D847-3C32-4294-A0BA-6561C0965FA9}"/>
    <cellStyle name="Vírgula 11 2 2 2 2" xfId="7468" xr:uid="{B43E771E-ED80-4382-90DC-C600C0723AFE}"/>
    <cellStyle name="Vírgula 11 2 2 2 2 2" xfId="17754" xr:uid="{B7043FEC-C6C4-4F25-8273-DD555DECDDB6}"/>
    <cellStyle name="Vírgula 11 2 2 2 2 2 2" xfId="38094" xr:uid="{A276127C-5DE2-488F-9693-82566D5D85A9}"/>
    <cellStyle name="Vírgula 11 2 2 2 2 3" xfId="21256" xr:uid="{5BE302E8-1DFA-4AEF-82E5-D80DA5F26CD8}"/>
    <cellStyle name="Vírgula 11 2 2 2 2 3 2" xfId="41595" xr:uid="{BCEA0494-048E-4232-ACCE-24185E5E1089}"/>
    <cellStyle name="Vírgula 11 2 2 2 2 4" xfId="24511" xr:uid="{465D557D-57E9-4298-8C44-2757E930A684}"/>
    <cellStyle name="Vírgula 11 2 2 2 2 4 2" xfId="44846" xr:uid="{19D57A75-9B07-46B8-8C5D-239545A1E26D}"/>
    <cellStyle name="Vírgula 11 2 2 2 2 5" xfId="14845" xr:uid="{4B59E2E0-9CC7-43E8-933D-2677754AC0D2}"/>
    <cellStyle name="Vírgula 11 2 2 2 2 5 2" xfId="35186" xr:uid="{5F5E440B-C1C9-496F-92BB-6491C484BD25}"/>
    <cellStyle name="Vírgula 11 2 2 2 2 6" xfId="10967" xr:uid="{FBA0B3C3-2A0B-488F-A8FF-12305F65C7B3}"/>
    <cellStyle name="Vírgula 11 2 2 2 2 6 2" xfId="31310" xr:uid="{7346AF92-169D-4FA4-A1A7-CC3677ACFB44}"/>
    <cellStyle name="Vírgula 11 2 2 2 2 7" xfId="27816" xr:uid="{8527DBF9-C867-403E-8BB4-E281A9294F71}"/>
    <cellStyle name="Vírgula 11 2 2 2 3" xfId="8203" xr:uid="{ACD6F043-C257-490B-994B-3E2D410060DB}"/>
    <cellStyle name="Vírgula 11 2 2 2 3 2" xfId="21990" xr:uid="{884E0202-19BF-4A47-9409-18D8D5B8B64A}"/>
    <cellStyle name="Vírgula 11 2 2 2 3 2 2" xfId="42326" xr:uid="{109E22CD-DEA4-492B-8840-9CA79BAD2E21}"/>
    <cellStyle name="Vírgula 11 2 2 2 3 3" xfId="25242" xr:uid="{60426117-2955-4A70-88AA-724ED3C2B110}"/>
    <cellStyle name="Vírgula 11 2 2 2 3 3 2" xfId="45577" xr:uid="{4EFACEE2-307F-452A-BD77-500401F8D03D}"/>
    <cellStyle name="Vírgula 11 2 2 2 3 4" xfId="16596" xr:uid="{54762C1C-5579-4557-97B9-E30F3A52ADB0}"/>
    <cellStyle name="Vírgula 11 2 2 2 3 4 2" xfId="36936" xr:uid="{1B6B9FAA-E3F3-4DC2-BDBB-FDEFC41DDFD9}"/>
    <cellStyle name="Vírgula 11 2 2 2 3 5" xfId="11699" xr:uid="{1CFEA211-75B8-4539-812F-F66C574F6C48}"/>
    <cellStyle name="Vírgula 11 2 2 2 3 5 2" xfId="32041" xr:uid="{98182C3D-282B-45F2-9DB3-D7E635CFB942}"/>
    <cellStyle name="Vírgula 11 2 2 2 3 6" xfId="28547" xr:uid="{C06A87C7-4112-4599-9365-38C980D64766}"/>
    <cellStyle name="Vírgula 11 2 2 2 4" xfId="20098" xr:uid="{196E9D45-17CA-4854-BFEC-0F6EF5A670D8}"/>
    <cellStyle name="Vírgula 11 2 2 2 4 2" xfId="40437" xr:uid="{62207C32-6D90-4351-A2C8-4D1CAB8C4871}"/>
    <cellStyle name="Vírgula 11 2 2 2 5" xfId="23353" xr:uid="{3C8DACFE-F702-4E54-9345-4AAD3699DA7A}"/>
    <cellStyle name="Vírgula 11 2 2 2 5 2" xfId="43688" xr:uid="{05DAB186-4A6E-4F43-819B-B5DE31815E23}"/>
    <cellStyle name="Vírgula 11 2 2 2 6" xfId="13687" xr:uid="{E6C53B56-35C5-48D4-B5B2-5FF9D07C9DC8}"/>
    <cellStyle name="Vírgula 11 2 2 2 6 2" xfId="34028" xr:uid="{8D0A56C6-EFDB-40E4-A8FE-AA6DA7E89912}"/>
    <cellStyle name="Vírgula 11 2 2 2 7" xfId="9809" xr:uid="{178D05A8-3CF2-46FA-A416-C790F5861207}"/>
    <cellStyle name="Vírgula 11 2 2 2 7 2" xfId="30152" xr:uid="{0150DE1F-D178-4C3A-A72B-3A5EB7A3D785}"/>
    <cellStyle name="Vírgula 11 2 2 2 8" xfId="26658" xr:uid="{CBB6CD45-5381-42D6-9947-0DA9CC89A7D5}"/>
    <cellStyle name="Vírgula 11 2 2 2 9" xfId="46217" xr:uid="{AC30B092-3CA2-4CD4-953C-6F132E59CD12}"/>
    <cellStyle name="Vírgula 11 2 2 20" xfId="4873" xr:uid="{5C52B9CE-15B1-48AB-98E5-9C6462B05D5E}"/>
    <cellStyle name="Vírgula 11 2 2 3" xfId="2913" xr:uid="{41E5FB5F-F83F-404B-9F2E-3B3E127C4B6B}"/>
    <cellStyle name="Vírgula 11 2 2 3 2" xfId="17173" xr:uid="{C28AEB60-BFDC-4BBF-AB1F-1C20FFEDD6C0}"/>
    <cellStyle name="Vírgula 11 2 2 3 2 2" xfId="37513" xr:uid="{176A6899-C2D1-4297-BF02-393A0BA86AEC}"/>
    <cellStyle name="Vírgula 11 2 2 3 3" xfId="20675" xr:uid="{2E289FB8-F5EC-4807-A100-5348693AD638}"/>
    <cellStyle name="Vírgula 11 2 2 3 3 2" xfId="41014" xr:uid="{0ECCBE7C-CA58-411C-8C44-A6F03FD9BC5B}"/>
    <cellStyle name="Vírgula 11 2 2 3 4" xfId="23930" xr:uid="{7AF06C02-2D8B-4107-98A2-21FB09D44EB8}"/>
    <cellStyle name="Vírgula 11 2 2 3 4 2" xfId="44265" xr:uid="{B7ADAB67-F5F8-4A6E-BF0B-22DDB011C108}"/>
    <cellStyle name="Vírgula 11 2 2 3 5" xfId="14264" xr:uid="{CCDA1A19-97E4-40C2-80D1-E78A0E55FD1B}"/>
    <cellStyle name="Vírgula 11 2 2 3 5 2" xfId="34605" xr:uid="{B6DE10B3-843A-4D99-88D0-DD0313DCD8CF}"/>
    <cellStyle name="Vírgula 11 2 2 3 6" xfId="10386" xr:uid="{7D0261F6-1257-468C-AF79-D27D2B3553A2}"/>
    <cellStyle name="Vírgula 11 2 2 3 6 2" xfId="30729" xr:uid="{2152D1F1-9A79-44D3-96CC-4C657F049B38}"/>
    <cellStyle name="Vírgula 11 2 2 3 7" xfId="27235" xr:uid="{9BFF0325-B3E1-42F0-88CC-7E3DD1BCA837}"/>
    <cellStyle name="Vírgula 11 2 2 3 8" xfId="57123" xr:uid="{AF0287EF-D612-45EF-805B-8310EDABBCCF}"/>
    <cellStyle name="Vírgula 11 2 2 3 9" xfId="6887" xr:uid="{473A3D64-C0BB-4C0E-9A71-89A9FF63F203}"/>
    <cellStyle name="Vírgula 11 2 2 4" xfId="8051" xr:uid="{4307A34A-4A94-4532-8E31-C55942E42B2B}"/>
    <cellStyle name="Vírgula 11 2 2 4 2" xfId="18336" xr:uid="{40024DF6-2ECA-4BE4-8670-CB7B724ABF7E}"/>
    <cellStyle name="Vírgula 11 2 2 4 2 2" xfId="38676" xr:uid="{56F82759-4349-4A51-A49A-80BE3A9E662B}"/>
    <cellStyle name="Vírgula 11 2 2 4 3" xfId="21838" xr:uid="{55D28F97-1F59-45EF-AD9B-EC0D13F1A77C}"/>
    <cellStyle name="Vírgula 11 2 2 4 3 2" xfId="42177" xr:uid="{3463CD1D-26EB-417A-8F44-F54799D029A9}"/>
    <cellStyle name="Vírgula 11 2 2 4 4" xfId="25093" xr:uid="{28349A22-99D1-4D82-ACC0-690EEBA479A2}"/>
    <cellStyle name="Vírgula 11 2 2 4 4 2" xfId="45428" xr:uid="{FFD07027-3015-457E-B58A-876CAA34B84C}"/>
    <cellStyle name="Vírgula 11 2 2 4 5" xfId="15428" xr:uid="{F8C9FBCA-9969-40FD-8969-47A08D267073}"/>
    <cellStyle name="Vírgula 11 2 2 4 5 2" xfId="35768" xr:uid="{4E05978B-5783-451D-B11A-CC69FA38A759}"/>
    <cellStyle name="Vírgula 11 2 2 4 6" xfId="11549" xr:uid="{335A4B1C-AF14-499F-99DA-837A84D58777}"/>
    <cellStyle name="Vírgula 11 2 2 4 6 2" xfId="31892" xr:uid="{485EE8C4-FD08-4F63-A413-DCD71B7E34E2}"/>
    <cellStyle name="Vírgula 11 2 2 4 7" xfId="28398" xr:uid="{451A209A-7DD9-414D-984E-0DF45C50E8B5}"/>
    <cellStyle name="Vírgula 11 2 2 5" xfId="8202" xr:uid="{F4A372EB-806B-4882-8BFC-C7DFAB1419C5}"/>
    <cellStyle name="Vírgula 11 2 2 5 2" xfId="21989" xr:uid="{8DD20175-89B9-4777-9695-DEC00A833CF3}"/>
    <cellStyle name="Vírgula 11 2 2 5 2 2" xfId="42325" xr:uid="{04060E92-889B-43FB-B31D-8551BEE38332}"/>
    <cellStyle name="Vírgula 11 2 2 5 3" xfId="25241" xr:uid="{062BB6CA-8AF3-4BA6-BF77-71BCE3C7816D}"/>
    <cellStyle name="Vírgula 11 2 2 5 3 2" xfId="45576" xr:uid="{887DC674-F462-4CD2-839D-E1ED5A679390}"/>
    <cellStyle name="Vírgula 11 2 2 5 4" xfId="13118" xr:uid="{189C57F7-07FA-42D9-92A8-ED4079D341B3}"/>
    <cellStyle name="Vírgula 11 2 2 5 4 2" xfId="33459" xr:uid="{F58DD255-6BF7-4C8F-B246-8F9EE2B39BDD}"/>
    <cellStyle name="Vírgula 11 2 2 5 5" xfId="11698" xr:uid="{BBD26EFA-C94D-4ECB-B542-10FD62089270}"/>
    <cellStyle name="Vírgula 11 2 2 5 5 2" xfId="32040" xr:uid="{D45A369D-85C1-4121-81EE-BCE50992B6A8}"/>
    <cellStyle name="Vírgula 11 2 2 5 6" xfId="28546" xr:uid="{C671F036-F5FF-43C0-9B8C-53F80B859515}"/>
    <cellStyle name="Vírgula 11 2 2 6" xfId="8599" xr:uid="{C2CEF635-09A0-460A-A7F6-FACC8598E6CF}"/>
    <cellStyle name="Vírgula 11 2 2 6 2" xfId="16015" xr:uid="{8D5A5772-4751-4B10-88DE-833DB84A76FD}"/>
    <cellStyle name="Vírgula 11 2 2 6 2 2" xfId="36355" xr:uid="{C459BAB3-61AC-4AAB-8309-7AD42890F4BA}"/>
    <cellStyle name="Vírgula 11 2 2 6 3" xfId="28942" xr:uid="{A254D0B6-7155-4B13-A93F-C017C60B105C}"/>
    <cellStyle name="Vírgula 11 2 2 7" xfId="18929" xr:uid="{6BE9B61E-6273-4C9A-AAB7-A6A72AEDAA93}"/>
    <cellStyle name="Vírgula 11 2 2 7 2" xfId="39269" xr:uid="{1B5B461A-17F1-42E4-A200-F6C354907330}"/>
    <cellStyle name="Vírgula 11 2 2 8" xfId="19517" xr:uid="{F03EBBFD-DFE6-47D9-8788-7CF7EA142333}"/>
    <cellStyle name="Vírgula 11 2 2 8 2" xfId="39856" xr:uid="{F2235C80-BC04-4D2B-9784-6CB6A5FECA8C}"/>
    <cellStyle name="Vírgula 11 2 2 9" xfId="22772" xr:uid="{CCB677E1-4A12-43C6-8714-B43B260EFC6D}"/>
    <cellStyle name="Vírgula 11 2 2 9 2" xfId="43107" xr:uid="{A766CEF6-D8B8-4AA5-BD90-E15CC8D8E14B}"/>
    <cellStyle name="Vírgula 11 2 20" xfId="5365" xr:uid="{57EECA33-D891-45CD-98C0-70FB8092BBE6}"/>
    <cellStyle name="Vírgula 11 2 21" xfId="4717" xr:uid="{C84F4AD2-996F-42F0-B9F3-4837440F4E21}"/>
    <cellStyle name="Vírgula 11 2 3" xfId="1658" xr:uid="{23D6D2B9-7B5F-4612-B065-CB63CB2C5FDF}"/>
    <cellStyle name="Vírgula 11 2 3 10" xfId="46459" xr:uid="{C764D675-7061-40E6-81AA-441FB08CA585}"/>
    <cellStyle name="Vírgula 11 2 3 11" xfId="46951" xr:uid="{40A943C0-1828-4B50-9B68-89224A30B4D6}"/>
    <cellStyle name="Vírgula 11 2 3 12" xfId="48368" xr:uid="{9AD50B64-4F1E-427F-965A-1F109DE1277E}"/>
    <cellStyle name="Vírgula 11 2 3 13" xfId="50036" xr:uid="{782DD9C5-F322-4EFC-9F2B-BBC08B093FF9}"/>
    <cellStyle name="Vírgula 11 2 3 14" xfId="53331" xr:uid="{428CD5B3-B926-4ED6-8ADD-1245E5D94C0E}"/>
    <cellStyle name="Vírgula 11 2 3 15" xfId="5923" xr:uid="{87080066-2D1F-4533-8871-D1B6367C8725}"/>
    <cellStyle name="Vírgula 11 2 3 16" xfId="4872" xr:uid="{8CA9B105-F711-44EB-BD84-B8A06E64A62F}"/>
    <cellStyle name="Vírgula 11 2 3 2" xfId="4248" xr:uid="{5FC87F95-984B-4F52-9114-43C70DA9D4B5}"/>
    <cellStyle name="Vírgula 11 2 3 2 10" xfId="47194" xr:uid="{DC8F4C4B-7447-48DD-B44D-EC63C12CCD26}"/>
    <cellStyle name="Vírgula 11 2 3 2 11" xfId="51670" xr:uid="{03276790-0D7B-402C-9696-545C2BF11570}"/>
    <cellStyle name="Vírgula 11 2 3 2 12" xfId="54964" xr:uid="{AAC2E985-EC2A-4383-BB32-411B795F0FC8}"/>
    <cellStyle name="Vírgula 11 2 3 2 13" xfId="7081" xr:uid="{63173D65-E227-43F1-A336-A4C42C8A3C3B}"/>
    <cellStyle name="Vírgula 11 2 3 2 14" xfId="5091" xr:uid="{8AC6FF52-DDA2-4C86-8008-90E02FB010B9}"/>
    <cellStyle name="Vírgula 11 2 3 2 2" xfId="17367" xr:uid="{CDDCF87D-D518-4A59-A0A6-6B8E38025532}"/>
    <cellStyle name="Vírgula 11 2 3 2 2 2" xfId="37707" xr:uid="{E8987629-A61B-47B5-86E2-3D06FB6C1AF7}"/>
    <cellStyle name="Vírgula 11 2 3 2 3" xfId="20869" xr:uid="{728FDE77-5138-4F9F-8AF7-EC36825DCCCE}"/>
    <cellStyle name="Vírgula 11 2 3 2 3 2" xfId="41208" xr:uid="{D9152611-0AFF-48E6-A35F-C505B8CA7868}"/>
    <cellStyle name="Vírgula 11 2 3 2 4" xfId="24124" xr:uid="{FBD12968-296F-4AD0-9A94-A23DA11BE675}"/>
    <cellStyle name="Vírgula 11 2 3 2 4 2" xfId="44459" xr:uid="{15C20E0A-5CD9-4DCB-841C-70A6FA881031}"/>
    <cellStyle name="Vírgula 11 2 3 2 5" xfId="14458" xr:uid="{82A2E25D-B45E-4847-9521-91104E17DBB4}"/>
    <cellStyle name="Vírgula 11 2 3 2 5 2" xfId="34799" xr:uid="{6390CE83-EAAB-45E7-82AA-85869E36A072}"/>
    <cellStyle name="Vírgula 11 2 3 2 6" xfId="10580" xr:uid="{B76DB11D-E6B4-445E-A17C-30BEF788096B}"/>
    <cellStyle name="Vírgula 11 2 3 2 6 2" xfId="30923" xr:uid="{BF8EA650-37DF-4A5F-A342-ADE05FE168BB}"/>
    <cellStyle name="Vírgula 11 2 3 2 7" xfId="27429" xr:uid="{51F6D51F-31CB-44D4-90E1-DDB741876E51}"/>
    <cellStyle name="Vírgula 11 2 3 2 8" xfId="46216" xr:uid="{FEF0CFB2-564F-4685-B814-0DD77AA374C0}"/>
    <cellStyle name="Vírgula 11 2 3 2 9" xfId="46702" xr:uid="{6A175132-F82B-48A0-AD7E-3C3C84B89A0E}"/>
    <cellStyle name="Vírgula 11 2 3 3" xfId="3318" xr:uid="{770DD685-9BDE-49AB-8DE8-4805F4A0D464}"/>
    <cellStyle name="Vírgula 11 2 3 3 2" xfId="21991" xr:uid="{6A290E52-E5B7-4B69-95B9-B6B8594EFDC4}"/>
    <cellStyle name="Vírgula 11 2 3 3 2 2" xfId="42327" xr:uid="{D703CE7F-F172-473E-B350-F5D052F12AEB}"/>
    <cellStyle name="Vírgula 11 2 3 3 3" xfId="25243" xr:uid="{D1614C78-E0D4-43FC-86A5-07D41C2DA17A}"/>
    <cellStyle name="Vírgula 11 2 3 3 3 2" xfId="45578" xr:uid="{498E8659-AA11-4EEF-8703-AEB7A33651AD}"/>
    <cellStyle name="Vírgula 11 2 3 3 4" xfId="16209" xr:uid="{2D207070-666C-44AF-ABC2-9C9EDCA476E4}"/>
    <cellStyle name="Vírgula 11 2 3 3 4 2" xfId="36549" xr:uid="{578020BA-ED26-4C41-BC2A-3680C4AC9CD4}"/>
    <cellStyle name="Vírgula 11 2 3 3 5" xfId="11700" xr:uid="{5A437F65-999B-4572-8578-BE1C9017F0E2}"/>
    <cellStyle name="Vírgula 11 2 3 3 5 2" xfId="32042" xr:uid="{71906848-D55A-4C0E-89B7-3CE3B22E7174}"/>
    <cellStyle name="Vírgula 11 2 3 3 6" xfId="28548" xr:uid="{E0A212A1-925B-4A72-BDDE-C3431740E45A}"/>
    <cellStyle name="Vírgula 11 2 3 3 7" xfId="57529" xr:uid="{AA31D120-123B-4558-8D83-64088830CE2D}"/>
    <cellStyle name="Vírgula 11 2 3 3 8" xfId="8204" xr:uid="{28055566-54B9-49F7-9F6A-D2F0EBAF4B15}"/>
    <cellStyle name="Vírgula 11 2 3 4" xfId="8598" xr:uid="{0AFDDC0A-A049-4C54-96F4-E0A6FB29FBBF}"/>
    <cellStyle name="Vírgula 11 2 3 4 2" xfId="19711" xr:uid="{7B9FADE3-56A2-483C-8E63-1B70D367225A}"/>
    <cellStyle name="Vírgula 11 2 3 4 2 2" xfId="40050" xr:uid="{01D04E2E-BA19-4BCC-BEF3-EA086F27CC3D}"/>
    <cellStyle name="Vírgula 11 2 3 4 3" xfId="28941" xr:uid="{BD04E709-918E-4152-9053-CC9146632C48}"/>
    <cellStyle name="Vírgula 11 2 3 5" xfId="22966" xr:uid="{B849E2BB-5A7F-4F16-940D-6220D5636DCD}"/>
    <cellStyle name="Vírgula 11 2 3 5 2" xfId="43301" xr:uid="{569804E6-D8B8-4B93-B17D-C367C2BD9938}"/>
    <cellStyle name="Vírgula 11 2 3 6" xfId="13302" xr:uid="{0BB31071-0A81-4D0E-8AC5-FA7A0B327A18}"/>
    <cellStyle name="Vírgula 11 2 3 6 2" xfId="33643" xr:uid="{AEB0FAA6-4A7F-4277-B08D-86FEF46E1049}"/>
    <cellStyle name="Vírgula 11 2 3 7" xfId="9422" xr:uid="{ACBBE28A-7646-49A6-8B1D-37F6F175B755}"/>
    <cellStyle name="Vírgula 11 2 3 7 2" xfId="29765" xr:uid="{F80089E3-BD72-4FC4-A77C-C0A801CCF337}"/>
    <cellStyle name="Vírgula 11 2 3 8" xfId="26271" xr:uid="{81C17A5D-C755-4623-B4D7-3AE9CA87EC20}"/>
    <cellStyle name="Vírgula 11 2 3 9" xfId="45973" xr:uid="{22117FE5-1E91-4B47-BB65-E116CFD37264}"/>
    <cellStyle name="Vírgula 11 2 4" xfId="845" xr:uid="{69D0FAA8-6C6F-4AB2-985F-A491D12D9968}"/>
    <cellStyle name="Vírgula 11 2 4 10" xfId="47120" xr:uid="{50122B3E-6915-4B8E-931F-6D4959DB468E}"/>
    <cellStyle name="Vírgula 11 2 4 11" xfId="48369" xr:uid="{6ABD642C-020B-4AB0-826A-D32A872A0AB4}"/>
    <cellStyle name="Vírgula 11 2 4 12" xfId="50037" xr:uid="{56038403-DD80-4EB4-B742-D36652070505}"/>
    <cellStyle name="Vírgula 11 2 4 13" xfId="53332" xr:uid="{34A0CFDD-B354-4E09-AEAE-8D93925271A6}"/>
    <cellStyle name="Vírgula 11 2 4 14" xfId="6500" xr:uid="{F44BDBED-A8C0-463E-ADE8-500E78D4A5E7}"/>
    <cellStyle name="Vírgula 11 2 4 15" xfId="5024" xr:uid="{C94053E7-7935-4B38-96A9-28F832928166}"/>
    <cellStyle name="Vírgula 11 2 4 2" xfId="2561" xr:uid="{EA335F2C-AC4B-434B-9096-C23003EE598A}"/>
    <cellStyle name="Vírgula 11 2 4 2 2" xfId="21992" xr:uid="{073D591A-2420-4A41-9020-AA8B2E13FA69}"/>
    <cellStyle name="Vírgula 11 2 4 2 2 2" xfId="42328" xr:uid="{7A372146-8BC9-4C29-B539-41B8F505858F}"/>
    <cellStyle name="Vírgula 11 2 4 2 3" xfId="25244" xr:uid="{2CF12AA0-A796-4ECC-8A21-BA70CE893EB4}"/>
    <cellStyle name="Vírgula 11 2 4 2 3 2" xfId="45579" xr:uid="{9BC0B838-BCD4-4EE3-9B0D-C36F3F0F228D}"/>
    <cellStyle name="Vírgula 11 2 4 2 4" xfId="16786" xr:uid="{B7272484-2067-42FB-8592-07A02825FB7F}"/>
    <cellStyle name="Vírgula 11 2 4 2 4 2" xfId="37126" xr:uid="{5BB9CB9D-84CA-4F3F-A435-659F7119DB87}"/>
    <cellStyle name="Vírgula 11 2 4 2 5" xfId="11701" xr:uid="{50D67E19-3974-4ADC-80AB-AB05F8EE9916}"/>
    <cellStyle name="Vírgula 11 2 4 2 5 2" xfId="32043" xr:uid="{0C96580D-9E97-40E1-9F52-CE1D8362A2D2}"/>
    <cellStyle name="Vírgula 11 2 4 2 6" xfId="28549" xr:uid="{DC730BD5-4EB3-4EE3-A0B8-A6F6299D0068}"/>
    <cellStyle name="Vírgula 11 2 4 2 7" xfId="51671" xr:uid="{5A6544BB-42CC-4D7F-B733-4138105D0EB5}"/>
    <cellStyle name="Vírgula 11 2 4 2 8" xfId="54965" xr:uid="{A4651DAB-77E6-47A3-8D36-B115CAABD283}"/>
    <cellStyle name="Vírgula 11 2 4 2 9" xfId="8205" xr:uid="{6FE59902-65CD-45B2-80CB-9C8D3E2F823F}"/>
    <cellStyle name="Vírgula 11 2 4 3" xfId="20288" xr:uid="{A8A0DC74-FB2C-451C-9ECE-7228D0D76BA4}"/>
    <cellStyle name="Vírgula 11 2 4 3 2" xfId="40627" xr:uid="{0EEB3110-7A26-4FCA-915A-B95A7C5DEB31}"/>
    <cellStyle name="Vírgula 11 2 4 3 3" xfId="56716" xr:uid="{5821576D-7EB5-4368-9CD6-D2420BAD0111}"/>
    <cellStyle name="Vírgula 11 2 4 4" xfId="23543" xr:uid="{43C397C6-2CDF-4CFD-BAA4-C6736C5FAF6C}"/>
    <cellStyle name="Vírgula 11 2 4 4 2" xfId="43878" xr:uid="{98CB0ABC-A86B-4B64-875B-A5B4F2A54C23}"/>
    <cellStyle name="Vírgula 11 2 4 5" xfId="13877" xr:uid="{02790738-3DF3-456D-B214-601BACC4CF86}"/>
    <cellStyle name="Vírgula 11 2 4 5 2" xfId="34218" xr:uid="{502913AA-0854-49C4-ACF0-9BD44CBF89BA}"/>
    <cellStyle name="Vírgula 11 2 4 6" xfId="9999" xr:uid="{D737D5DA-EDA0-44E3-91FE-1561DBDB0F6C}"/>
    <cellStyle name="Vírgula 11 2 4 6 2" xfId="30342" xr:uid="{67CAF2EF-3078-4202-93D7-D641E519E287}"/>
    <cellStyle name="Vírgula 11 2 4 7" xfId="26848" xr:uid="{C64F175A-3FF5-4D6B-B902-5A45682B61AF}"/>
    <cellStyle name="Vírgula 11 2 4 8" xfId="46142" xr:uid="{85F0D47B-0641-4C5D-BBF4-93CC047F098D}"/>
    <cellStyle name="Vírgula 11 2 4 9" xfId="46628" xr:uid="{5DEB8698-47E7-463F-BFB0-6CA2953BFCB7}"/>
    <cellStyle name="Vírgula 11 2 5" xfId="3905" xr:uid="{45506136-A3B3-4922-BF9D-A736A5BE57DE}"/>
    <cellStyle name="Vírgula 11 2 5 10" xfId="7664" xr:uid="{D3E2DE7A-2A4F-465F-850C-29D93183CFC7}"/>
    <cellStyle name="Vírgula 11 2 5 11" xfId="4811" xr:uid="{85B4E443-A813-4360-9C47-15052B77B055}"/>
    <cellStyle name="Vírgula 11 2 5 2" xfId="17949" xr:uid="{9BC703F8-B870-4050-816E-DFD9EB879E2C}"/>
    <cellStyle name="Vírgula 11 2 5 2 2" xfId="38289" xr:uid="{9C2584DF-ECA0-43CF-8A80-B383F046F9D0}"/>
    <cellStyle name="Vírgula 11 2 5 3" xfId="21451" xr:uid="{0609B5D1-08F1-411B-B081-743B73602187}"/>
    <cellStyle name="Vírgula 11 2 5 3 2" xfId="41790" xr:uid="{38D3EF25-4701-4CF7-836D-8D26C1CE2DFA}"/>
    <cellStyle name="Vírgula 11 2 5 4" xfId="24706" xr:uid="{C85038EC-5A5B-4495-B8EF-F6DB5B8B0819}"/>
    <cellStyle name="Vírgula 11 2 5 4 2" xfId="45041" xr:uid="{A2F6433F-0581-48BE-8824-3EC91D848BC1}"/>
    <cellStyle name="Vírgula 11 2 5 5" xfId="15041" xr:uid="{1D97C1BB-D0E8-40E4-BF4A-8E1A2E21587E}"/>
    <cellStyle name="Vírgula 11 2 5 5 2" xfId="35381" xr:uid="{00BB5A6C-B8ED-4E34-8789-537EDEBEB3A2}"/>
    <cellStyle name="Vírgula 11 2 5 6" xfId="11162" xr:uid="{74195C8F-9EF2-4A37-AEF5-F3734FE903D8}"/>
    <cellStyle name="Vírgula 11 2 5 6 2" xfId="31505" xr:uid="{47D74F8E-4BEE-4D42-A8CC-3594EED9ECAA}"/>
    <cellStyle name="Vírgula 11 2 5 7" xfId="28011" xr:uid="{858BF894-42B1-49C2-9E12-8BD36893A4D3}"/>
    <cellStyle name="Vírgula 11 2 5 8" xfId="51668" xr:uid="{60BA62E9-290A-420D-B6C4-09E5DB9807C8}"/>
    <cellStyle name="Vírgula 11 2 5 9" xfId="54962" xr:uid="{E23C7431-7ADC-47E8-AFEF-4C0AA5EDAF31}"/>
    <cellStyle name="Vírgula 11 2 6" xfId="1942" xr:uid="{42BA97D5-9697-43F6-94AA-2597D163C9D4}"/>
    <cellStyle name="Vírgula 11 2 6 2" xfId="21988" xr:uid="{845B313E-91B5-4FFC-80E5-63E88B91D58D}"/>
    <cellStyle name="Vírgula 11 2 6 2 2" xfId="42324" xr:uid="{3B45411B-7EC6-4829-B710-B34C9F977E66}"/>
    <cellStyle name="Vírgula 11 2 6 3" xfId="25240" xr:uid="{98110128-6043-417C-A1F3-4575238B907E}"/>
    <cellStyle name="Vírgula 11 2 6 3 2" xfId="45575" xr:uid="{F249A618-2F18-4C93-97AF-9D4C053527FF}"/>
    <cellStyle name="Vírgula 11 2 6 4" xfId="12733" xr:uid="{AB4DD1CA-E8AE-4841-ABFD-EAB73E2E8DC1}"/>
    <cellStyle name="Vírgula 11 2 6 4 2" xfId="33074" xr:uid="{ADBA895E-53AD-45FD-A303-606D1C92092E}"/>
    <cellStyle name="Vírgula 11 2 6 5" xfId="11697" xr:uid="{43A5FA56-3D54-4F7D-A085-D6F248CAE601}"/>
    <cellStyle name="Vírgula 11 2 6 5 2" xfId="32039" xr:uid="{60872FD7-3C07-4467-B534-9E7BCCF43791}"/>
    <cellStyle name="Vírgula 11 2 6 6" xfId="28545" xr:uid="{45B63AAB-909B-4FE0-9886-C6E298E9F5BB}"/>
    <cellStyle name="Vírgula 11 2 6 7" xfId="56307" xr:uid="{4DDA8836-3AAA-40FB-B908-3C77210EFF16}"/>
    <cellStyle name="Vírgula 11 2 6 8" xfId="8201" xr:uid="{CC617C06-D9D0-4090-AA87-FEC8534DC5D3}"/>
    <cellStyle name="Vírgula 11 2 7" xfId="8524" xr:uid="{0E82819E-0EBA-442F-A51C-948BF5A2CB29}"/>
    <cellStyle name="Vírgula 11 2 7 2" xfId="15628" xr:uid="{16BA151A-9F18-457E-9166-5EBD4E2630F8}"/>
    <cellStyle name="Vírgula 11 2 7 2 2" xfId="35968" xr:uid="{0E6BC3A4-B135-4265-B1D8-7092A402A345}"/>
    <cellStyle name="Vírgula 11 2 7 3" xfId="28867" xr:uid="{E76C279C-7C63-4119-92B4-844E3ABA2607}"/>
    <cellStyle name="Vírgula 11 2 8" xfId="18542" xr:uid="{A0B3F9B3-90A6-4598-8D17-382CC5E707DB}"/>
    <cellStyle name="Vírgula 11 2 8 2" xfId="38882" xr:uid="{9E392FD8-95CC-4148-B2F2-66B7416EE874}"/>
    <cellStyle name="Vírgula 11 2 9" xfId="19130" xr:uid="{C3ADEC90-ECC3-4DD8-9DB8-2F359CEC67B9}"/>
    <cellStyle name="Vírgula 11 2 9 2" xfId="39469" xr:uid="{A74DB1D8-411A-4388-8093-BAFF8E9A4595}"/>
    <cellStyle name="Vírgula 11 20" xfId="46325" xr:uid="{F70043E8-682F-4D20-A5A6-F0D0D6FD8267}"/>
    <cellStyle name="Vírgula 11 21" xfId="46817" xr:uid="{41C809F2-C33A-4783-A331-6E0BB382C88F}"/>
    <cellStyle name="Vírgula 11 22" xfId="48365" xr:uid="{097AFB23-54AE-4931-A8D6-3F457C46E2BA}"/>
    <cellStyle name="Vírgula 11 23" xfId="50033" xr:uid="{CB6DFECA-4B6D-48BE-BBDE-DE0A5B01D8EB}"/>
    <cellStyle name="Vírgula 11 24" xfId="53328" xr:uid="{72B05DDB-B8F4-45B7-BC92-559419C7AF46}"/>
    <cellStyle name="Vírgula 11 25" xfId="5243" xr:uid="{9E76CB3D-2ECD-4178-8D7B-7AEB01F806A2}"/>
    <cellStyle name="Vírgula 11 26" xfId="4528" xr:uid="{1835CA86-4995-42C9-8A8D-3B504C5914B6}"/>
    <cellStyle name="Vírgula 11 3" xfId="1063" xr:uid="{74F3D42B-F7AE-454C-8211-9E6575D77691}"/>
    <cellStyle name="Vírgula 11 3 10" xfId="12198" xr:uid="{44DE5EE4-58A4-4581-AB93-2DD082B82528}"/>
    <cellStyle name="Vírgula 11 3 10 2" xfId="32539" xr:uid="{6CA4E95A-7819-4F95-9D89-2E86540EF20D}"/>
    <cellStyle name="Vírgula 11 3 11" xfId="8937" xr:uid="{884A1F59-D4F6-4CD7-A727-13B08225C12F}"/>
    <cellStyle name="Vírgula 11 3 11 2" xfId="29280" xr:uid="{2C71F110-81F6-4EA9-BC62-84384901CBEA}"/>
    <cellStyle name="Vírgula 11 3 12" xfId="25786" xr:uid="{729488F5-0A1E-4E33-A391-0B4068A1B75D}"/>
    <cellStyle name="Vírgula 11 3 13" xfId="45975" xr:uid="{4BA1D791-7999-47B3-AE01-FA52BC322B65}"/>
    <cellStyle name="Vírgula 11 3 14" xfId="46461" xr:uid="{35D5DB94-FC6D-4A53-9DAD-ABEB8BEED700}"/>
    <cellStyle name="Vírgula 11 3 15" xfId="46953" xr:uid="{44ED11DB-56F6-4AA1-9183-692C99B0836D}"/>
    <cellStyle name="Vírgula 11 3 16" xfId="48370" xr:uid="{6EE035A0-DEA9-4E7F-AE3A-A0923480F883}"/>
    <cellStyle name="Vírgula 11 3 17" xfId="50038" xr:uid="{6791F86F-4ECF-445E-9AF7-512963BC7329}"/>
    <cellStyle name="Vírgula 11 3 18" xfId="53333" xr:uid="{C9AB58F0-6608-4576-A233-2B16EE555AFD}"/>
    <cellStyle name="Vírgula 11 3 19" xfId="5453" xr:uid="{56567292-4BB1-48BE-9F92-8D748956E9B8}"/>
    <cellStyle name="Vírgula 11 3 2" xfId="4149" xr:uid="{C0B5E330-F534-4059-9C0E-DBBC994F415F}"/>
    <cellStyle name="Vírgula 11 3 2 10" xfId="46704" xr:uid="{69F08E89-5D67-4E4E-880F-CE7EF8AC8830}"/>
    <cellStyle name="Vírgula 11 3 2 11" xfId="47196" xr:uid="{2743F725-3777-4961-9BF0-F04AA908AE29}"/>
    <cellStyle name="Vírgula 11 3 2 12" xfId="51672" xr:uid="{87C433AE-CA6D-46A2-A3E5-2220978FEA10}"/>
    <cellStyle name="Vírgula 11 3 2 13" xfId="54966" xr:uid="{398F1880-9F45-4128-B61B-EB462401592B}"/>
    <cellStyle name="Vírgula 11 3 2 14" xfId="6019" xr:uid="{08E0468D-AB41-49BA-ACC2-9547632433A4}"/>
    <cellStyle name="Vírgula 11 3 2 15" xfId="5093" xr:uid="{018E35A2-40FF-4F14-8E5B-C21E71CAD284}"/>
    <cellStyle name="Vírgula 11 3 2 2" xfId="7177" xr:uid="{526104EA-CC40-45A5-B2C8-86E92AE3822D}"/>
    <cellStyle name="Vírgula 11 3 2 2 2" xfId="17463" xr:uid="{FFF2A3C7-7CFA-48D0-8977-09AAF0C33743}"/>
    <cellStyle name="Vírgula 11 3 2 2 2 2" xfId="37803" xr:uid="{08EB56DB-25D8-49B2-A69B-09E09A22A20B}"/>
    <cellStyle name="Vírgula 11 3 2 2 3" xfId="20965" xr:uid="{E94EFCEB-E7E9-45C7-86A3-6318465BF3E2}"/>
    <cellStyle name="Vírgula 11 3 2 2 3 2" xfId="41304" xr:uid="{77A98387-A4BA-4780-AB2D-30CF176729EE}"/>
    <cellStyle name="Vírgula 11 3 2 2 4" xfId="24220" xr:uid="{EF68B8EE-498C-42A6-B2A1-0693714A2B82}"/>
    <cellStyle name="Vírgula 11 3 2 2 4 2" xfId="44555" xr:uid="{3C85C9B4-7C21-4A53-A87E-3047F12484D3}"/>
    <cellStyle name="Vírgula 11 3 2 2 5" xfId="14554" xr:uid="{DA4E1F36-CFBA-4471-A35D-795244B9CBE1}"/>
    <cellStyle name="Vírgula 11 3 2 2 5 2" xfId="34895" xr:uid="{8D723EB5-8155-420E-93D7-9FC814485219}"/>
    <cellStyle name="Vírgula 11 3 2 2 6" xfId="10676" xr:uid="{6046EF7A-D07C-49B1-9D9E-CFAF77619C61}"/>
    <cellStyle name="Vírgula 11 3 2 2 6 2" xfId="31019" xr:uid="{14BAFB79-9213-4E2D-B87D-E4E5D7227F67}"/>
    <cellStyle name="Vírgula 11 3 2 2 7" xfId="27525" xr:uid="{5AA1B654-2645-4574-9747-4832C3AE8D4B}"/>
    <cellStyle name="Vírgula 11 3 2 3" xfId="8207" xr:uid="{EEFEBFA4-0C82-4185-8328-AC37980521FE}"/>
    <cellStyle name="Vírgula 11 3 2 3 2" xfId="21994" xr:uid="{255BFD58-F870-41EF-A190-4EB72C37945A}"/>
    <cellStyle name="Vírgula 11 3 2 3 2 2" xfId="42330" xr:uid="{2C5D990F-5647-4782-ACF4-97E856ADFA9D}"/>
    <cellStyle name="Vírgula 11 3 2 3 3" xfId="25246" xr:uid="{DEDF1395-FA7D-4198-9A65-2B1666E2AF69}"/>
    <cellStyle name="Vírgula 11 3 2 3 3 2" xfId="45581" xr:uid="{CF0242FB-0CAE-48AB-BCA1-069E1629A304}"/>
    <cellStyle name="Vírgula 11 3 2 3 4" xfId="16305" xr:uid="{1E5AB247-1B39-45BC-93B2-DBD218B1E5D4}"/>
    <cellStyle name="Vírgula 11 3 2 3 4 2" xfId="36645" xr:uid="{5C761462-CF5F-46DA-AA54-65CB3516214B}"/>
    <cellStyle name="Vírgula 11 3 2 3 5" xfId="11703" xr:uid="{96E631BF-790A-47B5-852D-4EB25B55A03D}"/>
    <cellStyle name="Vírgula 11 3 2 3 5 2" xfId="32045" xr:uid="{1F842C37-A3FB-48E6-8BC8-036B80CEDD2D}"/>
    <cellStyle name="Vírgula 11 3 2 3 6" xfId="28551" xr:uid="{0B9ECE1D-500B-43D2-9E23-1FD62D15D3E0}"/>
    <cellStyle name="Vírgula 11 3 2 4" xfId="19807" xr:uid="{B340900B-5549-40FC-9253-88BB33D66A76}"/>
    <cellStyle name="Vírgula 11 3 2 4 2" xfId="40146" xr:uid="{EA66682E-E3C0-43DB-B78F-116EAE8DC4D5}"/>
    <cellStyle name="Vírgula 11 3 2 5" xfId="23062" xr:uid="{2A37A1F2-D1E3-47A1-8600-F63102D9C401}"/>
    <cellStyle name="Vírgula 11 3 2 5 2" xfId="43397" xr:uid="{BA48120E-D8DF-4C0A-8D1C-81350313254B}"/>
    <cellStyle name="Vírgula 11 3 2 6" xfId="13396" xr:uid="{4F072AB7-CA24-4861-B6C4-E2D3DA38CF3D}"/>
    <cellStyle name="Vírgula 11 3 2 6 2" xfId="33737" xr:uid="{D6E8E7E1-F7FA-4E78-90D4-F1A6BD25FE11}"/>
    <cellStyle name="Vírgula 11 3 2 7" xfId="9518" xr:uid="{5C49EDE0-6E28-4CD7-9208-6421B68394D3}"/>
    <cellStyle name="Vírgula 11 3 2 7 2" xfId="29861" xr:uid="{BB847C36-4B8F-438E-8B1A-7DB967728D61}"/>
    <cellStyle name="Vírgula 11 3 2 8" xfId="26367" xr:uid="{7CC426E8-5D7C-4FDA-9173-372188C7AA38}"/>
    <cellStyle name="Vírgula 11 3 2 9" xfId="46218" xr:uid="{D5E5CC3E-4802-46C8-9483-DF2BD56E4717}"/>
    <cellStyle name="Vírgula 11 3 20" xfId="4874" xr:uid="{9C22735F-BDBE-4172-82CD-143139E12F08}"/>
    <cellStyle name="Vírgula 11 3 3" xfId="4321" xr:uid="{71BED68F-7EC1-4896-9360-CAABB99BE7CC}"/>
    <cellStyle name="Vírgula 11 3 3 2" xfId="16882" xr:uid="{ADBACF8E-B543-4C4E-A828-6345ECC36464}"/>
    <cellStyle name="Vírgula 11 3 3 2 2" xfId="37222" xr:uid="{2819A27B-6619-42E2-8F20-B76D3B940ECC}"/>
    <cellStyle name="Vírgula 11 3 3 3" xfId="20384" xr:uid="{1242C20D-ED21-4557-9349-75F5E4ECF69F}"/>
    <cellStyle name="Vírgula 11 3 3 3 2" xfId="40723" xr:uid="{84FE1C0E-C0E5-4F6B-94F8-ABF1F8C835D5}"/>
    <cellStyle name="Vírgula 11 3 3 4" xfId="23639" xr:uid="{E5704C78-732A-45B2-B4AE-DCC69DA9D6CE}"/>
    <cellStyle name="Vírgula 11 3 3 4 2" xfId="43974" xr:uid="{86844654-FB44-4CE2-A3A6-AB0B0ECF4C9D}"/>
    <cellStyle name="Vírgula 11 3 3 5" xfId="13973" xr:uid="{AEB09F88-CEE0-4EAA-A719-FBEDD786300D}"/>
    <cellStyle name="Vírgula 11 3 3 5 2" xfId="34314" xr:uid="{2920D68B-B9D1-4CAE-BFF2-76169DC09851}"/>
    <cellStyle name="Vírgula 11 3 3 6" xfId="10095" xr:uid="{FF19DD0F-4622-4335-BD76-E87494EB70A8}"/>
    <cellStyle name="Vírgula 11 3 3 6 2" xfId="30438" xr:uid="{BD2A54F2-1774-42E4-8DB1-C7F3D31F5378}"/>
    <cellStyle name="Vírgula 11 3 3 7" xfId="26944" xr:uid="{16C96499-32C3-4F25-AA64-7A1F1601F7D2}"/>
    <cellStyle name="Vírgula 11 3 3 8" xfId="56934" xr:uid="{6CC1C566-C54D-47D7-BE26-594F922003E0}"/>
    <cellStyle name="Vírgula 11 3 3 9" xfId="6596" xr:uid="{DEA26778-4037-4F3E-BBD2-DBE045547443}"/>
    <cellStyle name="Vírgula 11 3 4" xfId="3977" xr:uid="{53C1C69F-8CF3-4DC5-8596-5FA122F54144}"/>
    <cellStyle name="Vírgula 11 3 4 2" xfId="18045" xr:uid="{CA1033DC-2E40-4564-A974-F58BF8C862B9}"/>
    <cellStyle name="Vírgula 11 3 4 2 2" xfId="38385" xr:uid="{45602136-5C0B-48F5-AA0F-15DAADD16565}"/>
    <cellStyle name="Vírgula 11 3 4 3" xfId="21547" xr:uid="{F24E1FEA-AFEA-4A7A-948D-DA5F3B6C90E4}"/>
    <cellStyle name="Vírgula 11 3 4 3 2" xfId="41886" xr:uid="{7C8CAB39-793C-4F1F-BAE2-E4178562D177}"/>
    <cellStyle name="Vírgula 11 3 4 4" xfId="24802" xr:uid="{D1980418-58AB-4F83-BF9B-15E91215D276}"/>
    <cellStyle name="Vírgula 11 3 4 4 2" xfId="45137" xr:uid="{EE1D035E-629C-4EF9-AD48-6B392E3A9725}"/>
    <cellStyle name="Vírgula 11 3 4 5" xfId="15137" xr:uid="{C6F9A4E7-F768-44A9-876A-8B5405BB2568}"/>
    <cellStyle name="Vírgula 11 3 4 5 2" xfId="35477" xr:uid="{3031AAED-0C89-4E6B-B779-A25D011E7B7F}"/>
    <cellStyle name="Vírgula 11 3 4 6" xfId="11258" xr:uid="{E468E818-11B5-4010-B4EE-5577AF1C1F11}"/>
    <cellStyle name="Vírgula 11 3 4 6 2" xfId="31601" xr:uid="{B8D36309-8C89-4DC7-8F66-18DA42FA4661}"/>
    <cellStyle name="Vírgula 11 3 4 7" xfId="28107" xr:uid="{283983D4-8FC2-4359-ADBD-E5D438266487}"/>
    <cellStyle name="Vírgula 11 3 4 8" xfId="7760" xr:uid="{0E2DAFCB-E9D8-4390-95CE-1F7B88581760}"/>
    <cellStyle name="Vírgula 11 3 5" xfId="2727" xr:uid="{ABDC1513-8BB9-47E0-84B4-44E9BFE9EABC}"/>
    <cellStyle name="Vírgula 11 3 5 2" xfId="21993" xr:uid="{687FCE83-7D06-4607-A4CB-3BDB95D7602E}"/>
    <cellStyle name="Vírgula 11 3 5 2 2" xfId="42329" xr:uid="{948028F6-DE2F-4EDE-A7F2-36A17D3BCD7D}"/>
    <cellStyle name="Vírgula 11 3 5 3" xfId="25245" xr:uid="{8A7A3618-0CF7-484E-BE97-0E8BA5877E74}"/>
    <cellStyle name="Vírgula 11 3 5 3 2" xfId="45580" xr:uid="{FDF34505-6031-4DC9-AB21-6B91CE25DB32}"/>
    <cellStyle name="Vírgula 11 3 5 4" xfId="12827" xr:uid="{6AD98A13-2283-4B4B-915B-8056117D51C5}"/>
    <cellStyle name="Vírgula 11 3 5 4 2" xfId="33168" xr:uid="{6D6B3BF2-A6E7-46EE-BCCE-194060F8B279}"/>
    <cellStyle name="Vírgula 11 3 5 5" xfId="11702" xr:uid="{1B8D19A3-E619-4F9F-840A-6278309EF95F}"/>
    <cellStyle name="Vírgula 11 3 5 5 2" xfId="32044" xr:uid="{32A5830E-4F7D-4365-971A-0C70E7F58485}"/>
    <cellStyle name="Vírgula 11 3 5 6" xfId="28550" xr:uid="{21988C36-5CCB-468E-9FF1-69DBBB04E2E9}"/>
    <cellStyle name="Vírgula 11 3 5 7" xfId="8206" xr:uid="{205B0A27-4BB8-4145-9AC2-F3239D731198}"/>
    <cellStyle name="Vírgula 11 3 6" xfId="8600" xr:uid="{15EBFE5D-1B1E-492A-9F40-5156264708CC}"/>
    <cellStyle name="Vírgula 11 3 6 2" xfId="15724" xr:uid="{00A50948-025F-4AB7-9671-3EDA554441D9}"/>
    <cellStyle name="Vírgula 11 3 6 2 2" xfId="36064" xr:uid="{AD2DF9AA-8258-4E93-9169-86FDECC91340}"/>
    <cellStyle name="Vírgula 11 3 6 3" xfId="28943" xr:uid="{D2127E9B-7697-467B-9D48-8710F0FDFD20}"/>
    <cellStyle name="Vírgula 11 3 7" xfId="18638" xr:uid="{510136E8-EE9B-4E5C-8B80-C0389A21427D}"/>
    <cellStyle name="Vírgula 11 3 7 2" xfId="38978" xr:uid="{734AD645-B926-4A22-91A6-AB68D37FC062}"/>
    <cellStyle name="Vírgula 11 3 8" xfId="19226" xr:uid="{853D880D-E2BF-4B1E-B2DA-690E73D6936F}"/>
    <cellStyle name="Vírgula 11 3 8 2" xfId="39565" xr:uid="{D52343DB-9C24-417B-AA63-EAE95A17B96B}"/>
    <cellStyle name="Vírgula 11 3 9" xfId="22481" xr:uid="{5913A504-1DA0-46F3-8599-E8F69CB07383}"/>
    <cellStyle name="Vírgula 11 3 9 2" xfId="42816" xr:uid="{0FA151FA-DE1D-414B-9DF0-168FC8859258}"/>
    <cellStyle name="Vírgula 11 4" xfId="1469" xr:uid="{E7395482-282C-47B7-87A5-88417B4E15A8}"/>
    <cellStyle name="Vírgula 11 4 10" xfId="12256" xr:uid="{15FB6DE6-1BB0-4B03-B358-6D3319D2B23C}"/>
    <cellStyle name="Vírgula 11 4 10 2" xfId="32597" xr:uid="{4D6B7280-D6AA-451E-88A2-81BD10164C1E}"/>
    <cellStyle name="Vírgula 11 4 11" xfId="8995" xr:uid="{3E6E532A-107E-4FAC-8EA8-3DD07CCA378F}"/>
    <cellStyle name="Vírgula 11 4 11 2" xfId="29338" xr:uid="{B741AAAA-97DB-40AD-88FF-320935F5DCDD}"/>
    <cellStyle name="Vírgula 11 4 12" xfId="25844" xr:uid="{7FA8C142-F594-470D-BE79-301018C8522E}"/>
    <cellStyle name="Vírgula 11 4 13" xfId="45972" xr:uid="{2E591D4A-420F-43FB-BBC1-E9662ED93D1B}"/>
    <cellStyle name="Vírgula 11 4 14" xfId="46458" xr:uid="{CD63527B-4E58-4E5E-BEB4-A0289FC0FD1A}"/>
    <cellStyle name="Vírgula 11 4 15" xfId="46950" xr:uid="{C4EDFCDB-748A-40FD-B38E-C6DC9B6FEDF2}"/>
    <cellStyle name="Vírgula 11 4 16" xfId="48371" xr:uid="{6B7B8EB0-8928-4A29-AD30-C56E2ACCE1B3}"/>
    <cellStyle name="Vírgula 11 4 17" xfId="50039" xr:uid="{6A8CB055-49E8-404F-8F37-D0C86C1EB764}"/>
    <cellStyle name="Vírgula 11 4 18" xfId="53334" xr:uid="{FC574C9E-3AE5-422E-93DD-0E1D5CF52B59}"/>
    <cellStyle name="Vírgula 11 4 19" xfId="5505" xr:uid="{ADCFC406-84E1-4C52-BF6A-015A53E782C7}"/>
    <cellStyle name="Vírgula 11 4 2" xfId="4036" xr:uid="{779E8037-F77B-401B-A89C-75A61A6CDE5B}"/>
    <cellStyle name="Vírgula 11 4 2 10" xfId="46701" xr:uid="{9AA2009A-28AF-4312-AEE0-CD4B0F50EA1C}"/>
    <cellStyle name="Vírgula 11 4 2 11" xfId="47193" xr:uid="{A0F7B5CE-641A-4E65-BE3A-DE298EA6D47D}"/>
    <cellStyle name="Vírgula 11 4 2 12" xfId="51673" xr:uid="{7DE7E1FA-0004-44EE-851A-8B2126186DE9}"/>
    <cellStyle name="Vírgula 11 4 2 13" xfId="54967" xr:uid="{FFB83472-0684-412C-8213-8D9AFDBD142E}"/>
    <cellStyle name="Vírgula 11 4 2 14" xfId="6077" xr:uid="{003C05F1-63DD-4D9E-8284-C6C88A1D4CCE}"/>
    <cellStyle name="Vírgula 11 4 2 15" xfId="5090" xr:uid="{744328FD-00F7-46EB-8E3E-DD65A31B2E51}"/>
    <cellStyle name="Vírgula 11 4 2 2" xfId="7235" xr:uid="{7E83DC0C-7A86-4E6E-BD37-27B2E2B16FF9}"/>
    <cellStyle name="Vírgula 11 4 2 2 2" xfId="17521" xr:uid="{69F086EA-6E3B-47BA-9388-FEA82DE5BFFE}"/>
    <cellStyle name="Vírgula 11 4 2 2 2 2" xfId="37861" xr:uid="{39FABDDE-ADE4-4754-BCDE-043D54A53291}"/>
    <cellStyle name="Vírgula 11 4 2 2 3" xfId="21023" xr:uid="{EE2064B7-9493-4CEE-9FBB-AAE2E1F254BF}"/>
    <cellStyle name="Vírgula 11 4 2 2 3 2" xfId="41362" xr:uid="{FDFA4870-6458-4CD0-8774-E8F74D526B0D}"/>
    <cellStyle name="Vírgula 11 4 2 2 4" xfId="24278" xr:uid="{237AB5B6-5439-4BA6-B9C3-8E2F5661293F}"/>
    <cellStyle name="Vírgula 11 4 2 2 4 2" xfId="44613" xr:uid="{1AFD22EF-3640-4332-9B1F-FE800EEE5BD0}"/>
    <cellStyle name="Vírgula 11 4 2 2 5" xfId="14612" xr:uid="{90DB4F33-D600-4A11-96BD-831B67F882AC}"/>
    <cellStyle name="Vírgula 11 4 2 2 5 2" xfId="34953" xr:uid="{91C6C679-6A31-4EEC-B20E-DE2B45FA6A40}"/>
    <cellStyle name="Vírgula 11 4 2 2 6" xfId="10734" xr:uid="{848E5BAB-EE98-4954-A743-0B960060A6D5}"/>
    <cellStyle name="Vírgula 11 4 2 2 6 2" xfId="31077" xr:uid="{67C22CA4-80B9-41D3-BB9B-F9CA4B169CA7}"/>
    <cellStyle name="Vírgula 11 4 2 2 7" xfId="27583" xr:uid="{64D95F72-F9E2-4737-BC95-C7C2AA6BD973}"/>
    <cellStyle name="Vírgula 11 4 2 3" xfId="16363" xr:uid="{481BA277-48C3-4C1E-985A-8E4038391E47}"/>
    <cellStyle name="Vírgula 11 4 2 3 2" xfId="36703" xr:uid="{782012D7-718B-400E-A81E-211F56F84538}"/>
    <cellStyle name="Vírgula 11 4 2 4" xfId="19865" xr:uid="{01765613-5AB6-4922-A1DA-2AE505501B74}"/>
    <cellStyle name="Vírgula 11 4 2 4 2" xfId="40204" xr:uid="{C901211F-79C2-4C52-9437-A62B30D304AB}"/>
    <cellStyle name="Vírgula 11 4 2 5" xfId="23120" xr:uid="{99C183AA-8042-4E9C-85CE-3430226AADB7}"/>
    <cellStyle name="Vírgula 11 4 2 5 2" xfId="43455" xr:uid="{14EC579F-5D58-49E8-8F9C-CDE30CADB67B}"/>
    <cellStyle name="Vírgula 11 4 2 6" xfId="13454" xr:uid="{52C4565E-BED9-49AF-BDFE-FC585703CC2C}"/>
    <cellStyle name="Vírgula 11 4 2 6 2" xfId="33795" xr:uid="{657A8CBE-275F-4DCC-A7EC-7DC6EBD925FF}"/>
    <cellStyle name="Vírgula 11 4 2 7" xfId="9576" xr:uid="{43ED4634-EECD-49CF-A451-5AB06726DA1F}"/>
    <cellStyle name="Vírgula 11 4 2 7 2" xfId="29919" xr:uid="{F5BF6B52-74F8-47D7-8B25-48CEDF003EBA}"/>
    <cellStyle name="Vírgula 11 4 2 8" xfId="26425" xr:uid="{146AC3FA-4DB2-4A09-AE7A-811F37640DCE}"/>
    <cellStyle name="Vírgula 11 4 2 9" xfId="46215" xr:uid="{A9EDD5D6-858E-4ED0-B34A-1336081F8FE8}"/>
    <cellStyle name="Vírgula 11 4 20" xfId="4871" xr:uid="{924F8D8B-4109-44CC-BFF3-C7C592BEFFF6}"/>
    <cellStyle name="Vírgula 11 4 3" xfId="3130" xr:uid="{0D7506F1-C8E9-48A1-A7CF-96CF3DCB4FCB}"/>
    <cellStyle name="Vírgula 11 4 3 2" xfId="16940" xr:uid="{D7F6126D-FAC0-430B-9C5B-0F2A2E1D3A85}"/>
    <cellStyle name="Vírgula 11 4 3 2 2" xfId="37280" xr:uid="{88842B5B-A79E-402A-A905-C2BAB784A2B4}"/>
    <cellStyle name="Vírgula 11 4 3 3" xfId="20442" xr:uid="{8CDB96C7-E9DA-4269-940E-3830D10E74D5}"/>
    <cellStyle name="Vírgula 11 4 3 3 2" xfId="40781" xr:uid="{CDFA4738-3092-4134-A6A0-9BE24B8FACEF}"/>
    <cellStyle name="Vírgula 11 4 3 4" xfId="23697" xr:uid="{D3675975-6F79-482E-AD14-23D04C13DE0F}"/>
    <cellStyle name="Vírgula 11 4 3 4 2" xfId="44032" xr:uid="{7DD9B7CE-9DAD-43B8-8E31-4E39E843FF16}"/>
    <cellStyle name="Vírgula 11 4 3 5" xfId="14031" xr:uid="{5DD5C042-0B70-4E67-8350-C3503D58D2E3}"/>
    <cellStyle name="Vírgula 11 4 3 5 2" xfId="34372" xr:uid="{1519360D-A0FE-4F88-BA93-0D85C227BB07}"/>
    <cellStyle name="Vírgula 11 4 3 6" xfId="10153" xr:uid="{6C44C339-266F-420F-B115-14890E7547BD}"/>
    <cellStyle name="Vírgula 11 4 3 6 2" xfId="30496" xr:uid="{52EA85A1-6B31-4C43-A03C-139F91CE8FE9}"/>
    <cellStyle name="Vírgula 11 4 3 7" xfId="27002" xr:uid="{85114E7C-215C-4E8B-B425-35243DD655B9}"/>
    <cellStyle name="Vírgula 11 4 3 8" xfId="57340" xr:uid="{F652D888-36BB-40FA-A52C-84ED690D7B3F}"/>
    <cellStyle name="Vírgula 11 4 3 9" xfId="6654" xr:uid="{B762E575-7328-45FB-8C72-CAEBF8EA0DB9}"/>
    <cellStyle name="Vírgula 11 4 4" xfId="7818" xr:uid="{F0D66111-E119-48E3-94AE-ACE5D481150B}"/>
    <cellStyle name="Vírgula 11 4 4 2" xfId="18103" xr:uid="{A611DEA8-B1CC-4498-926B-BC25A85AD0A8}"/>
    <cellStyle name="Vírgula 11 4 4 2 2" xfId="38443" xr:uid="{7380CFBC-1DFF-4261-BE85-D1925EA9F9D8}"/>
    <cellStyle name="Vírgula 11 4 4 3" xfId="21605" xr:uid="{62D57246-4786-4706-B9AC-938A162AD1BA}"/>
    <cellStyle name="Vírgula 11 4 4 3 2" xfId="41944" xr:uid="{FC8083D6-15EA-43EF-A671-810C549030AC}"/>
    <cellStyle name="Vírgula 11 4 4 4" xfId="24860" xr:uid="{1DD3D7DD-684A-4FE3-8005-5E0B663F5D8E}"/>
    <cellStyle name="Vírgula 11 4 4 4 2" xfId="45195" xr:uid="{A887B6DA-4F67-474E-83BA-9FDCB5918CB4}"/>
    <cellStyle name="Vírgula 11 4 4 5" xfId="15195" xr:uid="{CDEA117E-B2CA-4118-AC18-6951701D6BCB}"/>
    <cellStyle name="Vírgula 11 4 4 5 2" xfId="35535" xr:uid="{CB4FCB03-762C-41D2-8972-5DE13E6056BD}"/>
    <cellStyle name="Vírgula 11 4 4 6" xfId="11316" xr:uid="{7E47195A-2B3A-4604-9668-613C16FECAE5}"/>
    <cellStyle name="Vírgula 11 4 4 6 2" xfId="31659" xr:uid="{70B71B7E-9E02-45EB-B807-B3F17843CA05}"/>
    <cellStyle name="Vírgula 11 4 4 7" xfId="28165" xr:uid="{E05E21C5-7688-4269-8965-C048C11DB48C}"/>
    <cellStyle name="Vírgula 11 4 5" xfId="8208" xr:uid="{404A97F0-B53D-4FB6-A4C4-0AB92F192961}"/>
    <cellStyle name="Vírgula 11 4 5 2" xfId="21995" xr:uid="{14694843-A780-44CC-A95E-415946D5BC00}"/>
    <cellStyle name="Vírgula 11 4 5 2 2" xfId="42331" xr:uid="{54ADB56A-E39D-449E-AC2A-A9D9CC6003F5}"/>
    <cellStyle name="Vírgula 11 4 5 3" xfId="25247" xr:uid="{69C9FBB8-029B-4791-A16B-300FC0647530}"/>
    <cellStyle name="Vírgula 11 4 5 3 2" xfId="45582" xr:uid="{38C2858D-18C3-47CC-A477-E04C04B70F0F}"/>
    <cellStyle name="Vírgula 11 4 5 4" xfId="12885" xr:uid="{D4AB79B0-5DFE-41F0-BE06-1FE4EAC71C04}"/>
    <cellStyle name="Vírgula 11 4 5 4 2" xfId="33226" xr:uid="{194E04A4-D7D7-4C97-B10C-631C3809D731}"/>
    <cellStyle name="Vírgula 11 4 5 5" xfId="11704" xr:uid="{DAD1D091-59DD-4E0B-ACB2-5F6910B54BE7}"/>
    <cellStyle name="Vírgula 11 4 5 5 2" xfId="32046" xr:uid="{4947D12C-340C-46C8-8212-AA84B9564834}"/>
    <cellStyle name="Vírgula 11 4 5 6" xfId="28552" xr:uid="{51DEDB44-2372-47AD-A8C2-2AC53B35A4D6}"/>
    <cellStyle name="Vírgula 11 4 6" xfId="8597" xr:uid="{D82F91F2-D017-4F3C-8562-03EF3CF246B8}"/>
    <cellStyle name="Vírgula 11 4 6 2" xfId="15782" xr:uid="{32C1BDA1-2D77-472B-A3B5-43BB6F035372}"/>
    <cellStyle name="Vírgula 11 4 6 2 2" xfId="36122" xr:uid="{96959B70-28BF-4593-A39A-7F2FF6932E31}"/>
    <cellStyle name="Vírgula 11 4 6 3" xfId="28940" xr:uid="{1AF80CF5-BFCE-4E75-939F-FBC83012795F}"/>
    <cellStyle name="Vírgula 11 4 7" xfId="18696" xr:uid="{BDD6FB47-1276-441A-A869-0BC32E15479D}"/>
    <cellStyle name="Vírgula 11 4 7 2" xfId="39036" xr:uid="{280E2C07-3A5E-400F-9AB3-3E3B9BDD72A7}"/>
    <cellStyle name="Vírgula 11 4 8" xfId="19284" xr:uid="{DE6A5C95-2AEF-44DA-90C7-3595D31DE4CB}"/>
    <cellStyle name="Vírgula 11 4 8 2" xfId="39623" xr:uid="{E0B51911-9F8C-4FC3-93D6-5B369A16C0D6}"/>
    <cellStyle name="Vírgula 11 4 9" xfId="22539" xr:uid="{C6BCC0AE-59E4-456D-9AB1-692860D2B0F8}"/>
    <cellStyle name="Vírgula 11 4 9 2" xfId="42874" xr:uid="{5F5724D8-2FAB-46C3-98F4-71CD3134EE27}"/>
    <cellStyle name="Vírgula 11 5" xfId="656" xr:uid="{0FA50F49-61C7-4035-850D-11C018D1AF88}"/>
    <cellStyle name="Vírgula 11 5 10" xfId="12331" xr:uid="{5AD575D9-8F20-4D02-92D8-0E536256C469}"/>
    <cellStyle name="Vírgula 11 5 10 2" xfId="32672" xr:uid="{CA46E860-F3ED-467F-8A5A-5495C728BEBC}"/>
    <cellStyle name="Vírgula 11 5 11" xfId="9070" xr:uid="{633C38E0-7880-4AE0-8F4A-A699C256BC65}"/>
    <cellStyle name="Vírgula 11 5 11 2" xfId="29413" xr:uid="{F7963A0C-0F28-47D0-8071-EE16E94E3ABF}"/>
    <cellStyle name="Vírgula 11 5 12" xfId="25919" xr:uid="{2AB29715-2DDB-44B9-8612-23C0FA489A77}"/>
    <cellStyle name="Vírgula 11 5 13" xfId="46082" xr:uid="{F2A67426-5AB8-48C2-8A3C-F9631D9DC3CA}"/>
    <cellStyle name="Vírgula 11 5 14" xfId="46568" xr:uid="{D798202E-48B8-46BA-8365-8F0AD39BD227}"/>
    <cellStyle name="Vírgula 11 5 15" xfId="47060" xr:uid="{08DA3783-1A5E-4A83-8A27-7DD37AA67125}"/>
    <cellStyle name="Vírgula 11 5 16" xfId="48372" xr:uid="{6F467558-D744-4794-95DE-C456956CFC6C}"/>
    <cellStyle name="Vírgula 11 5 17" xfId="50040" xr:uid="{4EB7EA93-EAE5-49C3-8DB2-9675FBC47FD5}"/>
    <cellStyle name="Vírgula 11 5 18" xfId="53335" xr:uid="{CE415DE1-0EE5-4213-82B0-FC8ED002C950}"/>
    <cellStyle name="Vírgula 11 5 19" xfId="5580" xr:uid="{F250FF74-5276-44C9-9BDB-E5C4DFB8F974}"/>
    <cellStyle name="Vírgula 11 5 2" xfId="4208" xr:uid="{C70D2EA0-910E-49C5-A7ED-99CAF75486E7}"/>
    <cellStyle name="Vírgula 11 5 2 10" xfId="54968" xr:uid="{3739DE0A-94D0-4886-8ED6-80171EAEEC11}"/>
    <cellStyle name="Vírgula 11 5 2 11" xfId="6152" xr:uid="{199DCF7F-433B-4FB7-BD7A-784851A06344}"/>
    <cellStyle name="Vírgula 11 5 2 2" xfId="7310" xr:uid="{63A2493D-69AA-460A-9FA1-87F7EC3267B1}"/>
    <cellStyle name="Vírgula 11 5 2 2 2" xfId="17596" xr:uid="{F539CAEC-B1B5-4125-AFF7-D73637719EE2}"/>
    <cellStyle name="Vírgula 11 5 2 2 2 2" xfId="37936" xr:uid="{4B609084-7CC7-4584-8427-B264B7E87055}"/>
    <cellStyle name="Vírgula 11 5 2 2 3" xfId="21098" xr:uid="{F1C5EE5A-ADDB-42EA-9B23-5CA373DDCB34}"/>
    <cellStyle name="Vírgula 11 5 2 2 3 2" xfId="41437" xr:uid="{77A2BC69-0154-400C-B1F9-04D87FB64F25}"/>
    <cellStyle name="Vírgula 11 5 2 2 4" xfId="24353" xr:uid="{F6856886-0899-4726-ABAC-E4971146F0CB}"/>
    <cellStyle name="Vírgula 11 5 2 2 4 2" xfId="44688" xr:uid="{844A8184-C85F-4DC0-AE14-0B5DB50638D8}"/>
    <cellStyle name="Vírgula 11 5 2 2 5" xfId="14687" xr:uid="{6C567FCE-8071-4815-8B60-05FFE28EF6BD}"/>
    <cellStyle name="Vírgula 11 5 2 2 5 2" xfId="35028" xr:uid="{DE38DEF6-2D71-4225-8C83-AF0D4B5FAFFC}"/>
    <cellStyle name="Vírgula 11 5 2 2 6" xfId="10809" xr:uid="{30DC7F78-340A-40A9-8808-9551EE65C5E0}"/>
    <cellStyle name="Vírgula 11 5 2 2 6 2" xfId="31152" xr:uid="{0E185892-112B-4BD4-BAF0-E063387CE159}"/>
    <cellStyle name="Vírgula 11 5 2 2 7" xfId="27658" xr:uid="{22ED18E6-1418-423D-BEE7-F9FE4BC57AD3}"/>
    <cellStyle name="Vírgula 11 5 2 3" xfId="16438" xr:uid="{93B098F9-22C4-4B23-BB28-8E176BED1D03}"/>
    <cellStyle name="Vírgula 11 5 2 3 2" xfId="36778" xr:uid="{E8F01E07-07EB-44C9-84C8-B08E86D5FFEA}"/>
    <cellStyle name="Vírgula 11 5 2 4" xfId="19940" xr:uid="{6850A5A1-2942-4B04-B3C0-8EC443D68D38}"/>
    <cellStyle name="Vírgula 11 5 2 4 2" xfId="40279" xr:uid="{E4AFA0F6-D2A7-47A2-A9B0-0736E108E0C8}"/>
    <cellStyle name="Vírgula 11 5 2 5" xfId="23195" xr:uid="{134B87AF-C05A-40A8-862F-0B72E8A9E1B1}"/>
    <cellStyle name="Vírgula 11 5 2 5 2" xfId="43530" xr:uid="{334ABF46-0DDC-4DA3-AEF3-EA591ED8A13B}"/>
    <cellStyle name="Vírgula 11 5 2 6" xfId="13529" xr:uid="{5B6DA6FD-9420-45C0-BAC1-F799022ED2C9}"/>
    <cellStyle name="Vírgula 11 5 2 6 2" xfId="33870" xr:uid="{A31E6643-D333-4856-AA5D-3120A425AB4A}"/>
    <cellStyle name="Vírgula 11 5 2 7" xfId="9651" xr:uid="{020AD2DC-DC7A-40B2-87F0-04124DF88A12}"/>
    <cellStyle name="Vírgula 11 5 2 7 2" xfId="29994" xr:uid="{26B3BEF7-AB33-459B-9FFD-38D85421563A}"/>
    <cellStyle name="Vírgula 11 5 2 8" xfId="26500" xr:uid="{AEB1ABFF-39FE-4245-B92F-EC8BDF1A03E4}"/>
    <cellStyle name="Vírgula 11 5 2 9" xfId="51674" xr:uid="{FD106EC0-63C6-4711-8304-07BFEA34FE78}"/>
    <cellStyle name="Vírgula 11 5 20" xfId="4979" xr:uid="{779EABA8-B486-4C32-9C30-EAA9E9D61139}"/>
    <cellStyle name="Vírgula 11 5 3" xfId="2372" xr:uid="{9932238F-F4CB-4689-A887-4A674A5270D7}"/>
    <cellStyle name="Vírgula 11 5 3 2" xfId="17015" xr:uid="{BBD750F9-2A12-4C8B-A22D-732A8025FFA0}"/>
    <cellStyle name="Vírgula 11 5 3 2 2" xfId="37355" xr:uid="{A15C71B3-C79F-415B-9767-C9D65E8FDA9F}"/>
    <cellStyle name="Vírgula 11 5 3 3" xfId="20517" xr:uid="{8523F008-365B-47A6-9865-C8F6416E8913}"/>
    <cellStyle name="Vírgula 11 5 3 3 2" xfId="40856" xr:uid="{D7BC603C-A928-4082-A34F-C64FE84EAFB2}"/>
    <cellStyle name="Vírgula 11 5 3 4" xfId="23772" xr:uid="{C91E626A-A2CF-4439-89EE-ED127208D6B0}"/>
    <cellStyle name="Vírgula 11 5 3 4 2" xfId="44107" xr:uid="{44EB0DAB-B4F0-44E3-9B01-D6C3E0CF4E1C}"/>
    <cellStyle name="Vírgula 11 5 3 5" xfId="14106" xr:uid="{C1E21273-A2E8-4630-8523-1E3F78B9CE66}"/>
    <cellStyle name="Vírgula 11 5 3 5 2" xfId="34447" xr:uid="{1D6E90E9-2C85-4684-A337-B31B9FCF6E93}"/>
    <cellStyle name="Vírgula 11 5 3 6" xfId="10228" xr:uid="{33311C3F-8997-4F67-A3E6-29C30B626D21}"/>
    <cellStyle name="Vírgula 11 5 3 6 2" xfId="30571" xr:uid="{44F93478-F8AB-403B-B3B9-6BE69D116E22}"/>
    <cellStyle name="Vírgula 11 5 3 7" xfId="27077" xr:uid="{F1808337-7ABA-4DFB-BF74-CE206A9FC972}"/>
    <cellStyle name="Vírgula 11 5 3 8" xfId="56527" xr:uid="{829734AF-40AA-4A92-9377-20D89CE4B003}"/>
    <cellStyle name="Vírgula 11 5 3 9" xfId="6729" xr:uid="{82164BC3-1BF5-45BF-8725-3FA0E7A8DA47}"/>
    <cellStyle name="Vírgula 11 5 4" xfId="7893" xr:uid="{B4451C03-630A-4DF0-8C26-1E0FC7204A42}"/>
    <cellStyle name="Vírgula 11 5 4 2" xfId="18178" xr:uid="{0131AFF5-8ACC-449D-AA70-82E4CCBF0166}"/>
    <cellStyle name="Vírgula 11 5 4 2 2" xfId="38518" xr:uid="{2FD86D95-182E-4CEE-9376-0C0EAD2DE36D}"/>
    <cellStyle name="Vírgula 11 5 4 3" xfId="21680" xr:uid="{D8606D40-E85D-40EC-99E4-23B8B10ED7A7}"/>
    <cellStyle name="Vírgula 11 5 4 3 2" xfId="42019" xr:uid="{6DC93EF3-18D8-4573-880B-69B2F3011F46}"/>
    <cellStyle name="Vírgula 11 5 4 4" xfId="24935" xr:uid="{99466ADA-3102-4D57-94C2-F404EDF516DC}"/>
    <cellStyle name="Vírgula 11 5 4 4 2" xfId="45270" xr:uid="{69B432AE-6657-4476-AB2D-6FC9DFA6FA03}"/>
    <cellStyle name="Vírgula 11 5 4 5" xfId="15270" xr:uid="{241B9BAD-1563-4493-BD0A-A1CC87902CE5}"/>
    <cellStyle name="Vírgula 11 5 4 5 2" xfId="35610" xr:uid="{282E138F-25BC-48A9-80A0-6889F613121E}"/>
    <cellStyle name="Vírgula 11 5 4 6" xfId="11391" xr:uid="{FADF6A9E-1F2E-4BCC-ABEE-88C5986FBA50}"/>
    <cellStyle name="Vírgula 11 5 4 6 2" xfId="31734" xr:uid="{3E8E7553-1A38-4CB5-8292-C309FF98E1B6}"/>
    <cellStyle name="Vírgula 11 5 4 7" xfId="28240" xr:uid="{7987F279-E04A-4D1B-ABD7-C18EEC37341D}"/>
    <cellStyle name="Vírgula 11 5 5" xfId="8209" xr:uid="{F00CDA27-18D8-4F2E-B115-350C2EE64520}"/>
    <cellStyle name="Vírgula 11 5 5 2" xfId="21996" xr:uid="{3779092C-5745-40BD-A27D-EE1CE8F00388}"/>
    <cellStyle name="Vírgula 11 5 5 2 2" xfId="42332" xr:uid="{42667A72-EF6C-4357-BAF9-823C5D001F70}"/>
    <cellStyle name="Vírgula 11 5 5 3" xfId="25248" xr:uid="{C1FABA4D-7F97-40D4-92E4-CDCC10476FC6}"/>
    <cellStyle name="Vírgula 11 5 5 3 2" xfId="45583" xr:uid="{88F88DF4-ED6F-4D98-B8F2-6DE26F9EA33E}"/>
    <cellStyle name="Vírgula 11 5 5 4" xfId="12960" xr:uid="{CE6D98FA-841C-4933-B433-938C608B3561}"/>
    <cellStyle name="Vírgula 11 5 5 4 2" xfId="33301" xr:uid="{62011C3A-9205-4A98-9BB8-E6AB0D146A86}"/>
    <cellStyle name="Vírgula 11 5 5 5" xfId="11705" xr:uid="{B6F58076-C69A-4832-849B-FF635CEF64B3}"/>
    <cellStyle name="Vírgula 11 5 5 5 2" xfId="32047" xr:uid="{81C2BE7A-E252-4EEF-B936-324F5D457164}"/>
    <cellStyle name="Vírgula 11 5 5 6" xfId="28553" xr:uid="{F10A3695-028B-4F44-A895-BD743FB2A43D}"/>
    <cellStyle name="Vírgula 11 5 6" xfId="15857" xr:uid="{A5B2A957-BDA7-4DDD-89E4-70C3A9D69945}"/>
    <cellStyle name="Vírgula 11 5 6 2" xfId="36197" xr:uid="{B14B2490-5352-47C5-A5D1-5359343E8FF1}"/>
    <cellStyle name="Vírgula 11 5 7" xfId="18771" xr:uid="{6AD5098A-F5AC-4106-AEC2-0E8410BE7D38}"/>
    <cellStyle name="Vírgula 11 5 7 2" xfId="39111" xr:uid="{EEBE1C41-A410-4EF1-BDF0-BF20DF286C82}"/>
    <cellStyle name="Vírgula 11 5 8" xfId="19359" xr:uid="{F21874E0-55EF-4103-9D26-1B81F2BD02B0}"/>
    <cellStyle name="Vírgula 11 5 8 2" xfId="39698" xr:uid="{BB27ABDA-A4DA-413B-98A1-4E47075774B6}"/>
    <cellStyle name="Vírgula 11 5 9" xfId="22614" xr:uid="{D439E8CD-5E9B-4D10-A247-24FD6A6B75B5}"/>
    <cellStyle name="Vírgula 11 5 9 2" xfId="42949" xr:uid="{4B1C795E-2CA6-4384-BE0A-0DAEFFD649AE}"/>
    <cellStyle name="Vírgula 11 6" xfId="3593" xr:uid="{4065E8CD-4CEE-4954-A26C-2DB707BF48F2}"/>
    <cellStyle name="Vírgula 11 6 10" xfId="12429" xr:uid="{197FE25F-F053-409E-B3BE-52A8B76B0F4E}"/>
    <cellStyle name="Vírgula 11 6 10 2" xfId="32770" xr:uid="{F308004F-CDF8-46A0-803B-EBA0C7EECC68}"/>
    <cellStyle name="Vírgula 11 6 11" xfId="9168" xr:uid="{9DFCF430-4E62-4692-A268-C338EE1852E0}"/>
    <cellStyle name="Vírgula 11 6 11 2" xfId="29511" xr:uid="{B005AE54-8192-49A7-BBCB-A6E8A77508CE}"/>
    <cellStyle name="Vírgula 11 6 12" xfId="26017" xr:uid="{1163F0AA-EBF5-416D-B143-0EB970B019DB}"/>
    <cellStyle name="Vírgula 11 6 13" xfId="50041" xr:uid="{48619478-2BE0-4FF3-AFBC-D39E08880500}"/>
    <cellStyle name="Vírgula 11 6 14" xfId="53336" xr:uid="{514D608D-7EFB-4B28-94B1-F1417D39DADF}"/>
    <cellStyle name="Vírgula 11 6 15" xfId="5678" xr:uid="{17039A8C-9F27-4DDB-8FF3-399FAB2878F5}"/>
    <cellStyle name="Vírgula 11 6 16" xfId="4773" xr:uid="{1D326739-5962-45B0-889E-4D7A7670ED19}"/>
    <cellStyle name="Vírgula 11 6 2" xfId="6250" xr:uid="{3CACA730-CED7-47B6-8F50-C791A2CFFB69}"/>
    <cellStyle name="Vírgula 11 6 2 2" xfId="7408" xr:uid="{44FEB8AA-7DAE-4278-B14E-5C76CF20E448}"/>
    <cellStyle name="Vírgula 11 6 2 2 2" xfId="17694" xr:uid="{5D76192A-AE5C-4A63-9F81-7F6E3058640C}"/>
    <cellStyle name="Vírgula 11 6 2 2 2 2" xfId="38034" xr:uid="{B32F4A49-186B-4B7F-A8B7-F8CA8ACF45D9}"/>
    <cellStyle name="Vírgula 11 6 2 2 3" xfId="21196" xr:uid="{7B491D22-D1B6-47B9-898C-B6632D221286}"/>
    <cellStyle name="Vírgula 11 6 2 2 3 2" xfId="41535" xr:uid="{5F46C575-24FF-4D77-A676-37824B00ED03}"/>
    <cellStyle name="Vírgula 11 6 2 2 4" xfId="24451" xr:uid="{DC7825EA-34C6-43B0-8FE9-120E77BCB8BE}"/>
    <cellStyle name="Vírgula 11 6 2 2 4 2" xfId="44786" xr:uid="{20945995-EABB-4715-BE8F-702B79DAC663}"/>
    <cellStyle name="Vírgula 11 6 2 2 5" xfId="14785" xr:uid="{D41B31EE-3CC1-4AA6-AD5D-E850C4F473B5}"/>
    <cellStyle name="Vírgula 11 6 2 2 5 2" xfId="35126" xr:uid="{CE101458-2EF5-4722-BF85-EE025B109859}"/>
    <cellStyle name="Vírgula 11 6 2 2 6" xfId="10907" xr:uid="{0B36D787-8FE7-4437-B338-CAE2A66D391A}"/>
    <cellStyle name="Vírgula 11 6 2 2 6 2" xfId="31250" xr:uid="{62FF7EC4-D8B4-435A-A43E-213BCDE2108E}"/>
    <cellStyle name="Vírgula 11 6 2 2 7" xfId="27756" xr:uid="{AD37A6ED-DEB1-4986-BD23-252382B4A22B}"/>
    <cellStyle name="Vírgula 11 6 2 3" xfId="16536" xr:uid="{DB2F792D-7BA5-461A-9C5C-E8F20AD53D95}"/>
    <cellStyle name="Vírgula 11 6 2 3 2" xfId="36876" xr:uid="{0720D4AB-F01B-4B06-A4C5-DA171554A36C}"/>
    <cellStyle name="Vírgula 11 6 2 4" xfId="20038" xr:uid="{DAD9B1F2-AA28-4EC5-8159-422154A3C0BA}"/>
    <cellStyle name="Vírgula 11 6 2 4 2" xfId="40377" xr:uid="{B67F4FF4-C731-4AF1-972D-6FA2EB967951}"/>
    <cellStyle name="Vírgula 11 6 2 5" xfId="23293" xr:uid="{F096EA0E-C11D-4712-8AA4-2C01EFC64445}"/>
    <cellStyle name="Vírgula 11 6 2 5 2" xfId="43628" xr:uid="{055BF9AE-DDB8-4379-8A6C-7E3534CC0AE8}"/>
    <cellStyle name="Vírgula 11 6 2 6" xfId="13627" xr:uid="{736D9C3E-78B3-468A-AEEC-38CFA1B431BA}"/>
    <cellStyle name="Vírgula 11 6 2 6 2" xfId="33968" xr:uid="{BF9C2E84-9F80-412D-9ED6-1F09EFAAFF00}"/>
    <cellStyle name="Vírgula 11 6 2 7" xfId="9749" xr:uid="{4A76D444-D0C8-4182-B12E-F2862ACE7BE1}"/>
    <cellStyle name="Vírgula 11 6 2 7 2" xfId="30092" xr:uid="{0A78FF41-86DE-4159-99F5-36C08DB77F94}"/>
    <cellStyle name="Vírgula 11 6 2 8" xfId="26598" xr:uid="{C589FE97-7D37-49D1-A9B5-07F6634A27BE}"/>
    <cellStyle name="Vírgula 11 6 3" xfId="6827" xr:uid="{CFDB9BD6-936B-433C-8474-4E7E53EF0FEE}"/>
    <cellStyle name="Vírgula 11 6 3 2" xfId="17113" xr:uid="{60F40093-E947-468A-8B3F-51EC8FCA5F2B}"/>
    <cellStyle name="Vírgula 11 6 3 2 2" xfId="37453" xr:uid="{520C80C5-4E4B-485C-A4FD-42668DB9A467}"/>
    <cellStyle name="Vírgula 11 6 3 3" xfId="20615" xr:uid="{3AFDAD83-2689-40CC-BA81-891098B65312}"/>
    <cellStyle name="Vírgula 11 6 3 3 2" xfId="40954" xr:uid="{0009DA5B-6B8C-4A66-9E50-A385BD1D1FDE}"/>
    <cellStyle name="Vírgula 11 6 3 4" xfId="23870" xr:uid="{3716DA59-FD37-4DEF-AB17-54D6E6D8EE44}"/>
    <cellStyle name="Vírgula 11 6 3 4 2" xfId="44205" xr:uid="{365E3CB5-59D9-4C57-B6CB-3E7FD21F6861}"/>
    <cellStyle name="Vírgula 11 6 3 5" xfId="14204" xr:uid="{83277C12-D1E1-47FA-B713-52A6E2591423}"/>
    <cellStyle name="Vírgula 11 6 3 5 2" xfId="34545" xr:uid="{8912B9CD-9303-454A-BAE5-50F4A3E1429D}"/>
    <cellStyle name="Vírgula 11 6 3 6" xfId="10326" xr:uid="{154230BE-560F-4800-B656-A813A8D7BD86}"/>
    <cellStyle name="Vírgula 11 6 3 6 2" xfId="30669" xr:uid="{0B56B648-6B68-4BBE-8A39-7A4C8EBFB958}"/>
    <cellStyle name="Vírgula 11 6 3 7" xfId="27175" xr:uid="{29BAC789-6793-4510-B95A-8DACF7F2DBD6}"/>
    <cellStyle name="Vírgula 11 6 4" xfId="7991" xr:uid="{39B6A93A-EB05-4049-B209-59EE769CA069}"/>
    <cellStyle name="Vírgula 11 6 4 2" xfId="18276" xr:uid="{4D69DCE1-0F1D-4BDD-B466-DFE1E1530AE3}"/>
    <cellStyle name="Vírgula 11 6 4 2 2" xfId="38616" xr:uid="{6AA5B36D-5D8E-4DC4-9D4D-B8E50D6829BE}"/>
    <cellStyle name="Vírgula 11 6 4 3" xfId="21778" xr:uid="{330C716F-7920-425B-A260-072709E1DA3B}"/>
    <cellStyle name="Vírgula 11 6 4 3 2" xfId="42117" xr:uid="{7E315B34-5F44-4ED3-8D3F-77D0E73368FB}"/>
    <cellStyle name="Vírgula 11 6 4 4" xfId="25033" xr:uid="{2A79F6FA-AE0E-4873-AA4B-59CA2A79CE32}"/>
    <cellStyle name="Vírgula 11 6 4 4 2" xfId="45368" xr:uid="{B76DA6C8-E9F0-4788-929C-0986488355C5}"/>
    <cellStyle name="Vírgula 11 6 4 5" xfId="15368" xr:uid="{ACD57AA3-A80F-4EB2-AA00-BDE33ECD9092}"/>
    <cellStyle name="Vírgula 11 6 4 5 2" xfId="35708" xr:uid="{A6663AD5-1887-44F3-B82E-9C1A8840ABB0}"/>
    <cellStyle name="Vírgula 11 6 4 6" xfId="11489" xr:uid="{3BE71304-966F-46EA-BF5D-EA7CC309DD20}"/>
    <cellStyle name="Vírgula 11 6 4 6 2" xfId="31832" xr:uid="{C34D022B-EFFE-4215-AA48-10E6B678188E}"/>
    <cellStyle name="Vírgula 11 6 4 7" xfId="28338" xr:uid="{233E0B5B-6C3A-4E19-9F5C-7D1BD82BF0B9}"/>
    <cellStyle name="Vírgula 11 6 5" xfId="13058" xr:uid="{BC728BE1-75A8-47FB-9181-6DAC63390D37}"/>
    <cellStyle name="Vírgula 11 6 5 2" xfId="33399" xr:uid="{2FB6C0E1-7690-4C3E-9546-E518DC11E52B}"/>
    <cellStyle name="Vírgula 11 6 6" xfId="15955" xr:uid="{79318252-B38F-46F3-9B1C-F871324373CA}"/>
    <cellStyle name="Vírgula 11 6 6 2" xfId="36295" xr:uid="{CF9E7FFA-87C9-4296-9717-5E5873926F57}"/>
    <cellStyle name="Vírgula 11 6 7" xfId="18869" xr:uid="{8A0244D2-8E34-4391-B5C7-9EFD65C219A9}"/>
    <cellStyle name="Vírgula 11 6 7 2" xfId="39209" xr:uid="{40A52EF6-43A6-4F31-8B0F-7A480AE8F981}"/>
    <cellStyle name="Vírgula 11 6 8" xfId="19457" xr:uid="{95F792B4-1C46-4866-AD2C-651CCF4F1997}"/>
    <cellStyle name="Vírgula 11 6 8 2" xfId="39796" xr:uid="{CC67D793-1C8D-47BD-B196-1469F0E4B9C9}"/>
    <cellStyle name="Vírgula 11 6 9" xfId="22712" xr:uid="{52D804CE-7C5B-43CC-B772-E73A60CCC06E}"/>
    <cellStyle name="Vírgula 11 6 9 2" xfId="43047" xr:uid="{457C43C8-04FB-4B6A-A889-A63E4439409A}"/>
    <cellStyle name="Vírgula 11 7" xfId="3865" xr:uid="{55A9EA3D-241A-4F82-81C2-F13456D60DEB}"/>
    <cellStyle name="Vírgula 11 7 10" xfId="9257" xr:uid="{FE7803A3-4B80-4CCB-8261-B911493E8C67}"/>
    <cellStyle name="Vírgula 11 7 10 2" xfId="29600" xr:uid="{EF83310A-942D-4C03-AE43-D28B20F41D9F}"/>
    <cellStyle name="Vírgula 11 7 11" xfId="26106" xr:uid="{86F93943-3757-4DA9-902E-7EB48A1794E6}"/>
    <cellStyle name="Vírgula 11 7 12" xfId="51667" xr:uid="{E177948D-4124-4D35-9D43-D4A95AFF7A89}"/>
    <cellStyle name="Vírgula 11 7 13" xfId="54961" xr:uid="{D688E7DE-1EE3-4C06-88C3-81F77D6CEDD1}"/>
    <cellStyle name="Vírgula 11 7 14" xfId="5759" xr:uid="{2D0B7422-7FB2-4209-B391-22993312B0DA}"/>
    <cellStyle name="Vírgula 11 7 2" xfId="6916" xr:uid="{83AB608A-97A7-4159-9253-25C4825E6ACC}"/>
    <cellStyle name="Vírgula 11 7 2 2" xfId="17202" xr:uid="{8C50B546-D000-4FCA-B5D9-88BAAE717176}"/>
    <cellStyle name="Vírgula 11 7 2 2 2" xfId="37542" xr:uid="{5DEF7176-E704-4F01-9FC2-8B0DB1BF9CAE}"/>
    <cellStyle name="Vírgula 11 7 2 3" xfId="20704" xr:uid="{05C3AC75-BEDF-41ED-8F6F-C33304502B3A}"/>
    <cellStyle name="Vírgula 11 7 2 3 2" xfId="41043" xr:uid="{C5708307-E11E-4A53-B528-40FA4D8BC265}"/>
    <cellStyle name="Vírgula 11 7 2 4" xfId="23959" xr:uid="{14A00B0E-2866-4C25-A323-DD81F2296508}"/>
    <cellStyle name="Vírgula 11 7 2 4 2" xfId="44294" xr:uid="{0ACE056D-959B-49F5-B775-7DA3136730DA}"/>
    <cellStyle name="Vírgula 11 7 2 5" xfId="14293" xr:uid="{6E77B59B-FE7D-4B90-B1CD-F93CA711D5B4}"/>
    <cellStyle name="Vírgula 11 7 2 5 2" xfId="34634" xr:uid="{B6D72A7A-9774-49BA-ABC4-3F97880465F4}"/>
    <cellStyle name="Vírgula 11 7 2 6" xfId="10415" xr:uid="{4B0354D4-9F9E-493C-9216-60AC07E62DCF}"/>
    <cellStyle name="Vírgula 11 7 2 6 2" xfId="30758" xr:uid="{3B1D33F3-858D-43AC-A4AB-9FEE02CF70EA}"/>
    <cellStyle name="Vírgula 11 7 2 7" xfId="27264" xr:uid="{B43B7FF6-FD49-4E31-964A-E4D19EB9CBBD}"/>
    <cellStyle name="Vírgula 11 7 3" xfId="8080" xr:uid="{21D2B635-8208-45E0-A387-A84E40C5B96A}"/>
    <cellStyle name="Vírgula 11 7 3 2" xfId="18365" xr:uid="{E741CD27-0B0F-43AC-A7BA-158720E53AAD}"/>
    <cellStyle name="Vírgula 11 7 3 2 2" xfId="38705" xr:uid="{21562A2A-191B-4F0E-AA1F-90F59D8F7033}"/>
    <cellStyle name="Vírgula 11 7 3 3" xfId="21867" xr:uid="{4149715C-87FC-40FC-8073-41BA068C0855}"/>
    <cellStyle name="Vírgula 11 7 3 3 2" xfId="42206" xr:uid="{C64A9E11-485D-4081-9911-744E208D356A}"/>
    <cellStyle name="Vírgula 11 7 3 4" xfId="25122" xr:uid="{80A99F04-D437-4B93-9B50-F3040637EA87}"/>
    <cellStyle name="Vírgula 11 7 3 4 2" xfId="45457" xr:uid="{54D85A40-AC4C-4B34-B520-2B5301489F14}"/>
    <cellStyle name="Vírgula 11 7 3 5" xfId="15457" xr:uid="{5991C908-8369-4870-B2DD-1B087031FCF5}"/>
    <cellStyle name="Vírgula 11 7 3 5 2" xfId="35797" xr:uid="{020A044C-C3FD-4E6F-BD28-6AF3C7CFD59E}"/>
    <cellStyle name="Vírgula 11 7 3 6" xfId="11578" xr:uid="{1B974A27-51B7-41E3-BC37-AD9C335FB1F1}"/>
    <cellStyle name="Vírgula 11 7 3 6 2" xfId="31921" xr:uid="{A51D2BE3-53CB-425E-A55C-CB74157FB557}"/>
    <cellStyle name="Vírgula 11 7 3 7" xfId="28427" xr:uid="{C8B5F245-EE33-49C1-ACB5-96E0ED513397}"/>
    <cellStyle name="Vírgula 11 7 4" xfId="13147" xr:uid="{1650660F-DFB5-4C7D-8FA7-279734663545}"/>
    <cellStyle name="Vírgula 11 7 4 2" xfId="33488" xr:uid="{EFCD438C-6A87-4162-B7A5-CE647A0D1160}"/>
    <cellStyle name="Vírgula 11 7 5" xfId="16044" xr:uid="{CF9BD4E1-DB88-4059-8E9C-7800FF3E11B4}"/>
    <cellStyle name="Vírgula 11 7 5 2" xfId="36384" xr:uid="{F65B2587-E79D-4F1E-8939-34856D728DCD}"/>
    <cellStyle name="Vírgula 11 7 6" xfId="18958" xr:uid="{E37F70EA-9B68-43F8-9991-6DC892B9819B}"/>
    <cellStyle name="Vírgula 11 7 6 2" xfId="39298" xr:uid="{C1411FC1-2100-40FC-9ABC-9353F012355F}"/>
    <cellStyle name="Vírgula 11 7 7" xfId="19546" xr:uid="{06B6D6BC-FD58-4C8D-ACD4-39988E64692E}"/>
    <cellStyle name="Vírgula 11 7 7 2" xfId="39885" xr:uid="{372E71AF-AF2F-415F-813E-63D9C382FE38}"/>
    <cellStyle name="Vírgula 11 7 8" xfId="22801" xr:uid="{E0E96F39-E96D-4710-AC9A-577EE8025DED}"/>
    <cellStyle name="Vírgula 11 7 8 2" xfId="43136" xr:uid="{F141AEFE-67D1-4CE9-91A0-638C06B41FFA}"/>
    <cellStyle name="Vírgula 11 7 9" xfId="12518" xr:uid="{5A865E92-02AE-4E7D-8EC5-88EA789FC393}"/>
    <cellStyle name="Vírgula 11 7 9 2" xfId="32859" xr:uid="{E1E5030C-4C95-43AE-A290-491C00FF2D2B}"/>
    <cellStyle name="Vírgula 11 8" xfId="1722" xr:uid="{BA288F8A-0BBF-4943-82A8-D2DAF5CEDA08}"/>
    <cellStyle name="Vírgula 11 8 10" xfId="9307" xr:uid="{28FDC1E8-F5A8-4A55-A13B-C876B367F185}"/>
    <cellStyle name="Vírgula 11 8 10 2" xfId="29650" xr:uid="{F6E9661F-4595-434D-8618-AF6769B5AE48}"/>
    <cellStyle name="Vírgula 11 8 11" xfId="26156" xr:uid="{22558B9B-6DE3-441F-BE0A-3EF719B601D7}"/>
    <cellStyle name="Vírgula 11 8 12" xfId="56118" xr:uid="{0E434FEB-686C-46A7-B182-D8DF8A0E252A}"/>
    <cellStyle name="Vírgula 11 8 13" xfId="5808" xr:uid="{2778A84D-D91B-45F4-B66D-A4CDDA231127}"/>
    <cellStyle name="Vírgula 11 8 2" xfId="6966" xr:uid="{550F6104-8730-4192-83C8-0869CA92133A}"/>
    <cellStyle name="Vírgula 11 8 2 2" xfId="17252" xr:uid="{FECF2827-5812-45C4-A9A0-8F7EBF1B0E5D}"/>
    <cellStyle name="Vírgula 11 8 2 2 2" xfId="37592" xr:uid="{06D6E80C-9615-4DBF-AB96-9A425CB1015F}"/>
    <cellStyle name="Vírgula 11 8 2 3" xfId="20754" xr:uid="{1B49D6D1-1128-495F-BEE9-BF3508AE2201}"/>
    <cellStyle name="Vírgula 11 8 2 3 2" xfId="41093" xr:uid="{307ACCDC-5E19-4CE7-B03B-8DE94BB8A666}"/>
    <cellStyle name="Vírgula 11 8 2 4" xfId="24009" xr:uid="{44F1A4AD-5245-471B-ABE8-4D7DA04D3077}"/>
    <cellStyle name="Vírgula 11 8 2 4 2" xfId="44344" xr:uid="{56C240D6-D7A8-4DED-8320-477FABE229CB}"/>
    <cellStyle name="Vírgula 11 8 2 5" xfId="14343" xr:uid="{E90FB739-A1CF-41C9-912B-B1403C5A81A0}"/>
    <cellStyle name="Vírgula 11 8 2 5 2" xfId="34684" xr:uid="{F2EE3230-0EFC-4013-A782-1D9EA76D5683}"/>
    <cellStyle name="Vírgula 11 8 2 6" xfId="10465" xr:uid="{F881C666-4C9C-4302-A9DC-84188EDB05B0}"/>
    <cellStyle name="Vírgula 11 8 2 6 2" xfId="30808" xr:uid="{D790B385-49E5-4628-B7C8-B1FC5E7D9C51}"/>
    <cellStyle name="Vírgula 11 8 2 7" xfId="27314" xr:uid="{DD0A6374-4ACB-4BD3-BDCB-B94F47BF40F6}"/>
    <cellStyle name="Vírgula 11 8 3" xfId="7549" xr:uid="{BD1A396C-4E1E-4497-87D0-076A40C7B5BC}"/>
    <cellStyle name="Vírgula 11 8 3 2" xfId="17834" xr:uid="{9B543376-3B70-4A3A-91F9-51D8117F304F}"/>
    <cellStyle name="Vírgula 11 8 3 2 2" xfId="38174" xr:uid="{B7FE8016-75E2-4CBC-9B93-9C5291A45B72}"/>
    <cellStyle name="Vírgula 11 8 3 3" xfId="21336" xr:uid="{B2F03C0A-586B-4D5B-BEC6-2094FE956AEE}"/>
    <cellStyle name="Vírgula 11 8 3 3 2" xfId="41675" xr:uid="{80DF852A-2737-4B4E-B57C-E3495DB5FD28}"/>
    <cellStyle name="Vírgula 11 8 3 4" xfId="24591" xr:uid="{881BE0F8-82FB-47CD-9DD4-D0A98F690E69}"/>
    <cellStyle name="Vírgula 11 8 3 4 2" xfId="44926" xr:uid="{6C8D954E-68B5-4BB7-893D-2083063036DB}"/>
    <cellStyle name="Vírgula 11 8 3 5" xfId="14926" xr:uid="{F71C4052-0DA5-4F95-B090-4EF8AD03FD46}"/>
    <cellStyle name="Vírgula 11 8 3 5 2" xfId="35266" xr:uid="{13CD70D6-8F2A-4447-AEE6-76E41BC0DA95}"/>
    <cellStyle name="Vírgula 11 8 3 6" xfId="11047" xr:uid="{95459FA4-AECE-4AB7-A42D-0C8E20BE5685}"/>
    <cellStyle name="Vírgula 11 8 3 6 2" xfId="31390" xr:uid="{09D9B2FF-A454-4AAE-8803-AA266D99F417}"/>
    <cellStyle name="Vírgula 11 8 3 7" xfId="27896" xr:uid="{7DA489A5-855B-4843-8C1D-A8A90E4CC562}"/>
    <cellStyle name="Vírgula 11 8 4" xfId="13191" xr:uid="{30F26E23-16BA-4153-B8E6-A4C600FB3F9E}"/>
    <cellStyle name="Vírgula 11 8 4 2" xfId="33532" xr:uid="{CD12EA7D-FC86-4676-997C-8FFE67CD24B0}"/>
    <cellStyle name="Vírgula 11 8 5" xfId="16094" xr:uid="{EF5426BC-30C4-489F-B8C8-D3965D76ADBA}"/>
    <cellStyle name="Vírgula 11 8 5 2" xfId="36434" xr:uid="{19E5EF30-EBF5-4568-8529-D2B5EF27BC1F}"/>
    <cellStyle name="Vírgula 11 8 6" xfId="18427" xr:uid="{EB16BC7F-D19E-4A87-9B8C-1245F09EB3D3}"/>
    <cellStyle name="Vírgula 11 8 6 2" xfId="38767" xr:uid="{FC403349-5921-4C8F-B652-1C3659FCAE40}"/>
    <cellStyle name="Vírgula 11 8 7" xfId="19596" xr:uid="{B442632E-44C3-4FF6-BE63-17FD3A343A0D}"/>
    <cellStyle name="Vírgula 11 8 7 2" xfId="39935" xr:uid="{3C380465-9B02-44F8-8536-4E9C72515BCE}"/>
    <cellStyle name="Vírgula 11 8 8" xfId="22851" xr:uid="{A996DA16-5828-45B9-A6AC-266716EC4CC0}"/>
    <cellStyle name="Vírgula 11 8 8 2" xfId="43186" xr:uid="{1308CD96-B596-4C2F-BD8A-71697F0FCE1A}"/>
    <cellStyle name="Vírgula 11 8 9" xfId="11987" xr:uid="{E6298663-CDB3-4BBE-91AE-221A3232D772}"/>
    <cellStyle name="Vírgula 11 8 9 2" xfId="32328" xr:uid="{F0DC156F-2EF7-416F-B488-1E87ECB17B83}"/>
    <cellStyle name="Vírgula 11 9" xfId="6385" xr:uid="{895579CB-6445-4BB4-BC9D-C128802C7111}"/>
    <cellStyle name="Vírgula 11 9 2" xfId="16671" xr:uid="{E8E3F613-11C2-4C2E-BC13-9F38DDF37F65}"/>
    <cellStyle name="Vírgula 11 9 2 2" xfId="37011" xr:uid="{FC585592-D833-46D4-B607-12998B4B0445}"/>
    <cellStyle name="Vírgula 11 9 3" xfId="20173" xr:uid="{B08A8C06-B3B5-49D9-98D4-AC499F18278A}"/>
    <cellStyle name="Vírgula 11 9 3 2" xfId="40512" xr:uid="{885FF04B-5F18-4BB1-8506-DC4B53BC606A}"/>
    <cellStyle name="Vírgula 11 9 4" xfId="23428" xr:uid="{6372960C-E5DA-4D8D-890F-481197D92933}"/>
    <cellStyle name="Vírgula 11 9 4 2" xfId="43763" xr:uid="{C843DF9A-D66E-48A5-991F-35E8AFB43CA4}"/>
    <cellStyle name="Vírgula 11 9 5" xfId="13762" xr:uid="{3BD222EA-B8B8-45BD-AFE3-C075CD64CC4B}"/>
    <cellStyle name="Vírgula 11 9 5 2" xfId="34103" xr:uid="{1B1F6DFC-2F64-4DFA-BE14-44CDF9FB5629}"/>
    <cellStyle name="Vírgula 11 9 6" xfId="9884" xr:uid="{7B453C8D-7F28-428A-88DF-CF67C8A1FBEA}"/>
    <cellStyle name="Vírgula 11 9 6 2" xfId="30227" xr:uid="{A30E5564-28D7-40E7-A590-AAF2C42AFD12}"/>
    <cellStyle name="Vírgula 11 9 7" xfId="26733" xr:uid="{1F61C757-A5F3-4F72-A730-0500AA0A7100}"/>
    <cellStyle name="Vírgula 12" xfId="300" xr:uid="{8CA20260-70A9-4C27-9406-4AA178AE222B}"/>
    <cellStyle name="Vírgula 12 10" xfId="18399" xr:uid="{B1369BF3-3D19-4EA9-AFA6-B7198CCD8711}"/>
    <cellStyle name="Vírgula 12 10 2" xfId="38739" xr:uid="{36104FB6-1AAF-40ED-8BAE-5E65F9287B85}"/>
    <cellStyle name="Vírgula 12 11" xfId="18987" xr:uid="{5FC3EB7E-4CF0-4094-9637-569A98783A95}"/>
    <cellStyle name="Vírgula 12 11 2" xfId="39326" xr:uid="{7633E50F-5467-4523-BEAC-2EAC0D5D0BBB}"/>
    <cellStyle name="Vírgula 12 12" xfId="22242" xr:uid="{7F425369-BCCB-4E29-843B-BA763310F60B}"/>
    <cellStyle name="Vírgula 12 12 2" xfId="42577" xr:uid="{4A77A1A0-9215-49AA-AE95-2B375BF4A08A}"/>
    <cellStyle name="Vírgula 12 13" xfId="11959" xr:uid="{D2F38D7E-BC30-4BD9-A37D-BC7F78D92046}"/>
    <cellStyle name="Vírgula 12 13 2" xfId="32300" xr:uid="{E9EBD6F9-3376-4359-83AC-D12AC98EC905}"/>
    <cellStyle name="Vírgula 12 14" xfId="8698" xr:uid="{144E439C-C049-4F6A-B4E0-617680F424D2}"/>
    <cellStyle name="Vírgula 12 14 2" xfId="29041" xr:uid="{219BAD3F-55AA-42BE-9374-2B833AA521FA}"/>
    <cellStyle name="Vírgula 12 15" xfId="25543" xr:uid="{71CD52E1-62BF-414B-866E-B228CC48117B}"/>
    <cellStyle name="Vírgula 12 16" xfId="45871" xr:uid="{153D13F5-EFD6-4CCD-9479-81A7D4A38124}"/>
    <cellStyle name="Vírgula 12 17" xfId="46357" xr:uid="{69727014-257A-4D5B-8266-67A0143CF768}"/>
    <cellStyle name="Vírgula 12 18" xfId="46849" xr:uid="{3AD829E4-3E2F-46DB-A4CE-57C92DDFEF41}"/>
    <cellStyle name="Vírgula 12 19" xfId="48373" xr:uid="{3C2D3C4C-43E2-4748-A435-5311E8F383F2}"/>
    <cellStyle name="Vírgula 12 2" xfId="1116" xr:uid="{4D88A27F-70DB-400C-BF15-83A4E1FA00FE}"/>
    <cellStyle name="Vírgula 12 2 10" xfId="12074" xr:uid="{DC1C38F3-486D-4B90-877E-CF085659B320}"/>
    <cellStyle name="Vírgula 12 2 10 2" xfId="32415" xr:uid="{3813BD0C-4F18-4FBB-B33C-F315982C3DB2}"/>
    <cellStyle name="Vírgula 12 2 11" xfId="8813" xr:uid="{4D2583B4-D172-46E2-9C41-2C902CFE50B1}"/>
    <cellStyle name="Vírgula 12 2 11 2" xfId="29156" xr:uid="{F3809DCD-3E51-480B-AC52-7292ED077FC6}"/>
    <cellStyle name="Vírgula 12 2 12" xfId="25662" xr:uid="{A2FD2F25-CD89-48F9-AF0A-99DB919E7C5F}"/>
    <cellStyle name="Vírgula 12 2 13" xfId="45976" xr:uid="{1CFD88FB-DABC-466D-828E-AACF9FA6D962}"/>
    <cellStyle name="Vírgula 12 2 14" xfId="46462" xr:uid="{6B605C69-6904-474D-B229-5363DC369F55}"/>
    <cellStyle name="Vírgula 12 2 15" xfId="46954" xr:uid="{51A12F9E-7B94-4028-A97F-43750139146A}"/>
    <cellStyle name="Vírgula 12 2 16" xfId="48374" xr:uid="{71D0823C-D5EC-4257-ABBE-59A83F0482D2}"/>
    <cellStyle name="Vírgula 12 2 17" xfId="50043" xr:uid="{83ACD0FB-C2B2-4307-B6DE-58F0B53CDAF4}"/>
    <cellStyle name="Vírgula 12 2 18" xfId="53338" xr:uid="{0B0E1037-F35D-43F7-B5BA-FBDE19ED4850}"/>
    <cellStyle name="Vírgula 12 2 19" xfId="5344" xr:uid="{570B1B13-12B0-4CBC-92B5-86D07F99FA67}"/>
    <cellStyle name="Vírgula 12 2 2" xfId="4078" xr:uid="{6115E603-BE7A-483C-ACF3-B6E3C7B9B747}"/>
    <cellStyle name="Vírgula 12 2 2 10" xfId="46705" xr:uid="{6486AD95-61C4-4F25-A74E-C61668C2047D}"/>
    <cellStyle name="Vírgula 12 2 2 11" xfId="47197" xr:uid="{15829500-8C94-4AF3-B675-924EEBBE4195}"/>
    <cellStyle name="Vírgula 12 2 2 12" xfId="51676" xr:uid="{4BCB51F6-3D5C-46DF-B346-B73A625BFAFE}"/>
    <cellStyle name="Vírgula 12 2 2 13" xfId="54970" xr:uid="{F9E5D5C8-BD60-4E87-9513-5011E4E30D08}"/>
    <cellStyle name="Vírgula 12 2 2 14" xfId="5895" xr:uid="{F00E5837-5D00-406C-BAB5-ED570029CBDD}"/>
    <cellStyle name="Vírgula 12 2 2 15" xfId="5094" xr:uid="{F5FB514E-9E6E-4184-932C-996C28F73540}"/>
    <cellStyle name="Vírgula 12 2 2 2" xfId="7053" xr:uid="{3D101080-F281-4D69-8491-68450ACDEBCD}"/>
    <cellStyle name="Vírgula 12 2 2 2 2" xfId="17339" xr:uid="{2100FD4C-FA2F-4483-967A-DE34172D884B}"/>
    <cellStyle name="Vírgula 12 2 2 2 2 2" xfId="37679" xr:uid="{6D69C9FE-C241-42B3-9EC8-7181D2A0A57B}"/>
    <cellStyle name="Vírgula 12 2 2 2 3" xfId="20841" xr:uid="{97CC6E0A-8C87-4D04-8D6B-258742A9D8D1}"/>
    <cellStyle name="Vírgula 12 2 2 2 3 2" xfId="41180" xr:uid="{D978E0FA-63B2-4065-95D4-FC7044661EFA}"/>
    <cellStyle name="Vírgula 12 2 2 2 4" xfId="24096" xr:uid="{DA10F82D-86EA-4DDA-80DC-871B64E3AFB8}"/>
    <cellStyle name="Vírgula 12 2 2 2 4 2" xfId="44431" xr:uid="{D9A3F290-2AC8-4F92-8D07-6F1F70E2C72F}"/>
    <cellStyle name="Vírgula 12 2 2 2 5" xfId="14430" xr:uid="{21B6519F-AE15-44D0-8EA8-F0F58148312B}"/>
    <cellStyle name="Vírgula 12 2 2 2 5 2" xfId="34771" xr:uid="{1247DCF6-58FD-469A-971A-48FBB10C5792}"/>
    <cellStyle name="Vírgula 12 2 2 2 6" xfId="10552" xr:uid="{E9A1EA5D-1C2C-49D7-8B2A-948C5204C1FD}"/>
    <cellStyle name="Vírgula 12 2 2 2 6 2" xfId="30895" xr:uid="{8063BCDA-CFC9-4E48-9FA8-71A692D25B57}"/>
    <cellStyle name="Vírgula 12 2 2 2 7" xfId="27401" xr:uid="{A0200715-8FCA-4E9C-BA2B-90B6194D6BE0}"/>
    <cellStyle name="Vírgula 12 2 2 3" xfId="16181" xr:uid="{A14D27AB-A350-4D41-BD24-3D2B615A3A78}"/>
    <cellStyle name="Vírgula 12 2 2 3 2" xfId="36521" xr:uid="{EA637502-66A7-439D-93E4-403CBD543D01}"/>
    <cellStyle name="Vírgula 12 2 2 4" xfId="19683" xr:uid="{2FACC591-7CBE-4C07-B429-D48BFC3B8FB1}"/>
    <cellStyle name="Vírgula 12 2 2 4 2" xfId="40022" xr:uid="{F7322387-99B7-4598-A95D-22B65F2419C6}"/>
    <cellStyle name="Vírgula 12 2 2 5" xfId="22938" xr:uid="{244CD791-E981-43B9-BEBA-0D5BA2EB60F0}"/>
    <cellStyle name="Vírgula 12 2 2 5 2" xfId="43273" xr:uid="{FEC93F3C-DB5D-4096-BECF-DAA875E5B779}"/>
    <cellStyle name="Vírgula 12 2 2 6" xfId="13274" xr:uid="{216BE92C-6C69-4033-8273-B6306EE94914}"/>
    <cellStyle name="Vírgula 12 2 2 6 2" xfId="33615" xr:uid="{1853C5E9-DF6A-45B0-83BD-F1AC543699C2}"/>
    <cellStyle name="Vírgula 12 2 2 7" xfId="9394" xr:uid="{1D3C8E4E-D70A-485F-91FF-501D06F4B426}"/>
    <cellStyle name="Vírgula 12 2 2 7 2" xfId="29737" xr:uid="{87392D53-5C39-4BFB-8A95-D620559CD636}"/>
    <cellStyle name="Vírgula 12 2 2 8" xfId="26243" xr:uid="{C09D0C89-CCAC-4391-9E14-043919A73A80}"/>
    <cellStyle name="Vírgula 12 2 2 9" xfId="46219" xr:uid="{F80AB89F-9607-48C4-8623-F93CB96D9DD0}"/>
    <cellStyle name="Vírgula 12 2 20" xfId="4875" xr:uid="{BC8B422F-B1C5-4E2A-B090-13FBFDFD9B4B}"/>
    <cellStyle name="Vírgula 12 2 3" xfId="4250" xr:uid="{1DEF25E3-5E0F-4F0C-91E2-5FFC9407C10B}"/>
    <cellStyle name="Vírgula 12 2 3 2" xfId="16758" xr:uid="{A688534D-E72D-4825-B261-04E3D15E56BA}"/>
    <cellStyle name="Vírgula 12 2 3 2 2" xfId="37098" xr:uid="{0106AFCA-E5B2-4349-A4B6-7EB93540E85D}"/>
    <cellStyle name="Vírgula 12 2 3 3" xfId="20260" xr:uid="{2AFE3E9D-EF16-473C-A3EC-B062C0242B9D}"/>
    <cellStyle name="Vírgula 12 2 3 3 2" xfId="40599" xr:uid="{71ED53EF-9FD1-4A0D-982A-F2825691A6F9}"/>
    <cellStyle name="Vírgula 12 2 3 4" xfId="23515" xr:uid="{07ADE0E5-087A-485C-93FE-9A53DB7C77EE}"/>
    <cellStyle name="Vírgula 12 2 3 4 2" xfId="43850" xr:uid="{A89D677F-5CDE-497F-B5D8-B1C1008A1BED}"/>
    <cellStyle name="Vírgula 12 2 3 5" xfId="13849" xr:uid="{A2CF4136-7CFC-4648-A631-E6A0C2CA488E}"/>
    <cellStyle name="Vírgula 12 2 3 5 2" xfId="34190" xr:uid="{E52EA3FD-0CD5-4637-8099-F299C6137C54}"/>
    <cellStyle name="Vírgula 12 2 3 6" xfId="9971" xr:uid="{618E8D7F-92CA-45BF-968A-F56C4A7A34A6}"/>
    <cellStyle name="Vírgula 12 2 3 6 2" xfId="30314" xr:uid="{E87541C5-E151-4CD8-A3A9-3F1DA194FBE1}"/>
    <cellStyle name="Vírgula 12 2 3 7" xfId="26820" xr:uid="{D481710D-D96F-4A5B-A443-22B3C5CA81CB}"/>
    <cellStyle name="Vírgula 12 2 3 8" xfId="56987" xr:uid="{AF0CE2DB-F005-4EA7-B74E-FFFC122377E2}"/>
    <cellStyle name="Vírgula 12 2 3 9" xfId="6472" xr:uid="{D8416643-6088-4F05-8549-CB790CE0FB05}"/>
    <cellStyle name="Vírgula 12 2 4" xfId="3907" xr:uid="{B32DB4B5-6B98-4D7B-B204-F4B72FD3F922}"/>
    <cellStyle name="Vírgula 12 2 4 2" xfId="17921" xr:uid="{2EA5793B-9270-4F13-AD56-E5D1CF7242F9}"/>
    <cellStyle name="Vírgula 12 2 4 2 2" xfId="38261" xr:uid="{3AAF9029-8E94-40B6-A587-D211B477C162}"/>
    <cellStyle name="Vírgula 12 2 4 3" xfId="21423" xr:uid="{DCC91F6C-8275-4F5A-8C37-1FD08157CC78}"/>
    <cellStyle name="Vírgula 12 2 4 3 2" xfId="41762" xr:uid="{A891E6FE-8306-4068-8962-C0E97B6C07B7}"/>
    <cellStyle name="Vírgula 12 2 4 4" xfId="24678" xr:uid="{0A5493D5-E7AA-4E06-A008-5B12FC47DE15}"/>
    <cellStyle name="Vírgula 12 2 4 4 2" xfId="45013" xr:uid="{F521ABE2-DEE8-48D5-A2C4-64E006295BD4}"/>
    <cellStyle name="Vírgula 12 2 4 5" xfId="15013" xr:uid="{AC0AEED9-C0C0-4AB5-A1E7-3A2CE71217F3}"/>
    <cellStyle name="Vírgula 12 2 4 5 2" xfId="35353" xr:uid="{8083E910-355A-4516-A589-C8612A6F49E0}"/>
    <cellStyle name="Vírgula 12 2 4 6" xfId="11134" xr:uid="{2B8B8946-0148-410A-A2A9-A49DC6D8AFCB}"/>
    <cellStyle name="Vírgula 12 2 4 6 2" xfId="31477" xr:uid="{B56EE6D7-7E8E-43BE-A5EA-D304682B5413}"/>
    <cellStyle name="Vírgula 12 2 4 7" xfId="27983" xr:uid="{178EE222-9EF1-4403-AA3F-ACB3ED2A2459}"/>
    <cellStyle name="Vírgula 12 2 4 8" xfId="7636" xr:uid="{70A696C4-F3E2-46BA-8207-7EFE367225AA}"/>
    <cellStyle name="Vírgula 12 2 5" xfId="2778" xr:uid="{A616FAC8-6DF5-4C8E-AB2A-1B96AD75F8FD}"/>
    <cellStyle name="Vírgula 12 2 5 2" xfId="21998" xr:uid="{AAF99AF2-29B1-46F5-A4F2-AFF68C91B02C}"/>
    <cellStyle name="Vírgula 12 2 5 2 2" xfId="42334" xr:uid="{87380D63-2818-4565-BB2F-16C7BDE88441}"/>
    <cellStyle name="Vírgula 12 2 5 3" xfId="25250" xr:uid="{F53AD88A-C00F-4152-BE95-E4B5842B51FC}"/>
    <cellStyle name="Vírgula 12 2 5 3 2" xfId="45585" xr:uid="{E3DBFDAB-EFCD-44BC-A1B3-1FAE9671BA4A}"/>
    <cellStyle name="Vírgula 12 2 5 4" xfId="12705" xr:uid="{1E66168F-9D9A-4353-BC4F-FAA451C06AA5}"/>
    <cellStyle name="Vírgula 12 2 5 4 2" xfId="33046" xr:uid="{B7CB9C97-81F0-49D2-9827-A34C8F18FDDD}"/>
    <cellStyle name="Vírgula 12 2 5 5" xfId="11707" xr:uid="{2DF08D67-524A-44A4-A430-16BAD009EDC8}"/>
    <cellStyle name="Vírgula 12 2 5 5 2" xfId="32049" xr:uid="{62778D30-BB71-471F-B772-4B89EC9CB7D6}"/>
    <cellStyle name="Vírgula 12 2 5 6" xfId="28555" xr:uid="{E4725E64-1B59-4FB9-BBB1-325A4C1AAB54}"/>
    <cellStyle name="Vírgula 12 2 5 7" xfId="8211" xr:uid="{0B4210D6-A93E-484C-8761-F7C3C858C433}"/>
    <cellStyle name="Vírgula 12 2 6" xfId="8601" xr:uid="{D40E45E3-D595-4684-9015-5549BF155C30}"/>
    <cellStyle name="Vírgula 12 2 6 2" xfId="15600" xr:uid="{5894BF19-CB1F-449C-BAE2-62B655E427B2}"/>
    <cellStyle name="Vírgula 12 2 6 2 2" xfId="35940" xr:uid="{DEFDB6A0-358C-42F3-9EBF-F118D2395D1A}"/>
    <cellStyle name="Vírgula 12 2 6 3" xfId="28944" xr:uid="{2DA01CA1-E3AF-483B-BF0C-E6023E81C1E8}"/>
    <cellStyle name="Vírgula 12 2 7" xfId="18514" xr:uid="{F04DCDD6-F098-4BFF-A354-1E5571E20016}"/>
    <cellStyle name="Vírgula 12 2 7 2" xfId="38854" xr:uid="{3CDABF5C-9BA8-462F-9360-2A46D89AA012}"/>
    <cellStyle name="Vírgula 12 2 8" xfId="19102" xr:uid="{D33FFB17-BAAA-4B22-BF7A-183C3476595E}"/>
    <cellStyle name="Vírgula 12 2 8 2" xfId="39441" xr:uid="{B9AB65BB-A36F-4CF0-A6DC-139A827D20A6}"/>
    <cellStyle name="Vírgula 12 2 9" xfId="22357" xr:uid="{BDF0D296-1276-478A-BF79-F181D814F606}"/>
    <cellStyle name="Vírgula 12 2 9 2" xfId="42692" xr:uid="{1E813F3F-263D-47B1-9F42-747C65B01669}"/>
    <cellStyle name="Vírgula 12 20" xfId="50042" xr:uid="{92A7B1CE-5028-4BAE-BCA3-C80832730DBD}"/>
    <cellStyle name="Vírgula 12 21" xfId="53337" xr:uid="{562EE537-E294-4FE1-BE2D-8CE98036C281}"/>
    <cellStyle name="Vírgula 12 22" xfId="5222" xr:uid="{E592EB1F-BC1D-4E5C-8866-06875FD617C5}"/>
    <cellStyle name="Vírgula 12 23" xfId="4581" xr:uid="{1F7DC153-8C8C-4829-89EA-E449D69773C2}"/>
    <cellStyle name="Vírgula 12 3" xfId="1522" xr:uid="{8C8C4134-5644-4DF9-BA1B-A63F85FCC8F8}"/>
    <cellStyle name="Vírgula 12 3 10" xfId="12303" xr:uid="{9674E9B7-74CF-40D8-9F3D-C1E040BB20A7}"/>
    <cellStyle name="Vírgula 12 3 10 2" xfId="32644" xr:uid="{744D9678-D49D-4251-8674-373C150D2908}"/>
    <cellStyle name="Vírgula 12 3 11" xfId="9042" xr:uid="{BEA0D184-B0C8-4CE5-88DA-A8325F4CD144}"/>
    <cellStyle name="Vírgula 12 3 11 2" xfId="29385" xr:uid="{90BCBBB8-FDA8-4A9E-98C9-C58C88BF3F08}"/>
    <cellStyle name="Vírgula 12 3 12" xfId="25891" xr:uid="{3A00ED2F-C093-4427-856E-793A57567539}"/>
    <cellStyle name="Vírgula 12 3 13" xfId="46114" xr:uid="{BC703000-5D10-4BB3-8DC5-73D88FEACE45}"/>
    <cellStyle name="Vírgula 12 3 14" xfId="46600" xr:uid="{F725A708-FD0B-4D91-A17D-1A31DDF2EE78}"/>
    <cellStyle name="Vírgula 12 3 15" xfId="47092" xr:uid="{E50EBAF5-7A2F-4C1C-93F6-126A2966CF14}"/>
    <cellStyle name="Vírgula 12 3 16" xfId="48375" xr:uid="{D4446322-2280-4733-ACAE-AA32F4E07D6E}"/>
    <cellStyle name="Vírgula 12 3 17" xfId="50044" xr:uid="{45554357-F6EE-441F-80C7-DF315BDC2738}"/>
    <cellStyle name="Vírgula 12 3 18" xfId="53339" xr:uid="{4546DFEB-6E83-4435-8DE6-4EDDB71B1F87}"/>
    <cellStyle name="Vírgula 12 3 19" xfId="5552" xr:uid="{91FC38BB-5D40-44D9-BD96-06CF3959AFCA}"/>
    <cellStyle name="Vírgula 12 3 2" xfId="4151" xr:uid="{8CAF94AB-E1CF-42EA-8220-3DFE84BB002F}"/>
    <cellStyle name="Vírgula 12 3 2 10" xfId="54971" xr:uid="{B07F9771-2B95-4E60-8171-AE1ABCD4C236}"/>
    <cellStyle name="Vírgula 12 3 2 11" xfId="6124" xr:uid="{689B0330-9FD1-4F2F-9CF0-57C2099AAC60}"/>
    <cellStyle name="Vírgula 12 3 2 2" xfId="7282" xr:uid="{DFB918CE-7A87-475D-BEBE-BF01DA55AC3D}"/>
    <cellStyle name="Vírgula 12 3 2 2 2" xfId="17568" xr:uid="{08641DAB-6C74-4CC4-A03F-9D7D871E9411}"/>
    <cellStyle name="Vírgula 12 3 2 2 2 2" xfId="37908" xr:uid="{D0356A4B-37A2-4EA5-B570-72C918A61FC7}"/>
    <cellStyle name="Vírgula 12 3 2 2 3" xfId="21070" xr:uid="{384DD64C-C0FB-4F75-8FBF-691A802B9BED}"/>
    <cellStyle name="Vírgula 12 3 2 2 3 2" xfId="41409" xr:uid="{A6894757-138C-41C4-9134-EEFC211DEB3E}"/>
    <cellStyle name="Vírgula 12 3 2 2 4" xfId="24325" xr:uid="{7F8325CD-56BA-44F4-A247-081A9232563E}"/>
    <cellStyle name="Vírgula 12 3 2 2 4 2" xfId="44660" xr:uid="{2B80D8EC-FA4F-4D36-B035-23FA932E93F7}"/>
    <cellStyle name="Vírgula 12 3 2 2 5" xfId="14659" xr:uid="{873A1177-FDD2-4C45-8A78-D3D2DBB1B779}"/>
    <cellStyle name="Vírgula 12 3 2 2 5 2" xfId="35000" xr:uid="{88EB19C4-C18D-481F-B6D0-0FEC2AF3AEAB}"/>
    <cellStyle name="Vírgula 12 3 2 2 6" xfId="10781" xr:uid="{1CD32672-7737-47A0-B837-D939FE23475C}"/>
    <cellStyle name="Vírgula 12 3 2 2 6 2" xfId="31124" xr:uid="{ABA919FD-AD3A-41BE-9AC0-06225C3FD223}"/>
    <cellStyle name="Vírgula 12 3 2 2 7" xfId="27630" xr:uid="{677DE92F-7053-463C-B6B5-158A79D2A633}"/>
    <cellStyle name="Vírgula 12 3 2 3" xfId="16410" xr:uid="{DCE8DE47-FB14-422A-83A0-90161086FCC7}"/>
    <cellStyle name="Vírgula 12 3 2 3 2" xfId="36750" xr:uid="{C1A77D24-C35D-45CB-B1C4-67E8CED226F5}"/>
    <cellStyle name="Vírgula 12 3 2 4" xfId="19912" xr:uid="{CE4C271E-E9CF-498D-8A80-455E8EC68418}"/>
    <cellStyle name="Vírgula 12 3 2 4 2" xfId="40251" xr:uid="{F12DB16D-F41E-4258-A130-F8B1DC71D99C}"/>
    <cellStyle name="Vírgula 12 3 2 5" xfId="23167" xr:uid="{46B1ABE8-DD4D-4B76-9DA5-3956094581EA}"/>
    <cellStyle name="Vírgula 12 3 2 5 2" xfId="43502" xr:uid="{6F03BA6C-6E60-4576-80D9-2315D93B5BBC}"/>
    <cellStyle name="Vírgula 12 3 2 6" xfId="13501" xr:uid="{8E0D15CF-6DB4-44C8-A9D6-2BB7CA12CEE6}"/>
    <cellStyle name="Vírgula 12 3 2 6 2" xfId="33842" xr:uid="{3D1AD236-4C16-4950-B55A-AFBBC9F30F1D}"/>
    <cellStyle name="Vírgula 12 3 2 7" xfId="9623" xr:uid="{CD1C2B8C-C109-4462-ACCF-24086B89A058}"/>
    <cellStyle name="Vírgula 12 3 2 7 2" xfId="29966" xr:uid="{B1D93062-9134-4D9B-ADE8-42801A23F5EF}"/>
    <cellStyle name="Vírgula 12 3 2 8" xfId="26472" xr:uid="{79D585E8-CCDB-473B-98C0-4FA544343870}"/>
    <cellStyle name="Vírgula 12 3 2 9" xfId="51677" xr:uid="{2AFA8FF4-DBA0-40FC-A64B-9AC66665BAB9}"/>
    <cellStyle name="Vírgula 12 3 20" xfId="5003" xr:uid="{8A6A526A-58B2-40F5-9C19-3CE20FB0B035}"/>
    <cellStyle name="Vírgula 12 3 3" xfId="4323" xr:uid="{AB92788F-8CA4-4019-BC3E-7467E67F0F6D}"/>
    <cellStyle name="Vírgula 12 3 3 2" xfId="16987" xr:uid="{1A3858E8-6A13-498B-AF58-E765D0B5B909}"/>
    <cellStyle name="Vírgula 12 3 3 2 2" xfId="37327" xr:uid="{D0FD8772-E429-407B-96AC-D3F24DCF7C4B}"/>
    <cellStyle name="Vírgula 12 3 3 3" xfId="20489" xr:uid="{90E18A54-033C-4D4D-8650-962CDE3C7C84}"/>
    <cellStyle name="Vírgula 12 3 3 3 2" xfId="40828" xr:uid="{93BDC35E-8F07-4314-9017-629E6E3FFC69}"/>
    <cellStyle name="Vírgula 12 3 3 4" xfId="23744" xr:uid="{84F05FDE-A041-4D94-869E-164896B52651}"/>
    <cellStyle name="Vírgula 12 3 3 4 2" xfId="44079" xr:uid="{97C1EB36-A60D-4D1B-84AE-6751E54EB4E3}"/>
    <cellStyle name="Vírgula 12 3 3 5" xfId="14078" xr:uid="{D285FC2D-A353-45F8-B027-166370B9D47D}"/>
    <cellStyle name="Vírgula 12 3 3 5 2" xfId="34419" xr:uid="{FC0B0F3E-3D8A-4DA4-8A6B-45AC9883D542}"/>
    <cellStyle name="Vírgula 12 3 3 6" xfId="10200" xr:uid="{08452794-4A86-44CC-8E16-F324334A2B72}"/>
    <cellStyle name="Vírgula 12 3 3 6 2" xfId="30543" xr:uid="{B4B63348-7444-445C-BD21-8117EED26C97}"/>
    <cellStyle name="Vírgula 12 3 3 7" xfId="27049" xr:uid="{40A46095-5868-47C0-B9D1-AFF89E43547E}"/>
    <cellStyle name="Vírgula 12 3 3 8" xfId="57393" xr:uid="{36AAC3CD-F421-4940-A6C7-F0933A87285B}"/>
    <cellStyle name="Vírgula 12 3 3 9" xfId="6701" xr:uid="{DD1BB88B-D00F-4BB6-AB3A-DACBA704DD35}"/>
    <cellStyle name="Vírgula 12 3 4" xfId="3979" xr:uid="{05DD347C-0C90-417C-A4F7-7FCC1D0894D0}"/>
    <cellStyle name="Vírgula 12 3 4 2" xfId="18150" xr:uid="{267A4550-244F-4515-90A6-8EC4ACD63BF4}"/>
    <cellStyle name="Vírgula 12 3 4 2 2" xfId="38490" xr:uid="{0AAB0B7D-9DBC-4CC2-95B3-3B82004C5743}"/>
    <cellStyle name="Vírgula 12 3 4 3" xfId="21652" xr:uid="{9D9307DD-0F6E-4279-B1D3-D53775E6C5A5}"/>
    <cellStyle name="Vírgula 12 3 4 3 2" xfId="41991" xr:uid="{E9AEDBAC-347E-4B6E-A53D-FBCFCA002972}"/>
    <cellStyle name="Vírgula 12 3 4 4" xfId="24907" xr:uid="{44C99323-BDB9-40F5-93D2-68895FF13D2F}"/>
    <cellStyle name="Vírgula 12 3 4 4 2" xfId="45242" xr:uid="{BF703839-C128-443F-BB86-C3EC714A8053}"/>
    <cellStyle name="Vírgula 12 3 4 5" xfId="15242" xr:uid="{CEA6D310-9D4C-45EF-980C-4F6320217B71}"/>
    <cellStyle name="Vírgula 12 3 4 5 2" xfId="35582" xr:uid="{D7240ED5-5D46-488B-97FB-3934137FB3BF}"/>
    <cellStyle name="Vírgula 12 3 4 6" xfId="11363" xr:uid="{83490A7E-BC63-466F-A521-EE43406D9DD9}"/>
    <cellStyle name="Vírgula 12 3 4 6 2" xfId="31706" xr:uid="{F562730B-E213-4F6A-8EF2-04FC3365525B}"/>
    <cellStyle name="Vírgula 12 3 4 7" xfId="28212" xr:uid="{CF8B2D72-29DD-4EC7-9C7D-C67921F1AABE}"/>
    <cellStyle name="Vírgula 12 3 4 8" xfId="7865" xr:uid="{DFF4641E-4FFA-4918-AF3B-A187F96376E3}"/>
    <cellStyle name="Vírgula 12 3 5" xfId="3183" xr:uid="{6EBF420D-3434-4286-B71E-91D8A2C8E9A2}"/>
    <cellStyle name="Vírgula 12 3 5 2" xfId="21999" xr:uid="{1D1FEF57-4773-42F5-B7E1-45F0C1B177F0}"/>
    <cellStyle name="Vírgula 12 3 5 2 2" xfId="42335" xr:uid="{8B0AFB18-5AE3-4AA0-ACA2-03B92BDA2D59}"/>
    <cellStyle name="Vírgula 12 3 5 3" xfId="25251" xr:uid="{368413BC-D5FE-460C-B0A7-C64B783CB0CD}"/>
    <cellStyle name="Vírgula 12 3 5 3 2" xfId="45586" xr:uid="{FF78349A-71F7-4541-BE3A-3F453A95DC3C}"/>
    <cellStyle name="Vírgula 12 3 5 4" xfId="12932" xr:uid="{A006F2F8-4CFB-44F4-A7F3-6F2CD9819B8E}"/>
    <cellStyle name="Vírgula 12 3 5 4 2" xfId="33273" xr:uid="{D29D1436-8080-4FAA-933B-D7CFE3AFD610}"/>
    <cellStyle name="Vírgula 12 3 5 5" xfId="11708" xr:uid="{16FA053A-CDC5-49DA-BA55-BFDF14D519FF}"/>
    <cellStyle name="Vírgula 12 3 5 5 2" xfId="32050" xr:uid="{A9C89C31-741A-4B10-B5CE-4BC1A7428D03}"/>
    <cellStyle name="Vírgula 12 3 5 6" xfId="28556" xr:uid="{9F15D6D2-D0FF-4334-AAA3-989882257EBE}"/>
    <cellStyle name="Vírgula 12 3 5 7" xfId="8212" xr:uid="{F1F9F21C-76AE-42A2-BB10-6BAEE0D9510E}"/>
    <cellStyle name="Vírgula 12 3 6" xfId="15829" xr:uid="{B80D8643-477A-4BAF-9858-78082D8D523B}"/>
    <cellStyle name="Vírgula 12 3 6 2" xfId="36169" xr:uid="{AFD5566C-EF78-4792-9A94-3297679BCAF0}"/>
    <cellStyle name="Vírgula 12 3 7" xfId="18743" xr:uid="{0059F08E-8C2A-4F14-90DE-ABFF7F725D25}"/>
    <cellStyle name="Vírgula 12 3 7 2" xfId="39083" xr:uid="{7599E3F0-A8E6-4B41-86F4-D27EEBE1B77A}"/>
    <cellStyle name="Vírgula 12 3 8" xfId="19331" xr:uid="{1AEA6795-6730-4308-871E-19010B4D87CD}"/>
    <cellStyle name="Vírgula 12 3 8 2" xfId="39670" xr:uid="{B153311C-D604-4034-A4F4-1C1AA739372E}"/>
    <cellStyle name="Vírgula 12 3 9" xfId="22586" xr:uid="{1CF406A7-66CF-402A-BB02-FA9A79BF6711}"/>
    <cellStyle name="Vírgula 12 3 9 2" xfId="42921" xr:uid="{E8308C2E-2B2E-4B85-B31E-1C829B9D4630}"/>
    <cellStyle name="Vírgula 12 4" xfId="709" xr:uid="{496605CC-212E-477B-AE72-1BA1536160C6}"/>
    <cellStyle name="Vírgula 12 4 10" xfId="12461" xr:uid="{165E8D57-7832-4D0A-AF4E-4D1FD44C5897}"/>
    <cellStyle name="Vírgula 12 4 10 2" xfId="32802" xr:uid="{2FF36BD1-5A16-40C6-82B3-936942B815F0}"/>
    <cellStyle name="Vírgula 12 4 11" xfId="9200" xr:uid="{43E07299-87D1-4BE0-9529-140658451C07}"/>
    <cellStyle name="Vírgula 12 4 11 2" xfId="29543" xr:uid="{4C9D8A2B-3F88-46AC-BF0C-2BD96F8A972F}"/>
    <cellStyle name="Vírgula 12 4 12" xfId="26049" xr:uid="{BB30F8C4-260A-49E2-8BAB-8664E921D106}"/>
    <cellStyle name="Vírgula 12 4 13" xfId="48376" xr:uid="{26E065E7-2AE1-430E-B077-B2ADA8441109}"/>
    <cellStyle name="Vírgula 12 4 14" xfId="50045" xr:uid="{806BCE9E-3393-4488-942F-6B7743F7BA95}"/>
    <cellStyle name="Vírgula 12 4 15" xfId="53340" xr:uid="{A852D7F5-A336-4901-874D-2D3F8812C983}"/>
    <cellStyle name="Vírgula 12 4 16" xfId="5710" xr:uid="{0306E689-42A5-4280-89B0-B8CFD0429285}"/>
    <cellStyle name="Vírgula 12 4 17" xfId="4788" xr:uid="{3649AFEC-7154-4224-B3B2-088E0E6AD081}"/>
    <cellStyle name="Vírgula 12 4 2" xfId="4038" xr:uid="{728CDD6A-3ED9-4B20-BA53-B5EA47FCB646}"/>
    <cellStyle name="Vírgula 12 4 2 10" xfId="54972" xr:uid="{FD33C817-9CEE-4F1A-9004-69BFDFE88A0C}"/>
    <cellStyle name="Vírgula 12 4 2 11" xfId="6282" xr:uid="{A681A44A-5C6F-48AE-A045-1EAFFD095288}"/>
    <cellStyle name="Vírgula 12 4 2 2" xfId="7440" xr:uid="{73B82787-36EE-4586-8C82-BFE40045B077}"/>
    <cellStyle name="Vírgula 12 4 2 2 2" xfId="17726" xr:uid="{810535EA-44C9-4867-BA1C-8DABC2D89428}"/>
    <cellStyle name="Vírgula 12 4 2 2 2 2" xfId="38066" xr:uid="{D7683BC6-1ABC-465B-88F8-6E712032688D}"/>
    <cellStyle name="Vírgula 12 4 2 2 3" xfId="21228" xr:uid="{C4FB9EA5-1429-4823-B0F3-C92F0B6F9DFC}"/>
    <cellStyle name="Vírgula 12 4 2 2 3 2" xfId="41567" xr:uid="{8925F825-807F-460A-BF9D-CF56F283BF4F}"/>
    <cellStyle name="Vírgula 12 4 2 2 4" xfId="24483" xr:uid="{50958514-C551-4465-9D9E-43F6B8BB164F}"/>
    <cellStyle name="Vírgula 12 4 2 2 4 2" xfId="44818" xr:uid="{E0450E71-24ED-415D-AE91-9E85CD22DAD1}"/>
    <cellStyle name="Vírgula 12 4 2 2 5" xfId="14817" xr:uid="{A4FC33F6-6D16-4C43-9EDF-C7EA2B677BD0}"/>
    <cellStyle name="Vírgula 12 4 2 2 5 2" xfId="35158" xr:uid="{540C6E76-9B8D-414E-873A-B361E07E2766}"/>
    <cellStyle name="Vírgula 12 4 2 2 6" xfId="10939" xr:uid="{0D050531-0865-4226-9C61-FB59BBFE346C}"/>
    <cellStyle name="Vírgula 12 4 2 2 6 2" xfId="31282" xr:uid="{9DD51D74-F673-42F6-9C23-F40C5431FFC1}"/>
    <cellStyle name="Vírgula 12 4 2 2 7" xfId="27788" xr:uid="{0614F5DD-D56D-4E9E-871F-84A9C6CE0DAB}"/>
    <cellStyle name="Vírgula 12 4 2 3" xfId="16568" xr:uid="{D47F572A-9452-423A-A84E-ECE79C8471C2}"/>
    <cellStyle name="Vírgula 12 4 2 3 2" xfId="36908" xr:uid="{959EE8C4-073F-4418-A9C9-2E7B6BE92A8A}"/>
    <cellStyle name="Vírgula 12 4 2 4" xfId="20070" xr:uid="{3F235E23-AD1B-4010-B7AC-887C725B6C4C}"/>
    <cellStyle name="Vírgula 12 4 2 4 2" xfId="40409" xr:uid="{F5CEC51A-79BE-4D7B-968A-B81832A925AF}"/>
    <cellStyle name="Vírgula 12 4 2 5" xfId="23325" xr:uid="{32C5A48E-B25A-49EB-8974-C7009EE1758F}"/>
    <cellStyle name="Vírgula 12 4 2 5 2" xfId="43660" xr:uid="{0180BF3D-4ED4-4368-9D72-3C4430690D2D}"/>
    <cellStyle name="Vírgula 12 4 2 6" xfId="13659" xr:uid="{257476BF-D911-41EE-BD9E-123A6F8670B7}"/>
    <cellStyle name="Vírgula 12 4 2 6 2" xfId="34000" xr:uid="{06456DEC-23F3-4092-B093-41DD037BA4B8}"/>
    <cellStyle name="Vírgula 12 4 2 7" xfId="9781" xr:uid="{CB3953AB-C587-4E1E-8E9C-3996B0F8C260}"/>
    <cellStyle name="Vírgula 12 4 2 7 2" xfId="30124" xr:uid="{BD96BC78-D10D-4879-BEC6-E7C64EF96AAB}"/>
    <cellStyle name="Vírgula 12 4 2 8" xfId="26630" xr:uid="{7FDD0F84-0C93-40EE-82A9-5A33A279DEBE}"/>
    <cellStyle name="Vírgula 12 4 2 9" xfId="51678" xr:uid="{F683F1AC-4952-4377-953F-9B95C11188E3}"/>
    <cellStyle name="Vírgula 12 4 3" xfId="2425" xr:uid="{8F9494C1-D0B8-418B-8BDA-362CE1390BFF}"/>
    <cellStyle name="Vírgula 12 4 3 2" xfId="17145" xr:uid="{76068C55-5733-4B02-A75E-AEA701A10E11}"/>
    <cellStyle name="Vírgula 12 4 3 2 2" xfId="37485" xr:uid="{AA6658F6-FC73-47B7-B4A3-D5726D6E1B24}"/>
    <cellStyle name="Vírgula 12 4 3 3" xfId="20647" xr:uid="{589D22B1-3FCA-462A-BCFC-E4D1AECC43BD}"/>
    <cellStyle name="Vírgula 12 4 3 3 2" xfId="40986" xr:uid="{EEF552F1-B285-4BB3-B71C-E3C8B3C0A042}"/>
    <cellStyle name="Vírgula 12 4 3 4" xfId="23902" xr:uid="{79D12220-0B03-4FE2-A079-0EEC99EC03E3}"/>
    <cellStyle name="Vírgula 12 4 3 4 2" xfId="44237" xr:uid="{F5CDE244-F912-4593-A256-9D450F6C6147}"/>
    <cellStyle name="Vírgula 12 4 3 5" xfId="14236" xr:uid="{70C9450A-BBB9-4E4A-A9E4-718C50417897}"/>
    <cellStyle name="Vírgula 12 4 3 5 2" xfId="34577" xr:uid="{72B392C5-0413-4640-B418-89F96C844A75}"/>
    <cellStyle name="Vírgula 12 4 3 6" xfId="10358" xr:uid="{9E2B0D86-46EC-4A35-9CC0-C9EA70F27319}"/>
    <cellStyle name="Vírgula 12 4 3 6 2" xfId="30701" xr:uid="{FAE1E103-B605-4A7E-B7C7-8E655EFCDE5B}"/>
    <cellStyle name="Vírgula 12 4 3 7" xfId="27207" xr:uid="{845DD8DA-53D0-49D6-843F-56B4E7E41C82}"/>
    <cellStyle name="Vírgula 12 4 3 8" xfId="56580" xr:uid="{03B24F14-B692-45F1-90D7-425DC81A5E4C}"/>
    <cellStyle name="Vírgula 12 4 3 9" xfId="6859" xr:uid="{4E94F93A-1868-460A-9352-A9F657D2F11A}"/>
    <cellStyle name="Vírgula 12 4 4" xfId="8023" xr:uid="{ECBBC69D-32DC-45CF-B6FB-A24DA58ED071}"/>
    <cellStyle name="Vírgula 12 4 4 2" xfId="18308" xr:uid="{712D1166-550E-4056-8A56-18D2ED5094AD}"/>
    <cellStyle name="Vírgula 12 4 4 2 2" xfId="38648" xr:uid="{106D67B9-2E3B-49D5-BE66-3571BE55BD28}"/>
    <cellStyle name="Vírgula 12 4 4 3" xfId="21810" xr:uid="{1D6806C0-B0B2-4D7A-9201-9863655E80FE}"/>
    <cellStyle name="Vírgula 12 4 4 3 2" xfId="42149" xr:uid="{61EE4870-0CDE-4205-956E-520E6ED9D709}"/>
    <cellStyle name="Vírgula 12 4 4 4" xfId="25065" xr:uid="{4FFC1CCF-F23B-4740-BE93-9C5E7DB7A35E}"/>
    <cellStyle name="Vírgula 12 4 4 4 2" xfId="45400" xr:uid="{34343D81-DDBF-425E-8558-AF729E1479D7}"/>
    <cellStyle name="Vírgula 12 4 4 5" xfId="15400" xr:uid="{0D883AF3-3615-4A6D-B5E1-17BC968DF396}"/>
    <cellStyle name="Vírgula 12 4 4 5 2" xfId="35740" xr:uid="{45656183-02C3-4675-923B-5D3BFC468E75}"/>
    <cellStyle name="Vírgula 12 4 4 6" xfId="11521" xr:uid="{E1C1AAEE-BAD3-481C-A108-5A4A75BB0D93}"/>
    <cellStyle name="Vírgula 12 4 4 6 2" xfId="31864" xr:uid="{7851E932-5CE4-4E1A-964B-F13F78474CB3}"/>
    <cellStyle name="Vírgula 12 4 4 7" xfId="28370" xr:uid="{4683E9F3-BD3C-44A6-B17B-DC7E16C9D256}"/>
    <cellStyle name="Vírgula 12 4 5" xfId="13090" xr:uid="{BEDCC010-176D-41AA-A137-2CC47B4495E7}"/>
    <cellStyle name="Vírgula 12 4 5 2" xfId="33431" xr:uid="{DF24A1FD-2163-423A-9E83-D5A58584CF38}"/>
    <cellStyle name="Vírgula 12 4 6" xfId="15987" xr:uid="{01983945-5FD0-4008-AAB7-4C5960A07842}"/>
    <cellStyle name="Vírgula 12 4 6 2" xfId="36327" xr:uid="{28819DE5-3D6D-4971-BB42-EB0557909B51}"/>
    <cellStyle name="Vírgula 12 4 7" xfId="18901" xr:uid="{2F589540-B925-4A95-B6D7-F009C293B7AE}"/>
    <cellStyle name="Vírgula 12 4 7 2" xfId="39241" xr:uid="{60ABB869-CD3E-4069-871C-1657B9058FF7}"/>
    <cellStyle name="Vírgula 12 4 8" xfId="19489" xr:uid="{92D82EF7-4BB0-4235-A0D7-E252306629AE}"/>
    <cellStyle name="Vírgula 12 4 8 2" xfId="39828" xr:uid="{D8A6C4D5-C974-4083-9DC2-A3A5151AB6E5}"/>
    <cellStyle name="Vírgula 12 4 9" xfId="22744" xr:uid="{4DA6F1FD-154E-455B-A384-228EE6CF3387}"/>
    <cellStyle name="Vírgula 12 4 9 2" xfId="43079" xr:uid="{7292CAD9-BBD7-440C-A372-1315A3E69E2E}"/>
    <cellStyle name="Vírgula 12 5" xfId="3483" xr:uid="{8350C42D-F311-4DE9-8CB0-D056F0478914}"/>
    <cellStyle name="Vírgula 12 5 10" xfId="54969" xr:uid="{A5CC6586-23BD-4EC0-962D-2316902B12A6}"/>
    <cellStyle name="Vírgula 12 5 11" xfId="5780" xr:uid="{087F48C2-C264-4466-A8FA-22649B075B79}"/>
    <cellStyle name="Vírgula 12 5 2" xfId="4210" xr:uid="{01B3C15B-B988-440E-8A81-E5BF290BB0C3}"/>
    <cellStyle name="Vírgula 12 5 2 2" xfId="17224" xr:uid="{3A1FB47B-9445-464F-BDC3-D5181C754BC2}"/>
    <cellStyle name="Vírgula 12 5 2 2 2" xfId="37564" xr:uid="{281E176C-0ECD-45E4-ACE2-D60F26E97D06}"/>
    <cellStyle name="Vírgula 12 5 2 3" xfId="20726" xr:uid="{13C51C70-6CA3-447C-858C-81C159B2B8AB}"/>
    <cellStyle name="Vírgula 12 5 2 3 2" xfId="41065" xr:uid="{03E2FBE1-EB07-417D-A6C3-2B90B824ACDA}"/>
    <cellStyle name="Vírgula 12 5 2 4" xfId="23981" xr:uid="{63EB96C5-7402-43BC-83CE-D684771B837A}"/>
    <cellStyle name="Vírgula 12 5 2 4 2" xfId="44316" xr:uid="{777ACD83-3B1B-4798-8C86-6BD77A373E0F}"/>
    <cellStyle name="Vírgula 12 5 2 5" xfId="14315" xr:uid="{9BA874DC-A689-452D-B38A-E9CFAA27C406}"/>
    <cellStyle name="Vírgula 12 5 2 5 2" xfId="34656" xr:uid="{6C88E756-50F8-48B1-BF14-91B0CA51179B}"/>
    <cellStyle name="Vírgula 12 5 2 6" xfId="10437" xr:uid="{42E9A1E1-886E-48CA-81BC-B8CEB7612D19}"/>
    <cellStyle name="Vírgula 12 5 2 6 2" xfId="30780" xr:uid="{86337304-32C7-48CE-BE1D-5C37605C0BF9}"/>
    <cellStyle name="Vírgula 12 5 2 7" xfId="27286" xr:uid="{2EE1A3B2-37DE-46A7-9DE1-EED71EA85F91}"/>
    <cellStyle name="Vírgula 12 5 2 8" xfId="6938" xr:uid="{656C1740-2CBA-40BF-9296-1DD412BE8E27}"/>
    <cellStyle name="Vírgula 12 5 3" xfId="16066" xr:uid="{29EEEEA0-44F9-45D7-BEA3-B9CBE1E0ECFA}"/>
    <cellStyle name="Vírgula 12 5 3 2" xfId="36406" xr:uid="{B9718FAD-29C1-4BA7-8F87-F28B0127BB41}"/>
    <cellStyle name="Vírgula 12 5 4" xfId="19568" xr:uid="{4846AC14-87BA-4CFB-B49C-0228CBACB165}"/>
    <cellStyle name="Vírgula 12 5 4 2" xfId="39907" xr:uid="{D59DE979-B1D1-4191-8A2C-CA08656E7950}"/>
    <cellStyle name="Vírgula 12 5 5" xfId="22823" xr:uid="{D7FF00A5-132F-414D-A889-4A73357DF462}"/>
    <cellStyle name="Vírgula 12 5 5 2" xfId="43158" xr:uid="{C6F48EF0-792B-46DB-9C73-1F24417544D5}"/>
    <cellStyle name="Vírgula 12 5 6" xfId="13168" xr:uid="{126625BE-A477-4FAE-8DF4-34EB4BA9C5DD}"/>
    <cellStyle name="Vírgula 12 5 6 2" xfId="33509" xr:uid="{18F4BC03-41A3-4CD0-B90C-CC58207DBB1E}"/>
    <cellStyle name="Vírgula 12 5 7" xfId="9279" xr:uid="{C876E981-51BE-4970-B818-2498A686B920}"/>
    <cellStyle name="Vírgula 12 5 7 2" xfId="29622" xr:uid="{6F66B80C-5428-497A-9033-3D45F5209025}"/>
    <cellStyle name="Vírgula 12 5 8" xfId="26128" xr:uid="{D9F1BFCE-A80A-4B53-B387-FBCBE9DAC3E6}"/>
    <cellStyle name="Vírgula 12 5 9" xfId="51675" xr:uid="{A8E12CAF-5315-4083-9649-C4710C601A9B}"/>
    <cellStyle name="Vírgula 12 6" xfId="3867" xr:uid="{80CBD576-9A70-4900-BE30-599C034026AB}"/>
    <cellStyle name="Vírgula 12 6 2" xfId="16643" xr:uid="{C44B2B65-4B0C-4364-9B17-B76F15358DA4}"/>
    <cellStyle name="Vírgula 12 6 2 2" xfId="36983" xr:uid="{D5653B6F-08F8-4EF5-B719-544304607B50}"/>
    <cellStyle name="Vírgula 12 6 3" xfId="20145" xr:uid="{136672BC-5AE0-488A-AFE4-750F97BAF4F1}"/>
    <cellStyle name="Vírgula 12 6 3 2" xfId="40484" xr:uid="{3834A9A7-BACF-4A27-A765-7C443BF530AA}"/>
    <cellStyle name="Vírgula 12 6 4" xfId="23400" xr:uid="{958C08B1-25D9-4E95-A534-2512DA04156E}"/>
    <cellStyle name="Vírgula 12 6 4 2" xfId="43735" xr:uid="{FC339ABB-C9DB-45E3-BE3D-796A973C1B44}"/>
    <cellStyle name="Vírgula 12 6 5" xfId="13734" xr:uid="{6197FDA4-564E-4189-9146-5B89D5F5B3F2}"/>
    <cellStyle name="Vírgula 12 6 5 2" xfId="34075" xr:uid="{C40AED4F-0308-47A6-B024-703E2BA2B633}"/>
    <cellStyle name="Vírgula 12 6 6" xfId="9856" xr:uid="{8B32ECA1-5996-4EFE-A0C1-9471679C723C}"/>
    <cellStyle name="Vírgula 12 6 6 2" xfId="30199" xr:uid="{4D86FE6A-2014-49F8-9105-6A9470680B2A}"/>
    <cellStyle name="Vírgula 12 6 7" xfId="26705" xr:uid="{DB7E1650-FF46-4AA8-BD03-8AA469008E31}"/>
    <cellStyle name="Vírgula 12 6 8" xfId="56171" xr:uid="{06885F89-35BF-4442-9623-9BFA8B2782C6}"/>
    <cellStyle name="Vírgula 12 6 9" xfId="6357" xr:uid="{2B6EEEA5-5D2D-494A-8261-EA14E3B30EFD}"/>
    <cellStyle name="Vírgula 12 7" xfId="1832" xr:uid="{C865E909-8E92-4F92-9476-FB7588A7852D}"/>
    <cellStyle name="Vírgula 12 7 2" xfId="17806" xr:uid="{7E95387F-728A-44C7-85A2-0B4FD47EDF57}"/>
    <cellStyle name="Vírgula 12 7 2 2" xfId="38146" xr:uid="{ECCBF6E5-E047-4B18-8772-97227F82DAB2}"/>
    <cellStyle name="Vírgula 12 7 3" xfId="21308" xr:uid="{6960B393-EB43-44C2-985D-DB983569F564}"/>
    <cellStyle name="Vírgula 12 7 3 2" xfId="41647" xr:uid="{172745DD-C782-477E-9185-7800BC9AA2D8}"/>
    <cellStyle name="Vírgula 12 7 4" xfId="24563" xr:uid="{999F194A-2F20-4FA6-A259-D2A3D0FCE2A4}"/>
    <cellStyle name="Vírgula 12 7 4 2" xfId="44898" xr:uid="{4FEB9922-8CC6-450D-A1D9-DC909A94C0CD}"/>
    <cellStyle name="Vírgula 12 7 5" xfId="14898" xr:uid="{7CFD13FF-7E33-4F7C-990A-8F5A3D061872}"/>
    <cellStyle name="Vírgula 12 7 5 2" xfId="35238" xr:uid="{CB84EE5A-3812-42CE-82D2-93AA64FCF834}"/>
    <cellStyle name="Vírgula 12 7 6" xfId="11019" xr:uid="{40EA4550-92EC-4018-B05C-8E5A71003712}"/>
    <cellStyle name="Vírgula 12 7 6 2" xfId="31362" xr:uid="{6C3948D8-7185-45F3-9611-0CF68184CA17}"/>
    <cellStyle name="Vírgula 12 7 7" xfId="27868" xr:uid="{E0D7D442-9A10-4B5F-9D39-993E9C1F6C1B}"/>
    <cellStyle name="Vírgula 12 7 8" xfId="7521" xr:uid="{7BDAC22E-5CA5-4785-92B2-91B0E2831F2A}"/>
    <cellStyle name="Vírgula 12 8" xfId="8210" xr:uid="{144CD6C5-FAE6-4B07-B4A2-7892D6F3D794}"/>
    <cellStyle name="Vírgula 12 8 2" xfId="21997" xr:uid="{F1298149-31DE-437D-89FF-99AE2AF802CD}"/>
    <cellStyle name="Vírgula 12 8 2 2" xfId="42333" xr:uid="{0C8F814B-1167-4DA6-A254-AE61ED242B21}"/>
    <cellStyle name="Vírgula 12 8 3" xfId="25249" xr:uid="{FA0AACD8-A19C-4F2D-BAF1-3407197E9A4D}"/>
    <cellStyle name="Vírgula 12 8 3 2" xfId="45584" xr:uid="{97F7904C-3DF0-4EBE-8533-A58EF4BB57EA}"/>
    <cellStyle name="Vírgula 12 8 4" xfId="12599" xr:uid="{6DD3971A-4AC7-4479-8296-3B896F517E8E}"/>
    <cellStyle name="Vírgula 12 8 4 2" xfId="32940" xr:uid="{2667FA61-7427-4B11-8E7B-8383BA1F2346}"/>
    <cellStyle name="Vírgula 12 8 5" xfId="11706" xr:uid="{7927FB5C-FC7D-4D79-A261-ACFA71363937}"/>
    <cellStyle name="Vírgula 12 8 5 2" xfId="32048" xr:uid="{1015D69C-E432-43DD-BC89-305DEE932E98}"/>
    <cellStyle name="Vírgula 12 8 6" xfId="28554" xr:uid="{46F48187-E815-4A7D-A086-E1D862E8045E}"/>
    <cellStyle name="Vírgula 12 9" xfId="8496" xr:uid="{0241D74C-D43C-4FCC-A403-479AA05B1E14}"/>
    <cellStyle name="Vírgula 12 9 2" xfId="15485" xr:uid="{743A786F-7AE9-40BD-8267-6D0ACFC8257B}"/>
    <cellStyle name="Vírgula 12 9 2 2" xfId="35825" xr:uid="{FE5F7C32-9C07-4BFF-8976-8132CF99352C}"/>
    <cellStyle name="Vírgula 12 9 3" xfId="28839" xr:uid="{A01DB089-86F1-494E-BA0A-CD82E41F41A9}"/>
    <cellStyle name="Vírgula 13" xfId="109" xr:uid="{46DD97CB-048F-417C-95B2-6BE0567B696A}"/>
    <cellStyle name="Vírgula 13 10" xfId="18480" xr:uid="{BA5D7E35-D4A1-4D3F-B2D6-CECDCE95C493}"/>
    <cellStyle name="Vírgula 13 10 2" xfId="38820" xr:uid="{ED54965F-39B8-43C8-AE69-50A072D2EAA1}"/>
    <cellStyle name="Vírgula 13 11" xfId="19068" xr:uid="{444C76A4-0C1F-46E4-AAFD-CB826ABCBC0D}"/>
    <cellStyle name="Vírgula 13 11 2" xfId="39407" xr:uid="{33A882E7-771E-420A-9835-89B1A73C9A26}"/>
    <cellStyle name="Vírgula 13 12" xfId="22323" xr:uid="{E1AD6B71-212B-4F6A-AC7B-E4068271E67F}"/>
    <cellStyle name="Vírgula 13 12 2" xfId="42658" xr:uid="{D09D1DBF-D503-4270-8EE3-C8FCF14A4EC6}"/>
    <cellStyle name="Vírgula 13 13" xfId="12040" xr:uid="{4A13A994-B252-4FED-991E-829B739F1788}"/>
    <cellStyle name="Vírgula 13 13 2" xfId="32381" xr:uid="{7D2C739A-9F37-4FF6-B04E-EF4B0DD5921F}"/>
    <cellStyle name="Vírgula 13 14" xfId="8779" xr:uid="{93BD26F4-3998-4F70-A08E-A320920953E8}"/>
    <cellStyle name="Vírgula 13 14 2" xfId="29122" xr:uid="{2B838988-3CD4-4745-A8C7-884B94283175}"/>
    <cellStyle name="Vírgula 13 15" xfId="25628" xr:uid="{723EA160-8FBD-4A8D-A5C2-9E5F080BB8F7}"/>
    <cellStyle name="Vírgula 13 16" xfId="45866" xr:uid="{3EE0AFAD-82F9-408F-A313-CC19D3970D82}"/>
    <cellStyle name="Vírgula 13 17" xfId="46352" xr:uid="{683E9CD5-DC67-4FC1-A392-F44D15ED76B8}"/>
    <cellStyle name="Vírgula 13 18" xfId="46844" xr:uid="{ECB86E5F-F768-4D33-8CBA-22B019E59E9A}"/>
    <cellStyle name="Vírgula 13 19" xfId="48377" xr:uid="{01BDB55C-DF6D-479D-9600-6B570D1D0053}"/>
    <cellStyle name="Vírgula 13 2" xfId="927" xr:uid="{33968698-6FE7-4628-A5F2-3E979FA0DA32}"/>
    <cellStyle name="Vírgula 13 2 10" xfId="12155" xr:uid="{F3780B08-71CC-4FAF-82A6-40C08F896663}"/>
    <cellStyle name="Vírgula 13 2 10 2" xfId="32496" xr:uid="{04435BC3-6DD7-46D6-BB8E-E9FDF4CA21D1}"/>
    <cellStyle name="Vírgula 13 2 11" xfId="8894" xr:uid="{0B62C418-226D-41C5-90B0-88CF55B3834D}"/>
    <cellStyle name="Vírgula 13 2 11 2" xfId="29237" xr:uid="{67CE7B28-7B78-4CD2-8AC5-0C242B43B0B3}"/>
    <cellStyle name="Vírgula 13 2 12" xfId="25743" xr:uid="{F144046E-D9A4-412A-8649-4152E5E6A5E6}"/>
    <cellStyle name="Vírgula 13 2 13" xfId="45978" xr:uid="{0E5B6302-EB9E-420D-97A8-095F6E1869E7}"/>
    <cellStyle name="Vírgula 13 2 14" xfId="46464" xr:uid="{9D8F9169-76D0-477D-8E54-152A95373D85}"/>
    <cellStyle name="Vírgula 13 2 15" xfId="46956" xr:uid="{6060234F-A916-4902-9620-4166674301FF}"/>
    <cellStyle name="Vírgula 13 2 16" xfId="48378" xr:uid="{AD6B4DF2-4ACE-44A6-A5B3-878F80213573}"/>
    <cellStyle name="Vírgula 13 2 17" xfId="50047" xr:uid="{9BC9E4F2-0F89-4076-8E54-5E45FA2F384A}"/>
    <cellStyle name="Vírgula 13 2 18" xfId="53342" xr:uid="{32B68C8B-46DB-439C-8A82-C5C2DB97F451}"/>
    <cellStyle name="Vírgula 13 2 19" xfId="5412" xr:uid="{6EDD57EF-C9F2-4860-B191-0AAF1A8BCBA9}"/>
    <cellStyle name="Vírgula 13 2 2" xfId="4080" xr:uid="{86A1CF86-CA08-471A-8D3B-417B1238CD89}"/>
    <cellStyle name="Vírgula 13 2 2 10" xfId="46707" xr:uid="{10F753E0-ECDA-43FF-8599-DF753FCA6776}"/>
    <cellStyle name="Vírgula 13 2 2 11" xfId="47199" xr:uid="{FF98C62A-F992-46DB-9139-F9983E1ABCE6}"/>
    <cellStyle name="Vírgula 13 2 2 12" xfId="51680" xr:uid="{21A614E2-DB05-4B2C-9571-F5DD4191772E}"/>
    <cellStyle name="Vírgula 13 2 2 13" xfId="54974" xr:uid="{74362B11-1D99-479D-9EF6-EAF77E0E1B95}"/>
    <cellStyle name="Vírgula 13 2 2 14" xfId="5976" xr:uid="{1F9945EA-6905-47F8-BC0E-6C72C26729A7}"/>
    <cellStyle name="Vírgula 13 2 2 15" xfId="5096" xr:uid="{98D5E503-6DA4-4787-8E65-ABDE0582DB1F}"/>
    <cellStyle name="Vírgula 13 2 2 2" xfId="7134" xr:uid="{DDB7C7CF-D61C-4521-AEAA-300FBB39AB3C}"/>
    <cellStyle name="Vírgula 13 2 2 2 2" xfId="17420" xr:uid="{A14C63AF-7316-4F3E-961B-8A469E267E85}"/>
    <cellStyle name="Vírgula 13 2 2 2 2 2" xfId="37760" xr:uid="{2D8A79BA-BDBD-4058-A043-4B5DDCCD6CC1}"/>
    <cellStyle name="Vírgula 13 2 2 2 3" xfId="20922" xr:uid="{27C30DCC-C904-4F7E-B389-D2F98C287DFE}"/>
    <cellStyle name="Vírgula 13 2 2 2 3 2" xfId="41261" xr:uid="{73F5E419-3D51-4400-860F-C5D32789B7AA}"/>
    <cellStyle name="Vírgula 13 2 2 2 4" xfId="24177" xr:uid="{97990BE8-F30D-4B9A-97E1-63B31160F4A4}"/>
    <cellStyle name="Vírgula 13 2 2 2 4 2" xfId="44512" xr:uid="{825EA42A-8628-4FF5-B022-46A90AA45349}"/>
    <cellStyle name="Vírgula 13 2 2 2 5" xfId="14511" xr:uid="{7E2183BA-82DE-411D-B71B-3936814BCEE4}"/>
    <cellStyle name="Vírgula 13 2 2 2 5 2" xfId="34852" xr:uid="{08D6EDF8-3E2C-4B4A-99C7-2D965931A95F}"/>
    <cellStyle name="Vírgula 13 2 2 2 6" xfId="10633" xr:uid="{BE168850-C5AE-49AC-8365-BAA2A6271082}"/>
    <cellStyle name="Vírgula 13 2 2 2 6 2" xfId="30976" xr:uid="{2DFC9DD8-7857-484C-82F2-927E59793383}"/>
    <cellStyle name="Vírgula 13 2 2 2 7" xfId="27482" xr:uid="{7B77F7AA-9160-4ECB-81F6-140C80D8EDAD}"/>
    <cellStyle name="Vírgula 13 2 2 3" xfId="8215" xr:uid="{72C24999-3610-4586-9855-815296DE5070}"/>
    <cellStyle name="Vírgula 13 2 2 3 2" xfId="22002" xr:uid="{92E014FA-5E9D-4B99-B509-BBFED932C11C}"/>
    <cellStyle name="Vírgula 13 2 2 3 2 2" xfId="42338" xr:uid="{6D217550-C2F6-4F95-8001-FBC80D04E9F1}"/>
    <cellStyle name="Vírgula 13 2 2 3 3" xfId="25254" xr:uid="{4B3AB9D3-3165-4E85-BA76-22ED8AE5B86A}"/>
    <cellStyle name="Vírgula 13 2 2 3 3 2" xfId="45589" xr:uid="{81DF0C52-A35C-489E-9FEC-B4D3482683E9}"/>
    <cellStyle name="Vírgula 13 2 2 3 4" xfId="16262" xr:uid="{219A900F-94A1-49CD-ADF5-565D14282A10}"/>
    <cellStyle name="Vírgula 13 2 2 3 4 2" xfId="36602" xr:uid="{024B51C5-73FD-4C24-861E-4FFBCD12AAB3}"/>
    <cellStyle name="Vírgula 13 2 2 3 5" xfId="11711" xr:uid="{CDA7FE45-D0C2-42DA-876F-ABF522D5EDE0}"/>
    <cellStyle name="Vírgula 13 2 2 3 5 2" xfId="32053" xr:uid="{DCBEA1B3-A294-48B3-A07A-BA7483874C36}"/>
    <cellStyle name="Vírgula 13 2 2 3 6" xfId="28559" xr:uid="{88DBACE8-8DB8-4AC8-92C7-936816C0B20B}"/>
    <cellStyle name="Vírgula 13 2 2 4" xfId="19764" xr:uid="{924F8243-62FC-4489-A64C-E24FF09C7E37}"/>
    <cellStyle name="Vírgula 13 2 2 4 2" xfId="40103" xr:uid="{9CCBA9B2-130E-4602-8350-C44B528976B2}"/>
    <cellStyle name="Vírgula 13 2 2 5" xfId="23019" xr:uid="{FB8BA98B-F06A-4BB9-A3F0-3803D188B085}"/>
    <cellStyle name="Vírgula 13 2 2 5 2" xfId="43354" xr:uid="{77C9BD6C-4F64-44E9-A4DE-9B63A399DBB3}"/>
    <cellStyle name="Vírgula 13 2 2 6" xfId="13353" xr:uid="{F133EDF3-7C2F-45FF-8C92-C75639581512}"/>
    <cellStyle name="Vírgula 13 2 2 6 2" xfId="33694" xr:uid="{5A46ED49-8820-43DB-A7FC-6DDE035A78D0}"/>
    <cellStyle name="Vírgula 13 2 2 7" xfId="9475" xr:uid="{18638300-3FA3-4C92-8183-26D44CC7E8FA}"/>
    <cellStyle name="Vírgula 13 2 2 7 2" xfId="29818" xr:uid="{5B919F86-EF56-4DB1-AEFE-21AC5A74D743}"/>
    <cellStyle name="Vírgula 13 2 2 8" xfId="26324" xr:uid="{05AE3524-98F1-4EED-8F7D-AF9BC8A1C946}"/>
    <cellStyle name="Vírgula 13 2 2 9" xfId="46221" xr:uid="{8FDAD813-860A-4720-9E19-A87C1E05D0AE}"/>
    <cellStyle name="Vírgula 13 2 20" xfId="4877" xr:uid="{AB3A94C1-B57C-4EC0-9E32-DA92E36F9632}"/>
    <cellStyle name="Vírgula 13 2 3" xfId="4252" xr:uid="{0678F06E-6650-408C-9E9E-0B790DA1EAA1}"/>
    <cellStyle name="Vírgula 13 2 3 2" xfId="16839" xr:uid="{EFFAA118-78BF-4727-93A9-51C4C2E981EB}"/>
    <cellStyle name="Vírgula 13 2 3 2 2" xfId="37179" xr:uid="{2242F62A-4236-4266-91D1-D67CEC5A98C5}"/>
    <cellStyle name="Vírgula 13 2 3 3" xfId="20341" xr:uid="{32F025C5-D428-4E6B-8EED-AD9D8BFEC57A}"/>
    <cellStyle name="Vírgula 13 2 3 3 2" xfId="40680" xr:uid="{C96E511A-53C4-4A3C-88B1-86FD44EA8321}"/>
    <cellStyle name="Vírgula 13 2 3 4" xfId="23596" xr:uid="{E8E2D8D8-008A-48B5-9B44-143E359187A6}"/>
    <cellStyle name="Vírgula 13 2 3 4 2" xfId="43931" xr:uid="{C52E8936-C104-444B-94A1-AE48348C4741}"/>
    <cellStyle name="Vírgula 13 2 3 5" xfId="13930" xr:uid="{34717FCF-35A8-43B4-9CFD-4807B1996264}"/>
    <cellStyle name="Vírgula 13 2 3 5 2" xfId="34271" xr:uid="{17C5FEA8-462B-4FCF-8BC0-CB13B962E686}"/>
    <cellStyle name="Vírgula 13 2 3 6" xfId="10052" xr:uid="{343AF22D-1F14-43F9-8019-736101373806}"/>
    <cellStyle name="Vírgula 13 2 3 6 2" xfId="30395" xr:uid="{F00ABDDC-2D60-442C-B253-0800D5EEB90C}"/>
    <cellStyle name="Vírgula 13 2 3 7" xfId="26901" xr:uid="{30572D49-9B2E-4497-9B19-5AF60CE05B42}"/>
    <cellStyle name="Vírgula 13 2 3 8" xfId="56798" xr:uid="{0A38FB37-1A01-4AE5-B95F-70A1163DF6E8}"/>
    <cellStyle name="Vírgula 13 2 3 9" xfId="6553" xr:uid="{9EEA160D-6C32-4C62-BDB1-1FB11D1EC26A}"/>
    <cellStyle name="Vírgula 13 2 4" xfId="3909" xr:uid="{7928EF48-FCD1-464A-AB01-8F784A6C9DA2}"/>
    <cellStyle name="Vírgula 13 2 4 2" xfId="18002" xr:uid="{6FAF58A7-A891-46D4-B7E2-C07C76F66FFA}"/>
    <cellStyle name="Vírgula 13 2 4 2 2" xfId="38342" xr:uid="{896E1715-48D9-4F55-8695-B336CC604469}"/>
    <cellStyle name="Vírgula 13 2 4 3" xfId="21504" xr:uid="{8D578560-53A7-42B8-B823-9AF93EFD3FFD}"/>
    <cellStyle name="Vírgula 13 2 4 3 2" xfId="41843" xr:uid="{B8273BD4-BE62-421C-A366-E7D1BC26A0F6}"/>
    <cellStyle name="Vírgula 13 2 4 4" xfId="24759" xr:uid="{43C31788-306C-4DF1-B759-64CDCBFBBA1B}"/>
    <cellStyle name="Vírgula 13 2 4 4 2" xfId="45094" xr:uid="{776D5776-5273-4952-9C76-3E2516BD390D}"/>
    <cellStyle name="Vírgula 13 2 4 5" xfId="15094" xr:uid="{09368E7F-4F33-435D-8CF4-5476B68F7C7E}"/>
    <cellStyle name="Vírgula 13 2 4 5 2" xfId="35434" xr:uid="{46B638A7-F422-449B-9557-DCD58BC41445}"/>
    <cellStyle name="Vírgula 13 2 4 6" xfId="11215" xr:uid="{8AF040C0-B320-44F8-B7D5-C70C3068D7E0}"/>
    <cellStyle name="Vírgula 13 2 4 6 2" xfId="31558" xr:uid="{28A365A4-1BD0-441E-89D6-09AF681B907D}"/>
    <cellStyle name="Vírgula 13 2 4 7" xfId="28064" xr:uid="{E310F5C3-9FD4-4E56-96F7-24E5C3C09D10}"/>
    <cellStyle name="Vírgula 13 2 4 8" xfId="7717" xr:uid="{1B7B4418-AD26-4F46-B9C7-6526C9A7E492}"/>
    <cellStyle name="Vírgula 13 2 5" xfId="2642" xr:uid="{52C067F7-6EB8-4C0A-A738-068AA0F459BF}"/>
    <cellStyle name="Vírgula 13 2 5 2" xfId="22001" xr:uid="{7D2EB1C4-7783-4687-85DD-364B0E9C5635}"/>
    <cellStyle name="Vírgula 13 2 5 2 2" xfId="42337" xr:uid="{25532B91-D648-409F-A503-AFCCBDF3C89E}"/>
    <cellStyle name="Vírgula 13 2 5 3" xfId="25253" xr:uid="{20FEEFF6-6014-484F-ACBE-E936E5C5E057}"/>
    <cellStyle name="Vírgula 13 2 5 3 2" xfId="45588" xr:uid="{4822EF28-EFA3-4309-9619-49843EF5A6DE}"/>
    <cellStyle name="Vírgula 13 2 5 4" xfId="12784" xr:uid="{AC37C83E-72BB-47C6-8713-EEE48A99BBD2}"/>
    <cellStyle name="Vírgula 13 2 5 4 2" xfId="33125" xr:uid="{B105BA0D-A487-41B9-9280-9E50CF56BE4D}"/>
    <cellStyle name="Vírgula 13 2 5 5" xfId="11710" xr:uid="{53C933E3-5DC9-4A3C-9C81-93ACBBBE18ED}"/>
    <cellStyle name="Vírgula 13 2 5 5 2" xfId="32052" xr:uid="{1F82CBC2-5010-4367-822E-B75F19273DE4}"/>
    <cellStyle name="Vírgula 13 2 5 6" xfId="28558" xr:uid="{C0D1B5EC-09B1-4493-8853-DBAAA50F72E9}"/>
    <cellStyle name="Vírgula 13 2 5 7" xfId="8214" xr:uid="{A2EDA879-5897-4E26-A088-6090687100EA}"/>
    <cellStyle name="Vírgula 13 2 6" xfId="8603" xr:uid="{4D979C65-8F60-4F9D-8157-F8996E2E0369}"/>
    <cellStyle name="Vírgula 13 2 6 2" xfId="15681" xr:uid="{79DD5394-89BE-474A-8F66-6DB3236768E0}"/>
    <cellStyle name="Vírgula 13 2 6 2 2" xfId="36021" xr:uid="{0128CD40-6BA6-48ED-B9DA-4DDBA896EB16}"/>
    <cellStyle name="Vírgula 13 2 6 3" xfId="28946" xr:uid="{A926E54B-F46D-41D8-B007-E00A5357EA75}"/>
    <cellStyle name="Vírgula 13 2 7" xfId="18595" xr:uid="{E9CFA15D-1CAA-48FC-9A32-934BD201F6BE}"/>
    <cellStyle name="Vírgula 13 2 7 2" xfId="38935" xr:uid="{51D06C93-D878-4623-946E-1F83911D7989}"/>
    <cellStyle name="Vírgula 13 2 8" xfId="19183" xr:uid="{5BC2BB02-0403-492A-A8C8-09BFB7ED3A82}"/>
    <cellStyle name="Vírgula 13 2 8 2" xfId="39522" xr:uid="{C8276314-B333-4103-BC58-3604063BEF1B}"/>
    <cellStyle name="Vírgula 13 2 9" xfId="22438" xr:uid="{6DC878DD-E9DF-45D7-A4C9-F9A4C3E77A5A}"/>
    <cellStyle name="Vírgula 13 2 9 2" xfId="42773" xr:uid="{3C31777B-7AFB-4D6F-8000-35C8F286BB8D}"/>
    <cellStyle name="Vírgula 13 20" xfId="50046" xr:uid="{48BA67DE-8ED9-4799-B6F7-53F8217610C4}"/>
    <cellStyle name="Vírgula 13 21" xfId="53341" xr:uid="{008CDCDA-14BD-493C-9271-4AA021EE2794}"/>
    <cellStyle name="Vírgula 13 22" xfId="5310" xr:uid="{5ED9F642-0FB8-4549-B8F4-C641C7A45D8E}"/>
    <cellStyle name="Vírgula 13 23" xfId="4392" xr:uid="{3ED09A59-612E-42B3-916C-D14DEF187335}"/>
    <cellStyle name="Vírgula 13 3" xfId="1333" xr:uid="{3A66BBEE-52AA-4F58-92B8-001AD6B71097}"/>
    <cellStyle name="Vírgula 13 3 10" xfId="12384" xr:uid="{DC5B1AB2-3D00-4C5D-A9BD-45DDCB1C018F}"/>
    <cellStyle name="Vírgula 13 3 10 2" xfId="32725" xr:uid="{7A8EC540-7737-4B46-9425-8AB819AA0D4E}"/>
    <cellStyle name="Vírgula 13 3 11" xfId="9123" xr:uid="{271C8FD8-CECA-4A81-A2D2-E0DD20B177D5}"/>
    <cellStyle name="Vírgula 13 3 11 2" xfId="29466" xr:uid="{A76BCC99-C1E8-4134-BDE8-C65B94B335BD}"/>
    <cellStyle name="Vírgula 13 3 12" xfId="25972" xr:uid="{B64505D5-10E2-4687-B476-490DCF815B45}"/>
    <cellStyle name="Vírgula 13 3 13" xfId="45979" xr:uid="{D0DB96FE-FEDF-4D98-A2BA-FAC1AF4C0E5F}"/>
    <cellStyle name="Vírgula 13 3 14" xfId="46465" xr:uid="{DB27C798-855B-4DBA-BED6-63C326EBA1CC}"/>
    <cellStyle name="Vírgula 13 3 15" xfId="46957" xr:uid="{B12FC92C-946F-4CE2-B611-3B64B4CC8423}"/>
    <cellStyle name="Vírgula 13 3 16" xfId="48379" xr:uid="{3B0BB47A-F07E-43B1-BADD-EA9DB004CEA9}"/>
    <cellStyle name="Vírgula 13 3 17" xfId="50048" xr:uid="{28A15EBE-B69E-481E-84F6-A0E768C9E9B5}"/>
    <cellStyle name="Vírgula 13 3 18" xfId="53343" xr:uid="{B5844C2E-A6A0-4A13-83F1-B1EEC5D8121B}"/>
    <cellStyle name="Vírgula 13 3 19" xfId="5633" xr:uid="{5316C333-E54C-4FDC-9F43-8BE5CC3E8D5C}"/>
    <cellStyle name="Vírgula 13 3 2" xfId="4153" xr:uid="{7F1660EC-13A6-4BE9-854B-267FBC593FF9}"/>
    <cellStyle name="Vírgula 13 3 2 10" xfId="46708" xr:uid="{F15106B1-470D-4DFE-B815-52227CF7C832}"/>
    <cellStyle name="Vírgula 13 3 2 11" xfId="47200" xr:uid="{9E9411AA-8CEC-4B59-AF60-04CF9E50080F}"/>
    <cellStyle name="Vírgula 13 3 2 12" xfId="51681" xr:uid="{D235FAD3-51E4-4EDB-9AB4-E44D141EE80F}"/>
    <cellStyle name="Vírgula 13 3 2 13" xfId="54975" xr:uid="{B1A49A6E-635C-4B29-B5F4-B584422A20BA}"/>
    <cellStyle name="Vírgula 13 3 2 14" xfId="6205" xr:uid="{D3A8501B-A59B-408D-9BB6-16C2B96AD2D3}"/>
    <cellStyle name="Vírgula 13 3 2 15" xfId="5097" xr:uid="{7AAC6211-9FDC-4E7D-BCA5-EFAC9DC33F5A}"/>
    <cellStyle name="Vírgula 13 3 2 2" xfId="7363" xr:uid="{FFB78D61-6D1C-493D-A328-9FC406CC085C}"/>
    <cellStyle name="Vírgula 13 3 2 2 2" xfId="17649" xr:uid="{CDB36C82-20C6-4E1A-959D-9998D0DB67B1}"/>
    <cellStyle name="Vírgula 13 3 2 2 2 2" xfId="37989" xr:uid="{F4C075A2-29B8-41B1-9BB3-77C362FB4658}"/>
    <cellStyle name="Vírgula 13 3 2 2 3" xfId="21151" xr:uid="{6667B979-9C5F-415E-8B3E-5D794F4293D0}"/>
    <cellStyle name="Vírgula 13 3 2 2 3 2" xfId="41490" xr:uid="{696B81B4-8891-474C-BE5C-C856F04A5691}"/>
    <cellStyle name="Vírgula 13 3 2 2 4" xfId="24406" xr:uid="{5CDA1B7C-6CAC-439D-A7BD-601D12524638}"/>
    <cellStyle name="Vírgula 13 3 2 2 4 2" xfId="44741" xr:uid="{4CD70F8A-5875-4A10-8C9C-F737AAD48BC4}"/>
    <cellStyle name="Vírgula 13 3 2 2 5" xfId="14740" xr:uid="{2685FF61-6FE6-419B-8812-22B0129578DF}"/>
    <cellStyle name="Vírgula 13 3 2 2 5 2" xfId="35081" xr:uid="{6DBDE527-3CD9-477B-9FDA-DFD50A4AAADD}"/>
    <cellStyle name="Vírgula 13 3 2 2 6" xfId="10862" xr:uid="{C1C12370-D874-44F4-B84F-44215AA8A13B}"/>
    <cellStyle name="Vírgula 13 3 2 2 6 2" xfId="31205" xr:uid="{6E291933-EC56-4CB8-AD56-7FFD6C972561}"/>
    <cellStyle name="Vírgula 13 3 2 2 7" xfId="27711" xr:uid="{5ADA409B-3DCA-4B06-8298-48C3995E06C5}"/>
    <cellStyle name="Vírgula 13 3 2 3" xfId="8217" xr:uid="{40CBD90B-4847-40B9-AA78-F63498318FCD}"/>
    <cellStyle name="Vírgula 13 3 2 3 2" xfId="22004" xr:uid="{652D8D9B-9C9D-4071-9565-9938F993D5A4}"/>
    <cellStyle name="Vírgula 13 3 2 3 2 2" xfId="42340" xr:uid="{B0EC0BEE-4714-47F5-A64D-0F3402217D66}"/>
    <cellStyle name="Vírgula 13 3 2 3 3" xfId="25256" xr:uid="{4C2BDE6D-98DE-47EE-86E7-A14D655D2EEB}"/>
    <cellStyle name="Vírgula 13 3 2 3 3 2" xfId="45591" xr:uid="{F651782F-2426-4132-B93E-A23B8F5AA62C}"/>
    <cellStyle name="Vírgula 13 3 2 3 4" xfId="16491" xr:uid="{50DBFD19-D872-4CA4-A974-54780760DC5C}"/>
    <cellStyle name="Vírgula 13 3 2 3 4 2" xfId="36831" xr:uid="{C0ED48F1-5C23-43CB-87CD-AD40249D90C5}"/>
    <cellStyle name="Vírgula 13 3 2 3 5" xfId="11713" xr:uid="{33302B63-374C-4D60-ABE4-EF6044035675}"/>
    <cellStyle name="Vírgula 13 3 2 3 5 2" xfId="32055" xr:uid="{93364978-4A76-4F3F-A9EE-782008DCF63C}"/>
    <cellStyle name="Vírgula 13 3 2 3 6" xfId="28561" xr:uid="{9F13B91C-8647-4531-A665-B6B46FA738E5}"/>
    <cellStyle name="Vírgula 13 3 2 4" xfId="19993" xr:uid="{5F46A627-B0AE-4422-B610-4B97986E519B}"/>
    <cellStyle name="Vírgula 13 3 2 4 2" xfId="40332" xr:uid="{B4AB10C7-9CC7-4C47-8532-3C462DD984F1}"/>
    <cellStyle name="Vírgula 13 3 2 5" xfId="23248" xr:uid="{DD5ACAD2-0854-4AE1-A6C4-D7759A5500B8}"/>
    <cellStyle name="Vírgula 13 3 2 5 2" xfId="43583" xr:uid="{88AB3FEA-97A1-4FD0-930C-CC59197CCFF2}"/>
    <cellStyle name="Vírgula 13 3 2 6" xfId="13582" xr:uid="{F7010781-7274-46B0-907C-CD3B43B4E15C}"/>
    <cellStyle name="Vírgula 13 3 2 6 2" xfId="33923" xr:uid="{08E13418-E6CF-4FC6-A0D6-A2CE98B69BBC}"/>
    <cellStyle name="Vírgula 13 3 2 7" xfId="9704" xr:uid="{D806F8BD-A22A-4E87-82E7-CD9EC068FE00}"/>
    <cellStyle name="Vírgula 13 3 2 7 2" xfId="30047" xr:uid="{B5130B9A-6009-4A03-A70E-2EF5063197D3}"/>
    <cellStyle name="Vírgula 13 3 2 8" xfId="26553" xr:uid="{A733A6B1-E7DF-4D5F-BAB9-C6A3EA29E56A}"/>
    <cellStyle name="Vírgula 13 3 2 9" xfId="46222" xr:uid="{02D93FA9-123B-49DC-B37C-B45E10DE205E}"/>
    <cellStyle name="Vírgula 13 3 20" xfId="4878" xr:uid="{03A22396-715D-47F1-AA4D-8B7C1929D3CA}"/>
    <cellStyle name="Vírgula 13 3 3" xfId="4325" xr:uid="{E4FAB85D-0091-4C64-9CEA-653BCB8EB17E}"/>
    <cellStyle name="Vírgula 13 3 3 2" xfId="17068" xr:uid="{F0AF9178-0FF6-40F4-9FD2-9448043F354E}"/>
    <cellStyle name="Vírgula 13 3 3 2 2" xfId="37408" xr:uid="{DF9F3642-0BBE-4FFE-9BCE-E0712CD61C69}"/>
    <cellStyle name="Vírgula 13 3 3 3" xfId="20570" xr:uid="{8FCD022C-F43D-4543-9D0E-3429ABDCAFB2}"/>
    <cellStyle name="Vírgula 13 3 3 3 2" xfId="40909" xr:uid="{958C32EE-A626-4A5E-9A60-B9CBBC729205}"/>
    <cellStyle name="Vírgula 13 3 3 4" xfId="23825" xr:uid="{0DA4A00C-6CCE-448C-8751-419BECC44265}"/>
    <cellStyle name="Vírgula 13 3 3 4 2" xfId="44160" xr:uid="{D6B36561-AED1-475A-B9EE-EAB27415F4D7}"/>
    <cellStyle name="Vírgula 13 3 3 5" xfId="14159" xr:uid="{8EB131EC-0503-4ED3-9C92-F66952946574}"/>
    <cellStyle name="Vírgula 13 3 3 5 2" xfId="34500" xr:uid="{AA51CC1A-16C2-425E-B10B-29859BD18C33}"/>
    <cellStyle name="Vírgula 13 3 3 6" xfId="10281" xr:uid="{2FFAF082-91B6-4FBF-853F-CB99F1112485}"/>
    <cellStyle name="Vírgula 13 3 3 6 2" xfId="30624" xr:uid="{C041C70D-8BA6-44E6-86F5-DCA472F94D0C}"/>
    <cellStyle name="Vírgula 13 3 3 7" xfId="27130" xr:uid="{0D3E1558-4F2E-436F-85E5-381494AF1FD6}"/>
    <cellStyle name="Vírgula 13 3 3 8" xfId="57204" xr:uid="{BF871E1A-994D-4248-B0F1-5A8EB96357F8}"/>
    <cellStyle name="Vírgula 13 3 3 9" xfId="6782" xr:uid="{D33B9C38-8202-4CE3-A904-D40E59163477}"/>
    <cellStyle name="Vírgula 13 3 4" xfId="3981" xr:uid="{9553ABEF-DEF7-4DB6-AD7E-934713BED09D}"/>
    <cellStyle name="Vírgula 13 3 4 2" xfId="18231" xr:uid="{2608C622-D758-442E-9E56-C1238B95159B}"/>
    <cellStyle name="Vírgula 13 3 4 2 2" xfId="38571" xr:uid="{FC299F7B-6933-4FDE-A03D-4E745B79CDC8}"/>
    <cellStyle name="Vírgula 13 3 4 3" xfId="21733" xr:uid="{F1249377-4505-411C-922D-2615664AC6F9}"/>
    <cellStyle name="Vírgula 13 3 4 3 2" xfId="42072" xr:uid="{DAC734D8-CCF5-4CDC-9EC7-A7E31343F2EE}"/>
    <cellStyle name="Vírgula 13 3 4 4" xfId="24988" xr:uid="{C34B2D3B-6CFE-4FB7-992E-A56A4F061145}"/>
    <cellStyle name="Vírgula 13 3 4 4 2" xfId="45323" xr:uid="{9B015FC9-93C4-4837-946C-6B5E33AD39D6}"/>
    <cellStyle name="Vírgula 13 3 4 5" xfId="15323" xr:uid="{17BCE2AD-03D6-40AB-AADC-9BF5372E7177}"/>
    <cellStyle name="Vírgula 13 3 4 5 2" xfId="35663" xr:uid="{9213DD31-E3C3-424F-B4D7-FAB810D650A0}"/>
    <cellStyle name="Vírgula 13 3 4 6" xfId="11444" xr:uid="{8ED75CD1-142B-4B8F-BC1D-C24507ABC1CB}"/>
    <cellStyle name="Vírgula 13 3 4 6 2" xfId="31787" xr:uid="{7091700B-7EAE-473A-9742-339B1205D0C5}"/>
    <cellStyle name="Vírgula 13 3 4 7" xfId="28293" xr:uid="{CB196DA9-D891-477C-8D01-9CA9CDDC837E}"/>
    <cellStyle name="Vírgula 13 3 4 8" xfId="7946" xr:uid="{B023245C-B437-4F7B-A059-F05251CC6C26}"/>
    <cellStyle name="Vírgula 13 3 5" xfId="2994" xr:uid="{EA3B0464-C422-4FC9-BE3F-08B9BFC8C3A7}"/>
    <cellStyle name="Vírgula 13 3 5 2" xfId="22003" xr:uid="{C544A4AD-230F-43F0-AE6B-798FE4E70193}"/>
    <cellStyle name="Vírgula 13 3 5 2 2" xfId="42339" xr:uid="{5C933175-D4D0-43B6-A1B1-31DE73BAAD20}"/>
    <cellStyle name="Vírgula 13 3 5 3" xfId="25255" xr:uid="{5B9A5A2B-B296-4E32-A0A3-814D42092509}"/>
    <cellStyle name="Vírgula 13 3 5 3 2" xfId="45590" xr:uid="{E35925EC-4192-42E8-85B2-BB1D0B740086}"/>
    <cellStyle name="Vírgula 13 3 5 4" xfId="13013" xr:uid="{54BB0F81-B1B9-4ED6-912B-126CC6586DA7}"/>
    <cellStyle name="Vírgula 13 3 5 4 2" xfId="33354" xr:uid="{8C3D56B7-1681-4F7A-907F-DF3277033941}"/>
    <cellStyle name="Vírgula 13 3 5 5" xfId="11712" xr:uid="{5F032D35-1902-4449-8E83-90D09E57FE5F}"/>
    <cellStyle name="Vírgula 13 3 5 5 2" xfId="32054" xr:uid="{212D0AF3-1140-415C-966C-4143A31156D9}"/>
    <cellStyle name="Vírgula 13 3 5 6" xfId="28560" xr:uid="{A0AB6E5C-1FC2-48F7-B5F5-B3AC0A320948}"/>
    <cellStyle name="Vírgula 13 3 5 7" xfId="8216" xr:uid="{8DD459A6-A360-41FE-B049-21F7623C2A9E}"/>
    <cellStyle name="Vírgula 13 3 6" xfId="8604" xr:uid="{36A6CFC9-6681-4FE8-8103-518001E37577}"/>
    <cellStyle name="Vírgula 13 3 6 2" xfId="15910" xr:uid="{D682629E-CB1D-4BFB-A4E5-8DFA37090BFD}"/>
    <cellStyle name="Vírgula 13 3 6 2 2" xfId="36250" xr:uid="{4B5D2A56-A4B9-4B1F-BE92-313E80EF8BED}"/>
    <cellStyle name="Vírgula 13 3 6 3" xfId="28947" xr:uid="{4F1C1BC0-CD96-484E-BCD4-D301D5C4B5F5}"/>
    <cellStyle name="Vírgula 13 3 7" xfId="18824" xr:uid="{8CFF64D8-0399-4AEC-B762-B66D83721505}"/>
    <cellStyle name="Vírgula 13 3 7 2" xfId="39164" xr:uid="{BE73B87F-74F9-413A-9FAE-E5C07A846F89}"/>
    <cellStyle name="Vírgula 13 3 8" xfId="19412" xr:uid="{7219F48C-F51D-4864-8E31-75B59D02F512}"/>
    <cellStyle name="Vírgula 13 3 8 2" xfId="39751" xr:uid="{8791647C-147F-484A-8983-E1F98DD2C74D}"/>
    <cellStyle name="Vírgula 13 3 9" xfId="22667" xr:uid="{2B2E95A6-5D1E-43D5-B181-53B31DA1E67F}"/>
    <cellStyle name="Vírgula 13 3 9 2" xfId="43002" xr:uid="{B8833BB7-5789-4210-890A-1D6C226771DF}"/>
    <cellStyle name="Vírgula 13 4" xfId="520" xr:uid="{6E385405-FC4A-4E29-9DC5-6E68E67C6B4C}"/>
    <cellStyle name="Vírgula 13 4 10" xfId="12456" xr:uid="{0C247A19-0D0C-4002-8F55-9C3E9DB20D01}"/>
    <cellStyle name="Vírgula 13 4 10 2" xfId="32797" xr:uid="{071A335C-8A2D-410C-B9A2-83EFCA608BFE}"/>
    <cellStyle name="Vírgula 13 4 11" xfId="9195" xr:uid="{F1BFDD3C-B751-44C9-AE90-016AD5235023}"/>
    <cellStyle name="Vírgula 13 4 11 2" xfId="29538" xr:uid="{26EDE06A-ED9B-44C0-8658-52512AB22CF0}"/>
    <cellStyle name="Vírgula 13 4 12" xfId="26044" xr:uid="{B80018D7-BAA8-4D20-AD5B-45D28CA8B449}"/>
    <cellStyle name="Vírgula 13 4 13" xfId="45977" xr:uid="{2DFCCDF2-4D88-4F70-8D98-6F4834D62554}"/>
    <cellStyle name="Vírgula 13 4 14" xfId="46463" xr:uid="{092EFA7F-5A08-4061-8D75-43C2B50D69BF}"/>
    <cellStyle name="Vírgula 13 4 15" xfId="46955" xr:uid="{DAF36386-03C6-46F4-AF9C-6DEFCD4FDA49}"/>
    <cellStyle name="Vírgula 13 4 16" xfId="48380" xr:uid="{388E9F45-5ADE-40E0-ABCF-C9E530102393}"/>
    <cellStyle name="Vírgula 13 4 17" xfId="50049" xr:uid="{89C8945B-51B6-45BF-BCA2-B53D36BE5269}"/>
    <cellStyle name="Vírgula 13 4 18" xfId="53344" xr:uid="{4E68E69C-72A5-41AA-8D6D-7839FE3BB543}"/>
    <cellStyle name="Vírgula 13 4 19" xfId="5704" xr:uid="{699462D4-F21A-40A3-869C-FF8900E6685A}"/>
    <cellStyle name="Vírgula 13 4 2" xfId="4040" xr:uid="{5B8184A4-124B-4E14-8C19-D975B492E34D}"/>
    <cellStyle name="Vírgula 13 4 2 10" xfId="46706" xr:uid="{37D70043-1CA5-47B2-9661-63AE406D1310}"/>
    <cellStyle name="Vírgula 13 4 2 11" xfId="47198" xr:uid="{070D1286-EEB5-4BD7-ABCF-7E1B76389E0A}"/>
    <cellStyle name="Vírgula 13 4 2 12" xfId="51682" xr:uid="{AD782CDA-49F9-4B14-BDBC-3AB67573F747}"/>
    <cellStyle name="Vírgula 13 4 2 13" xfId="54976" xr:uid="{8E20A938-2CAF-4161-BA90-7885B7F0F492}"/>
    <cellStyle name="Vírgula 13 4 2 14" xfId="6277" xr:uid="{5DD5FAAE-7423-4BBA-A7D7-CCA7AE85286A}"/>
    <cellStyle name="Vírgula 13 4 2 15" xfId="5095" xr:uid="{CF5959B9-141B-4213-9450-B03C46BBB7A6}"/>
    <cellStyle name="Vírgula 13 4 2 2" xfId="7435" xr:uid="{E463810C-5BE8-4CFE-9AE5-A3D8E0C863D3}"/>
    <cellStyle name="Vírgula 13 4 2 2 2" xfId="17721" xr:uid="{CE7670B6-0A7C-4E9C-99F2-9D7B8BD47124}"/>
    <cellStyle name="Vírgula 13 4 2 2 2 2" xfId="38061" xr:uid="{7480853F-4387-4AFF-9B17-C5A5B528D6EB}"/>
    <cellStyle name="Vírgula 13 4 2 2 3" xfId="21223" xr:uid="{3F50ED19-2FB7-4876-9948-EF3B31297798}"/>
    <cellStyle name="Vírgula 13 4 2 2 3 2" xfId="41562" xr:uid="{324B983F-4A44-4F6B-B639-155003D01C6E}"/>
    <cellStyle name="Vírgula 13 4 2 2 4" xfId="24478" xr:uid="{27B87BE5-3235-4673-B304-8CCF1AD5DDAE}"/>
    <cellStyle name="Vírgula 13 4 2 2 4 2" xfId="44813" xr:uid="{CEE964DC-18A4-44D4-9923-77587C54A81A}"/>
    <cellStyle name="Vírgula 13 4 2 2 5" xfId="14812" xr:uid="{8D7FCC87-F107-4642-93E8-B50B5B873204}"/>
    <cellStyle name="Vírgula 13 4 2 2 5 2" xfId="35153" xr:uid="{DB0FF273-E6BC-445D-B72C-C75614770AAD}"/>
    <cellStyle name="Vírgula 13 4 2 2 6" xfId="10934" xr:uid="{CB0D8625-7955-44C8-A37F-4637424A985C}"/>
    <cellStyle name="Vírgula 13 4 2 2 6 2" xfId="31277" xr:uid="{5AA6FFA8-FE44-477B-9940-F4A097144891}"/>
    <cellStyle name="Vírgula 13 4 2 2 7" xfId="27783" xr:uid="{712BFF63-11E9-4587-BE94-CFB942D3BB92}"/>
    <cellStyle name="Vírgula 13 4 2 3" xfId="16563" xr:uid="{522C96FD-E636-4631-A9EE-B6F72757BDA0}"/>
    <cellStyle name="Vírgula 13 4 2 3 2" xfId="36903" xr:uid="{4F6C8F61-E487-41FB-8B6B-3B0632F013D1}"/>
    <cellStyle name="Vírgula 13 4 2 4" xfId="20065" xr:uid="{15FC9F8E-94E7-49A2-AB20-80379D3D8C4F}"/>
    <cellStyle name="Vírgula 13 4 2 4 2" xfId="40404" xr:uid="{C640697C-5921-4B45-8ABE-98A8A9E22004}"/>
    <cellStyle name="Vírgula 13 4 2 5" xfId="23320" xr:uid="{C946661B-B752-4ABB-B9AA-B8D52DB2BECC}"/>
    <cellStyle name="Vírgula 13 4 2 5 2" xfId="43655" xr:uid="{AA59E1E6-6324-4AC4-9F6B-854613AB1DF0}"/>
    <cellStyle name="Vírgula 13 4 2 6" xfId="13654" xr:uid="{FCB09875-8C4F-47DE-A537-58EB1B71F0CC}"/>
    <cellStyle name="Vírgula 13 4 2 6 2" xfId="33995" xr:uid="{1C965B18-A89F-4544-9CF6-DC260FE8AC84}"/>
    <cellStyle name="Vírgula 13 4 2 7" xfId="9776" xr:uid="{685F63A3-9044-4A84-A962-1A6DAFD115A0}"/>
    <cellStyle name="Vírgula 13 4 2 7 2" xfId="30119" xr:uid="{D5207DE1-D735-4BF6-B28D-98EE7754CED5}"/>
    <cellStyle name="Vírgula 13 4 2 8" xfId="26625" xr:uid="{DEED3385-6C9B-46AC-828C-42DEAD8D6EDF}"/>
    <cellStyle name="Vírgula 13 4 2 9" xfId="46220" xr:uid="{BFB5F680-2C15-4B0D-846C-FC131488BC19}"/>
    <cellStyle name="Vírgula 13 4 20" xfId="4876" xr:uid="{D7DA17A3-7E9F-47F3-A7C4-EF493346CF4F}"/>
    <cellStyle name="Vírgula 13 4 3" xfId="2236" xr:uid="{EA1E602F-1586-4826-AFF7-F6A406A0D75A}"/>
    <cellStyle name="Vírgula 13 4 3 2" xfId="17140" xr:uid="{2E78C063-D655-44DE-B911-D6BCF38202CA}"/>
    <cellStyle name="Vírgula 13 4 3 2 2" xfId="37480" xr:uid="{274A5DA0-61CE-43F0-80E2-B0ECF404C273}"/>
    <cellStyle name="Vírgula 13 4 3 3" xfId="20642" xr:uid="{9AD1E4CB-C9D1-4709-8792-A02FD0C8CC61}"/>
    <cellStyle name="Vírgula 13 4 3 3 2" xfId="40981" xr:uid="{F15576BE-27FA-4A49-8726-A28FF35DC02D}"/>
    <cellStyle name="Vírgula 13 4 3 4" xfId="23897" xr:uid="{4817C74E-6168-48E9-BC1D-DCD6B3128A31}"/>
    <cellStyle name="Vírgula 13 4 3 4 2" xfId="44232" xr:uid="{829BF64C-3908-4A4D-87EA-10F7E7CE436A}"/>
    <cellStyle name="Vírgula 13 4 3 5" xfId="14231" xr:uid="{82F78F23-41ED-4570-8EB4-30AC121F3A96}"/>
    <cellStyle name="Vírgula 13 4 3 5 2" xfId="34572" xr:uid="{4381E8AF-A67E-47D3-ACCF-C45F1C9D51ED}"/>
    <cellStyle name="Vírgula 13 4 3 6" xfId="10353" xr:uid="{74B2BF4D-5013-49A7-A66A-C0C7FCD74D8F}"/>
    <cellStyle name="Vírgula 13 4 3 6 2" xfId="30696" xr:uid="{E9C3B244-DCF6-48AA-8302-7013CFB3425A}"/>
    <cellStyle name="Vírgula 13 4 3 7" xfId="27202" xr:uid="{54317D47-6613-45E7-A575-9833C5451ED4}"/>
    <cellStyle name="Vírgula 13 4 3 8" xfId="56391" xr:uid="{9DDBE536-A61E-439D-9D7E-5EBE45275EC5}"/>
    <cellStyle name="Vírgula 13 4 3 9" xfId="6854" xr:uid="{D5E738E6-3D09-4F9C-BFB4-19F6131A709B}"/>
    <cellStyle name="Vírgula 13 4 4" xfId="8018" xr:uid="{18A51DE4-5D8A-4D80-B62C-675ECE14E5CD}"/>
    <cellStyle name="Vírgula 13 4 4 2" xfId="18303" xr:uid="{FD51D25C-3275-4C25-97E4-5C58310CA50C}"/>
    <cellStyle name="Vírgula 13 4 4 2 2" xfId="38643" xr:uid="{BB5CB5CA-539D-4D5A-872D-F4F5EC86D45E}"/>
    <cellStyle name="Vírgula 13 4 4 3" xfId="21805" xr:uid="{BD83DAD8-70DF-471C-808C-575F0FE9794B}"/>
    <cellStyle name="Vírgula 13 4 4 3 2" xfId="42144" xr:uid="{B7EA7DC7-164D-4A10-A198-C634C1BC8A87}"/>
    <cellStyle name="Vírgula 13 4 4 4" xfId="25060" xr:uid="{197F043A-E52C-483C-A8F6-EE1CD51AD0A4}"/>
    <cellStyle name="Vírgula 13 4 4 4 2" xfId="45395" xr:uid="{DEB7B5DD-6B87-4521-816C-9A9B3C3177D0}"/>
    <cellStyle name="Vírgula 13 4 4 5" xfId="15395" xr:uid="{F9572381-618F-448F-BBB3-39F1F7AEC09D}"/>
    <cellStyle name="Vírgula 13 4 4 5 2" xfId="35735" xr:uid="{AD56C081-983D-4EF6-9BCD-1F4DEFA899E9}"/>
    <cellStyle name="Vírgula 13 4 4 6" xfId="11516" xr:uid="{005BE8DF-7869-4302-AF73-6283331E6A0F}"/>
    <cellStyle name="Vírgula 13 4 4 6 2" xfId="31859" xr:uid="{D003D322-EEA3-43A1-8997-F0611E9938E4}"/>
    <cellStyle name="Vírgula 13 4 4 7" xfId="28365" xr:uid="{6D618AEA-DDAC-42E7-86E9-0554798AD207}"/>
    <cellStyle name="Vírgula 13 4 5" xfId="8218" xr:uid="{BD10A419-C065-4706-91AB-7D566A01F341}"/>
    <cellStyle name="Vírgula 13 4 5 2" xfId="22005" xr:uid="{99074A24-2F3B-4977-A210-78A5F29ACDC0}"/>
    <cellStyle name="Vírgula 13 4 5 2 2" xfId="42341" xr:uid="{EDFA20AD-CCE1-41F5-8524-F2C237961077}"/>
    <cellStyle name="Vírgula 13 4 5 3" xfId="25257" xr:uid="{ABD4FA36-07F2-4685-A5AD-1A46E5E16119}"/>
    <cellStyle name="Vírgula 13 4 5 3 2" xfId="45592" xr:uid="{620C8DCF-3B52-4BD8-A679-10F821D7D6A0}"/>
    <cellStyle name="Vírgula 13 4 5 4" xfId="13085" xr:uid="{B7BC249F-BD6A-4DEC-8B04-2EEEB795BC0D}"/>
    <cellStyle name="Vírgula 13 4 5 4 2" xfId="33426" xr:uid="{3936A8F4-04E9-49DF-A79C-A8BB300390AA}"/>
    <cellStyle name="Vírgula 13 4 5 5" xfId="11714" xr:uid="{BFF1CC5B-3A8C-49A2-896F-2907F5993299}"/>
    <cellStyle name="Vírgula 13 4 5 5 2" xfId="32056" xr:uid="{DE219623-CDA5-46B7-BBCC-FBF5B0ECB471}"/>
    <cellStyle name="Vírgula 13 4 5 6" xfId="28562" xr:uid="{F3DB4548-57CD-4184-88C4-E597D77E19C1}"/>
    <cellStyle name="Vírgula 13 4 6" xfId="8602" xr:uid="{05C9205F-0E20-434D-9A17-E1908584DBCB}"/>
    <cellStyle name="Vírgula 13 4 6 2" xfId="15982" xr:uid="{81EFFB92-974A-44A3-9131-1A70F1A865FF}"/>
    <cellStyle name="Vírgula 13 4 6 2 2" xfId="36322" xr:uid="{DAB3D35F-1F49-4333-AFD3-7653AA20DEBD}"/>
    <cellStyle name="Vírgula 13 4 6 3" xfId="28945" xr:uid="{486CDACE-4AA0-4561-B8C6-7F29C8CB868B}"/>
    <cellStyle name="Vírgula 13 4 7" xfId="18896" xr:uid="{9AB97C4A-7C60-4143-9A0E-EEAA3830EEBF}"/>
    <cellStyle name="Vírgula 13 4 7 2" xfId="39236" xr:uid="{01F2994B-798D-4CAE-AD55-9A562191A4A8}"/>
    <cellStyle name="Vírgula 13 4 8" xfId="19484" xr:uid="{9E9A6C9A-462A-41A7-B78A-C39EB7D44D14}"/>
    <cellStyle name="Vírgula 13 4 8 2" xfId="39823" xr:uid="{0458C07D-43B6-44AA-9CA3-7ABBBA68AD8B}"/>
    <cellStyle name="Vírgula 13 4 9" xfId="22739" xr:uid="{E7A4836B-041B-4655-89C9-71349B3593BF}"/>
    <cellStyle name="Vírgula 13 4 9 2" xfId="43074" xr:uid="{8A002E95-D751-408A-B782-78590FFEC406}"/>
    <cellStyle name="Vírgula 13 5" xfId="3702" xr:uid="{8EC89BFA-9A9A-435D-9C1F-2A4C6019433B}"/>
    <cellStyle name="Vírgula 13 5 10" xfId="46595" xr:uid="{227D20D9-D9D3-4424-859E-B8DB5FFBDB24}"/>
    <cellStyle name="Vírgula 13 5 11" xfId="47087" xr:uid="{B3D97899-0FC6-4D6F-8E72-5DF1DB5F7956}"/>
    <cellStyle name="Vírgula 13 5 12" xfId="51679" xr:uid="{D2BBCFEC-8F9B-4AF0-B3E0-C8BD693F0614}"/>
    <cellStyle name="Vírgula 13 5 13" xfId="54973" xr:uid="{8FAAEC91-EA93-4378-8B55-5B5058253746}"/>
    <cellStyle name="Vírgula 13 5 14" xfId="5861" xr:uid="{8AD6828B-D118-46B2-B9DD-1B958FABFB28}"/>
    <cellStyle name="Vírgula 13 5 15" xfId="4998" xr:uid="{CA0D4C29-0161-412D-944D-169B430A660C}"/>
    <cellStyle name="Vírgula 13 5 2" xfId="4212" xr:uid="{1A8BC0FE-BDC1-42C2-89B7-A96D4857B97F}"/>
    <cellStyle name="Vírgula 13 5 2 2" xfId="17305" xr:uid="{34FAE74F-B532-408E-84C1-306FAB2E33D5}"/>
    <cellStyle name="Vírgula 13 5 2 2 2" xfId="37645" xr:uid="{03847596-DDC9-4CAA-A94B-FE1B7ED24AA4}"/>
    <cellStyle name="Vírgula 13 5 2 3" xfId="20807" xr:uid="{92D3AAE7-B88D-4917-B31B-BB3368332F5A}"/>
    <cellStyle name="Vírgula 13 5 2 3 2" xfId="41146" xr:uid="{A2990BA6-C279-4EB3-AC38-D3C99F06F122}"/>
    <cellStyle name="Vírgula 13 5 2 4" xfId="24062" xr:uid="{6EDA02B0-C846-4DE7-9081-89A416A5F174}"/>
    <cellStyle name="Vírgula 13 5 2 4 2" xfId="44397" xr:uid="{CB13457D-ECF4-4478-B5B4-7E2942CB9CC5}"/>
    <cellStyle name="Vírgula 13 5 2 5" xfId="14396" xr:uid="{1F4F3F80-5A31-4E31-928D-166CFA29B280}"/>
    <cellStyle name="Vírgula 13 5 2 5 2" xfId="34737" xr:uid="{19F86F6C-8755-4253-938F-283EF6FF77F1}"/>
    <cellStyle name="Vírgula 13 5 2 6" xfId="10518" xr:uid="{866A5E91-83B2-446C-8E7D-1EABB384668B}"/>
    <cellStyle name="Vírgula 13 5 2 6 2" xfId="30861" xr:uid="{E78318C6-B79A-466E-BB93-0ED25A06050B}"/>
    <cellStyle name="Vírgula 13 5 2 7" xfId="27367" xr:uid="{D7ED22DD-87C1-451C-BE79-DF9DC764780F}"/>
    <cellStyle name="Vírgula 13 5 2 8" xfId="7019" xr:uid="{B2A6DC91-6F08-498B-95F5-0EEAE9B3F2B1}"/>
    <cellStyle name="Vírgula 13 5 3" xfId="8219" xr:uid="{832666F8-C3A3-4187-89D6-8FF8471255CE}"/>
    <cellStyle name="Vírgula 13 5 3 2" xfId="22006" xr:uid="{9F7BC979-7EB6-4B2A-87CA-8364E26AB025}"/>
    <cellStyle name="Vírgula 13 5 3 2 2" xfId="42342" xr:uid="{0EA6C150-3FCC-457D-855C-28C61DA75248}"/>
    <cellStyle name="Vírgula 13 5 3 3" xfId="25258" xr:uid="{F6674463-5033-4E1E-A223-0153CAD0821B}"/>
    <cellStyle name="Vírgula 13 5 3 3 2" xfId="45593" xr:uid="{44987AC0-3211-4867-B68B-58E532AA3D7C}"/>
    <cellStyle name="Vírgula 13 5 3 4" xfId="16147" xr:uid="{7FEB0C8D-36F2-4E21-BC15-019244BE1423}"/>
    <cellStyle name="Vírgula 13 5 3 4 2" xfId="36487" xr:uid="{07C3B96C-24E2-4BEE-A0E8-015E1C2C15D8}"/>
    <cellStyle name="Vírgula 13 5 3 5" xfId="11715" xr:uid="{9080A3C9-3B87-4E04-A162-FDFDB538D4CE}"/>
    <cellStyle name="Vírgula 13 5 3 5 2" xfId="32057" xr:uid="{F3776D82-E09E-44A8-A11D-DAFA073A3371}"/>
    <cellStyle name="Vírgula 13 5 3 6" xfId="28563" xr:uid="{C55ECBF8-926D-48E2-AF73-1FB23195868F}"/>
    <cellStyle name="Vírgula 13 5 4" xfId="19649" xr:uid="{BFE716B7-AF33-4461-B70F-0D8B1D5C0283}"/>
    <cellStyle name="Vírgula 13 5 4 2" xfId="39988" xr:uid="{E303DE85-6C15-4A7E-A128-1E800F6F773A}"/>
    <cellStyle name="Vírgula 13 5 5" xfId="22904" xr:uid="{81EC17E0-43F6-459B-B5A6-05A247006385}"/>
    <cellStyle name="Vírgula 13 5 5 2" xfId="43239" xr:uid="{1410FF25-04DF-4FC0-91CC-C3DE9181FA09}"/>
    <cellStyle name="Vírgula 13 5 6" xfId="13240" xr:uid="{D84020EC-4412-4DFA-BE48-C74F1E005B83}"/>
    <cellStyle name="Vírgula 13 5 6 2" xfId="33581" xr:uid="{08056189-14D8-4FE2-A113-2FF5A18A4121}"/>
    <cellStyle name="Vírgula 13 5 7" xfId="9360" xr:uid="{3EBB5382-F471-4D36-AD1D-B577CF3979B5}"/>
    <cellStyle name="Vírgula 13 5 7 2" xfId="29703" xr:uid="{193E1224-EBDB-4202-AAAC-331B199348FB}"/>
    <cellStyle name="Vírgula 13 5 8" xfId="26209" xr:uid="{2D6DAB1B-D6B4-4B75-A349-31777954CFA3}"/>
    <cellStyle name="Vírgula 13 5 9" xfId="46109" xr:uid="{7D5A8C5A-4DF6-4E8F-AAE7-5C7DF5E1C1B3}"/>
    <cellStyle name="Vírgula 13 6" xfId="3869" xr:uid="{1C2E5078-07E8-4C17-BD97-A63C7C5FF0B7}"/>
    <cellStyle name="Vírgula 13 6 10" xfId="4772" xr:uid="{4D37F8F2-235E-487C-830B-98623D4C7CC0}"/>
    <cellStyle name="Vírgula 13 6 2" xfId="16724" xr:uid="{E5EB8F05-C201-452B-A6EF-FF79EE6D02CF}"/>
    <cellStyle name="Vírgula 13 6 2 2" xfId="37064" xr:uid="{22AE8672-2E84-4A1A-9C23-C6A6163BBD21}"/>
    <cellStyle name="Vírgula 13 6 3" xfId="20226" xr:uid="{AD8E6BED-1E8D-4152-B3BF-9E192E007EF1}"/>
    <cellStyle name="Vírgula 13 6 3 2" xfId="40565" xr:uid="{73AD73E3-5AE4-4387-A012-A7D363CAAF56}"/>
    <cellStyle name="Vírgula 13 6 4" xfId="23481" xr:uid="{A5F5083E-0835-4FD2-8F9A-2CBFDF8848B9}"/>
    <cellStyle name="Vírgula 13 6 4 2" xfId="43816" xr:uid="{431DF4BD-2A45-4135-9AC5-0D63E193F2E7}"/>
    <cellStyle name="Vírgula 13 6 5" xfId="13815" xr:uid="{0A5D7131-ED45-4652-B10D-61A863A5A147}"/>
    <cellStyle name="Vírgula 13 6 5 2" xfId="34156" xr:uid="{AC1A839A-D05A-4F1F-84A4-2EE2E69879D2}"/>
    <cellStyle name="Vírgula 13 6 6" xfId="9937" xr:uid="{DE6AF49C-82E2-4355-A995-73345EA7B0A7}"/>
    <cellStyle name="Vírgula 13 6 6 2" xfId="30280" xr:uid="{91B41D24-3549-41B7-98C1-ED2558F4BA47}"/>
    <cellStyle name="Vírgula 13 6 7" xfId="26786" xr:uid="{75B338D1-C3CA-4CF3-B7AD-B8B9E4D457EA}"/>
    <cellStyle name="Vírgula 13 6 8" xfId="55982" xr:uid="{8C525ABD-06B9-4F0E-B871-8E51AE1F1D7E}"/>
    <cellStyle name="Vírgula 13 6 9" xfId="6438" xr:uid="{59E3E9E2-8080-41CB-9B5D-E6A3985DCA5D}"/>
    <cellStyle name="Vírgula 13 7" xfId="2088" xr:uid="{1AB09357-30FB-492E-9435-616C4A906F39}"/>
    <cellStyle name="Vírgula 13 7 2" xfId="17887" xr:uid="{52B2AAF7-7826-49B5-9A8D-3E72D2807D9C}"/>
    <cellStyle name="Vírgula 13 7 2 2" xfId="38227" xr:uid="{84DC0289-E1DB-4BD2-AEBA-2F6D513FDB1E}"/>
    <cellStyle name="Vírgula 13 7 3" xfId="21389" xr:uid="{080C2BA7-6CEC-4EBA-9556-AD908293C4F0}"/>
    <cellStyle name="Vírgula 13 7 3 2" xfId="41728" xr:uid="{AEF35B38-7FF0-402C-B5F9-DA506753C544}"/>
    <cellStyle name="Vírgula 13 7 4" xfId="24644" xr:uid="{1F40C1A3-E369-4772-8485-44B31E3B1525}"/>
    <cellStyle name="Vírgula 13 7 4 2" xfId="44979" xr:uid="{5DA2E405-5BCE-4B40-AA00-A1324C19ABCB}"/>
    <cellStyle name="Vírgula 13 7 5" xfId="14979" xr:uid="{8F1559EB-F5AB-448D-BE60-1EF93EBEEC13}"/>
    <cellStyle name="Vírgula 13 7 5 2" xfId="35319" xr:uid="{248DA07B-B60C-43C8-819F-56DC1CBF2B8E}"/>
    <cellStyle name="Vírgula 13 7 6" xfId="11100" xr:uid="{EF4BA708-C6C1-4950-804C-4FDE9DD354A0}"/>
    <cellStyle name="Vírgula 13 7 6 2" xfId="31443" xr:uid="{76BCD6DA-E462-4949-AEBC-3C193D85021C}"/>
    <cellStyle name="Vírgula 13 7 7" xfId="27949" xr:uid="{2C91D329-2EA9-4EF2-9028-18D27EE0A260}"/>
    <cellStyle name="Vírgula 13 7 8" xfId="7602" xr:uid="{6BCE7549-50F7-404E-83A8-B32E045125DF}"/>
    <cellStyle name="Vírgula 13 8" xfId="8213" xr:uid="{C711F5EF-3774-45B5-9C8A-D7E55E24DFED}"/>
    <cellStyle name="Vírgula 13 8 2" xfId="22000" xr:uid="{75C8E249-B388-487A-BA90-020C8AE7A948}"/>
    <cellStyle name="Vírgula 13 8 2 2" xfId="42336" xr:uid="{E15F5638-6323-4048-B194-AEC33CF90868}"/>
    <cellStyle name="Vírgula 13 8 3" xfId="25252" xr:uid="{B0E84A30-5DBA-457F-9B59-44CFA5069639}"/>
    <cellStyle name="Vírgula 13 8 3 2" xfId="45587" xr:uid="{55A02BDD-AC79-4AAA-964A-A7DF8B86E70F}"/>
    <cellStyle name="Vírgula 13 8 4" xfId="12671" xr:uid="{1C7CB6A8-0F9B-48CE-82DB-E07ABF4420B8}"/>
    <cellStyle name="Vírgula 13 8 4 2" xfId="33012" xr:uid="{B52921E8-29AD-4CD0-8348-699CF53AB3C0}"/>
    <cellStyle name="Vírgula 13 8 5" xfId="11709" xr:uid="{6175FA0C-25B2-48E6-B21D-E11CFB7DE5DF}"/>
    <cellStyle name="Vírgula 13 8 5 2" xfId="32051" xr:uid="{36CE026D-987B-4C09-AE2E-9A4B0941211C}"/>
    <cellStyle name="Vírgula 13 8 6" xfId="28557" xr:uid="{377063B8-D7ED-475B-BB55-E8F226B9C38F}"/>
    <cellStyle name="Vírgula 13 9" xfId="8491" xr:uid="{3233C14F-B935-4D9F-AC92-BA2183CBA829}"/>
    <cellStyle name="Vírgula 13 9 2" xfId="15566" xr:uid="{DF3C8188-33FA-4F9F-8D3A-7A67481C34BB}"/>
    <cellStyle name="Vírgula 13 9 2 2" xfId="35906" xr:uid="{16E289F8-5089-4B6B-B298-11987DE37CEE}"/>
    <cellStyle name="Vírgula 13 9 3" xfId="28834" xr:uid="{83F395EF-223D-4112-BBDE-A0931222D2DA}"/>
    <cellStyle name="Vírgula 14" xfId="491" xr:uid="{82CD2F77-3A20-4842-96A9-6BE733FB3AD3}"/>
    <cellStyle name="Vírgula 14 10" xfId="19071" xr:uid="{54455606-E693-4214-AEFE-1C3F2D10773D}"/>
    <cellStyle name="Vírgula 14 10 2" xfId="39410" xr:uid="{BF016FBC-BDBE-412B-A2AD-E21ED663C4DB}"/>
    <cellStyle name="Vírgula 14 11" xfId="22326" xr:uid="{E51D940D-B6C8-4F27-B233-57EADF54A72F}"/>
    <cellStyle name="Vírgula 14 11 2" xfId="42661" xr:uid="{3E811489-B200-4F41-ABF7-9D95009E5211}"/>
    <cellStyle name="Vírgula 14 12" xfId="12043" xr:uid="{3A4986B3-2F85-42E8-94F7-663B1E740D9C}"/>
    <cellStyle name="Vírgula 14 12 2" xfId="32384" xr:uid="{3C693F2F-2DC8-4DE0-A07E-14F22072D5BB}"/>
    <cellStyle name="Vírgula 14 13" xfId="8782" xr:uid="{96028063-B474-48CB-9218-C7567A4BAC3B}"/>
    <cellStyle name="Vírgula 14 13 2" xfId="29125" xr:uid="{21F15E62-ED0F-4D7B-9EE9-04E96DC9C0E1}"/>
    <cellStyle name="Vírgula 14 14" xfId="25631" xr:uid="{FEB24025-3138-4E6B-9407-E008D75C896D}"/>
    <cellStyle name="Vírgula 14 15" xfId="45980" xr:uid="{42CB05DD-A6F1-4ACF-8266-F3D5D0AE4735}"/>
    <cellStyle name="Vírgula 14 16" xfId="46466" xr:uid="{6F581D2A-BE00-4CFC-BF96-87CC53C9ACE1}"/>
    <cellStyle name="Vírgula 14 17" xfId="46958" xr:uid="{01435A85-BDBF-4927-B7A4-1358272754A8}"/>
    <cellStyle name="Vírgula 14 18" xfId="48381" xr:uid="{90EFC3EE-4623-41C6-B22A-B7C44C96F4FA}"/>
    <cellStyle name="Vírgula 14 19" xfId="50050" xr:uid="{6862EC0C-BC54-4287-B0CC-C06E8CA2E9E1}"/>
    <cellStyle name="Vírgula 14 2" xfId="3911" xr:uid="{B0562F91-03CF-45A9-8D67-3563E66C2174}"/>
    <cellStyle name="Vírgula 14 2 10" xfId="12158" xr:uid="{100B560C-4B7F-4763-8087-57BACCD3429A}"/>
    <cellStyle name="Vírgula 14 2 10 2" xfId="32499" xr:uid="{1407D769-6C18-4998-9D0A-56B0EF5691F2}"/>
    <cellStyle name="Vírgula 14 2 11" xfId="8897" xr:uid="{44BB45B8-08FC-47D5-B550-6F73A06A571E}"/>
    <cellStyle name="Vírgula 14 2 11 2" xfId="29240" xr:uid="{EB710DBD-60FA-4295-B428-0828CC853A9F}"/>
    <cellStyle name="Vírgula 14 2 12" xfId="25746" xr:uid="{A406DAD9-B3A8-4111-ADC5-D75AA74654F0}"/>
    <cellStyle name="Vírgula 14 2 13" xfId="46223" xr:uid="{B70F3CE7-398C-46F5-B8B4-4790ED0345AD}"/>
    <cellStyle name="Vírgula 14 2 14" xfId="46709" xr:uid="{4899C558-7EE6-46A4-8BDD-D99C64968695}"/>
    <cellStyle name="Vírgula 14 2 15" xfId="47201" xr:uid="{8FF402E3-45D2-4BBD-9144-63D9DC9337B9}"/>
    <cellStyle name="Vírgula 14 2 16" xfId="51683" xr:uid="{2E1D091C-AB2E-4C00-8CDB-F4E6E95BAD3F}"/>
    <cellStyle name="Vírgula 14 2 17" xfId="54977" xr:uid="{BA531E2D-F172-4995-BA22-73890EF9D9A2}"/>
    <cellStyle name="Vírgula 14 2 18" xfId="5415" xr:uid="{17F45DD9-19BB-41C3-9E47-AE0CD05CCEB9}"/>
    <cellStyle name="Vírgula 14 2 19" xfId="4879" xr:uid="{25301AD0-1B53-4055-8817-195FDDD65CAD}"/>
    <cellStyle name="Vírgula 14 2 2" xfId="4082" xr:uid="{4091BE42-28FF-4FBB-8781-AD99B5D8AF36}"/>
    <cellStyle name="Vírgula 14 2 2 2" xfId="7137" xr:uid="{58A68F5B-CC90-4A04-ABAC-8D7D209862B1}"/>
    <cellStyle name="Vírgula 14 2 2 2 2" xfId="17423" xr:uid="{65502C04-5EB9-472C-9F48-AD5BE7BC8754}"/>
    <cellStyle name="Vírgula 14 2 2 2 2 2" xfId="37763" xr:uid="{636E74AE-16EA-428A-B155-ADAE7872B8B9}"/>
    <cellStyle name="Vírgula 14 2 2 2 3" xfId="20925" xr:uid="{A2C61C11-E25E-4112-A293-566319CAAD67}"/>
    <cellStyle name="Vírgula 14 2 2 2 3 2" xfId="41264" xr:uid="{36D240EF-1D43-4563-A377-EEC1A28A1F6B}"/>
    <cellStyle name="Vírgula 14 2 2 2 4" xfId="24180" xr:uid="{9B53386D-F72F-49D0-A26F-098D21FCAD3A}"/>
    <cellStyle name="Vírgula 14 2 2 2 4 2" xfId="44515" xr:uid="{4B9D2BA7-EBDB-4001-9C7A-CD9A96E00BA8}"/>
    <cellStyle name="Vírgula 14 2 2 2 5" xfId="14514" xr:uid="{35A47BDE-9EB4-46A9-8558-8728C39816DB}"/>
    <cellStyle name="Vírgula 14 2 2 2 5 2" xfId="34855" xr:uid="{4C20230B-9C0B-495C-8C9F-EF7BAA595694}"/>
    <cellStyle name="Vírgula 14 2 2 2 6" xfId="10636" xr:uid="{3BF3694E-6DDF-4AC0-B723-87F5A9E0A966}"/>
    <cellStyle name="Vírgula 14 2 2 2 6 2" xfId="30979" xr:uid="{F2977A35-7947-4272-BE6C-830D93E1F8DD}"/>
    <cellStyle name="Vírgula 14 2 2 2 7" xfId="27485" xr:uid="{77DAA37C-E6C2-4610-B56A-540F53DA5E5D}"/>
    <cellStyle name="Vírgula 14 2 2 3" xfId="16265" xr:uid="{2EEFE67E-6C0E-4D85-8331-D0D346514CB7}"/>
    <cellStyle name="Vírgula 14 2 2 3 2" xfId="36605" xr:uid="{4C562097-3417-4876-BCEE-D3E186987AE5}"/>
    <cellStyle name="Vírgula 14 2 2 4" xfId="19767" xr:uid="{AEB9B467-0336-44BC-932C-C8041E7E8AC9}"/>
    <cellStyle name="Vírgula 14 2 2 4 2" xfId="40106" xr:uid="{69F29972-378F-4DAC-AB8F-F8F04E800EF2}"/>
    <cellStyle name="Vírgula 14 2 2 5" xfId="23022" xr:uid="{E574A768-870E-4652-A89C-91A2AA6A2DB7}"/>
    <cellStyle name="Vírgula 14 2 2 5 2" xfId="43357" xr:uid="{76390577-0F41-4B88-B59E-662473D00A04}"/>
    <cellStyle name="Vírgula 14 2 2 6" xfId="13356" xr:uid="{7818636D-6537-4F06-9C5C-435D1C651DFE}"/>
    <cellStyle name="Vírgula 14 2 2 6 2" xfId="33697" xr:uid="{388DD085-3076-4201-8EB2-05B357F28A1D}"/>
    <cellStyle name="Vírgula 14 2 2 7" xfId="9478" xr:uid="{3D2A0368-A75E-4717-8F50-756636D35EBD}"/>
    <cellStyle name="Vírgula 14 2 2 7 2" xfId="29821" xr:uid="{80C2F22B-7310-475A-9B0C-FC5790F2F832}"/>
    <cellStyle name="Vírgula 14 2 2 8" xfId="26327" xr:uid="{86B029AE-261E-4A70-9BBE-E5B1C72C1011}"/>
    <cellStyle name="Vírgula 14 2 2 9" xfId="5979" xr:uid="{BF84EB80-C7AA-47D1-AE3A-D51CE5533505}"/>
    <cellStyle name="Vírgula 14 2 3" xfId="4254" xr:uid="{EA05D214-B7EF-4520-9831-DD10519BF351}"/>
    <cellStyle name="Vírgula 14 2 3 2" xfId="16842" xr:uid="{18CE7124-72E3-4533-AEF7-6711EA61623C}"/>
    <cellStyle name="Vírgula 14 2 3 2 2" xfId="37182" xr:uid="{3444EF56-CE30-469E-ACB2-49A16733368B}"/>
    <cellStyle name="Vírgula 14 2 3 3" xfId="20344" xr:uid="{F11C2A79-03D0-4B52-9784-549FD7442897}"/>
    <cellStyle name="Vírgula 14 2 3 3 2" xfId="40683" xr:uid="{938695B8-EE9F-4B65-8632-934CB44DC2B4}"/>
    <cellStyle name="Vírgula 14 2 3 4" xfId="23599" xr:uid="{AC76BBFB-8F9D-4B62-B13F-5D79C01489BC}"/>
    <cellStyle name="Vírgula 14 2 3 4 2" xfId="43934" xr:uid="{AEE5841C-A44E-46A3-93AC-9A66B7DC4C8A}"/>
    <cellStyle name="Vírgula 14 2 3 5" xfId="13933" xr:uid="{68C3C2E9-B68A-4A44-993D-8FDE2A97E86E}"/>
    <cellStyle name="Vírgula 14 2 3 5 2" xfId="34274" xr:uid="{1B3151E4-E1C4-41D6-B98F-70678EAE9142}"/>
    <cellStyle name="Vírgula 14 2 3 6" xfId="10055" xr:uid="{DACE5B62-C2EE-4DB1-AE78-21E23DE18591}"/>
    <cellStyle name="Vírgula 14 2 3 6 2" xfId="30398" xr:uid="{71445967-687F-42CE-88C9-270B3C54B4D7}"/>
    <cellStyle name="Vírgula 14 2 3 7" xfId="26904" xr:uid="{63C7D54F-1691-4701-8769-1B17075CB055}"/>
    <cellStyle name="Vírgula 14 2 3 8" xfId="6556" xr:uid="{3DF88DC1-1C5A-46D4-8862-925DA1259D0E}"/>
    <cellStyle name="Vírgula 14 2 4" xfId="7720" xr:uid="{31D14719-1097-4DB6-B7C9-2D0B279AB5E7}"/>
    <cellStyle name="Vírgula 14 2 4 2" xfId="18005" xr:uid="{7BC6BEB7-6970-4B8F-AD9D-1163D925E2C2}"/>
    <cellStyle name="Vírgula 14 2 4 2 2" xfId="38345" xr:uid="{CE724080-7254-481C-A950-B7AED0BDE8C1}"/>
    <cellStyle name="Vírgula 14 2 4 3" xfId="21507" xr:uid="{06B3DA6D-E149-457E-841A-985AF9ECBDFF}"/>
    <cellStyle name="Vírgula 14 2 4 3 2" xfId="41846" xr:uid="{CD7FE4D7-F17A-4D03-A6AE-E4F107B058A2}"/>
    <cellStyle name="Vírgula 14 2 4 4" xfId="24762" xr:uid="{1BBA1588-B6FA-4DE2-A2A0-7ABB429CD4E3}"/>
    <cellStyle name="Vírgula 14 2 4 4 2" xfId="45097" xr:uid="{830AD72A-95B3-450F-B711-E8BD9266FD99}"/>
    <cellStyle name="Vírgula 14 2 4 5" xfId="15097" xr:uid="{8511B61A-B5D1-49E9-A112-496A9C2BC71A}"/>
    <cellStyle name="Vírgula 14 2 4 5 2" xfId="35437" xr:uid="{1A05F82A-3600-49B3-A38C-3DE0793B1A7E}"/>
    <cellStyle name="Vírgula 14 2 4 6" xfId="11218" xr:uid="{191C2113-161E-42FB-AE24-07FB0582AFCE}"/>
    <cellStyle name="Vírgula 14 2 4 6 2" xfId="31561" xr:uid="{1BAD58FE-074D-472B-AB1E-4710A14ADFEE}"/>
    <cellStyle name="Vírgula 14 2 4 7" xfId="28067" xr:uid="{C9EC578B-3FEA-4B18-9C97-688831989EF2}"/>
    <cellStyle name="Vírgula 14 2 5" xfId="8221" xr:uid="{2F0CD6B8-ABCE-4433-98F4-DE09F89A92B6}"/>
    <cellStyle name="Vírgula 14 2 5 2" xfId="22008" xr:uid="{63ED8EE6-0967-495D-8C63-D416A961DF86}"/>
    <cellStyle name="Vírgula 14 2 5 2 2" xfId="42344" xr:uid="{99A11D86-E6B5-459B-8EA4-9AE525F72694}"/>
    <cellStyle name="Vírgula 14 2 5 3" xfId="25260" xr:uid="{2F8E5E9F-A0B7-471D-B43D-292A4D7D2013}"/>
    <cellStyle name="Vírgula 14 2 5 3 2" xfId="45595" xr:uid="{89C993FA-E78C-4CDC-AA50-EDF41B138531}"/>
    <cellStyle name="Vírgula 14 2 5 4" xfId="12787" xr:uid="{719153D3-5155-41E9-A274-992DBF669062}"/>
    <cellStyle name="Vírgula 14 2 5 4 2" xfId="33128" xr:uid="{94AA27FB-1511-4D4C-B131-48ED0A5776D8}"/>
    <cellStyle name="Vírgula 14 2 5 5" xfId="11717" xr:uid="{64DC4993-4CE0-4706-B85C-A7A08CA86FFA}"/>
    <cellStyle name="Vírgula 14 2 5 5 2" xfId="32059" xr:uid="{AE2FEC04-A758-4DC7-AE2D-DDC0B9A118D1}"/>
    <cellStyle name="Vírgula 14 2 5 6" xfId="28565" xr:uid="{C3338D66-6119-4476-9F7F-6D7452EC63C7}"/>
    <cellStyle name="Vírgula 14 2 6" xfId="15684" xr:uid="{0277ECAF-087F-4B4D-A148-0E5A4A25E487}"/>
    <cellStyle name="Vírgula 14 2 6 2" xfId="36024" xr:uid="{38C42FE4-9247-44C4-A0B1-B85FF812C692}"/>
    <cellStyle name="Vírgula 14 2 7" xfId="18598" xr:uid="{AA9257D2-D35D-4AB7-962D-36D620C0643E}"/>
    <cellStyle name="Vírgula 14 2 7 2" xfId="38938" xr:uid="{27001A8A-54D0-484E-9B24-238899AF8963}"/>
    <cellStyle name="Vírgula 14 2 8" xfId="19186" xr:uid="{9390BD09-9275-4E5A-A968-B26158F53223}"/>
    <cellStyle name="Vírgula 14 2 8 2" xfId="39525" xr:uid="{D0D9FA14-BEA5-43E7-834C-A56E38B7436D}"/>
    <cellStyle name="Vírgula 14 2 9" xfId="22441" xr:uid="{4EFD927C-F740-4F6D-8E6F-7C4BA3AD59F1}"/>
    <cellStyle name="Vírgula 14 2 9 2" xfId="42776" xr:uid="{6EC96449-CD47-4ADB-9D24-A9BDB4FE320B}"/>
    <cellStyle name="Vírgula 14 20" xfId="53345" xr:uid="{3CC1BCB6-D6E8-47EC-BA27-903E72AA44A6}"/>
    <cellStyle name="Vírgula 14 21" xfId="5313" xr:uid="{94E09BBF-EDF1-4F0E-825C-01B1C28B69D1}"/>
    <cellStyle name="Vírgula 14 22" xfId="4837" xr:uid="{38EB5D74-CEBC-4236-AB97-6E4BFD7BC738}"/>
    <cellStyle name="Vírgula 14 3" xfId="3945" xr:uid="{7CCDB28D-1EEB-4E39-916E-5FBFFDCBE7EB}"/>
    <cellStyle name="Vírgula 14 3 10" xfId="12387" xr:uid="{CAE4D326-EB7A-4D90-BA1B-36BD2D956CEE}"/>
    <cellStyle name="Vírgula 14 3 10 2" xfId="32728" xr:uid="{FE80E04E-8D1E-4E94-A683-FA9D7E23DE95}"/>
    <cellStyle name="Vírgula 14 3 11" xfId="9126" xr:uid="{79F25322-21CD-418E-9F0C-13C8148ABF11}"/>
    <cellStyle name="Vírgula 14 3 11 2" xfId="29469" xr:uid="{798855A1-885F-4711-ACD3-4854EF1E901C}"/>
    <cellStyle name="Vírgula 14 3 12" xfId="25975" xr:uid="{F7275E37-0EB4-4244-840F-A0430DE94519}"/>
    <cellStyle name="Vírgula 14 3 13" xfId="56362" xr:uid="{902180AB-73A4-4346-9EEE-75E09D39B494}"/>
    <cellStyle name="Vírgula 14 3 14" xfId="5636" xr:uid="{9C836C9C-546D-40BA-B988-160FEB353A98}"/>
    <cellStyle name="Vírgula 14 3 15" xfId="5098" xr:uid="{BA1D3223-F19A-4189-8CF1-796A5A6DAA54}"/>
    <cellStyle name="Vírgula 14 3 2" xfId="4117" xr:uid="{95388207-A3EE-4773-935F-C7B7ECBFDDDF}"/>
    <cellStyle name="Vírgula 14 3 2 2" xfId="7366" xr:uid="{96F9D3BF-DA40-4CF3-829E-493443907EED}"/>
    <cellStyle name="Vírgula 14 3 2 2 2" xfId="17652" xr:uid="{EDFCAE8B-58BC-4B5E-BC9C-E825DFC67DBE}"/>
    <cellStyle name="Vírgula 14 3 2 2 2 2" xfId="37992" xr:uid="{6BB254DB-1E65-43B3-98B6-7980D766382E}"/>
    <cellStyle name="Vírgula 14 3 2 2 3" xfId="21154" xr:uid="{949725EC-CDF9-4175-A888-14FFAA841337}"/>
    <cellStyle name="Vírgula 14 3 2 2 3 2" xfId="41493" xr:uid="{3662B840-AAAA-4805-B076-AC14859085AF}"/>
    <cellStyle name="Vírgula 14 3 2 2 4" xfId="24409" xr:uid="{30773CE6-27BA-4B16-965D-BA56AA96A778}"/>
    <cellStyle name="Vírgula 14 3 2 2 4 2" xfId="44744" xr:uid="{591E76A5-B919-429B-81C1-A89BBCE07F00}"/>
    <cellStyle name="Vírgula 14 3 2 2 5" xfId="14743" xr:uid="{4124E2A0-9F72-4B99-A8CB-7FFF92E30DCE}"/>
    <cellStyle name="Vírgula 14 3 2 2 5 2" xfId="35084" xr:uid="{5F5C5523-DD2B-4E93-8C1C-0219223FC3C1}"/>
    <cellStyle name="Vírgula 14 3 2 2 6" xfId="10865" xr:uid="{CA4BF3C7-0737-4DD8-835D-C454CE7DFED7}"/>
    <cellStyle name="Vírgula 14 3 2 2 6 2" xfId="31208" xr:uid="{59470D36-8369-4056-AACA-D5D1554711E5}"/>
    <cellStyle name="Vírgula 14 3 2 2 7" xfId="27714" xr:uid="{0CDA797C-46AD-4E2D-9DC0-F314AAED6BED}"/>
    <cellStyle name="Vírgula 14 3 2 3" xfId="16494" xr:uid="{BADB6B58-A145-4607-A50A-8C716B318D9F}"/>
    <cellStyle name="Vírgula 14 3 2 3 2" xfId="36834" xr:uid="{983C8DBD-EF0C-4E13-9E87-6EC5084CACA8}"/>
    <cellStyle name="Vírgula 14 3 2 4" xfId="19996" xr:uid="{7C277926-23FB-4060-8668-C7100C23139C}"/>
    <cellStyle name="Vírgula 14 3 2 4 2" xfId="40335" xr:uid="{C0A40A89-50ED-4750-AD91-9ECA8DB190FD}"/>
    <cellStyle name="Vírgula 14 3 2 5" xfId="23251" xr:uid="{804D8FF8-ABF1-4D9C-8FB8-F37DDDBAB86F}"/>
    <cellStyle name="Vírgula 14 3 2 5 2" xfId="43586" xr:uid="{2D143C9D-3620-4B67-94EE-73F1EA61D9D0}"/>
    <cellStyle name="Vírgula 14 3 2 6" xfId="13585" xr:uid="{F465F18A-A295-428B-8720-819CF4F582AB}"/>
    <cellStyle name="Vírgula 14 3 2 6 2" xfId="33926" xr:uid="{1D13E12E-238D-4875-BD40-79125BF0B1A2}"/>
    <cellStyle name="Vírgula 14 3 2 7" xfId="9707" xr:uid="{E2E2C3F0-B96B-4F2B-B3AE-B1AB1E3E492A}"/>
    <cellStyle name="Vírgula 14 3 2 7 2" xfId="30050" xr:uid="{023B8E6D-3C48-4BD7-A24C-606C157AF8AB}"/>
    <cellStyle name="Vírgula 14 3 2 8" xfId="26556" xr:uid="{971DF83A-2CE0-42FB-A366-E98FBC70025D}"/>
    <cellStyle name="Vírgula 14 3 2 9" xfId="6208" xr:uid="{9ACD7C53-4973-439F-AC97-463AA4F26421}"/>
    <cellStyle name="Vírgula 14 3 3" xfId="4289" xr:uid="{7C79E053-986B-43B8-8AD5-E162CFE035CE}"/>
    <cellStyle name="Vírgula 14 3 3 2" xfId="17071" xr:uid="{15DC7E4E-59EF-450A-928D-185DC0C09A2E}"/>
    <cellStyle name="Vírgula 14 3 3 2 2" xfId="37411" xr:uid="{81C6D5D3-76FB-40AE-81FB-1CD93457136F}"/>
    <cellStyle name="Vírgula 14 3 3 3" xfId="20573" xr:uid="{CBD0C044-A16E-4710-A204-8269BDC537F6}"/>
    <cellStyle name="Vírgula 14 3 3 3 2" xfId="40912" xr:uid="{E1F7CEAF-6418-4764-AA58-E7430747A0F2}"/>
    <cellStyle name="Vírgula 14 3 3 4" xfId="23828" xr:uid="{46F58553-164B-406E-9747-CDB2A8975B07}"/>
    <cellStyle name="Vírgula 14 3 3 4 2" xfId="44163" xr:uid="{309B74EA-04BA-4FEE-82EE-A62C28F3762D}"/>
    <cellStyle name="Vírgula 14 3 3 5" xfId="14162" xr:uid="{D346C14E-D732-4CFF-AAB6-C82F5B733039}"/>
    <cellStyle name="Vírgula 14 3 3 5 2" xfId="34503" xr:uid="{B1EC5C52-FA5E-4527-A389-242199D0FC87}"/>
    <cellStyle name="Vírgula 14 3 3 6" xfId="10284" xr:uid="{A6221B74-FC07-4463-8E36-AFD123378599}"/>
    <cellStyle name="Vírgula 14 3 3 6 2" xfId="30627" xr:uid="{0FB11825-64E1-4838-AB53-66F5E69FB3AE}"/>
    <cellStyle name="Vírgula 14 3 3 7" xfId="27133" xr:uid="{CB698AA5-6B0C-4481-AB23-D7C7AA3A28E5}"/>
    <cellStyle name="Vírgula 14 3 3 8" xfId="6785" xr:uid="{56B77AD1-72B4-4D5B-815C-78BE52B3D231}"/>
    <cellStyle name="Vírgula 14 3 4" xfId="7949" xr:uid="{742D755F-CCE8-4BB7-9A97-79CDDE211185}"/>
    <cellStyle name="Vírgula 14 3 4 2" xfId="18234" xr:uid="{613BE3C0-4790-436D-8B24-0FC5732AD59C}"/>
    <cellStyle name="Vírgula 14 3 4 2 2" xfId="38574" xr:uid="{A8EA0A99-2A32-4EC8-9884-B9B6BAFF56F0}"/>
    <cellStyle name="Vírgula 14 3 4 3" xfId="21736" xr:uid="{27A63401-45BF-413C-A5BF-8988DF7386A4}"/>
    <cellStyle name="Vírgula 14 3 4 3 2" xfId="42075" xr:uid="{DFA98117-5A71-4DE4-9A77-6C028D3173A5}"/>
    <cellStyle name="Vírgula 14 3 4 4" xfId="24991" xr:uid="{5449B7D5-186A-46D7-BDA7-F8790E9CF258}"/>
    <cellStyle name="Vírgula 14 3 4 4 2" xfId="45326" xr:uid="{5BBF80A3-C801-43BC-BDD1-EF8E723D03D1}"/>
    <cellStyle name="Vírgula 14 3 4 5" xfId="15326" xr:uid="{D4B7FFF1-F37D-4B59-881A-F1FE6A6C9D05}"/>
    <cellStyle name="Vírgula 14 3 4 5 2" xfId="35666" xr:uid="{E40DC2CC-D4D2-41D8-8524-6BC9A8B5A53C}"/>
    <cellStyle name="Vírgula 14 3 4 6" xfId="11447" xr:uid="{C44622A1-EE01-42A7-95F1-2F1E787BFC07}"/>
    <cellStyle name="Vírgula 14 3 4 6 2" xfId="31790" xr:uid="{48AC6834-1B2E-4543-92C5-B660D7B01B49}"/>
    <cellStyle name="Vírgula 14 3 4 7" xfId="28296" xr:uid="{C217C8CE-023D-4F30-B1F3-09EC9A446FB9}"/>
    <cellStyle name="Vírgula 14 3 5" xfId="13016" xr:uid="{4C4164BA-497C-453A-996D-B16828306DC4}"/>
    <cellStyle name="Vírgula 14 3 5 2" xfId="33357" xr:uid="{AE265F5C-D1A1-48A2-A6D0-967ADF4D70C4}"/>
    <cellStyle name="Vírgula 14 3 6" xfId="15913" xr:uid="{A66E4CFF-EE8A-40B0-A8AE-3343E8A1F3E4}"/>
    <cellStyle name="Vírgula 14 3 6 2" xfId="36253" xr:uid="{A069B402-1148-4DA2-A6A1-39B377223614}"/>
    <cellStyle name="Vírgula 14 3 7" xfId="18827" xr:uid="{B1751704-F45C-43DD-B2AE-428ACFC0A901}"/>
    <cellStyle name="Vírgula 14 3 7 2" xfId="39167" xr:uid="{209BF706-AF63-407E-BFBA-1710FCFF8082}"/>
    <cellStyle name="Vírgula 14 3 8" xfId="19415" xr:uid="{7BDCD801-7F55-490A-9572-DD78DCADC549}"/>
    <cellStyle name="Vírgula 14 3 8 2" xfId="39754" xr:uid="{F66A97C4-3A62-41DE-A571-D94D81CF6081}"/>
    <cellStyle name="Vírgula 14 3 9" xfId="22670" xr:uid="{DB2AF519-5455-4134-B0A3-2C2D7A1E5E41}"/>
    <cellStyle name="Vírgula 14 3 9 2" xfId="43005" xr:uid="{92FFDD7C-BB2A-4859-85B7-0373FAE48D36}"/>
    <cellStyle name="Vírgula 14 4" xfId="4004" xr:uid="{B7D95667-AB86-458C-A3D4-6E5FBBE77819}"/>
    <cellStyle name="Vírgula 14 4 2" xfId="7022" xr:uid="{54B2D8F6-D743-402A-B53A-A141682B0813}"/>
    <cellStyle name="Vírgula 14 4 2 2" xfId="17308" xr:uid="{D15FBC6A-0C98-494E-B9E9-C1B9A2BF2F0A}"/>
    <cellStyle name="Vírgula 14 4 2 2 2" xfId="37648" xr:uid="{B39B05F1-D3A8-4202-9DBE-90E69CB5F860}"/>
    <cellStyle name="Vírgula 14 4 2 3" xfId="20810" xr:uid="{E5DA3E00-E7D2-4377-A443-D30BCB1B9DEA}"/>
    <cellStyle name="Vírgula 14 4 2 3 2" xfId="41149" xr:uid="{8E56CB4D-54EB-4D27-9E1A-3A2E7F555DCE}"/>
    <cellStyle name="Vírgula 14 4 2 4" xfId="24065" xr:uid="{8E6489C0-183A-4F8B-B9E8-0D28EFB7F7B4}"/>
    <cellStyle name="Vírgula 14 4 2 4 2" xfId="44400" xr:uid="{216B57C6-F2D4-4C35-A8F6-F3658DAB2793}"/>
    <cellStyle name="Vírgula 14 4 2 5" xfId="14399" xr:uid="{36F23F01-F2E8-4E5C-A3AE-0479DC57FC16}"/>
    <cellStyle name="Vírgula 14 4 2 5 2" xfId="34740" xr:uid="{3F6B494B-30E2-421F-8328-9184C4BC216E}"/>
    <cellStyle name="Vírgula 14 4 2 6" xfId="10521" xr:uid="{BFD627C7-020A-491A-B72C-CF9EA802A48A}"/>
    <cellStyle name="Vírgula 14 4 2 6 2" xfId="30864" xr:uid="{F457C9F8-95FB-4F6E-8957-E892F5C4F62D}"/>
    <cellStyle name="Vírgula 14 4 2 7" xfId="27370" xr:uid="{D445F7EB-FF3C-4CE7-9381-92FB1F455BD4}"/>
    <cellStyle name="Vírgula 14 4 3" xfId="16150" xr:uid="{849DE366-02AC-4817-9133-ED5A3E5A731D}"/>
    <cellStyle name="Vírgula 14 4 3 2" xfId="36490" xr:uid="{34C769F7-7F53-4D13-AF65-95CEB6DAE59F}"/>
    <cellStyle name="Vírgula 14 4 4" xfId="19652" xr:uid="{EB182FFF-B102-4281-B4F1-CE8ED4E3EC44}"/>
    <cellStyle name="Vírgula 14 4 4 2" xfId="39991" xr:uid="{709D3D12-2970-4AB4-9695-ADC12A6A432F}"/>
    <cellStyle name="Vírgula 14 4 5" xfId="22907" xr:uid="{9AE2ABE0-B10D-4DA1-A136-67DC396E1427}"/>
    <cellStyle name="Vírgula 14 4 5 2" xfId="43242" xr:uid="{16E7DF03-A236-475D-A4CA-6181FE68A90E}"/>
    <cellStyle name="Vírgula 14 4 6" xfId="13243" xr:uid="{9FFBCE10-B1C3-44FA-B66E-D7EB51D69247}"/>
    <cellStyle name="Vírgula 14 4 6 2" xfId="33584" xr:uid="{0D335570-9F5D-4985-8203-2733A39183BE}"/>
    <cellStyle name="Vírgula 14 4 7" xfId="9363" xr:uid="{66FCB9A9-7343-43A6-9A85-ED01B4DCFD9E}"/>
    <cellStyle name="Vírgula 14 4 7 2" xfId="29706" xr:uid="{8AEC99C5-C73C-40A4-AAF1-2652F1291482}"/>
    <cellStyle name="Vírgula 14 4 8" xfId="26212" xr:uid="{249B9CEB-234D-4950-9A5A-5EA5E825D4BA}"/>
    <cellStyle name="Vírgula 14 4 9" xfId="5864" xr:uid="{49143C01-A796-4178-8E96-8119A1FF1C6F}"/>
    <cellStyle name="Vírgula 14 5" xfId="4176" xr:uid="{960E11EA-354F-4061-8BCB-84CF6BB1A827}"/>
    <cellStyle name="Vírgula 14 5 2" xfId="16727" xr:uid="{EC2E86D6-D2C5-48FB-B4DF-06A3C32BE3F9}"/>
    <cellStyle name="Vírgula 14 5 2 2" xfId="37067" xr:uid="{C4C70330-CD4F-4DDA-B4B2-87B46EDC18D1}"/>
    <cellStyle name="Vírgula 14 5 3" xfId="20229" xr:uid="{725CF644-4794-4D0F-AFF1-62A4CEA77954}"/>
    <cellStyle name="Vírgula 14 5 3 2" xfId="40568" xr:uid="{52E012C6-725D-4077-A4F3-D375DD782D54}"/>
    <cellStyle name="Vírgula 14 5 4" xfId="23484" xr:uid="{A46B2321-E427-4DF5-9683-DF73795A4BAC}"/>
    <cellStyle name="Vírgula 14 5 4 2" xfId="43819" xr:uid="{51FA3AEB-EA37-4215-9F92-D21417F9CDD4}"/>
    <cellStyle name="Vírgula 14 5 5" xfId="13818" xr:uid="{DD63DEFA-D914-4F7A-8DDA-4D75B77D4C15}"/>
    <cellStyle name="Vírgula 14 5 5 2" xfId="34159" xr:uid="{9D720432-DBF9-4A14-B5B0-1847641107C4}"/>
    <cellStyle name="Vírgula 14 5 6" xfId="9940" xr:uid="{F5291BAE-9166-46D9-BEE6-9FC58F9EC8EB}"/>
    <cellStyle name="Vírgula 14 5 6 2" xfId="30283" xr:uid="{FE6E8575-FE27-41C7-B2C6-E7A402AB4962}"/>
    <cellStyle name="Vírgula 14 5 7" xfId="26789" xr:uid="{91F4973B-234C-4C92-BBAD-07B4DD91E4CC}"/>
    <cellStyle name="Vírgula 14 5 8" xfId="6441" xr:uid="{088B246E-1F8B-446A-917E-99E10902C44B}"/>
    <cellStyle name="Vírgula 14 6" xfId="3833" xr:uid="{83E46E93-017A-4906-820D-51101D82A7AB}"/>
    <cellStyle name="Vírgula 14 6 2" xfId="17890" xr:uid="{7413BFFB-1C18-4119-9BDF-B2712739D239}"/>
    <cellStyle name="Vírgula 14 6 2 2" xfId="38230" xr:uid="{6E5F0895-B641-429F-A401-F6076BABAB27}"/>
    <cellStyle name="Vírgula 14 6 3" xfId="21392" xr:uid="{BEC9E3C9-EE5B-48DE-9D70-27CEAB2E90FB}"/>
    <cellStyle name="Vírgula 14 6 3 2" xfId="41731" xr:uid="{02BB2A6B-A5AA-4321-A857-D94A32ADA5BF}"/>
    <cellStyle name="Vírgula 14 6 4" xfId="24647" xr:uid="{9A7BF454-2EE3-4377-8CC5-8AF6395408A2}"/>
    <cellStyle name="Vírgula 14 6 4 2" xfId="44982" xr:uid="{9D884E15-D2A9-4600-A9CF-97A003410442}"/>
    <cellStyle name="Vírgula 14 6 5" xfId="14982" xr:uid="{16B60F95-D8A4-409E-9CA2-4F13977421BB}"/>
    <cellStyle name="Vírgula 14 6 5 2" xfId="35322" xr:uid="{CAD24A8F-869F-4CFD-A19A-E67F45BA1907}"/>
    <cellStyle name="Vírgula 14 6 6" xfId="11103" xr:uid="{D1B4A536-07C0-4730-8A80-F907429A6E0B}"/>
    <cellStyle name="Vírgula 14 6 6 2" xfId="31446" xr:uid="{305BDECD-2066-48A8-92BA-B1C84846B6A6}"/>
    <cellStyle name="Vírgula 14 6 7" xfId="27952" xr:uid="{BCD5DCD7-649D-46CF-A31B-4B1BA3FF8E35}"/>
    <cellStyle name="Vírgula 14 6 8" xfId="7605" xr:uid="{8AFBCE78-B368-4E65-8A78-D3DAD4FD6B8C}"/>
    <cellStyle name="Vírgula 14 7" xfId="2207" xr:uid="{9E731FFF-DA86-4E10-AAB6-213B6BD496E3}"/>
    <cellStyle name="Vírgula 14 7 2" xfId="22007" xr:uid="{B58ACB37-C4FE-44B2-8722-7DA5747A02DF}"/>
    <cellStyle name="Vírgula 14 7 2 2" xfId="42343" xr:uid="{2F9A1BB4-D515-4C42-BB86-C23ECEDED22D}"/>
    <cellStyle name="Vírgula 14 7 3" xfId="25259" xr:uid="{4B4A60E6-41D5-48B1-975A-C7BA6CD514F8}"/>
    <cellStyle name="Vírgula 14 7 3 2" xfId="45594" xr:uid="{6E4B3627-8B0E-4955-9AA8-072113726441}"/>
    <cellStyle name="Vírgula 14 7 4" xfId="12674" xr:uid="{5A4D1BD5-C044-4817-BB00-1F560EB428A0}"/>
    <cellStyle name="Vírgula 14 7 4 2" xfId="33015" xr:uid="{CB9B1229-0FC6-40E0-AC53-54A4DF6DD95D}"/>
    <cellStyle name="Vírgula 14 7 5" xfId="11716" xr:uid="{A1EDF771-AE06-435D-B51E-6294191092AD}"/>
    <cellStyle name="Vírgula 14 7 5 2" xfId="32058" xr:uid="{1D510459-8C5F-467D-ABE2-088E2AF88DE3}"/>
    <cellStyle name="Vírgula 14 7 6" xfId="28564" xr:uid="{AC2F764C-BB7B-4A4F-B87C-9B8163BD9EB5}"/>
    <cellStyle name="Vírgula 14 7 7" xfId="8220" xr:uid="{253C7008-C159-472F-BEE6-B49AEBB69B5C}"/>
    <cellStyle name="Vírgula 14 8" xfId="8605" xr:uid="{6439A7AC-5A48-426D-81ED-6FFD57D4C26B}"/>
    <cellStyle name="Vírgula 14 8 2" xfId="15569" xr:uid="{53C58D66-CE3F-4EF3-9A31-29446C126800}"/>
    <cellStyle name="Vírgula 14 8 2 2" xfId="35909" xr:uid="{F6F58E70-0745-4AF3-891D-5BCA0CD456D6}"/>
    <cellStyle name="Vírgula 14 8 3" xfId="28948" xr:uid="{EBB81763-2D42-49C4-B362-1E7A991B0033}"/>
    <cellStyle name="Vírgula 14 9" xfId="18483" xr:uid="{1D27E537-AD19-4015-B42D-3AFC9DA40656}"/>
    <cellStyle name="Vírgula 14 9 2" xfId="38823" xr:uid="{1051B072-F1E6-45FC-B10E-B9EB59E30C6D}"/>
    <cellStyle name="Vírgula 15" xfId="898" xr:uid="{B8CDBA75-4209-4CCF-8870-280C7E82EDD3}"/>
    <cellStyle name="Vírgula 15 10" xfId="12055" xr:uid="{8824732E-D114-447D-8E22-73DADDE52826}"/>
    <cellStyle name="Vírgula 15 10 2" xfId="32396" xr:uid="{7BCE40C5-0679-4BAF-8ECB-0C44BA60F323}"/>
    <cellStyle name="Vírgula 15 11" xfId="8794" xr:uid="{604A7324-AAAE-4ECC-B6AB-5A6E84F72510}"/>
    <cellStyle name="Vírgula 15 11 2" xfId="29137" xr:uid="{6764D85E-AF13-4DB2-9184-0C0836362E7C}"/>
    <cellStyle name="Vírgula 15 12" xfId="25643" xr:uid="{606B35B6-AB3B-4B01-9019-DE10E71DF954}"/>
    <cellStyle name="Vírgula 15 13" xfId="46054" xr:uid="{749B36DF-EAE4-4C8F-93F0-353C4E36FDC4}"/>
    <cellStyle name="Vírgula 15 14" xfId="46540" xr:uid="{768A0555-AB01-47FA-9CAF-693F4F96EBB2}"/>
    <cellStyle name="Vírgula 15 15" xfId="47032" xr:uid="{FCC790BE-D348-483F-9FAA-F6C0530C851F}"/>
    <cellStyle name="Vírgula 15 16" xfId="48382" xr:uid="{FC1FB912-D0D1-4023-8315-C8058492255A}"/>
    <cellStyle name="Vírgula 15 17" xfId="50051" xr:uid="{914AC115-E73B-439E-A8D1-12F5E5D0B6E4}"/>
    <cellStyle name="Vírgula 15 18" xfId="53346" xr:uid="{68D660C7-56DE-4D70-8529-65088C8255CA}"/>
    <cellStyle name="Vírgula 15 19" xfId="5325" xr:uid="{40046589-5262-440A-8428-64DC07A619AC}"/>
    <cellStyle name="Vírgula 15 2" xfId="3913" xr:uid="{92278006-5E40-4242-AD47-E6AB2126322F}"/>
    <cellStyle name="Vírgula 15 2 10" xfId="54978" xr:uid="{50272287-566B-4C2F-A9F1-57DB9229273C}"/>
    <cellStyle name="Vírgula 15 2 11" xfId="5876" xr:uid="{A9C9AC53-2CE7-4AAF-8943-532FEDBE2B8D}"/>
    <cellStyle name="Vírgula 15 2 2" xfId="4084" xr:uid="{4BCCE63E-702C-4AD5-889C-138B25E0FB47}"/>
    <cellStyle name="Vírgula 15 2 2 2" xfId="17320" xr:uid="{7D5696E1-ED5F-4B58-985A-BB7A828FFC06}"/>
    <cellStyle name="Vírgula 15 2 2 2 2" xfId="37660" xr:uid="{5FC2E389-ECA9-4688-8CF3-98801B41E82C}"/>
    <cellStyle name="Vírgula 15 2 2 3" xfId="20822" xr:uid="{B9F2A225-C5D3-4A1F-B5A8-E91AAEA321C4}"/>
    <cellStyle name="Vírgula 15 2 2 3 2" xfId="41161" xr:uid="{EDE80BA2-0D61-4673-ACFF-136B906F1E6D}"/>
    <cellStyle name="Vírgula 15 2 2 4" xfId="24077" xr:uid="{BF5BD4EC-E20A-426C-AEB7-B962A5722FCB}"/>
    <cellStyle name="Vírgula 15 2 2 4 2" xfId="44412" xr:uid="{A8DFF1E1-C341-44E3-A315-9BEFC975B49E}"/>
    <cellStyle name="Vírgula 15 2 2 5" xfId="14411" xr:uid="{13782B7E-F02F-41A1-8DC0-2D67DD8910F6}"/>
    <cellStyle name="Vírgula 15 2 2 5 2" xfId="34752" xr:uid="{D86B9C34-B6FA-4F3D-A1A1-9DEECD860B93}"/>
    <cellStyle name="Vírgula 15 2 2 6" xfId="10533" xr:uid="{8D7894A1-E1F8-4679-9FEB-64EAC3153905}"/>
    <cellStyle name="Vírgula 15 2 2 6 2" xfId="30876" xr:uid="{D6FC355F-473B-42B2-8BB2-B1C785A22FE0}"/>
    <cellStyle name="Vírgula 15 2 2 7" xfId="27382" xr:uid="{5551F237-A293-496C-A292-6E3044073C0E}"/>
    <cellStyle name="Vírgula 15 2 2 8" xfId="7034" xr:uid="{98D128DF-D502-40F6-B127-EDD839F6427E}"/>
    <cellStyle name="Vírgula 15 2 3" xfId="4256" xr:uid="{69C59C9F-0919-4D03-BD20-EC8FCB39C889}"/>
    <cellStyle name="Vírgula 15 2 3 2" xfId="36502" xr:uid="{6E15F9AC-9FB0-41FE-9882-38E2F846DAF0}"/>
    <cellStyle name="Vírgula 15 2 3 3" xfId="16162" xr:uid="{DC932A58-A75E-41E0-B742-3B2EBC33DAA0}"/>
    <cellStyle name="Vírgula 15 2 4" xfId="19664" xr:uid="{B0E4267C-3D07-4BBC-9E98-CDD136E61E11}"/>
    <cellStyle name="Vírgula 15 2 4 2" xfId="40003" xr:uid="{B3FA1176-86DB-4955-A89B-E0EF763470EE}"/>
    <cellStyle name="Vírgula 15 2 5" xfId="22919" xr:uid="{0AA46E0E-370A-4CA9-9692-3A781A72059E}"/>
    <cellStyle name="Vírgula 15 2 5 2" xfId="43254" xr:uid="{FC9F8A46-0834-47B2-BD7F-D48ED59178B4}"/>
    <cellStyle name="Vírgula 15 2 6" xfId="13255" xr:uid="{C4CA5C6B-58B3-4A8E-BAA8-992319AE31EA}"/>
    <cellStyle name="Vírgula 15 2 6 2" xfId="33596" xr:uid="{ACAD65FF-31DD-4C15-9C24-E613466D56B0}"/>
    <cellStyle name="Vírgula 15 2 7" xfId="9375" xr:uid="{63B94CED-4977-45B5-A02A-06572EA4EC04}"/>
    <cellStyle name="Vírgula 15 2 7 2" xfId="29718" xr:uid="{9BBD7239-E547-43D7-A248-883B6AC1D3EC}"/>
    <cellStyle name="Vírgula 15 2 8" xfId="26224" xr:uid="{12784C07-E185-467D-947C-E0558865FCFC}"/>
    <cellStyle name="Vírgula 15 2 9" xfId="51684" xr:uid="{84D2CE8B-F4C5-4D71-8710-7B49F2D4A654}"/>
    <cellStyle name="Vírgula 15 20" xfId="4957" xr:uid="{A5F19341-750C-4308-B71A-4D2DB988282E}"/>
    <cellStyle name="Vírgula 15 3" xfId="4042" xr:uid="{16A08CDC-C65B-4BB2-BAC1-CCC8EBC31F9C}"/>
    <cellStyle name="Vírgula 15 3 2" xfId="16739" xr:uid="{F0AD1590-CAA5-48CF-9DEE-F65D5761C180}"/>
    <cellStyle name="Vírgula 15 3 2 2" xfId="37079" xr:uid="{3E744BD5-4614-4A8B-B2A2-17DA9DE90A82}"/>
    <cellStyle name="Vírgula 15 3 3" xfId="20241" xr:uid="{B8EE56D2-4E65-424F-973E-518C85D891D8}"/>
    <cellStyle name="Vírgula 15 3 3 2" xfId="40580" xr:uid="{A82ED872-20B9-40D0-A8C3-313A0975E0D8}"/>
    <cellStyle name="Vírgula 15 3 4" xfId="23496" xr:uid="{2CAE6E4D-2010-47F9-8B2C-602C3EBD9021}"/>
    <cellStyle name="Vírgula 15 3 4 2" xfId="43831" xr:uid="{B46F82A2-B9CA-4A83-935F-F810EBEC8631}"/>
    <cellStyle name="Vírgula 15 3 5" xfId="13830" xr:uid="{0D1A7025-4A3A-4CC0-9778-22910E3F4627}"/>
    <cellStyle name="Vírgula 15 3 5 2" xfId="34171" xr:uid="{96C1DEC9-217F-47EB-B538-088160F825B6}"/>
    <cellStyle name="Vírgula 15 3 6" xfId="9952" xr:uid="{2B6C281E-BA45-4DC2-892B-C9DB3F8FD1D5}"/>
    <cellStyle name="Vírgula 15 3 6 2" xfId="30295" xr:uid="{0936993B-2E50-47CA-8C54-08B03BB8E3FA}"/>
    <cellStyle name="Vírgula 15 3 7" xfId="26801" xr:uid="{04AB2FD4-D69A-4F44-9230-5D779DA1FBC5}"/>
    <cellStyle name="Vírgula 15 3 8" xfId="56769" xr:uid="{452F0382-FF6B-45D2-B881-8FE9357FCCC7}"/>
    <cellStyle name="Vírgula 15 3 9" xfId="6453" xr:uid="{D01BE8A3-4132-4E6B-9B8F-851E8F78D08E}"/>
    <cellStyle name="Vírgula 15 4" xfId="4214" xr:uid="{DF33EE9D-8AA9-4A5E-9460-906DDC34E0E2}"/>
    <cellStyle name="Vírgula 15 4 2" xfId="17902" xr:uid="{586859D6-C3F8-4AE8-86D6-E9F0504E157A}"/>
    <cellStyle name="Vírgula 15 4 2 2" xfId="38242" xr:uid="{C51DF9AA-114E-4C4F-952E-73A282DA80F0}"/>
    <cellStyle name="Vírgula 15 4 3" xfId="21404" xr:uid="{D57EA437-EB7C-4A99-B5D5-8AE4B195AB86}"/>
    <cellStyle name="Vírgula 15 4 3 2" xfId="41743" xr:uid="{A8A0BFE7-5C2F-4CCC-87EE-4AF409EA4BDC}"/>
    <cellStyle name="Vírgula 15 4 4" xfId="24659" xr:uid="{EFAC70B3-B20C-4BB5-8E7A-EB6976AADBA8}"/>
    <cellStyle name="Vírgula 15 4 4 2" xfId="44994" xr:uid="{8E4F22D1-5095-4061-8619-F77451D6916E}"/>
    <cellStyle name="Vírgula 15 4 5" xfId="14994" xr:uid="{29C1BE69-2708-49DB-9B7B-2DF606356497}"/>
    <cellStyle name="Vírgula 15 4 5 2" xfId="35334" xr:uid="{EA82F6C7-616D-490E-861A-2A813F56597D}"/>
    <cellStyle name="Vírgula 15 4 6" xfId="11115" xr:uid="{E219CB99-030C-4BCE-A2E0-4B172AC7DE93}"/>
    <cellStyle name="Vírgula 15 4 6 2" xfId="31458" xr:uid="{A0AF4718-8036-4E76-A91D-70F22E84A4B3}"/>
    <cellStyle name="Vírgula 15 4 7" xfId="27964" xr:uid="{32AC06A5-45E8-4A5B-A935-F3F0693CDB2C}"/>
    <cellStyle name="Vírgula 15 4 8" xfId="7617" xr:uid="{58925854-CB4F-41DF-93EE-C5DA8AB0BE35}"/>
    <cellStyle name="Vírgula 15 5" xfId="3871" xr:uid="{1528E10A-E0AD-482A-9EE8-322CCEBB6C34}"/>
    <cellStyle name="Vírgula 15 5 2" xfId="22009" xr:uid="{42CD837F-07A6-45BA-91CD-A8D0206AF798}"/>
    <cellStyle name="Vírgula 15 5 2 2" xfId="42345" xr:uid="{54E72ACD-F2E1-4C76-9771-5B4F2AC674C3}"/>
    <cellStyle name="Vírgula 15 5 3" xfId="25261" xr:uid="{AD81DF87-AA76-45A2-B855-05190F52DF58}"/>
    <cellStyle name="Vírgula 15 5 3 2" xfId="45596" xr:uid="{E9228148-54A6-4C14-85B9-72F7433BAC79}"/>
    <cellStyle name="Vírgula 15 5 4" xfId="12686" xr:uid="{3F42CAC5-2050-43D4-9569-00A37BF77EC1}"/>
    <cellStyle name="Vírgula 15 5 4 2" xfId="33027" xr:uid="{9CA6B3A7-6468-4498-BE7D-0B0DF01A86F0}"/>
    <cellStyle name="Vírgula 15 5 5" xfId="11718" xr:uid="{2895598A-4827-4FD1-BD2E-12A91411AA2C}"/>
    <cellStyle name="Vírgula 15 5 5 2" xfId="32060" xr:uid="{9A3B1DAC-C184-4F25-AF19-DE933D7DCE8E}"/>
    <cellStyle name="Vírgula 15 5 6" xfId="28566" xr:uid="{6EFD3F9E-858D-43AD-80E8-0C83C80776C9}"/>
    <cellStyle name="Vírgula 15 5 7" xfId="8222" xr:uid="{F42229C9-5FAF-4A1D-9DFA-268788229069}"/>
    <cellStyle name="Vírgula 15 6" xfId="2614" xr:uid="{9995BC23-79D8-4A15-9245-C4DEAFF94D19}"/>
    <cellStyle name="Vírgula 15 6 2" xfId="35921" xr:uid="{5149166C-6051-4883-997F-E4A18CE87069}"/>
    <cellStyle name="Vírgula 15 6 3" xfId="15581" xr:uid="{C3333EB6-6C58-4580-B82C-4191804DA2CE}"/>
    <cellStyle name="Vírgula 15 7" xfId="18495" xr:uid="{6143A96C-8F05-43C0-B35A-703CCA294E3D}"/>
    <cellStyle name="Vírgula 15 7 2" xfId="38835" xr:uid="{F1FD6086-4DE6-409B-ADA1-64F42C430E1D}"/>
    <cellStyle name="Vírgula 15 8" xfId="19083" xr:uid="{DFE26934-B3E1-43DB-BF75-4B9BF05AA775}"/>
    <cellStyle name="Vírgula 15 8 2" xfId="39422" xr:uid="{A689F52E-0599-470D-AC03-43EF89D2E6DF}"/>
    <cellStyle name="Vírgula 15 9" xfId="22338" xr:uid="{B329572D-8C4B-4351-91A5-9EDC711C5163}"/>
    <cellStyle name="Vírgula 15 9 2" xfId="42673" xr:uid="{B8AD0971-1E13-4F21-8D63-0AAD6EEA6124}"/>
    <cellStyle name="Vírgula 16" xfId="1305" xr:uid="{94CBBF19-A82A-4F4F-8A08-34ADAA46673D}"/>
    <cellStyle name="Vírgula 16 10" xfId="12170" xr:uid="{DC619F9E-F2A7-4270-B6A0-39D25F92E8C3}"/>
    <cellStyle name="Vírgula 16 10 2" xfId="32511" xr:uid="{4FAAFFEA-C99D-4762-BF8D-B0F5BE098AD8}"/>
    <cellStyle name="Vírgula 16 11" xfId="8909" xr:uid="{953DC3C4-062C-4569-8E0E-0693D0A543AF}"/>
    <cellStyle name="Vírgula 16 11 2" xfId="29252" xr:uid="{EA242680-9255-4B34-9002-E4CA04F1C013}"/>
    <cellStyle name="Vírgula 16 12" xfId="25758" xr:uid="{F624E92D-8089-493E-A3B1-824FF7925488}"/>
    <cellStyle name="Vírgula 16 13" xfId="47274" xr:uid="{1E2504C1-31D7-40FB-A22B-82462E1BE36E}"/>
    <cellStyle name="Vírgula 16 14" xfId="48383" xr:uid="{54BBDBE7-D28D-4094-B134-3275F08973D3}"/>
    <cellStyle name="Vírgula 16 15" xfId="50052" xr:uid="{C7D41829-94B0-4CF6-80A1-39FB90B1AF75}"/>
    <cellStyle name="Vírgula 16 16" xfId="53347" xr:uid="{61314BEA-BB5E-42C7-99E2-A4F67E6ACD5D}"/>
    <cellStyle name="Vírgula 16 17" xfId="5427" xr:uid="{62A58967-1412-4B76-92F9-21FA375FA9EA}"/>
    <cellStyle name="Vírgula 16 18" xfId="4951" xr:uid="{281E4569-7AF0-48BE-8B31-3136D9733AED}"/>
    <cellStyle name="Vírgula 16 2" xfId="3916" xr:uid="{3FA30252-F12F-4992-9F0C-4C9D799E0A03}"/>
    <cellStyle name="Vírgula 16 2 10" xfId="54979" xr:uid="{D01899B3-FD4A-4EAF-A60D-4E648594E527}"/>
    <cellStyle name="Vírgula 16 2 11" xfId="5991" xr:uid="{9A86D4A2-E780-491F-8C41-4B0B5690624F}"/>
    <cellStyle name="Vírgula 16 2 2" xfId="4087" xr:uid="{DEB3F216-4985-44FE-8380-CAE9B1270CE7}"/>
    <cellStyle name="Vírgula 16 2 2 2" xfId="17435" xr:uid="{809FC1ED-E87E-4BBA-B33F-0A660D4A4156}"/>
    <cellStyle name="Vírgula 16 2 2 2 2" xfId="37775" xr:uid="{7A75745F-5B25-449E-9DFC-B9C6EF806A6E}"/>
    <cellStyle name="Vírgula 16 2 2 3" xfId="20937" xr:uid="{67DC5C8F-5AFC-44A2-8CCE-A11B631F03B8}"/>
    <cellStyle name="Vírgula 16 2 2 3 2" xfId="41276" xr:uid="{D7F8DD2C-CBD5-41E0-9C6C-53C8C9DA9B8C}"/>
    <cellStyle name="Vírgula 16 2 2 4" xfId="24192" xr:uid="{2E1FFF73-DF4C-406B-8C0F-EE302EF2B3C5}"/>
    <cellStyle name="Vírgula 16 2 2 4 2" xfId="44527" xr:uid="{4674EF9B-023E-410A-9D88-FC27A070CC61}"/>
    <cellStyle name="Vírgula 16 2 2 5" xfId="14526" xr:uid="{DE0542C3-4737-472F-9CBC-A897B66EC0EB}"/>
    <cellStyle name="Vírgula 16 2 2 5 2" xfId="34867" xr:uid="{72A63161-48BD-4378-B06F-29E579DF0A4B}"/>
    <cellStyle name="Vírgula 16 2 2 6" xfId="10648" xr:uid="{38906A79-66F9-4459-9335-F0C95E5E0B5A}"/>
    <cellStyle name="Vírgula 16 2 2 6 2" xfId="30991" xr:uid="{01AFBF38-F603-4B85-BA4A-C9392F32EE97}"/>
    <cellStyle name="Vírgula 16 2 2 7" xfId="27497" xr:uid="{6EABC53C-3B3A-4669-9A43-8BF0D12E2E55}"/>
    <cellStyle name="Vírgula 16 2 2 8" xfId="7149" xr:uid="{CCB1DB9D-B321-4210-9BB2-061DC9FE287D}"/>
    <cellStyle name="Vírgula 16 2 3" xfId="4259" xr:uid="{67D76604-0E4A-4440-AB25-8278411771D0}"/>
    <cellStyle name="Vírgula 16 2 3 2" xfId="36617" xr:uid="{CBEE57C1-D27C-4B1D-A5F3-4301D64F9B03}"/>
    <cellStyle name="Vírgula 16 2 3 3" xfId="16277" xr:uid="{E7E1E43B-032F-4763-9A71-72315E0DE092}"/>
    <cellStyle name="Vírgula 16 2 4" xfId="19779" xr:uid="{74BA8988-2F39-45EE-87C5-BF8EBA67AD07}"/>
    <cellStyle name="Vírgula 16 2 4 2" xfId="40118" xr:uid="{E8788355-141E-44F8-903E-B4810E4EA134}"/>
    <cellStyle name="Vírgula 16 2 5" xfId="23034" xr:uid="{492345EB-C5B3-4120-93E9-463FC13FB544}"/>
    <cellStyle name="Vírgula 16 2 5 2" xfId="43369" xr:uid="{1C0C23B5-87EE-4101-8F36-24CFFB3D645A}"/>
    <cellStyle name="Vírgula 16 2 6" xfId="13368" xr:uid="{92F0EC9B-4F69-485D-BDB0-7429C3637AC2}"/>
    <cellStyle name="Vírgula 16 2 6 2" xfId="33709" xr:uid="{B6D8FCAF-0C41-4A89-8376-3D03B713DB1A}"/>
    <cellStyle name="Vírgula 16 2 7" xfId="9490" xr:uid="{E966A30F-CA9C-43CD-8195-724EB8883B0B}"/>
    <cellStyle name="Vírgula 16 2 7 2" xfId="29833" xr:uid="{F5388903-00B4-461D-AD01-9E6816C044D8}"/>
    <cellStyle name="Vírgula 16 2 8" xfId="26339" xr:uid="{C9CBEEE9-F239-43CB-8864-993AD9E46AD2}"/>
    <cellStyle name="Vírgula 16 2 9" xfId="51685" xr:uid="{76280D65-6661-4172-8637-502707C5B04D}"/>
    <cellStyle name="Vírgula 16 3" xfId="4043" xr:uid="{14EDE448-1CA6-43FF-8523-351349B0C4B8}"/>
    <cellStyle name="Vírgula 16 3 2" xfId="16854" xr:uid="{54E5843F-F742-42BC-9DAE-E824D0C0BE03}"/>
    <cellStyle name="Vírgula 16 3 2 2" xfId="37194" xr:uid="{18DD294C-2511-4792-85FF-FB9FD58AD9CE}"/>
    <cellStyle name="Vírgula 16 3 3" xfId="20356" xr:uid="{23685C4E-57E3-48FF-9908-AAC3224AAB39}"/>
    <cellStyle name="Vírgula 16 3 3 2" xfId="40695" xr:uid="{EAA9BB50-17A5-4FD8-85A1-2D2F24C0BB27}"/>
    <cellStyle name="Vírgula 16 3 4" xfId="23611" xr:uid="{DC9C9E41-856D-463E-B814-396957DB3CDC}"/>
    <cellStyle name="Vírgula 16 3 4 2" xfId="43946" xr:uid="{53AE1CA8-CFEE-4259-9B5F-620B2A3DE97E}"/>
    <cellStyle name="Vírgula 16 3 5" xfId="13945" xr:uid="{5D605642-1128-4821-B4A6-755F30C9D2ED}"/>
    <cellStyle name="Vírgula 16 3 5 2" xfId="34286" xr:uid="{662E9973-1BA8-4040-A97B-6B6827CD420B}"/>
    <cellStyle name="Vírgula 16 3 6" xfId="10067" xr:uid="{150082EE-AD92-4A1B-8FC8-F9CE19843596}"/>
    <cellStyle name="Vírgula 16 3 6 2" xfId="30410" xr:uid="{80CB731D-E6B5-48B7-8F9A-542D984061BC}"/>
    <cellStyle name="Vírgula 16 3 7" xfId="26916" xr:uid="{EDB0DD00-99F7-479F-9CF4-8FD062F297B9}"/>
    <cellStyle name="Vírgula 16 3 8" xfId="57176" xr:uid="{B2633C4F-A1A0-4788-A35D-7318D84C8EE8}"/>
    <cellStyle name="Vírgula 16 3 9" xfId="6568" xr:uid="{0C6410F3-8394-4F9E-9389-75F0C64DC113}"/>
    <cellStyle name="Vírgula 16 4" xfId="4215" xr:uid="{D95E4021-B4CF-4225-AD35-C16F011B008A}"/>
    <cellStyle name="Vírgula 16 4 2" xfId="18017" xr:uid="{52C9E619-78AE-4596-8A25-14E38D53F4BF}"/>
    <cellStyle name="Vírgula 16 4 2 2" xfId="38357" xr:uid="{A9AAE4FD-A733-4B34-81A6-E8842B3D1A3A}"/>
    <cellStyle name="Vírgula 16 4 3" xfId="21519" xr:uid="{9D1399C0-6F29-4D83-B87C-BCC99300B78A}"/>
    <cellStyle name="Vírgula 16 4 3 2" xfId="41858" xr:uid="{B13FBE21-2853-46EF-9F0B-3327A5C23AD1}"/>
    <cellStyle name="Vírgula 16 4 4" xfId="24774" xr:uid="{89B46BEF-C659-4800-8390-42B17C4B7C3C}"/>
    <cellStyle name="Vírgula 16 4 4 2" xfId="45109" xr:uid="{701D910F-8A01-4B20-98A8-650D32647CD2}"/>
    <cellStyle name="Vírgula 16 4 5" xfId="15109" xr:uid="{742359A6-02E7-4ACB-AF63-030A21F63FF5}"/>
    <cellStyle name="Vírgula 16 4 5 2" xfId="35449" xr:uid="{864B6A9D-3380-4B92-A454-70884B035F72}"/>
    <cellStyle name="Vírgula 16 4 6" xfId="11230" xr:uid="{EEA360E6-E988-4A9D-977B-CA69559BB6E0}"/>
    <cellStyle name="Vírgula 16 4 6 2" xfId="31573" xr:uid="{E57E91CE-1259-45D4-BAEC-0D191F95A812}"/>
    <cellStyle name="Vírgula 16 4 7" xfId="28079" xr:uid="{EB6A3D3D-A9E9-41F1-A83A-462BE1CDC81D}"/>
    <cellStyle name="Vírgula 16 4 8" xfId="7732" xr:uid="{4A179283-EE4E-4BC8-B381-7C357B49F282}"/>
    <cellStyle name="Vírgula 16 5" xfId="3872" xr:uid="{A3B29D1E-593A-495E-9A03-FEE8B97D22D7}"/>
    <cellStyle name="Vírgula 16 5 2" xfId="33140" xr:uid="{15BCCB07-CA3D-4328-9D75-1B524EC35E42}"/>
    <cellStyle name="Vírgula 16 5 3" xfId="12799" xr:uid="{673219A6-B85A-4124-857E-F91B3F152F59}"/>
    <cellStyle name="Vírgula 16 6" xfId="2966" xr:uid="{EE4BCB62-50D7-46AC-9FC1-DACA4F95D33E}"/>
    <cellStyle name="Vírgula 16 6 2" xfId="36036" xr:uid="{AEEC5BC3-A286-4216-B875-500386ED87F9}"/>
    <cellStyle name="Vírgula 16 6 3" xfId="15696" xr:uid="{4DC84FF4-3A6E-48AF-8F93-430DDB91A82A}"/>
    <cellStyle name="Vírgula 16 7" xfId="18610" xr:uid="{2E716DFF-0F8D-4C2D-9F5E-53532B4BBFDD}"/>
    <cellStyle name="Vírgula 16 7 2" xfId="38950" xr:uid="{92978808-F86F-419C-9536-ECDCDE0FC554}"/>
    <cellStyle name="Vírgula 16 8" xfId="19198" xr:uid="{557169EB-5189-4273-8A79-D01D163A77B2}"/>
    <cellStyle name="Vírgula 16 8 2" xfId="39537" xr:uid="{8B580C1C-7FE0-45E2-BB23-1725918AD56E}"/>
    <cellStyle name="Vírgula 16 9" xfId="22453" xr:uid="{A4150653-0CE2-44AC-959F-88BAB6B86EF1}"/>
    <cellStyle name="Vírgula 16 9 2" xfId="42788" xr:uid="{C2037275-2E1A-4E2A-BAAD-3FCFB0203234}"/>
    <cellStyle name="Vírgula 17" xfId="21" xr:uid="{8103698F-9B27-4012-BBE6-3C2900980B5B}"/>
    <cellStyle name="Vírgula 17 10" xfId="12225" xr:uid="{45D36CC7-3CEC-4EB3-9DDB-6CD49C5D4037}"/>
    <cellStyle name="Vírgula 17 10 2" xfId="32566" xr:uid="{00BA0388-1F93-407C-AE4E-CD13580C995E}"/>
    <cellStyle name="Vírgula 17 11" xfId="8964" xr:uid="{0ABCB680-2368-4FFF-97D8-A1ED4B338BAC}"/>
    <cellStyle name="Vírgula 17 11 2" xfId="29307" xr:uid="{E8E498B0-B45F-4C77-B123-9218EB1E7AB7}"/>
    <cellStyle name="Vírgula 17 12" xfId="25813" xr:uid="{54D12971-20CF-465D-B43D-62BFA7FC5928}"/>
    <cellStyle name="Vírgula 17 13" xfId="48384" xr:uid="{D8808B84-A270-45A1-83DA-F268ED0498B8}"/>
    <cellStyle name="Vírgula 17 14" xfId="50053" xr:uid="{9558EFBC-2E1B-40E7-8CD6-B6F713EF27EE}"/>
    <cellStyle name="Vírgula 17 15" xfId="53348" xr:uid="{C11B62A5-1835-434B-BBA5-618FAD87E612}"/>
    <cellStyle name="Vírgula 17 16" xfId="5474" xr:uid="{71433C34-8ECA-4DFC-B7A2-0E62629480CC}"/>
    <cellStyle name="Vírgula 17 17" xfId="4770" xr:uid="{7A9E7584-1820-4F09-805F-B4DB0DF8789C}"/>
    <cellStyle name="Vírgula 17 2" xfId="489" xr:uid="{895828C8-3FD3-4DB7-BC65-B821046D3D44}"/>
    <cellStyle name="Vírgula 17 2 10" xfId="54980" xr:uid="{D531B04E-3311-4527-A906-5B7D8155AC6F}"/>
    <cellStyle name="Vírgula 17 2 11" xfId="6046" xr:uid="{7DCC5155-777C-47DF-9385-950D539FFC58}"/>
    <cellStyle name="Vírgula 17 2 2" xfId="4088" xr:uid="{339FA28A-7B66-4A0C-94A6-AD1FDAE218AC}"/>
    <cellStyle name="Vírgula 17 2 2 2" xfId="17490" xr:uid="{32F009C9-3816-41EC-A9A2-67A99D8AF705}"/>
    <cellStyle name="Vírgula 17 2 2 2 2" xfId="37830" xr:uid="{3CF2A24A-799A-4333-9A8C-0900553691BD}"/>
    <cellStyle name="Vírgula 17 2 2 3" xfId="20992" xr:uid="{A6B69458-0584-445A-A24F-5F6E7E8D63A5}"/>
    <cellStyle name="Vírgula 17 2 2 3 2" xfId="41331" xr:uid="{29AFB18B-663F-40B1-AFCD-AEDDA985376E}"/>
    <cellStyle name="Vírgula 17 2 2 4" xfId="24247" xr:uid="{21D209DD-3265-43FA-88EE-81B120FEF641}"/>
    <cellStyle name="Vírgula 17 2 2 4 2" xfId="44582" xr:uid="{D2F357B0-CED8-4BF6-AE1E-6F2582BEE1DD}"/>
    <cellStyle name="Vírgula 17 2 2 5" xfId="14581" xr:uid="{4C943541-495C-4A58-BB84-2AEE60FB49BE}"/>
    <cellStyle name="Vírgula 17 2 2 5 2" xfId="34922" xr:uid="{F66BBBBC-50B9-4E74-AB3D-6B253BBC1F1D}"/>
    <cellStyle name="Vírgula 17 2 2 6" xfId="10703" xr:uid="{0C8E3AED-F3B5-49BD-96C1-8C0CF50A7F2B}"/>
    <cellStyle name="Vírgula 17 2 2 6 2" xfId="31046" xr:uid="{A113BE74-7C1C-4F36-825D-92ECDF90A611}"/>
    <cellStyle name="Vírgula 17 2 2 7" xfId="27552" xr:uid="{AA196A90-400D-47B2-AFD9-62F54C5206D0}"/>
    <cellStyle name="Vírgula 17 2 2 8" xfId="7204" xr:uid="{8BBA6CB8-8E9D-4461-8EC3-8F0B9537AFFF}"/>
    <cellStyle name="Vírgula 17 2 3" xfId="2205" xr:uid="{C39FA8BB-5FD2-4B32-9C53-061641036F06}"/>
    <cellStyle name="Vírgula 17 2 3 2" xfId="36672" xr:uid="{90AFAA4B-7D22-4479-A01F-35A764DBDF89}"/>
    <cellStyle name="Vírgula 17 2 3 3" xfId="16332" xr:uid="{670950EE-A3FD-4189-95F0-B9F4DF9F931C}"/>
    <cellStyle name="Vírgula 17 2 4" xfId="19834" xr:uid="{EBCAA6E8-C71F-439B-B061-0A2715326ACB}"/>
    <cellStyle name="Vírgula 17 2 4 2" xfId="40173" xr:uid="{D3054D2B-4AC4-44E7-A57D-7109284A44FE}"/>
    <cellStyle name="Vírgula 17 2 5" xfId="23089" xr:uid="{4BD4D3F0-5447-41DE-A5E5-139A7629D2C0}"/>
    <cellStyle name="Vírgula 17 2 5 2" xfId="43424" xr:uid="{F1657E5A-3D1C-4312-B5A1-613A7D2BB803}"/>
    <cellStyle name="Vírgula 17 2 6" xfId="13423" xr:uid="{55915E96-BF57-4C70-9D76-D66BE4D1EEBA}"/>
    <cellStyle name="Vírgula 17 2 6 2" xfId="33764" xr:uid="{8B9F39EE-A061-43B1-ABDC-8C372B25F865}"/>
    <cellStyle name="Vírgula 17 2 7" xfId="9545" xr:uid="{0845C4E4-9F4C-4926-B276-F9B0F4410DBB}"/>
    <cellStyle name="Vírgula 17 2 7 2" xfId="29888" xr:uid="{F9603584-BE9F-484B-B485-6622C7FA600C}"/>
    <cellStyle name="Vírgula 17 2 8" xfId="26394" xr:uid="{11C0353C-35E3-4D69-8C2B-4722216FAE63}"/>
    <cellStyle name="Vírgula 17 2 9" xfId="51686" xr:uid="{61B5B193-2CFD-47FE-BFC6-E998009C1263}"/>
    <cellStyle name="Vírgula 17 3" xfId="4260" xr:uid="{C31D2F7D-391F-45E3-BAE0-017A9A431CCF}"/>
    <cellStyle name="Vírgula 17 3 2" xfId="16909" xr:uid="{6960DB14-147C-42E6-BE2C-1F89C1A71C1F}"/>
    <cellStyle name="Vírgula 17 3 2 2" xfId="37249" xr:uid="{D6F105CB-90BB-4556-B5AC-B586D7201741}"/>
    <cellStyle name="Vírgula 17 3 3" xfId="20411" xr:uid="{D75117CC-F869-40EC-858E-341A003C19C1}"/>
    <cellStyle name="Vírgula 17 3 3 2" xfId="40750" xr:uid="{2DC45D74-A866-4D01-BFE1-4F974E47B80C}"/>
    <cellStyle name="Vírgula 17 3 4" xfId="23666" xr:uid="{0060C529-4BC6-45AE-8574-3823D5ABCA0B}"/>
    <cellStyle name="Vírgula 17 3 4 2" xfId="44001" xr:uid="{8AE90461-C59B-45C8-8432-481D2A23DC03}"/>
    <cellStyle name="Vírgula 17 3 5" xfId="14000" xr:uid="{124F2C4D-C479-4853-948E-4593C51AEF54}"/>
    <cellStyle name="Vírgula 17 3 5 2" xfId="34341" xr:uid="{454B654E-46C3-4EBC-A674-5172206379B3}"/>
    <cellStyle name="Vírgula 17 3 6" xfId="10122" xr:uid="{62EC5399-7601-4607-B048-D917BA371ED5}"/>
    <cellStyle name="Vírgula 17 3 6 2" xfId="30465" xr:uid="{8918287F-A94D-4ADF-9972-5A74B0985802}"/>
    <cellStyle name="Vírgula 17 3 7" xfId="26971" xr:uid="{788303FF-71A9-4D11-99D2-9A25B58A5780}"/>
    <cellStyle name="Vírgula 17 3 8" xfId="56360" xr:uid="{B6269B0E-E361-4A2A-BFB1-E0F72A5AEA5A}"/>
    <cellStyle name="Vírgula 17 3 9" xfId="6623" xr:uid="{E3CB1B48-E7B7-4360-AC22-47CB0914A57B}"/>
    <cellStyle name="Vírgula 17 4" xfId="3917" xr:uid="{6FC1AF15-97DD-4976-BA24-0ED29BD693E3}"/>
    <cellStyle name="Vírgula 17 4 2" xfId="18072" xr:uid="{A95EA04B-C201-4569-97B7-A1535E9274BC}"/>
    <cellStyle name="Vírgula 17 4 2 2" xfId="38412" xr:uid="{B008A74C-2506-49C2-B302-BA404FDD2EA0}"/>
    <cellStyle name="Vírgula 17 4 3" xfId="21574" xr:uid="{A35A5482-0B44-4A94-895A-55AE0D894E24}"/>
    <cellStyle name="Vírgula 17 4 3 2" xfId="41913" xr:uid="{DD159F67-DAEC-4477-B954-3C4A4F604D6C}"/>
    <cellStyle name="Vírgula 17 4 4" xfId="24829" xr:uid="{D640AC75-A081-49B0-B543-BEFBB841B8AA}"/>
    <cellStyle name="Vírgula 17 4 4 2" xfId="45164" xr:uid="{A56FC1D5-C0D5-4E56-99F6-D2E8E1788EBB}"/>
    <cellStyle name="Vírgula 17 4 5" xfId="15164" xr:uid="{E297C42D-6663-4F13-B862-EE8981C583DE}"/>
    <cellStyle name="Vírgula 17 4 5 2" xfId="35504" xr:uid="{B1DD7A08-78A0-4019-9981-41C3197CE0C6}"/>
    <cellStyle name="Vírgula 17 4 6" xfId="11285" xr:uid="{92C815A4-E16E-4B38-86D4-D2F7E24F78FB}"/>
    <cellStyle name="Vírgula 17 4 6 2" xfId="31628" xr:uid="{2AC5FB46-215F-4DEB-8189-714B6091244E}"/>
    <cellStyle name="Vírgula 17 4 7" xfId="28134" xr:uid="{6337BC18-92C3-4CF8-AD8A-167C07C83B22}"/>
    <cellStyle name="Vírgula 17 4 8" xfId="7787" xr:uid="{AF4881D8-A81A-421C-84CD-1E0FCF780163}"/>
    <cellStyle name="Vírgula 17 5" xfId="2092" xr:uid="{E48AEA32-8986-47A5-96E2-70EF58A46650}"/>
    <cellStyle name="Vírgula 17 5 2" xfId="33195" xr:uid="{241D2327-5C70-497F-A261-6D14F4786DEC}"/>
    <cellStyle name="Vírgula 17 5 3" xfId="12854" xr:uid="{092B072A-AA49-4FE3-A823-0FCCB76C7E6B}"/>
    <cellStyle name="Vírgula 17 6" xfId="4353" xr:uid="{883B8F1E-3AF5-41EA-8EBD-956F6C073DA5}"/>
    <cellStyle name="Vírgula 17 6 2" xfId="36091" xr:uid="{3BF1A1D9-2C2B-46B2-A995-E23DF9EF0E57}"/>
    <cellStyle name="Vírgula 17 6 3" xfId="15751" xr:uid="{14EDC1BB-6401-4E9B-9333-CE256F53375A}"/>
    <cellStyle name="Vírgula 17 7" xfId="18665" xr:uid="{4923CB0B-29CD-4504-AE53-8336037000C0}"/>
    <cellStyle name="Vírgula 17 7 2" xfId="39005" xr:uid="{B310BC80-1F1C-433D-8232-B4DF62BBDBFF}"/>
    <cellStyle name="Vírgula 17 8" xfId="19253" xr:uid="{0D12E9AF-AC50-41F6-B799-5DAB3B612A56}"/>
    <cellStyle name="Vírgula 17 8 2" xfId="39592" xr:uid="{2AE318BE-C221-4721-9D39-32E5A663E71E}"/>
    <cellStyle name="Vírgula 17 9" xfId="22508" xr:uid="{135422A1-F0D4-48AE-B69B-73B5E4E75408}"/>
    <cellStyle name="Vírgula 17 9 2" xfId="42843" xr:uid="{E4985F42-FCCE-443C-A2C9-2F4D5EC8B468}"/>
    <cellStyle name="Vírgula 18" xfId="24" xr:uid="{E566C9D3-1B6F-44AD-8377-2A506A4854E8}"/>
    <cellStyle name="Vírgula 18 10" xfId="12228" xr:uid="{252B0625-BA61-48A9-BBAF-66C8E4C3AC72}"/>
    <cellStyle name="Vírgula 18 10 2" xfId="32569" xr:uid="{36888DB4-84AC-4208-928F-4DA168240450}"/>
    <cellStyle name="Vírgula 18 11" xfId="8967" xr:uid="{4031DCC3-A3A9-4527-8651-BD7755B2A459}"/>
    <cellStyle name="Vírgula 18 11 2" xfId="29310" xr:uid="{6074FF74-6BAB-40F8-A1CD-9A34C8E6073D}"/>
    <cellStyle name="Vírgula 18 12" xfId="25816" xr:uid="{FAB1621E-9BF0-49C2-887E-E8FD45BA4E7F}"/>
    <cellStyle name="Vírgula 18 13" xfId="48385" xr:uid="{57D548AB-4A53-4D85-8243-C6FE1B82D2E8}"/>
    <cellStyle name="Vírgula 18 14" xfId="50054" xr:uid="{C52AFE44-1E33-405C-826A-B9092C9E92D1}"/>
    <cellStyle name="Vírgula 18 15" xfId="53349" xr:uid="{01A5DDA9-0142-44F1-AB72-957F34AF4406}"/>
    <cellStyle name="Vírgula 18 16" xfId="5477" xr:uid="{E4AB27F6-1209-4C9C-B1CF-4D8A4EBD075D}"/>
    <cellStyle name="Vírgula 18 2" xfId="4090" xr:uid="{E4496565-8AD3-4F11-938D-D594B56FD512}"/>
    <cellStyle name="Vírgula 18 2 10" xfId="54981" xr:uid="{92C522AF-A54B-4198-BE73-9E19CB311055}"/>
    <cellStyle name="Vírgula 18 2 11" xfId="6049" xr:uid="{5B460795-755A-432C-9038-DFADD1D40FF5}"/>
    <cellStyle name="Vírgula 18 2 2" xfId="7207" xr:uid="{22C5CE3C-19D1-4EB4-AE0A-E155AAA64C33}"/>
    <cellStyle name="Vírgula 18 2 2 2" xfId="17493" xr:uid="{2B740FE9-53FB-47E2-892F-27A92BFD6AB1}"/>
    <cellStyle name="Vírgula 18 2 2 2 2" xfId="37833" xr:uid="{B157A3B7-143A-49CA-ABB0-920975E78A6C}"/>
    <cellStyle name="Vírgula 18 2 2 3" xfId="20995" xr:uid="{9C384526-0FC4-4214-A4D6-DB487406419A}"/>
    <cellStyle name="Vírgula 18 2 2 3 2" xfId="41334" xr:uid="{D9A68C48-364D-4A33-AD25-E589BCCBD0AC}"/>
    <cellStyle name="Vírgula 18 2 2 4" xfId="24250" xr:uid="{B903029B-E5CB-4146-9744-5B34D8BCF566}"/>
    <cellStyle name="Vírgula 18 2 2 4 2" xfId="44585" xr:uid="{3E0D959A-1C62-46AD-8F75-735AB7B37764}"/>
    <cellStyle name="Vírgula 18 2 2 5" xfId="14584" xr:uid="{3B2F4EC4-70FF-40AA-AFC8-F485094713BC}"/>
    <cellStyle name="Vírgula 18 2 2 5 2" xfId="34925" xr:uid="{348F43FB-B8D4-438A-8CD9-EE115C5CD9B3}"/>
    <cellStyle name="Vírgula 18 2 2 6" xfId="10706" xr:uid="{7DA4B418-ECBF-46FD-8C52-575CB4F59B3A}"/>
    <cellStyle name="Vírgula 18 2 2 6 2" xfId="31049" xr:uid="{70055405-D7C8-4304-A3D9-C15D6A661BCE}"/>
    <cellStyle name="Vírgula 18 2 2 7" xfId="27555" xr:uid="{77F4482F-63B5-4FA3-AF93-7715D6F98A22}"/>
    <cellStyle name="Vírgula 18 2 3" xfId="16335" xr:uid="{3932EFB2-BD74-463C-AC2D-639FE65C4E4F}"/>
    <cellStyle name="Vírgula 18 2 3 2" xfId="36675" xr:uid="{1ABCF049-E580-4F16-80F2-FC1353247DC2}"/>
    <cellStyle name="Vírgula 18 2 4" xfId="19837" xr:uid="{DEF58C19-AF86-4D93-A46A-8C94FEB5AAA5}"/>
    <cellStyle name="Vírgula 18 2 4 2" xfId="40176" xr:uid="{11C00EE8-AB75-49C9-A94A-5448F3D0634E}"/>
    <cellStyle name="Vírgula 18 2 5" xfId="23092" xr:uid="{264185F6-07CF-4C91-8EAA-9FC856CFAA3B}"/>
    <cellStyle name="Vírgula 18 2 5 2" xfId="43427" xr:uid="{71C643C3-370D-443C-8581-5FAC877C566C}"/>
    <cellStyle name="Vírgula 18 2 6" xfId="13426" xr:uid="{DC0BA913-08F5-4D61-953E-D4FF1D5341D4}"/>
    <cellStyle name="Vírgula 18 2 6 2" xfId="33767" xr:uid="{AC911F26-6BAA-4D97-9C61-FEEB66DCE746}"/>
    <cellStyle name="Vírgula 18 2 7" xfId="9548" xr:uid="{4B18B3D3-C05B-497B-943F-3185C35D7AC9}"/>
    <cellStyle name="Vírgula 18 2 7 2" xfId="29891" xr:uid="{60B40C92-B5A2-4604-9C4C-7E25B11D733F}"/>
    <cellStyle name="Vírgula 18 2 8" xfId="26397" xr:uid="{4484EB74-7A5E-495B-874C-FC1F5F9AD6E6}"/>
    <cellStyle name="Vírgula 18 2 9" xfId="51687" xr:uid="{CF8B05B9-0B86-4639-A001-60D7C819E44E}"/>
    <cellStyle name="Vírgula 18 3" xfId="4262" xr:uid="{251D6FB1-E6B5-4DF4-A7E4-B65BEA9E0E96}"/>
    <cellStyle name="Vírgula 18 3 2" xfId="16912" xr:uid="{34B2104D-46DE-479E-A731-D70392834976}"/>
    <cellStyle name="Vírgula 18 3 2 2" xfId="37252" xr:uid="{36C78A32-C290-40FF-BBCE-55CC98D8E5CB}"/>
    <cellStyle name="Vírgula 18 3 3" xfId="20414" xr:uid="{F1FBB145-1127-4557-90B1-8D8A697F3508}"/>
    <cellStyle name="Vírgula 18 3 3 2" xfId="40753" xr:uid="{BA447FF3-3F40-4D29-9D28-8298B07A994A}"/>
    <cellStyle name="Vírgula 18 3 4" xfId="23669" xr:uid="{6AAF0CCF-F61D-4272-A442-70AA8F976628}"/>
    <cellStyle name="Vírgula 18 3 4 2" xfId="44004" xr:uid="{FDE16162-B047-496A-B1FB-7BCFC91CDB8C}"/>
    <cellStyle name="Vírgula 18 3 5" xfId="14003" xr:uid="{36B382D0-7115-4C2B-8377-E3F7512171F6}"/>
    <cellStyle name="Vírgula 18 3 5 2" xfId="34344" xr:uid="{2156B51F-FECC-4481-83DE-4564EB597BDD}"/>
    <cellStyle name="Vírgula 18 3 6" xfId="10125" xr:uid="{93FD706F-6C28-4AF4-A7B4-1C27BBEF8F60}"/>
    <cellStyle name="Vírgula 18 3 6 2" xfId="30468" xr:uid="{C4AD3D6B-EAB8-4BCB-90BC-C0E8F51904C4}"/>
    <cellStyle name="Vírgula 18 3 7" xfId="26974" xr:uid="{ECADEE0A-BDC0-44AE-8849-7B44EBB7CB21}"/>
    <cellStyle name="Vírgula 18 3 8" xfId="6626" xr:uid="{F045512D-F160-4ECC-BD95-BA1E10941BE1}"/>
    <cellStyle name="Vírgula 18 4" xfId="3919" xr:uid="{BB1D9B70-4495-4396-A9A8-F5ED3F4DD76A}"/>
    <cellStyle name="Vírgula 18 4 2" xfId="18075" xr:uid="{87D06DE0-DE5C-465D-9EC0-ED3E38917F37}"/>
    <cellStyle name="Vírgula 18 4 2 2" xfId="38415" xr:uid="{9CD2DD88-9A42-45CA-AE27-70881A6C5AC4}"/>
    <cellStyle name="Vírgula 18 4 3" xfId="21577" xr:uid="{63503C15-F7D0-46BF-9C27-6A984B3C4523}"/>
    <cellStyle name="Vírgula 18 4 3 2" xfId="41916" xr:uid="{55AF0091-3D15-4108-9191-23A577D09FFA}"/>
    <cellStyle name="Vírgula 18 4 4" xfId="24832" xr:uid="{FA21DDA2-13B8-48E2-931E-7BBBA3F8FE05}"/>
    <cellStyle name="Vírgula 18 4 4 2" xfId="45167" xr:uid="{BB7A93B3-7794-4D45-AC44-F6746DC49004}"/>
    <cellStyle name="Vírgula 18 4 5" xfId="15167" xr:uid="{CF15834D-7644-4C25-98C1-485C16214307}"/>
    <cellStyle name="Vírgula 18 4 5 2" xfId="35507" xr:uid="{46423108-25BD-44C6-A8D4-6105D5065372}"/>
    <cellStyle name="Vírgula 18 4 6" xfId="11288" xr:uid="{FB0D5480-B177-43BF-B9AD-4629A87ED292}"/>
    <cellStyle name="Vírgula 18 4 6 2" xfId="31631" xr:uid="{CD09E627-15AF-4E56-BFA4-4E65EF5A3D2D}"/>
    <cellStyle name="Vírgula 18 4 7" xfId="28137" xr:uid="{C38E7807-65B9-473E-9C01-73D527531548}"/>
    <cellStyle name="Vírgula 18 4 8" xfId="7790" xr:uid="{5F4D10F1-96E3-405A-934E-8A4BAFA596F9}"/>
    <cellStyle name="Vírgula 18 5" xfId="2065" xr:uid="{0FFEB6B6-5569-40A2-8ADC-7522BC96FFFB}"/>
    <cellStyle name="Vírgula 18 5 2" xfId="33198" xr:uid="{040F2908-7BBC-4CB6-8D76-BEDFDA77A5C1}"/>
    <cellStyle name="Vírgula 18 5 3" xfId="12857" xr:uid="{1A1C24BF-4539-4630-A44D-EEE91570A9F4}"/>
    <cellStyle name="Vírgula 18 6" xfId="15754" xr:uid="{44C3E78E-4164-4B24-BCD5-C9A4590C94B9}"/>
    <cellStyle name="Vírgula 18 6 2" xfId="36094" xr:uid="{22BD0C28-EAF6-46FA-B1D9-69970CB788D2}"/>
    <cellStyle name="Vírgula 18 7" xfId="18668" xr:uid="{D165CF62-9D47-4042-A3D7-F4F6598D43A6}"/>
    <cellStyle name="Vírgula 18 7 2" xfId="39008" xr:uid="{327AD3C0-DD40-4946-A181-E59042FA2D3D}"/>
    <cellStyle name="Vírgula 18 8" xfId="19256" xr:uid="{F012D7DA-ED96-41B8-B383-E05353B669D4}"/>
    <cellStyle name="Vírgula 18 8 2" xfId="39595" xr:uid="{9194C6FA-272B-4888-94B8-D884ED741961}"/>
    <cellStyle name="Vírgula 18 9" xfId="22511" xr:uid="{96416705-859C-4831-AC09-67B10294A8E2}"/>
    <cellStyle name="Vírgula 18 9 2" xfId="42846" xr:uid="{C5145AD7-533D-49E3-A759-A786289FD907}"/>
    <cellStyle name="Vírgula 19" xfId="1713" xr:uid="{4DC2A19D-B617-4DA9-8863-1FE541E22AA7}"/>
    <cellStyle name="Vírgula 19 10" xfId="12284" xr:uid="{98300D15-EFAA-484F-98CA-973D2DBE121E}"/>
    <cellStyle name="Vírgula 19 10 2" xfId="32625" xr:uid="{47787167-3618-41F4-ABAB-B16E41CC8582}"/>
    <cellStyle name="Vírgula 19 11" xfId="9023" xr:uid="{EA5BEF24-9615-454E-9A27-CFEEA4347D1E}"/>
    <cellStyle name="Vírgula 19 11 2" xfId="29366" xr:uid="{44BD3956-A6AD-4B35-96CE-71EE0399015E}"/>
    <cellStyle name="Vírgula 19 12" xfId="25872" xr:uid="{0CC0CF36-4162-4BDB-8A6D-63F571D6276D}"/>
    <cellStyle name="Vírgula 19 13" xfId="50055" xr:uid="{C46A8E70-3510-47E5-80E5-251D49E1FF88}"/>
    <cellStyle name="Vírgula 19 14" xfId="53350" xr:uid="{1F45C71A-EC5D-46EF-85EB-0657CA6DDE6B}"/>
    <cellStyle name="Vírgula 19 15" xfId="5533" xr:uid="{D8A5D77B-5B14-43BE-BE24-B782523A1A02}"/>
    <cellStyle name="Vírgula 19 2" xfId="4092" xr:uid="{E70DBE13-CC88-4519-AE74-93D313BC0A06}"/>
    <cellStyle name="Vírgula 19 2 2" xfId="7263" xr:uid="{0AAB6954-D364-4C7C-B0B7-C309EBEB7D5E}"/>
    <cellStyle name="Vírgula 19 2 2 2" xfId="17549" xr:uid="{9AB11942-85C6-4F07-9B7F-F143B7562B45}"/>
    <cellStyle name="Vírgula 19 2 2 2 2" xfId="37889" xr:uid="{37D644C3-726F-4E4D-8240-73866F2D9A73}"/>
    <cellStyle name="Vírgula 19 2 2 3" xfId="21051" xr:uid="{08920BDD-8FC2-4EEC-B795-25056AFCC17A}"/>
    <cellStyle name="Vírgula 19 2 2 3 2" xfId="41390" xr:uid="{FE67DFE7-EFC1-46E9-B130-ADDE679E7922}"/>
    <cellStyle name="Vírgula 19 2 2 4" xfId="24306" xr:uid="{0826F915-00CA-4FF1-90E2-197064D2263F}"/>
    <cellStyle name="Vírgula 19 2 2 4 2" xfId="44641" xr:uid="{FE73F577-4261-48F2-8C52-0EBC99DF9FFD}"/>
    <cellStyle name="Vírgula 19 2 2 5" xfId="14640" xr:uid="{93CBF401-91C4-4F00-9B13-93114FB722DD}"/>
    <cellStyle name="Vírgula 19 2 2 5 2" xfId="34981" xr:uid="{07023AFF-799E-49A5-8710-DA4CB7DC5420}"/>
    <cellStyle name="Vírgula 19 2 2 6" xfId="10762" xr:uid="{DC231A4A-1940-4A23-9713-6CF97D8D0EA9}"/>
    <cellStyle name="Vírgula 19 2 2 6 2" xfId="31105" xr:uid="{A3B68684-1131-48E1-A692-D6535B25CF37}"/>
    <cellStyle name="Vírgula 19 2 2 7" xfId="27611" xr:uid="{3732D435-39FE-45A4-AED5-C72085DF05A9}"/>
    <cellStyle name="Vírgula 19 2 3" xfId="16391" xr:uid="{3264602E-5F4D-4743-A0CA-338AD30B2B6E}"/>
    <cellStyle name="Vírgula 19 2 3 2" xfId="36731" xr:uid="{2432FB21-B9A3-42A2-93ED-90524F056E21}"/>
    <cellStyle name="Vírgula 19 2 4" xfId="19893" xr:uid="{2462D168-CFCB-4886-BE1D-2C8C62CE4837}"/>
    <cellStyle name="Vírgula 19 2 4 2" xfId="40232" xr:uid="{0AE9B278-57DA-47F3-96AD-9BE7BCA81351}"/>
    <cellStyle name="Vírgula 19 2 5" xfId="23148" xr:uid="{891D3774-8F56-4FAA-B8E5-05801ACC28C0}"/>
    <cellStyle name="Vírgula 19 2 5 2" xfId="43483" xr:uid="{594F05F9-F05D-4C3E-8841-2898E2FCB4B0}"/>
    <cellStyle name="Vírgula 19 2 6" xfId="13482" xr:uid="{E2A2D230-FD99-43C0-AA95-55F9BA6C5DAE}"/>
    <cellStyle name="Vírgula 19 2 6 2" xfId="33823" xr:uid="{EA711ACA-D2D6-4F15-88F9-4E4658A37A74}"/>
    <cellStyle name="Vírgula 19 2 7" xfId="9604" xr:uid="{B0709216-5789-4878-ABE2-430AA155E7EB}"/>
    <cellStyle name="Vírgula 19 2 7 2" xfId="29947" xr:uid="{2A71D16C-F96E-4D9B-A018-30899A196EE9}"/>
    <cellStyle name="Vírgula 19 2 8" xfId="26453" xr:uid="{42C7E716-451A-4311-94D7-9E3F02E376CE}"/>
    <cellStyle name="Vírgula 19 2 9" xfId="6105" xr:uid="{102105C3-8A27-40B2-BE64-A3A0A259D405}"/>
    <cellStyle name="Vírgula 19 3" xfId="4264" xr:uid="{9158D501-FAF9-43E9-9C51-B48CB4E3A4DA}"/>
    <cellStyle name="Vírgula 19 3 2" xfId="16968" xr:uid="{58AD13CC-1887-4894-B00C-BE5F7C064657}"/>
    <cellStyle name="Vírgula 19 3 2 2" xfId="37308" xr:uid="{CD373EE2-A44A-4946-99F5-A29D3E03AE86}"/>
    <cellStyle name="Vírgula 19 3 3" xfId="20470" xr:uid="{EAD9BD98-8175-446A-B78E-E9ED54FE3E0C}"/>
    <cellStyle name="Vírgula 19 3 3 2" xfId="40809" xr:uid="{FCE8283C-F74E-4763-91BD-C3E161F9DA74}"/>
    <cellStyle name="Vírgula 19 3 4" xfId="23725" xr:uid="{3AFA32C4-EBCF-487D-94B1-98D464F70D47}"/>
    <cellStyle name="Vírgula 19 3 4 2" xfId="44060" xr:uid="{DD4F4529-38F3-4D77-9E1F-A17911C6E5C3}"/>
    <cellStyle name="Vírgula 19 3 5" xfId="14059" xr:uid="{389C1D63-F3C5-448E-B422-F9E815018AFF}"/>
    <cellStyle name="Vírgula 19 3 5 2" xfId="34400" xr:uid="{9C617544-9823-4607-82C8-A4F08C2069CF}"/>
    <cellStyle name="Vírgula 19 3 6" xfId="10181" xr:uid="{4A4AE916-41F0-4E7B-BCEA-6E255B224191}"/>
    <cellStyle name="Vírgula 19 3 6 2" xfId="30524" xr:uid="{94E15287-1477-413A-99D6-9B40C36A796B}"/>
    <cellStyle name="Vírgula 19 3 7" xfId="27030" xr:uid="{D69CAAAF-E6B0-4486-A706-3AC9CB956F44}"/>
    <cellStyle name="Vírgula 19 3 8" xfId="6682" xr:uid="{1BD15797-5C16-4265-AA64-0D5F9ADA8268}"/>
    <cellStyle name="Vírgula 19 4" xfId="3921" xr:uid="{4C888F64-3F85-4A7A-A710-FB7EA9C21D80}"/>
    <cellStyle name="Vírgula 19 4 2" xfId="18131" xr:uid="{A928AD0A-D7B2-4C26-BA6D-F78C3A1F2C58}"/>
    <cellStyle name="Vírgula 19 4 2 2" xfId="38471" xr:uid="{232A0774-C44D-4499-B2ED-DAE7DC6674D8}"/>
    <cellStyle name="Vírgula 19 4 3" xfId="21633" xr:uid="{6474C999-2C68-4782-8709-A78889E3898E}"/>
    <cellStyle name="Vírgula 19 4 3 2" xfId="41972" xr:uid="{D7D69BD2-E992-4679-848A-DBDE646E9975}"/>
    <cellStyle name="Vírgula 19 4 4" xfId="24888" xr:uid="{C4C67387-FD95-4FE7-9B1B-DA633AE62AF3}"/>
    <cellStyle name="Vírgula 19 4 4 2" xfId="45223" xr:uid="{EC1F83D1-8464-4C1C-9B42-802A0A9FF1D5}"/>
    <cellStyle name="Vírgula 19 4 5" xfId="15223" xr:uid="{45BB4C9E-B5D7-4205-8DA0-7C150463EBE6}"/>
    <cellStyle name="Vírgula 19 4 5 2" xfId="35563" xr:uid="{685C2DD4-E024-489A-9F0A-10568E591219}"/>
    <cellStyle name="Vírgula 19 4 6" xfId="11344" xr:uid="{86CC1B45-D69D-4C02-9E35-753F34BC9F0A}"/>
    <cellStyle name="Vírgula 19 4 6 2" xfId="31687" xr:uid="{58322F9A-1C3F-4583-BB44-79BA92BB5BE9}"/>
    <cellStyle name="Vírgula 19 4 7" xfId="28193" xr:uid="{F8B20793-B648-45AE-8358-36E9C961C83B}"/>
    <cellStyle name="Vírgula 19 4 8" xfId="7846" xr:uid="{A33B4264-AF67-46C0-844E-EB40D2820559}"/>
    <cellStyle name="Vírgula 19 5" xfId="4332" xr:uid="{D74ECAE1-1806-4749-BA33-51E997BDBEEE}"/>
    <cellStyle name="Vírgula 19 5 2" xfId="33254" xr:uid="{9B6DD97A-6035-47FE-84C6-621D7363C875}"/>
    <cellStyle name="Vírgula 19 5 3" xfId="12913" xr:uid="{DEE3A966-762F-4396-9D1B-8D8B0A3716AC}"/>
    <cellStyle name="Vírgula 19 6" xfId="3373" xr:uid="{98825C95-5744-4BFB-921C-6FD921D261E5}"/>
    <cellStyle name="Vírgula 19 6 2" xfId="36150" xr:uid="{25BDD3EF-954E-4962-9B74-CB6F5D9FCC03}"/>
    <cellStyle name="Vírgula 19 6 3" xfId="15810" xr:uid="{AB2A6CAC-A6FA-4C58-BC67-0664112E7400}"/>
    <cellStyle name="Vírgula 19 7" xfId="4341" xr:uid="{31458C65-9084-48F5-963D-DF191BAE7184}"/>
    <cellStyle name="Vírgula 19 7 2" xfId="39064" xr:uid="{783A9419-7AFF-4BBF-966E-6DF00A24AC2E}"/>
    <cellStyle name="Vírgula 19 7 3" xfId="18724" xr:uid="{8593B32D-1369-457F-BBFC-E4B758A7FA96}"/>
    <cellStyle name="Vírgula 19 8" xfId="4346" xr:uid="{2FF176CD-CB78-467D-BCBF-652812D5F5BA}"/>
    <cellStyle name="Vírgula 19 8 2" xfId="39651" xr:uid="{F65AD959-E179-44A4-A167-54F1DB4E858B}"/>
    <cellStyle name="Vírgula 19 8 3" xfId="19312" xr:uid="{5A532382-1BA0-4361-AB12-2E9BA197732B}"/>
    <cellStyle name="Vírgula 19 9" xfId="22567" xr:uid="{72373834-6103-47A1-8339-EA0C18809BB6}"/>
    <cellStyle name="Vírgula 19 9 2" xfId="42902" xr:uid="{72E59339-622F-4C37-957C-AF5BFD8C9FF3}"/>
    <cellStyle name="Vírgula 2" xfId="5" xr:uid="{E40F02D3-9BF8-46A4-8C60-2E7DFF5B4741}"/>
    <cellStyle name="Vírgula 2 10" xfId="28" xr:uid="{892A3657-6CE2-4A56-8811-D26D11BBD4D0}"/>
    <cellStyle name="Vírgula 2 10 2" xfId="902" xr:uid="{5C59D9F2-AF5C-4AD8-9EBF-78870D67AFA0}"/>
    <cellStyle name="Vírgula 2 10 2 2" xfId="2618" xr:uid="{F33C2C52-548E-41EF-9D16-EE9741DCB73E}"/>
    <cellStyle name="Vírgula 2 10 2 2 2" xfId="54983" xr:uid="{9A5E4757-9E42-4A85-B3D8-E2CF85B66930}"/>
    <cellStyle name="Vírgula 2 10 2 2 3" xfId="51689" xr:uid="{5E0C937F-F041-4AFA-AF58-BD1345048CAC}"/>
    <cellStyle name="Vírgula 2 10 2 3" xfId="50057" xr:uid="{7CAB0210-BBFC-4F58-91CA-67BD2439857F}"/>
    <cellStyle name="Vírgula 2 10 2 3 2" xfId="56773" xr:uid="{62EAFE23-AA67-461A-B7BC-7F41035FCDF9}"/>
    <cellStyle name="Vírgula 2 10 2 4" xfId="53352" xr:uid="{59E990E3-9B4B-421A-9272-A18872BAEDE4}"/>
    <cellStyle name="Vírgula 2 10 2 5" xfId="48387" xr:uid="{A6E5B0EF-B699-4DAD-81D3-2C1D9C0DDE0F}"/>
    <cellStyle name="Vírgula 2 10 3" xfId="1308" xr:uid="{A10AEA31-C6D8-4031-879B-08BDECF04D46}"/>
    <cellStyle name="Vírgula 2 10 3 2" xfId="2969" xr:uid="{7D69A368-BA28-4C99-8BDB-62AED37BC1F2}"/>
    <cellStyle name="Vírgula 2 10 3 2 2" xfId="54984" xr:uid="{C4E2534C-115B-4357-A9CC-B9AB051918C1}"/>
    <cellStyle name="Vírgula 2 10 3 2 3" xfId="51690" xr:uid="{134C7450-0452-4058-8C4B-358039EB8827}"/>
    <cellStyle name="Vírgula 2 10 3 3" xfId="50058" xr:uid="{7BE16E12-8757-49D5-B603-E93EDE6B9852}"/>
    <cellStyle name="Vírgula 2 10 3 3 2" xfId="57179" xr:uid="{37B6EAB5-C99E-490B-92F6-05841AB0E37D}"/>
    <cellStyle name="Vírgula 2 10 3 4" xfId="53353" xr:uid="{349322FB-D564-4D24-BE82-61521F01E4B8}"/>
    <cellStyle name="Vírgula 2 10 3 5" xfId="48388" xr:uid="{FC191D67-9C20-4F6A-8449-9C606153EB9B}"/>
    <cellStyle name="Vírgula 2 10 4" xfId="495" xr:uid="{4ACA901B-DCDF-4351-944D-AB83360DA61F}"/>
    <cellStyle name="Vírgula 2 10 4 2" xfId="2211" xr:uid="{FB8E6B29-0CE4-48E1-9667-63FFBDCF4577}"/>
    <cellStyle name="Vírgula 2 10 4 2 2" xfId="54985" xr:uid="{CBBFB6BB-1747-4F95-9035-A9F1A2B5DF18}"/>
    <cellStyle name="Vírgula 2 10 4 2 3" xfId="51691" xr:uid="{DDBE9713-6000-478B-84F2-901E050E1A30}"/>
    <cellStyle name="Vírgula 2 10 4 3" xfId="50059" xr:uid="{50303B0B-6675-40B5-B38E-8E64274C3E54}"/>
    <cellStyle name="Vírgula 2 10 4 3 2" xfId="56366" xr:uid="{B9178724-2ECB-4EEC-A246-A3B3D58655B4}"/>
    <cellStyle name="Vírgula 2 10 4 4" xfId="53354" xr:uid="{08A70707-C3DF-4203-9950-C4650C99EB5B}"/>
    <cellStyle name="Vírgula 2 10 4 5" xfId="48389" xr:uid="{6CD70099-92EB-47B9-BC34-1EA2C438FF26}"/>
    <cellStyle name="Vírgula 2 10 5" xfId="2081" xr:uid="{6FA5507E-A577-4704-8921-46DBDB5BB11C}"/>
    <cellStyle name="Vírgula 2 10 5 2" xfId="51688" xr:uid="{AB7E1ABB-9613-4138-98DD-FED5E7383764}"/>
    <cellStyle name="Vírgula 2 10 5 3" xfId="54982" xr:uid="{212C1222-727B-464A-8E3B-9BB2F1874499}"/>
    <cellStyle name="Vírgula 2 10 5 4" xfId="48386" xr:uid="{D52420E5-9B4F-466D-A0B3-C89F6F4137A2}"/>
    <cellStyle name="Vírgula 2 10 6" xfId="50056" xr:uid="{BAAF5891-ACE5-4921-A052-0D7F54CEE514}"/>
    <cellStyle name="Vírgula 2 10 6 2" xfId="55957" xr:uid="{2EFD8E05-D8D2-45CF-BAEE-36F7A1FDDF5E}"/>
    <cellStyle name="Vírgula 2 10 7" xfId="53351" xr:uid="{DE59F8D1-E91F-4768-967E-2A40D659907A}"/>
    <cellStyle name="Vírgula 2 10 8" xfId="47419" xr:uid="{782F686C-A2C3-4331-8382-1E07DC4BFE19}"/>
    <cellStyle name="Vírgula 2 10 9" xfId="4771" xr:uid="{187691F0-01B4-44A5-903A-CB75BFF5A8F5}"/>
    <cellStyle name="Vírgula 2 11" xfId="900" xr:uid="{24B15BE9-8740-411D-81B4-E443DD68BCD1}"/>
    <cellStyle name="Vírgula 2 11 2" xfId="2616" xr:uid="{C457D181-98D2-4510-A8CE-9298235A2DDB}"/>
    <cellStyle name="Vírgula 2 11 2 2" xfId="51692" xr:uid="{451B8762-53D8-4661-9FCC-D9E9D6CD6A78}"/>
    <cellStyle name="Vírgula 2 11 2 3" xfId="54986" xr:uid="{2EA13188-A237-4679-815C-EA43516F30C5}"/>
    <cellStyle name="Vírgula 2 11 2 4" xfId="48390" xr:uid="{63304BB4-79BA-42FA-A3EB-ACFD4013A19C}"/>
    <cellStyle name="Vírgula 2 11 3" xfId="50060" xr:uid="{6433B9D2-57EE-48FB-8535-BDF62B111F6C}"/>
    <cellStyle name="Vírgula 2 11 3 2" xfId="56771" xr:uid="{355EB710-88BA-4F05-B8A4-1C530AA5F94D}"/>
    <cellStyle name="Vírgula 2 11 4" xfId="53355" xr:uid="{6B3B5EDA-2C16-4A4C-AE15-8CD90DD5FFFD}"/>
    <cellStyle name="Vírgula 2 11 5" xfId="47545" xr:uid="{B5185956-03D3-45D7-A9B5-D7B1C35FB68F}"/>
    <cellStyle name="Vírgula 2 12" xfId="493" xr:uid="{644C30B5-4117-4698-B09E-F72A3701BACA}"/>
    <cellStyle name="Vírgula 2 12 2" xfId="2209" xr:uid="{7613D3C0-9A47-4105-A56C-F617C9A44CB0}"/>
    <cellStyle name="Vírgula 2 12 2 2" xfId="54987" xr:uid="{4C2160D0-EA68-4B22-9073-328084E8AD79}"/>
    <cellStyle name="Vírgula 2 12 2 3" xfId="51693" xr:uid="{957784F3-80ED-4972-97E6-1C1759FCC287}"/>
    <cellStyle name="Vírgula 2 12 3" xfId="50061" xr:uid="{8BA066F0-C35E-44EF-A483-76BB39DC7D3F}"/>
    <cellStyle name="Vírgula 2 12 3 2" xfId="56364" xr:uid="{851966D3-5722-4D11-BCC6-9D70C5BC0D97}"/>
    <cellStyle name="Vírgula 2 12 4" xfId="53356" xr:uid="{C8B3391F-5E58-4F95-9E70-5250425084A6}"/>
    <cellStyle name="Vírgula 2 12 5" xfId="48391" xr:uid="{926466A0-6BDF-44CD-8E1F-2591195DDAA5}"/>
    <cellStyle name="Vírgula 2 13" xfId="26" xr:uid="{2FDB7076-4582-4E99-B1E8-1D3AD859C077}"/>
    <cellStyle name="Vírgula 2 13 2" xfId="2056" xr:uid="{7BAA45A9-BAEB-4AB5-AE63-1401D3825AAE}"/>
    <cellStyle name="Vírgula 2 13 3" xfId="57590" xr:uid="{6C4AB94A-209F-4F37-A9AE-367F01EA1C0E}"/>
    <cellStyle name="Vírgula 2 14" xfId="2067" xr:uid="{A83E7348-6357-4FA4-9E28-92BD1FC5BEE6}"/>
    <cellStyle name="Vírgula 2 14 2" xfId="57591" xr:uid="{84AE4F94-4734-45E1-81AE-42F17FFF9D4A}"/>
    <cellStyle name="Vírgula 2 15" xfId="3375" xr:uid="{D0113CB5-9ED1-490F-A2EE-0D6477521387}"/>
    <cellStyle name="Vírgula 2 16" xfId="3812" xr:uid="{597ACA83-198B-4713-81BF-580091A9F0BA}"/>
    <cellStyle name="Vírgula 2 17" xfId="4337" xr:uid="{D27A86EA-DE31-4F76-8AB2-FCC8C98FB769}"/>
    <cellStyle name="Vírgula 2 18" xfId="4352" xr:uid="{A74C59D0-18CF-4C39-B2B3-AC05993A376D}"/>
    <cellStyle name="Vírgula 2 19" xfId="18" xr:uid="{9E0E592C-9671-4AD1-B095-C71D50CDB90C}"/>
    <cellStyle name="Vírgula 2 2" xfId="9" xr:uid="{E94611C7-5E9D-44EE-8E54-E8B2AC5E0198}"/>
    <cellStyle name="Vírgula 2 2 10" xfId="1310" xr:uid="{193243BE-F296-4575-B9F3-C6CBBF9355CC}"/>
    <cellStyle name="Vírgula 2 2 10 10" xfId="12408" xr:uid="{45C48AD0-A7A6-4A9D-ACEC-D1EEBD614E84}"/>
    <cellStyle name="Vírgula 2 2 10 10 2" xfId="32749" xr:uid="{568FF85E-85B7-4B22-80A8-EC99FF4845CC}"/>
    <cellStyle name="Vírgula 2 2 10 11" xfId="9147" xr:uid="{B69A6DCE-CEB8-4835-A90C-37705F8FFA6C}"/>
    <cellStyle name="Vírgula 2 2 10 11 2" xfId="29490" xr:uid="{7FC3F047-61EC-409C-BF07-6F7FBB3A2EF9}"/>
    <cellStyle name="Vírgula 2 2 10 12" xfId="25996" xr:uid="{8ACB9D09-7232-4A49-BFC7-4CA2F3927F95}"/>
    <cellStyle name="Vírgula 2 2 10 13" xfId="48393" xr:uid="{C0FD808E-CA33-4248-852A-E6D50DDFB25F}"/>
    <cellStyle name="Vírgula 2 2 10 14" xfId="50063" xr:uid="{202B7550-E7F3-42A4-95B0-ABC83B62CA07}"/>
    <cellStyle name="Vírgula 2 2 10 15" xfId="53358" xr:uid="{48260135-EA0E-470E-91DB-6B04F4FA73C5}"/>
    <cellStyle name="Vírgula 2 2 10 16" xfId="5657" xr:uid="{17EC64C1-471F-4BEA-A481-82A54B76E1A9}"/>
    <cellStyle name="Vírgula 2 2 10 2" xfId="2971" xr:uid="{ACA06C79-87A3-4EC2-B1A4-2C88A0BD4205}"/>
    <cellStyle name="Vírgula 2 2 10 2 10" xfId="54989" xr:uid="{35058DF9-62FA-46F4-856A-26857ECBD99A}"/>
    <cellStyle name="Vírgula 2 2 10 2 11" xfId="6229" xr:uid="{57BE1CF0-C8F3-4BDF-BC4C-22642E91F8C4}"/>
    <cellStyle name="Vírgula 2 2 10 2 2" xfId="7387" xr:uid="{7F8C4034-B789-4060-825C-72E2CEE35B51}"/>
    <cellStyle name="Vírgula 2 2 10 2 2 2" xfId="17673" xr:uid="{863B3966-3BB8-4DC2-9CC2-1A66756B1915}"/>
    <cellStyle name="Vírgula 2 2 10 2 2 2 2" xfId="38013" xr:uid="{094D403D-72FB-4742-9603-30F0F671A3D8}"/>
    <cellStyle name="Vírgula 2 2 10 2 2 3" xfId="11930" xr:uid="{0FD038FC-835B-4E4B-9EF4-48111C5EDB26}"/>
    <cellStyle name="Vírgula 2 2 10 2 2 3 2" xfId="21175" xr:uid="{E6F9E44A-7F1E-4FB3-BC21-56DCAB98EC63}"/>
    <cellStyle name="Vírgula 2 2 10 2 2 3 2 2" xfId="41514" xr:uid="{5A6A0AF9-C0D5-4ACF-8F42-0C9F1BE07C2B}"/>
    <cellStyle name="Vírgula 2 2 10 2 2 3 3" xfId="32271" xr:uid="{5E7ACE6F-D1ED-4563-95FD-EB2AF29964B1}"/>
    <cellStyle name="Vírgula 2 2 10 2 2 4" xfId="24430" xr:uid="{25EEAD19-B481-4CC9-8EFD-B604B86D6801}"/>
    <cellStyle name="Vírgula 2 2 10 2 2 4 2" xfId="44765" xr:uid="{46F3AB09-CACD-4EA1-8F68-8FFAA8583307}"/>
    <cellStyle name="Vírgula 2 2 10 2 2 5" xfId="14764" xr:uid="{80F7CA75-D9CA-44FE-BBAF-22F8D53454AA}"/>
    <cellStyle name="Vírgula 2 2 10 2 2 5 2" xfId="35105" xr:uid="{19A20C6F-D0AD-4078-83D8-D3D3BF331EAE}"/>
    <cellStyle name="Vírgula 2 2 10 2 2 6" xfId="10886" xr:uid="{9C9D2044-48E2-4A51-AE53-373E0CA8C638}"/>
    <cellStyle name="Vírgula 2 2 10 2 2 6 2" xfId="31229" xr:uid="{BF2F9842-BE98-418F-8EB8-0CB5CB5B5A3C}"/>
    <cellStyle name="Vírgula 2 2 10 2 2 7" xfId="27735" xr:uid="{9BFAE760-FAE9-4A04-8E72-B9BA0CD66B6E}"/>
    <cellStyle name="Vírgula 2 2 10 2 3" xfId="16515" xr:uid="{1686763D-B9EC-42CB-AB75-012EBEDB4C8A}"/>
    <cellStyle name="Vírgula 2 2 10 2 3 2" xfId="36855" xr:uid="{D1F309C4-C799-42D1-97F1-BE73B053C43A}"/>
    <cellStyle name="Vírgula 2 2 10 2 4" xfId="20017" xr:uid="{770FC158-5E31-402A-BF2D-F8C1EDCF3B5F}"/>
    <cellStyle name="Vírgula 2 2 10 2 4 2" xfId="40356" xr:uid="{F9B9FCF1-8D4D-4089-91C0-C7E72461872C}"/>
    <cellStyle name="Vírgula 2 2 10 2 5" xfId="23272" xr:uid="{616AAC79-A762-4C38-B074-845311F0F371}"/>
    <cellStyle name="Vírgula 2 2 10 2 5 2" xfId="43607" xr:uid="{404F0C21-B55F-41B6-BD84-8231B7C843A6}"/>
    <cellStyle name="Vírgula 2 2 10 2 6" xfId="13606" xr:uid="{E875E989-EED9-4807-92E8-3A5950FF9869}"/>
    <cellStyle name="Vírgula 2 2 10 2 6 2" xfId="33947" xr:uid="{1A31BE7C-D253-4144-8CB8-B50B61D0942C}"/>
    <cellStyle name="Vírgula 2 2 10 2 7" xfId="9728" xr:uid="{461045DD-4E78-4D9F-B640-667487B80C32}"/>
    <cellStyle name="Vírgula 2 2 10 2 7 2" xfId="30071" xr:uid="{76737E86-12E7-4141-9558-FF184DD247D6}"/>
    <cellStyle name="Vírgula 2 2 10 2 8" xfId="26577" xr:uid="{A2A1A164-7837-456E-8A82-E7B69694C400}"/>
    <cellStyle name="Vírgula 2 2 10 2 9" xfId="51695" xr:uid="{E8353EB6-DC77-4D89-9253-F266EE2851C9}"/>
    <cellStyle name="Vírgula 2 2 10 3" xfId="6806" xr:uid="{46ED608C-D3D6-4C1C-92EA-B5BD6B98056D}"/>
    <cellStyle name="Vírgula 2 2 10 3 2" xfId="17092" xr:uid="{F6D6B580-6344-4F9E-91B7-5D394BE8A579}"/>
    <cellStyle name="Vírgula 2 2 10 3 2 2" xfId="37432" xr:uid="{B64DD478-0D1D-4145-BC65-EF01DA7CCA3D}"/>
    <cellStyle name="Vírgula 2 2 10 3 3" xfId="20594" xr:uid="{6E970A11-C2BD-4091-B074-CE26F0906D48}"/>
    <cellStyle name="Vírgula 2 2 10 3 3 2" xfId="40933" xr:uid="{4454265C-624F-4107-A55F-BADB0C0F5D6C}"/>
    <cellStyle name="Vírgula 2 2 10 3 4" xfId="23849" xr:uid="{F149C467-AF51-4ADC-98B0-8681D4F9DFD8}"/>
    <cellStyle name="Vírgula 2 2 10 3 4 2" xfId="44184" xr:uid="{71C0B7F3-B8F5-4C13-87A2-04743C81E495}"/>
    <cellStyle name="Vírgula 2 2 10 3 5" xfId="14183" xr:uid="{6F33FF93-EFC5-41A9-AE1C-254FF93626CA}"/>
    <cellStyle name="Vírgula 2 2 10 3 5 2" xfId="34524" xr:uid="{3CFB8267-E4A5-4A8B-8F3B-8330AC862AA3}"/>
    <cellStyle name="Vírgula 2 2 10 3 6" xfId="10305" xr:uid="{54EFE916-15E0-41A8-9C1E-0A51CDE8639A}"/>
    <cellStyle name="Vírgula 2 2 10 3 6 2" xfId="30648" xr:uid="{38575D85-C079-41E2-A359-5CAC43E436B4}"/>
    <cellStyle name="Vírgula 2 2 10 3 7" xfId="27154" xr:uid="{AF310AF4-1A03-4810-9B7F-F4AB761D6AAD}"/>
    <cellStyle name="Vírgula 2 2 10 3 8" xfId="57181" xr:uid="{902D1EFF-9DA9-4C0C-98D1-A0AFEFC7FF1A}"/>
    <cellStyle name="Vírgula 2 2 10 4" xfId="7970" xr:uid="{106F9692-AD89-4CAC-94E8-A3ADB164C8F5}"/>
    <cellStyle name="Vírgula 2 2 10 4 2" xfId="18255" xr:uid="{07E7482F-1DCE-4C7C-86B7-BAD20A11FCF5}"/>
    <cellStyle name="Vírgula 2 2 10 4 2 2" xfId="38595" xr:uid="{49510EA9-1672-4AB0-AA56-CA6A74181D28}"/>
    <cellStyle name="Vírgula 2 2 10 4 3" xfId="21757" xr:uid="{047917F5-2EDC-4F4B-8A77-7C23B585FF96}"/>
    <cellStyle name="Vírgula 2 2 10 4 3 2" xfId="42096" xr:uid="{012E1810-6FD3-4FC2-BB10-1595F6D0225D}"/>
    <cellStyle name="Vírgula 2 2 10 4 4" xfId="25012" xr:uid="{A7E6A69D-AB1F-48B9-9A4D-5F98B13AEFE2}"/>
    <cellStyle name="Vírgula 2 2 10 4 4 2" xfId="45347" xr:uid="{86F07969-20D6-4B11-B7F3-CF1549749000}"/>
    <cellStyle name="Vírgula 2 2 10 4 5" xfId="15347" xr:uid="{6B3405FA-7F18-4EE7-BF3F-8E0514F12D48}"/>
    <cellStyle name="Vírgula 2 2 10 4 5 2" xfId="35687" xr:uid="{8E76EE13-2A68-4290-91CD-41CAD235B70E}"/>
    <cellStyle name="Vírgula 2 2 10 4 6" xfId="11468" xr:uid="{123D5E41-1FCD-4736-8414-AD1803243B5E}"/>
    <cellStyle name="Vírgula 2 2 10 4 6 2" xfId="31811" xr:uid="{F853A37A-D846-4BF6-93F0-CDFCC8A61DB3}"/>
    <cellStyle name="Vírgula 2 2 10 4 7" xfId="28317" xr:uid="{201CEBCE-1588-4560-B445-08D624112F1F}"/>
    <cellStyle name="Vírgula 2 2 10 5" xfId="13037" xr:uid="{C0393825-8D01-4573-868A-22F16840D4A5}"/>
    <cellStyle name="Vírgula 2 2 10 5 2" xfId="33378" xr:uid="{39911AFD-DB90-4002-8578-8C0009A0318E}"/>
    <cellStyle name="Vírgula 2 2 10 6" xfId="15934" xr:uid="{F691CBC5-7C74-415E-8306-ABAAE07B5A17}"/>
    <cellStyle name="Vírgula 2 2 10 6 2" xfId="36274" xr:uid="{9480D1BC-5016-4709-AA42-F83C3364C9C4}"/>
    <cellStyle name="Vírgula 2 2 10 7" xfId="18848" xr:uid="{6B5D23AB-4A9D-427B-B419-E8F300921556}"/>
    <cellStyle name="Vírgula 2 2 10 7 2" xfId="39188" xr:uid="{5E2E4771-858A-4714-8945-CAFA361FB57C}"/>
    <cellStyle name="Vírgula 2 2 10 8" xfId="19436" xr:uid="{A5F42CD5-A889-453E-98D6-09D3CB466AB0}"/>
    <cellStyle name="Vírgula 2 2 10 8 2" xfId="39775" xr:uid="{8F48EF18-5ADE-425F-942C-BF2BDC8CE4BC}"/>
    <cellStyle name="Vírgula 2 2 10 9" xfId="22691" xr:uid="{DD1CD167-BE00-4391-996A-2D058498267F}"/>
    <cellStyle name="Vírgula 2 2 10 9 2" xfId="43026" xr:uid="{B945CCA9-001F-4DB4-A596-28D058FA34C6}"/>
    <cellStyle name="Vírgula 2 2 11" xfId="497" xr:uid="{AA95C31C-BCAF-4FF0-8FFF-FD3AECA2A68A}"/>
    <cellStyle name="Vírgula 2 2 11 10" xfId="48394" xr:uid="{783C8DC0-12C1-4275-BA01-FCA0A4DA7173}"/>
    <cellStyle name="Vírgula 2 2 11 11" xfId="50064" xr:uid="{8C654BAB-D638-4C6C-B610-D924F0F52396}"/>
    <cellStyle name="Vírgula 2 2 11 12" xfId="53359" xr:uid="{136FDC5A-C61F-46B6-99CF-B6BDAA864256}"/>
    <cellStyle name="Vírgula 2 2 11 13" xfId="5763" xr:uid="{15486A50-A30B-49DC-B274-7C4F5AC705E7}"/>
    <cellStyle name="Vírgula 2 2 11 2" xfId="2213" xr:uid="{88C6ABFA-92D7-41DB-B072-7F2EAB295EAD}"/>
    <cellStyle name="Vírgula 2 2 11 2 10" xfId="6921" xr:uid="{D47DFAB8-7C69-4EDE-B606-52CABF6702C3}"/>
    <cellStyle name="Vírgula 2 2 11 2 2" xfId="17207" xr:uid="{AB61D791-6020-4478-A266-9C2F000380C4}"/>
    <cellStyle name="Vírgula 2 2 11 2 2 2" xfId="37547" xr:uid="{5CD47F18-C568-4EF1-B611-D10C3FA9C219}"/>
    <cellStyle name="Vírgula 2 2 11 2 3" xfId="20709" xr:uid="{8AC53CEF-B744-46C9-BFEE-110BF8B5AA4C}"/>
    <cellStyle name="Vírgula 2 2 11 2 3 2" xfId="41048" xr:uid="{7B675E19-5D52-4C7B-8275-EA544D41C69D}"/>
    <cellStyle name="Vírgula 2 2 11 2 4" xfId="23964" xr:uid="{5A7A9691-6378-4F1C-8454-033E03D58BC7}"/>
    <cellStyle name="Vírgula 2 2 11 2 4 2" xfId="44299" xr:uid="{58435E32-2296-4D63-8C61-32DCC102373D}"/>
    <cellStyle name="Vírgula 2 2 11 2 5" xfId="14298" xr:uid="{2F6D402B-3D46-4D4B-B660-6C72D52F39EA}"/>
    <cellStyle name="Vírgula 2 2 11 2 5 2" xfId="34639" xr:uid="{0844D7A4-6EC4-41C4-859A-F325A7000DC3}"/>
    <cellStyle name="Vírgula 2 2 11 2 6" xfId="10420" xr:uid="{C169933F-B1BA-411A-84C4-823F7EF56D4B}"/>
    <cellStyle name="Vírgula 2 2 11 2 6 2" xfId="30763" xr:uid="{3B393C68-8DFB-4E1B-BB2C-F920AD1F3166}"/>
    <cellStyle name="Vírgula 2 2 11 2 7" xfId="27269" xr:uid="{31FC0F42-96FF-41D9-AABF-DED8B0DEB0E7}"/>
    <cellStyle name="Vírgula 2 2 11 2 8" xfId="51696" xr:uid="{463A6890-B002-469E-AF3A-61F41B60748B}"/>
    <cellStyle name="Vírgula 2 2 11 2 9" xfId="54990" xr:uid="{58ECA9AC-CA29-4A66-BFEB-AB49B6960F4E}"/>
    <cellStyle name="Vírgula 2 2 11 3" xfId="13152" xr:uid="{B01086BD-820E-4834-8824-D243E5ACDF53}"/>
    <cellStyle name="Vírgula 2 2 11 3 2" xfId="33493" xr:uid="{E7D40CFA-C44D-46BD-A27F-AC3F84A4AF2C}"/>
    <cellStyle name="Vírgula 2 2 11 3 3" xfId="56368" xr:uid="{2BF0347D-DD9E-40D0-928D-B43317990B71}"/>
    <cellStyle name="Vírgula 2 2 11 4" xfId="16049" xr:uid="{F322B67D-18D8-4BD5-A907-B8C7F83F41CB}"/>
    <cellStyle name="Vírgula 2 2 11 4 2" xfId="36389" xr:uid="{CDBD2F85-A353-401B-A04A-9647F4826F15}"/>
    <cellStyle name="Vírgula 2 2 11 5" xfId="19551" xr:uid="{12D0E97A-46B3-4F70-85E2-B3B4B12715A6}"/>
    <cellStyle name="Vírgula 2 2 11 5 2" xfId="39890" xr:uid="{C8B0E43F-7E06-40ED-9180-51ADDA5E93C8}"/>
    <cellStyle name="Vírgula 2 2 11 6" xfId="22806" xr:uid="{F27CC7BB-568C-4946-8469-46973FDFE2E9}"/>
    <cellStyle name="Vírgula 2 2 11 6 2" xfId="43141" xr:uid="{CD9AC62E-2136-486D-A6B3-56B9F2997035}"/>
    <cellStyle name="Vírgula 2 2 11 7" xfId="12533" xr:uid="{527B1159-BCB4-4AC2-A7E5-7A6DBEB8E44D}"/>
    <cellStyle name="Vírgula 2 2 11 7 2" xfId="32874" xr:uid="{DA07BB1C-BEFB-40C6-83B0-4EC312D3AEFD}"/>
    <cellStyle name="Vírgula 2 2 11 8" xfId="9262" xr:uid="{888AB61D-3E55-4643-B2A2-8F4C1DF69768}"/>
    <cellStyle name="Vírgula 2 2 11 8 2" xfId="29605" xr:uid="{A526A7B9-755E-4909-A0B5-61D3EEB83CF2}"/>
    <cellStyle name="Vírgula 2 2 11 9" xfId="26111" xr:uid="{1FB47773-A4CD-40DA-BA96-307E57633A7C}"/>
    <cellStyle name="Vírgula 2 2 12" xfId="2083" xr:uid="{7F7004F3-EEA2-420A-9064-472CDAD2A869}"/>
    <cellStyle name="Vírgula 2 2 12 10" xfId="26688" xr:uid="{BC17155F-E1E5-45BB-878B-374BC5CF9B93}"/>
    <cellStyle name="Vírgula 2 2 12 11" xfId="51694" xr:uid="{89E8EE82-FF17-4787-971C-D3BF5234D330}"/>
    <cellStyle name="Vírgula 2 2 12 12" xfId="54988" xr:uid="{592638CC-ECC3-4098-BA78-C0B4080FD7C7}"/>
    <cellStyle name="Vírgula 2 2 12 13" xfId="6340" xr:uid="{75501405-A632-4BAE-8E0E-99AD9E0F46CA}"/>
    <cellStyle name="Vírgula 2 2 12 2" xfId="8086" xr:uid="{A5AB23C9-FEB2-4EC0-AD2A-4D539972B4A7}"/>
    <cellStyle name="Vírgula 2 2 12 2 2" xfId="18371" xr:uid="{43190DBB-14BC-49A1-BE31-B8893F81C876}"/>
    <cellStyle name="Vírgula 2 2 12 2 2 2" xfId="38711" xr:uid="{7DED10F6-4ED9-46A9-9F6B-64653525F7C7}"/>
    <cellStyle name="Vírgula 2 2 12 2 3" xfId="21873" xr:uid="{7E2347BA-E623-470D-847C-52A3AC9F91CE}"/>
    <cellStyle name="Vírgula 2 2 12 2 3 2" xfId="42212" xr:uid="{2AA088C0-4BE7-4F06-810D-7A4B8ED85ABA}"/>
    <cellStyle name="Vírgula 2 2 12 2 4" xfId="25128" xr:uid="{BA3F3386-30FF-430D-8DB4-7EFE2C8FCA28}"/>
    <cellStyle name="Vírgula 2 2 12 2 4 2" xfId="45463" xr:uid="{9545AEED-B069-4F79-92BC-4A984DEADD36}"/>
    <cellStyle name="Vírgula 2 2 12 2 5" xfId="15463" xr:uid="{0D367E23-4BDA-4120-AB44-F715195FD40D}"/>
    <cellStyle name="Vírgula 2 2 12 2 5 2" xfId="35803" xr:uid="{20A213D3-DBF6-4E4F-9A22-4F43A3DC1776}"/>
    <cellStyle name="Vírgula 2 2 12 2 6" xfId="11584" xr:uid="{E8EB4268-A551-4B30-B1F0-7DFF98410627}"/>
    <cellStyle name="Vírgula 2 2 12 2 6 2" xfId="31927" xr:uid="{B5E19994-8510-4FCD-A7F0-DFC8B212DB99}"/>
    <cellStyle name="Vírgula 2 2 12 2 7" xfId="28433" xr:uid="{4F66C512-4ED3-4472-9A71-92C1107700F8}"/>
    <cellStyle name="Vírgula 2 2 12 3" xfId="13717" xr:uid="{702BB465-3DBE-45B0-A1F7-7671FAA40A1E}"/>
    <cellStyle name="Vírgula 2 2 12 3 2" xfId="34058" xr:uid="{C3A46A86-92ED-49D4-B9C4-7279F5C4F089}"/>
    <cellStyle name="Vírgula 2 2 12 4" xfId="16626" xr:uid="{553E284D-A60F-4C38-A4FF-FA53A6EB51C9}"/>
    <cellStyle name="Vírgula 2 2 12 4 2" xfId="36966" xr:uid="{BC133B2B-6887-4C5F-8721-7C9A567CF46E}"/>
    <cellStyle name="Vírgula 2 2 12 5" xfId="18964" xr:uid="{1391B055-D730-4A62-A146-82471D37F47A}"/>
    <cellStyle name="Vírgula 2 2 12 5 2" xfId="39304" xr:uid="{30459A2C-AFBD-486B-A7BB-1B3D9C9F748E}"/>
    <cellStyle name="Vírgula 2 2 12 6" xfId="20128" xr:uid="{85069E7C-48A1-43AA-A1CB-C4AF3AC6BFF1}"/>
    <cellStyle name="Vírgula 2 2 12 6 2" xfId="40467" xr:uid="{558F1C4B-E2F2-4D3C-B273-8AC880B11F40}"/>
    <cellStyle name="Vírgula 2 2 12 7" xfId="23383" xr:uid="{3D326D7D-1CE7-465E-9C40-4686BEEA19E0}"/>
    <cellStyle name="Vírgula 2 2 12 7 2" xfId="43718" xr:uid="{25A17A39-D884-4134-A0AF-C359CDF946A1}"/>
    <cellStyle name="Vírgula 2 2 12 8" xfId="12523" xr:uid="{551A5EF0-8C1A-4A90-83BD-9E480E449790}"/>
    <cellStyle name="Vírgula 2 2 12 8 2" xfId="32864" xr:uid="{2B97103D-DFEF-4C7A-91C6-6E414C7155AB}"/>
    <cellStyle name="Vírgula 2 2 12 9" xfId="9839" xr:uid="{0597C5FD-8529-4CF3-B9DD-995B0BF5D226}"/>
    <cellStyle name="Vírgula 2 2 12 9 2" xfId="30182" xr:uid="{7369FA2F-D229-487D-91AE-65C734995D95}"/>
    <cellStyle name="Vírgula 2 2 13" xfId="3381" xr:uid="{0BAA8D44-4059-46CC-A719-68429FB996CB}"/>
    <cellStyle name="Vírgula 2 2 13 2" xfId="17789" xr:uid="{6ACA14E2-1B24-469F-B6C7-733C25C75D41}"/>
    <cellStyle name="Vírgula 2 2 13 2 2" xfId="38129" xr:uid="{0E6EA0BA-CCFD-4F44-9BDE-917DE6CE3CCD}"/>
    <cellStyle name="Vírgula 2 2 13 3" xfId="21291" xr:uid="{54BCC48F-6F08-491D-9FF3-6C8D9DDB8496}"/>
    <cellStyle name="Vírgula 2 2 13 3 2" xfId="41630" xr:uid="{E1A14E45-A50F-4E2F-8E18-B3C7F99FACA5}"/>
    <cellStyle name="Vírgula 2 2 13 4" xfId="24546" xr:uid="{3255FA2B-5FEF-45FF-B985-7C95EEB069E6}"/>
    <cellStyle name="Vírgula 2 2 13 4 2" xfId="44881" xr:uid="{D6B4E869-8F20-4C74-B97B-0FE729606F46}"/>
    <cellStyle name="Vírgula 2 2 13 5" xfId="14881" xr:uid="{54480B74-C0FB-4467-8C2D-6D9D349EB40F}"/>
    <cellStyle name="Vírgula 2 2 13 5 2" xfId="35221" xr:uid="{B7AC28F0-3D72-40F9-9449-86707296005F}"/>
    <cellStyle name="Vírgula 2 2 13 6" xfId="11002" xr:uid="{BA6E1024-46B5-4E19-9C93-E3A454116FD6}"/>
    <cellStyle name="Vírgula 2 2 13 6 2" xfId="31345" xr:uid="{1858F8AC-3B40-4C31-B8F5-206768112637}"/>
    <cellStyle name="Vírgula 2 2 13 7" xfId="27851" xr:uid="{A6FC1670-902E-4351-A261-F442AA215E7B}"/>
    <cellStyle name="Vírgula 2 2 13 8" xfId="55959" xr:uid="{D55C6AC0-56AE-4DCC-9990-8F8764BF500D}"/>
    <cellStyle name="Vírgula 2 2 13 9" xfId="7504" xr:uid="{2693DF21-4B10-49A9-9C2F-1CDEE233A1E1}"/>
    <cellStyle name="Vírgula 2 2 14" xfId="3817" xr:uid="{A0010E8D-B66C-492E-B971-10CBC3B8D7F9}"/>
    <cellStyle name="Vírgula 2 2 14 2" xfId="22010" xr:uid="{091372B4-FB14-44D9-8AC0-B41B514CCFA3}"/>
    <cellStyle name="Vírgula 2 2 14 2 2" xfId="42346" xr:uid="{207F3873-7ED0-4B31-9312-A668757CD52C}"/>
    <cellStyle name="Vírgula 2 2 14 3" xfId="25262" xr:uid="{7FD07F96-59CD-42D8-B078-14C5EC534345}"/>
    <cellStyle name="Vírgula 2 2 14 3 2" xfId="45597" xr:uid="{B989F10F-B5AC-48D3-A849-2CBE2D6C8C29}"/>
    <cellStyle name="Vírgula 2 2 14 4" xfId="12583" xr:uid="{0F2F1A6C-4FBD-4169-9F9D-1D9A8A7EE8A6}"/>
    <cellStyle name="Vírgula 2 2 14 4 2" xfId="32924" xr:uid="{DCD50664-C8A4-4C32-BFA1-35FB1E5536AB}"/>
    <cellStyle name="Vírgula 2 2 14 5" xfId="11719" xr:uid="{A20EB633-FD52-4A64-A500-E67036C6B594}"/>
    <cellStyle name="Vírgula 2 2 14 5 2" xfId="32061" xr:uid="{53363F9D-B0EB-47FF-8517-EC625B008E78}"/>
    <cellStyle name="Vírgula 2 2 14 6" xfId="28567" xr:uid="{7C3F1988-6EA7-4B1D-974A-4C61200254C8}"/>
    <cellStyle name="Vírgula 2 2 14 7" xfId="8223" xr:uid="{DB00D946-C458-4201-AF61-82EDBBB7714E}"/>
    <cellStyle name="Vírgula 2 2 15" xfId="1729" xr:uid="{E5B5F0D4-941A-428F-8063-3CCBBEF35F89}"/>
    <cellStyle name="Vírgula 2 2 15 2" xfId="15468" xr:uid="{F2C96322-0064-4CF1-9404-EFD7C8D450B0}"/>
    <cellStyle name="Vírgula 2 2 15 2 2" xfId="35808" xr:uid="{49FD0E3D-EDEB-4531-B4D3-6CA75D19981B}"/>
    <cellStyle name="Vírgula 2 2 15 3" xfId="28786" xr:uid="{B31A665A-1DE9-443D-B084-3B2850355040}"/>
    <cellStyle name="Vírgula 2 2 15 4" xfId="8443" xr:uid="{AE470653-4C59-44EF-97C0-48E7ACBD4941}"/>
    <cellStyle name="Vírgula 2 2 16" xfId="31" xr:uid="{DE8FF2DB-3584-470A-9F8B-B7D81C1C40F1}"/>
    <cellStyle name="Vírgula 2 2 16 2" xfId="38722" xr:uid="{04E97049-1300-44FB-A633-143EEE1C1F7E}"/>
    <cellStyle name="Vírgula 2 2 16 3" xfId="18382" xr:uid="{717535F9-6F82-473F-BE7E-A69FFB20889F}"/>
    <cellStyle name="Vírgula 2 2 17" xfId="4367" xr:uid="{7BFC3D67-7326-41A3-A9B2-1096EBF24CF5}"/>
    <cellStyle name="Vírgula 2 2 17 2" xfId="39309" xr:uid="{32F16B76-95FE-42B2-B817-FD7DB365B3E4}"/>
    <cellStyle name="Vírgula 2 2 17 3" xfId="18970" xr:uid="{3D17B0C1-E074-4CBD-9303-6E11AE70BECA}"/>
    <cellStyle name="Vírgula 2 2 18" xfId="22225" xr:uid="{FE1A9881-A4D5-40EA-99FC-6534D40EA2D7}"/>
    <cellStyle name="Vírgula 2 2 18 2" xfId="42560" xr:uid="{3DDAA7FF-4F31-4014-8988-4816CE8D4AB6}"/>
    <cellStyle name="Vírgula 2 2 19" xfId="11942" xr:uid="{F9F27A82-0D94-4D28-B1EA-8C1B04389E4D}"/>
    <cellStyle name="Vírgula 2 2 19 2" xfId="32283" xr:uid="{9F4B1A55-1BB2-45FD-A29B-4A89DB60FBF1}"/>
    <cellStyle name="Vírgula 2 2 2" xfId="45" xr:uid="{0E918A46-71E9-4AFF-9804-4004C5492421}"/>
    <cellStyle name="Vírgula 2 2 2 10" xfId="507" xr:uid="{789CB6FB-6A82-42A0-BD95-F7E754A220BD}"/>
    <cellStyle name="Vírgula 2 2 2 10 10" xfId="53361" xr:uid="{14161E44-CAD3-4EE7-B3EE-EDDDE7D54A10}"/>
    <cellStyle name="Vírgula 2 2 2 10 11" xfId="7541" xr:uid="{026F591B-CC21-45DE-9CD8-233439FC527F}"/>
    <cellStyle name="Vírgula 2 2 2 10 2" xfId="2223" xr:uid="{AF5F949E-97C8-4CDF-8999-7D5E8A5B58BD}"/>
    <cellStyle name="Vírgula 2 2 2 10 2 2" xfId="38166" xr:uid="{EFB6F27A-2DBF-4ACE-88BD-3AA075EA0010}"/>
    <cellStyle name="Vírgula 2 2 2 10 2 3" xfId="51698" xr:uid="{51D6E481-8ECF-4572-BABE-FE25AD9029DF}"/>
    <cellStyle name="Vírgula 2 2 2 10 2 4" xfId="54992" xr:uid="{56687291-53EC-4A26-97DF-60E88D31B936}"/>
    <cellStyle name="Vírgula 2 2 2 10 2 5" xfId="17826" xr:uid="{0EAB8926-ECDA-402E-AD53-B7568AD471CC}"/>
    <cellStyle name="Vírgula 2 2 2 10 3" xfId="21328" xr:uid="{D3030C59-D8D7-45DC-A30E-087A56616AFF}"/>
    <cellStyle name="Vírgula 2 2 2 10 3 2" xfId="41667" xr:uid="{266C7242-B0E8-4151-9784-F609CB409797}"/>
    <cellStyle name="Vírgula 2 2 2 10 3 3" xfId="56378" xr:uid="{61D39BA5-0B5F-4EA8-ABFB-BEBBF86C56F9}"/>
    <cellStyle name="Vírgula 2 2 2 10 4" xfId="24583" xr:uid="{E1ADBE50-6B74-4BCF-9DEA-CBFEFDF1F472}"/>
    <cellStyle name="Vírgula 2 2 2 10 4 2" xfId="44918" xr:uid="{4A90A211-021C-4281-88BC-33BCB427088C}"/>
    <cellStyle name="Vírgula 2 2 2 10 5" xfId="14918" xr:uid="{32DDACFF-1D10-462F-832E-5DEE19E82392}"/>
    <cellStyle name="Vírgula 2 2 2 10 5 2" xfId="35258" xr:uid="{F23DC6C4-E260-4320-B7D2-9EEE8E26FE78}"/>
    <cellStyle name="Vírgula 2 2 2 10 6" xfId="11039" xr:uid="{FDEE63BF-0AB6-4A14-9C2A-A509C4091558}"/>
    <cellStyle name="Vírgula 2 2 2 10 6 2" xfId="31382" xr:uid="{3DA69547-AB85-4910-8B6A-FF9FA5CB8D22}"/>
    <cellStyle name="Vírgula 2 2 2 10 7" xfId="27888" xr:uid="{29C315BA-F001-47C0-86F7-742EF9B84B30}"/>
    <cellStyle name="Vírgula 2 2 2 10 8" xfId="48396" xr:uid="{154175A7-03F0-431E-8709-A735AFA38A20}"/>
    <cellStyle name="Vírgula 2 2 2 10 9" xfId="50066" xr:uid="{FCF4877C-58F3-4F47-A83A-C08AC1B75C44}"/>
    <cellStyle name="Vírgula 2 2 2 11" xfId="2096" xr:uid="{84989D4F-51CA-4EFD-B578-C48B64223954}"/>
    <cellStyle name="Vírgula 2 2 2 11 2" xfId="22011" xr:uid="{E19DB99F-A707-4DC9-9C82-3DB0F94F2095}"/>
    <cellStyle name="Vírgula 2 2 2 11 2 2" xfId="42347" xr:uid="{FBFE4FED-0920-4996-84C5-B609688C99F7}"/>
    <cellStyle name="Vírgula 2 2 2 11 3" xfId="25263" xr:uid="{3A3D3D7A-17D9-493A-9C1C-57E89F908864}"/>
    <cellStyle name="Vírgula 2 2 2 11 3 2" xfId="45598" xr:uid="{F2D9D9F9-0E5D-45CA-9319-0EDB5195015C}"/>
    <cellStyle name="Vírgula 2 2 2 11 4" xfId="12615" xr:uid="{C0EDA475-95B9-430E-BD99-383F7EEE7C49}"/>
    <cellStyle name="Vírgula 2 2 2 11 4 2" xfId="32956" xr:uid="{42BFFCAA-536E-4030-A6AA-A0672D9B709B}"/>
    <cellStyle name="Vírgula 2 2 2 11 5" xfId="11720" xr:uid="{48AEC8AF-08BC-4315-894B-00387290C416}"/>
    <cellStyle name="Vírgula 2 2 2 11 5 2" xfId="32062" xr:uid="{EB639730-771D-4B45-824E-721012C61EC5}"/>
    <cellStyle name="Vírgula 2 2 2 11 6" xfId="28568" xr:uid="{5CBA586C-CD94-4BEA-BECA-78D7D1C1A936}"/>
    <cellStyle name="Vírgula 2 2 2 11 7" xfId="51697" xr:uid="{3B8829A4-8030-45B6-83B3-12C1CADBEB5F}"/>
    <cellStyle name="Vírgula 2 2 2 11 8" xfId="54991" xr:uid="{0C58ABB1-9103-4553-ACB9-FC40C35F160F}"/>
    <cellStyle name="Vírgula 2 2 2 11 9" xfId="8224" xr:uid="{7DC5B491-8B7A-458B-B785-9C798BC46576}"/>
    <cellStyle name="Vírgula 2 2 2 12" xfId="3393" xr:uid="{CF026F90-0EE7-4787-AA00-2140A430B4DB}"/>
    <cellStyle name="Vírgula 2 2 2 12 2" xfId="15505" xr:uid="{3D87F6BA-14F4-4688-94AF-0C6EDC6B0D01}"/>
    <cellStyle name="Vírgula 2 2 2 12 2 2" xfId="35845" xr:uid="{1199A2EB-98E2-4735-8C03-DC0B69EC74F2}"/>
    <cellStyle name="Vírgula 2 2 2 12 3" xfId="28799" xr:uid="{137FFBA9-369E-4A64-A0A9-527A8CFA036E}"/>
    <cellStyle name="Vírgula 2 2 2 12 4" xfId="55969" xr:uid="{E6099AB8-3957-45BF-AE54-E7378C9EE46D}"/>
    <cellStyle name="Vírgula 2 2 2 12 5" xfId="8456" xr:uid="{EB4477FE-DCAC-44A0-85AC-EBD800E6868F}"/>
    <cellStyle name="Vírgula 2 2 2 13" xfId="3822" xr:uid="{C5822F02-5565-4A61-BF65-C363326F3DBA}"/>
    <cellStyle name="Vírgula 2 2 2 13 2" xfId="38759" xr:uid="{2C7620C9-191B-4DFF-9300-C5F1A8517E47}"/>
    <cellStyle name="Vírgula 2 2 2 13 3" xfId="18419" xr:uid="{92087FC6-AF43-4504-B000-C0E82D4E2B42}"/>
    <cellStyle name="Vírgula 2 2 2 14" xfId="1741" xr:uid="{4BEE84CE-59E8-45E0-94CB-70C735A1F986}"/>
    <cellStyle name="Vírgula 2 2 2 14 2" xfId="39346" xr:uid="{D4277EF7-006E-4169-9C93-DD185A068F14}"/>
    <cellStyle name="Vírgula 2 2 2 14 3" xfId="19007" xr:uid="{313FBC4F-B264-4551-8429-E54472160BA5}"/>
    <cellStyle name="Vírgula 2 2 2 15" xfId="22262" xr:uid="{9BA43503-EA6D-44BA-870F-B74BD879CC59}"/>
    <cellStyle name="Vírgula 2 2 2 15 2" xfId="42597" xr:uid="{C10B4A8A-C386-4B05-AE04-BDF318F300C1}"/>
    <cellStyle name="Vírgula 2 2 2 16" xfId="11979" xr:uid="{73A5FBE5-5484-427A-82FD-FF8CF3B953C0}"/>
    <cellStyle name="Vírgula 2 2 2 16 2" xfId="32320" xr:uid="{7C51215E-5247-4D64-A5FC-E0E51CC84856}"/>
    <cellStyle name="Vírgula 2 2 2 17" xfId="8718" xr:uid="{D685FFE8-FE6A-49D7-929A-799458B7FC5D}"/>
    <cellStyle name="Vírgula 2 2 2 17 2" xfId="29061" xr:uid="{4B93BBBF-7AC9-4A78-8003-3C56273E36C1}"/>
    <cellStyle name="Vírgula 2 2 2 18" xfId="25563" xr:uid="{B240CD08-34E1-4B4F-94F8-FEED4F965801}"/>
    <cellStyle name="Vírgula 2 2 2 19" xfId="25488" xr:uid="{4530D175-F19A-4AE8-B0F7-4878CF842364}"/>
    <cellStyle name="Vírgula 2 2 2 2" xfId="163" xr:uid="{804B637E-7315-4534-B0BF-1E8CD4B0D6B6}"/>
    <cellStyle name="Vírgula 2 2 2 2 10" xfId="1767" xr:uid="{808F9BD4-FC5D-47CB-A33A-9C3D11F670BE}"/>
    <cellStyle name="Vírgula 2 2 2 2 10 2" xfId="22012" xr:uid="{F9806348-1514-43FC-AE8A-CF55BFEE61E0}"/>
    <cellStyle name="Vírgula 2 2 2 2 10 2 2" xfId="42348" xr:uid="{886ECE7B-B090-4110-88A2-231A3C3BDCC6}"/>
    <cellStyle name="Vírgula 2 2 2 2 10 3" xfId="25264" xr:uid="{C3C7D992-B02C-4DBA-B666-A5416671302D}"/>
    <cellStyle name="Vírgula 2 2 2 2 10 3 2" xfId="45599" xr:uid="{2C7F03C5-C1F2-4E9E-AB71-11A63AEC8CFB}"/>
    <cellStyle name="Vírgula 2 2 2 2 10 4" xfId="12638" xr:uid="{47110C8E-79C4-4BFB-9E57-400AA03C5537}"/>
    <cellStyle name="Vírgula 2 2 2 2 10 4 2" xfId="32979" xr:uid="{7B1C39FF-FC78-4F41-A7EA-63659F615337}"/>
    <cellStyle name="Vírgula 2 2 2 2 10 5" xfId="11721" xr:uid="{0FD18493-4B85-431D-986A-758B334D7DBF}"/>
    <cellStyle name="Vírgula 2 2 2 2 10 5 2" xfId="32063" xr:uid="{2FB77F84-D1D9-471B-9CB3-C67EC853E062}"/>
    <cellStyle name="Vírgula 2 2 2 2 10 6" xfId="28569" xr:uid="{94596DA4-1A01-4435-82FB-7EA9CF521D11}"/>
    <cellStyle name="Vírgula 2 2 2 2 10 7" xfId="8225" xr:uid="{63736AF8-4AEC-4775-A7C5-9212EBB618B2}"/>
    <cellStyle name="Vírgula 2 2 2 2 11" xfId="8484" xr:uid="{28ED8D7C-9E96-427F-821B-A2B65DBA0225}"/>
    <cellStyle name="Vírgula 2 2 2 2 11 2" xfId="15533" xr:uid="{8DED4D9A-382A-4FE1-B345-D5BC0460C507}"/>
    <cellStyle name="Vírgula 2 2 2 2 11 2 2" xfId="35873" xr:uid="{2AA8880D-6A76-4AB2-B6BD-2554CC29FD9E}"/>
    <cellStyle name="Vírgula 2 2 2 2 11 3" xfId="28827" xr:uid="{AD45D9D2-4A78-4425-861C-0587C52A119F}"/>
    <cellStyle name="Vírgula 2 2 2 2 12" xfId="18447" xr:uid="{B262376D-EB9E-4D34-BF09-8AE57AF7F7FE}"/>
    <cellStyle name="Vírgula 2 2 2 2 12 2" xfId="38787" xr:uid="{83E361E7-C694-49B4-BB98-3452ED98077C}"/>
    <cellStyle name="Vírgula 2 2 2 2 13" xfId="19035" xr:uid="{A5CDE6D6-0992-4376-AF77-EE8D71FBE8E1}"/>
    <cellStyle name="Vírgula 2 2 2 2 13 2" xfId="39374" xr:uid="{14C92D8F-9ACE-4991-8249-422A9530C514}"/>
    <cellStyle name="Vírgula 2 2 2 2 14" xfId="22290" xr:uid="{34EC8600-5A80-41F3-8CC5-B96756B2B163}"/>
    <cellStyle name="Vírgula 2 2 2 2 14 2" xfId="42625" xr:uid="{9F523874-2249-423A-839B-C54FC7717ED7}"/>
    <cellStyle name="Vírgula 2 2 2 2 15" xfId="12007" xr:uid="{3D383A86-15AD-4C81-9B17-402CA5C1EE04}"/>
    <cellStyle name="Vírgula 2 2 2 2 15 2" xfId="32348" xr:uid="{0BFB4A16-B0BB-4F60-8FC0-D89D240E5316}"/>
    <cellStyle name="Vírgula 2 2 2 2 16" xfId="8746" xr:uid="{D5FB5049-793C-49AD-BE62-D8BFB8EA0ABC}"/>
    <cellStyle name="Vírgula 2 2 2 2 16 2" xfId="29089" xr:uid="{CF72C08A-BD50-429C-9D2F-9D8A9BD6A2C4}"/>
    <cellStyle name="Vírgula 2 2 2 2 17" xfId="25591" xr:uid="{C2919AAF-0A33-4DE9-9E9C-8C29A1CB5CD1}"/>
    <cellStyle name="Vírgula 2 2 2 2 18" xfId="45859" xr:uid="{93B8261A-43BE-4AB1-A887-CD76D3B8ABA0}"/>
    <cellStyle name="Vírgula 2 2 2 2 19" xfId="46345" xr:uid="{D5ADE212-2690-4CC5-A407-CD3A65E0B487}"/>
    <cellStyle name="Vírgula 2 2 2 2 2" xfId="241" xr:uid="{3C914CC3-9FDB-473F-85E6-099C4C269327}"/>
    <cellStyle name="Vírgula 2 2 2 2 2 10" xfId="22405" xr:uid="{0EF90D8C-8923-4C6E-A4A8-06A643E4FA58}"/>
    <cellStyle name="Vírgula 2 2 2 2 2 10 2" xfId="42740" xr:uid="{31076DB1-D784-43C0-9858-8CD8A981BB7A}"/>
    <cellStyle name="Vírgula 2 2 2 2 2 11" xfId="12122" xr:uid="{78E9E61D-001A-4899-A9C9-10BD68F1A7A6}"/>
    <cellStyle name="Vírgula 2 2 2 2 2 11 2" xfId="32463" xr:uid="{6B828A37-CAC5-4D32-A414-FB9C3CC815A9}"/>
    <cellStyle name="Vírgula 2 2 2 2 2 12" xfId="8861" xr:uid="{0E026202-5A02-49B2-8D0E-0EB006C3BB51}"/>
    <cellStyle name="Vírgula 2 2 2 2 2 12 2" xfId="29204" xr:uid="{0D1D08B7-BC65-4F47-A3D2-A62ADA96075F}"/>
    <cellStyle name="Vírgula 2 2 2 2 2 13" xfId="25710" xr:uid="{A6ACB1EF-973F-4AC8-92FC-D16ACB1817B4}"/>
    <cellStyle name="Vírgula 2 2 2 2 2 14" xfId="45919" xr:uid="{0C410A77-8295-4498-BEB7-B89F053C21F1}"/>
    <cellStyle name="Vírgula 2 2 2 2 2 15" xfId="46405" xr:uid="{0EFDAB11-D56A-42A7-B7EC-C5CBCCCD3249}"/>
    <cellStyle name="Vírgula 2 2 2 2 2 16" xfId="46897" xr:uid="{FDA372C8-63DB-41FD-AA29-4EA624F24A45}"/>
    <cellStyle name="Vírgula 2 2 2 2 2 17" xfId="47407" xr:uid="{8F1BE606-4CFE-469F-858C-F951639A6895}"/>
    <cellStyle name="Vírgula 2 2 2 2 2 18" xfId="47533" xr:uid="{D847EE41-E0A8-402E-91E9-887DD16EB8D8}"/>
    <cellStyle name="Vírgula 2 2 2 2 2 19" xfId="47659" xr:uid="{A8F67FBC-37EA-4FDF-B9CF-CF5658D18684}"/>
    <cellStyle name="Vírgula 2 2 2 2 2 2" xfId="430" xr:uid="{C56B30BE-6F9B-4557-A53A-CC83C17BBBC3}"/>
    <cellStyle name="Vírgula 2 2 2 2 2 2 10" xfId="12509" xr:uid="{33F38356-30A1-4541-A657-35555ECCA80D}"/>
    <cellStyle name="Vírgula 2 2 2 2 2 2 10 2" xfId="32850" xr:uid="{4B4F0806-53A0-4FBC-A108-C4A69EEFBDDC}"/>
    <cellStyle name="Vírgula 2 2 2 2 2 2 11" xfId="9248" xr:uid="{E9D8E583-B8D0-445A-963C-340FC964A01C}"/>
    <cellStyle name="Vírgula 2 2 2 2 2 2 11 2" xfId="29591" xr:uid="{F9E5765E-E7FA-4734-8A9A-A59A4194A047}"/>
    <cellStyle name="Vírgula 2 2 2 2 2 2 12" xfId="26097" xr:uid="{F7C2A0B4-7A1C-43AF-AEF3-76D281B1A201}"/>
    <cellStyle name="Vírgula 2 2 2 2 2 2 13" xfId="45984" xr:uid="{DCC4E9DD-0F2F-4FA2-A70F-09AA1206B6A0}"/>
    <cellStyle name="Vírgula 2 2 2 2 2 2 14" xfId="46470" xr:uid="{FF76BDF9-9CD7-4268-B4DF-C2CFE85B161F}"/>
    <cellStyle name="Vírgula 2 2 2 2 2 2 15" xfId="46962" xr:uid="{6CCA97E8-D7F6-4E4C-A08D-1DC52433FAFF}"/>
    <cellStyle name="Vírgula 2 2 2 2 2 2 16" xfId="48399" xr:uid="{C7A0CD3A-11FB-4DC1-9ED1-06E6D0F5FCC4}"/>
    <cellStyle name="Vírgula 2 2 2 2 2 2 17" xfId="50069" xr:uid="{C31894BB-7319-44D5-90EF-B3D1B1C62DF8}"/>
    <cellStyle name="Vírgula 2 2 2 2 2 2 18" xfId="53364" xr:uid="{857EC89F-F904-49AB-9702-55176D1489E7}"/>
    <cellStyle name="Vírgula 2 2 2 2 2 2 19" xfId="5751" xr:uid="{89069E5B-536F-4947-AD3F-505DDBBF9D36}"/>
    <cellStyle name="Vírgula 2 2 2 2 2 2 2" xfId="1246" xr:uid="{57646EDA-08AD-4847-BFCA-6675680B8E20}"/>
    <cellStyle name="Vírgula 2 2 2 2 2 2 2 10" xfId="46713" xr:uid="{AA87F0DE-BCD5-4BA6-842A-F01D92185B76}"/>
    <cellStyle name="Vírgula 2 2 2 2 2 2 2 11" xfId="47205" xr:uid="{5B160E65-014C-4911-9059-3273ABF73D77}"/>
    <cellStyle name="Vírgula 2 2 2 2 2 2 2 12" xfId="48400" xr:uid="{464F9DB1-845E-41D1-A857-82F089C75BB1}"/>
    <cellStyle name="Vírgula 2 2 2 2 2 2 2 13" xfId="50070" xr:uid="{A9F73A2F-CEC6-4C57-89A4-B6E2AC2988D2}"/>
    <cellStyle name="Vírgula 2 2 2 2 2 2 2 14" xfId="53365" xr:uid="{316BED47-CB77-48D6-B751-D5C3DBAD974A}"/>
    <cellStyle name="Vírgula 2 2 2 2 2 2 2 15" xfId="6330" xr:uid="{04E8C42E-A027-4C16-8311-4A3789F50AF1}"/>
    <cellStyle name="Vírgula 2 2 2 2 2 2 2 16" xfId="5102" xr:uid="{CDDA5CFB-AEE9-4874-B9F8-04B6908A8863}"/>
    <cellStyle name="Vírgula 2 2 2 2 2 2 2 2" xfId="2907" xr:uid="{9217AC9A-FA46-449F-8D93-17481CBE00B9}"/>
    <cellStyle name="Vírgula 2 2 2 2 2 2 2 2 10" xfId="7488" xr:uid="{4A4BE073-E129-467D-98AE-D5A847543B6B}"/>
    <cellStyle name="Vírgula 2 2 2 2 2 2 2 2 2" xfId="17774" xr:uid="{1144C6FA-BB9F-40F0-8668-645C35D76F49}"/>
    <cellStyle name="Vírgula 2 2 2 2 2 2 2 2 2 2" xfId="38114" xr:uid="{0F53388C-50AF-451A-A1DC-A72FD4BCC2DA}"/>
    <cellStyle name="Vírgula 2 2 2 2 2 2 2 2 3" xfId="21276" xr:uid="{C86BC065-EDC1-44BD-BBEC-C8E65232D66F}"/>
    <cellStyle name="Vírgula 2 2 2 2 2 2 2 2 3 2" xfId="41615" xr:uid="{3AEFDE6A-9D31-437F-BF05-93563FF7C0E2}"/>
    <cellStyle name="Vírgula 2 2 2 2 2 2 2 2 4" xfId="24531" xr:uid="{67B6E5D1-1322-4F82-B89A-79C24D8B1887}"/>
    <cellStyle name="Vírgula 2 2 2 2 2 2 2 2 4 2" xfId="44866" xr:uid="{E2801BAB-D33B-4799-A27E-F5127F5B91EC}"/>
    <cellStyle name="Vírgula 2 2 2 2 2 2 2 2 5" xfId="14865" xr:uid="{1C33A0CB-CB25-41D4-BEF8-E86B883A8040}"/>
    <cellStyle name="Vírgula 2 2 2 2 2 2 2 2 5 2" xfId="35206" xr:uid="{FFAEEC66-E8FC-4C6A-8A46-9D1E9B1C65EF}"/>
    <cellStyle name="Vírgula 2 2 2 2 2 2 2 2 6" xfId="10987" xr:uid="{13AD09BC-C696-46E4-8AD4-952311E347EA}"/>
    <cellStyle name="Vírgula 2 2 2 2 2 2 2 2 6 2" xfId="31330" xr:uid="{05538EFB-C4CA-40EF-8992-2EB0F19F1A7E}"/>
    <cellStyle name="Vírgula 2 2 2 2 2 2 2 2 7" xfId="27836" xr:uid="{D05D1F8C-BB6D-4A13-9208-E7A91DB489FB}"/>
    <cellStyle name="Vírgula 2 2 2 2 2 2 2 2 8" xfId="51702" xr:uid="{2D538FDF-1138-44CB-9961-EA76A7B8E5B3}"/>
    <cellStyle name="Vírgula 2 2 2 2 2 2 2 2 9" xfId="54996" xr:uid="{6658D25A-0C8E-4D6C-80A0-3EE329C5390A}"/>
    <cellStyle name="Vírgula 2 2 2 2 2 2 2 3" xfId="16616" xr:uid="{F88E46C9-E95C-4772-B9F7-6126D81A0E05}"/>
    <cellStyle name="Vírgula 2 2 2 2 2 2 2 3 2" xfId="36956" xr:uid="{7CE23D5B-483A-4041-8838-9E0786DBA2CC}"/>
    <cellStyle name="Vírgula 2 2 2 2 2 2 2 3 3" xfId="57117" xr:uid="{92849BC0-23B4-43C0-AEAD-6F2F108729D9}"/>
    <cellStyle name="Vírgula 2 2 2 2 2 2 2 4" xfId="20118" xr:uid="{EDE850C4-137B-4D9A-8E31-791AC7E53C41}"/>
    <cellStyle name="Vírgula 2 2 2 2 2 2 2 4 2" xfId="40457" xr:uid="{D068A979-D58E-4DEE-A0E6-4BA9467B29A6}"/>
    <cellStyle name="Vírgula 2 2 2 2 2 2 2 5" xfId="23373" xr:uid="{33AA0A5B-EAC4-49C4-8388-B8D75A2B7322}"/>
    <cellStyle name="Vírgula 2 2 2 2 2 2 2 5 2" xfId="43708" xr:uid="{C824DF07-7368-4753-A8DA-A8DBDE43B1DF}"/>
    <cellStyle name="Vírgula 2 2 2 2 2 2 2 6" xfId="13707" xr:uid="{0DAFE0C4-270D-4AD1-A496-FCE7688DC98D}"/>
    <cellStyle name="Vírgula 2 2 2 2 2 2 2 6 2" xfId="34048" xr:uid="{AACD0B5E-66F3-4307-B08D-5362CE4977F2}"/>
    <cellStyle name="Vírgula 2 2 2 2 2 2 2 7" xfId="9829" xr:uid="{3D6B9A5D-870D-44C3-BC68-404A18EBC93A}"/>
    <cellStyle name="Vírgula 2 2 2 2 2 2 2 7 2" xfId="30172" xr:uid="{3D7A7E37-D559-44A2-BF49-81DA54C5559B}"/>
    <cellStyle name="Vírgula 2 2 2 2 2 2 2 8" xfId="26678" xr:uid="{D1E16831-A521-4F43-AC3A-03EC6FDAEE1E}"/>
    <cellStyle name="Vírgula 2 2 2 2 2 2 2 9" xfId="46227" xr:uid="{09702C50-5994-4338-82D4-E51CBE5C5FFB}"/>
    <cellStyle name="Vírgula 2 2 2 2 2 2 20" xfId="4711" xr:uid="{548DBC31-FE09-4C40-AA55-373481869301}"/>
    <cellStyle name="Vírgula 2 2 2 2 2 2 3" xfId="1652" xr:uid="{E2AC225B-8E0F-43B1-8FED-07CA3040ABE0}"/>
    <cellStyle name="Vírgula 2 2 2 2 2 2 3 10" xfId="53366" xr:uid="{A1E7CD18-D2EF-4910-9759-F1B0B211172B}"/>
    <cellStyle name="Vírgula 2 2 2 2 2 2 3 11" xfId="6907" xr:uid="{C8223812-CE61-445D-92C2-1A6BE1BC3287}"/>
    <cellStyle name="Vírgula 2 2 2 2 2 2 3 2" xfId="3312" xr:uid="{F2BCE700-D7A7-4F14-AE73-C353024E9682}"/>
    <cellStyle name="Vírgula 2 2 2 2 2 2 3 2 2" xfId="37533" xr:uid="{D1A5DAA2-7B66-40ED-AFE6-698E1FC41F88}"/>
    <cellStyle name="Vírgula 2 2 2 2 2 2 3 2 3" xfId="51703" xr:uid="{104B1565-2145-47BB-AFB8-70BE7BBC863A}"/>
    <cellStyle name="Vírgula 2 2 2 2 2 2 3 2 4" xfId="54997" xr:uid="{7FCC4879-8400-4FC6-9790-92949E0A8B96}"/>
    <cellStyle name="Vírgula 2 2 2 2 2 2 3 2 5" xfId="17193" xr:uid="{40693AF6-020E-4933-95E2-4CF83868AA15}"/>
    <cellStyle name="Vírgula 2 2 2 2 2 2 3 3" xfId="20695" xr:uid="{0EDB36D6-98C1-4C52-8D2D-DF57CEB0BC2B}"/>
    <cellStyle name="Vírgula 2 2 2 2 2 2 3 3 2" xfId="41034" xr:uid="{3D00D6D2-26C4-4EA3-BFE3-7E28F7F4DF0F}"/>
    <cellStyle name="Vírgula 2 2 2 2 2 2 3 3 3" xfId="57523" xr:uid="{E1EACB00-4794-4940-9E83-2C514E681EAE}"/>
    <cellStyle name="Vírgula 2 2 2 2 2 2 3 4" xfId="23950" xr:uid="{EB974A14-3864-448A-B103-EC2520CC2B5D}"/>
    <cellStyle name="Vírgula 2 2 2 2 2 2 3 4 2" xfId="44285" xr:uid="{92C94614-F164-4972-9965-B456690436F3}"/>
    <cellStyle name="Vírgula 2 2 2 2 2 2 3 5" xfId="14284" xr:uid="{8020F014-3CB8-46C5-BDE6-29984D547B75}"/>
    <cellStyle name="Vírgula 2 2 2 2 2 2 3 5 2" xfId="34625" xr:uid="{76DED25A-09AA-4985-AA5D-71ACCA590290}"/>
    <cellStyle name="Vírgula 2 2 2 2 2 2 3 6" xfId="10406" xr:uid="{B7F0265F-8201-4328-81E4-8B9AC3DF38D5}"/>
    <cellStyle name="Vírgula 2 2 2 2 2 2 3 6 2" xfId="30749" xr:uid="{7DC68206-070F-45B6-BD2B-FE0487153740}"/>
    <cellStyle name="Vírgula 2 2 2 2 2 2 3 7" xfId="27255" xr:uid="{BFFF2842-95B8-4025-BD6B-3D0D27466F5A}"/>
    <cellStyle name="Vírgula 2 2 2 2 2 2 3 8" xfId="48401" xr:uid="{C263BFDD-E0C7-48EB-8512-3B83CF0CE396}"/>
    <cellStyle name="Vírgula 2 2 2 2 2 2 3 9" xfId="50071" xr:uid="{7AF50175-5FA9-4709-B05C-A987FEAA9B64}"/>
    <cellStyle name="Vírgula 2 2 2 2 2 2 4" xfId="839" xr:uid="{1E95F24E-1FC2-489F-95FA-64F291408A2D}"/>
    <cellStyle name="Vírgula 2 2 2 2 2 2 4 10" xfId="53367" xr:uid="{58DC6194-C69F-4C75-9FC2-FA39A1938E85}"/>
    <cellStyle name="Vírgula 2 2 2 2 2 2 4 11" xfId="8071" xr:uid="{E0545A5F-AB7D-42FE-83B3-7315039770E0}"/>
    <cellStyle name="Vírgula 2 2 2 2 2 2 4 2" xfId="2555" xr:uid="{071BEF72-0E74-4B6F-B0F5-F2020318CD56}"/>
    <cellStyle name="Vírgula 2 2 2 2 2 2 4 2 2" xfId="38696" xr:uid="{18464DFE-4C96-45F2-92D6-7AFB84F62AA1}"/>
    <cellStyle name="Vírgula 2 2 2 2 2 2 4 2 3" xfId="51704" xr:uid="{40E1715E-B540-4D2B-9C3D-7623845F0852}"/>
    <cellStyle name="Vírgula 2 2 2 2 2 2 4 2 4" xfId="54998" xr:uid="{3FAE150B-3352-443A-94FA-D3ABF769D319}"/>
    <cellStyle name="Vírgula 2 2 2 2 2 2 4 2 5" xfId="18356" xr:uid="{99C08576-72EF-4FAB-8B45-78BE1F93D376}"/>
    <cellStyle name="Vírgula 2 2 2 2 2 2 4 3" xfId="21858" xr:uid="{DACCBBEB-601D-47FD-B530-109EEE3E4098}"/>
    <cellStyle name="Vírgula 2 2 2 2 2 2 4 3 2" xfId="42197" xr:uid="{3DAB54AE-D945-499A-B17F-7A7D23655F08}"/>
    <cellStyle name="Vírgula 2 2 2 2 2 2 4 3 3" xfId="56710" xr:uid="{C87136E9-51D2-4E2B-AE88-224812F7E39D}"/>
    <cellStyle name="Vírgula 2 2 2 2 2 2 4 4" xfId="25113" xr:uid="{5D7F7DF4-41B0-4695-AE1D-04D5BEA6B17E}"/>
    <cellStyle name="Vírgula 2 2 2 2 2 2 4 4 2" xfId="45448" xr:uid="{9E509A0A-7CBA-48B1-9FDC-3F3106E550F5}"/>
    <cellStyle name="Vírgula 2 2 2 2 2 2 4 5" xfId="15448" xr:uid="{45625E59-CDE0-4E9F-A756-237EA843C57E}"/>
    <cellStyle name="Vírgula 2 2 2 2 2 2 4 5 2" xfId="35788" xr:uid="{39B071BE-E17D-4858-AFA3-7D62ACE565A4}"/>
    <cellStyle name="Vírgula 2 2 2 2 2 2 4 6" xfId="11569" xr:uid="{030FF7C3-6905-42B6-965C-4027147690B6}"/>
    <cellStyle name="Vírgula 2 2 2 2 2 2 4 6 2" xfId="31912" xr:uid="{4A32EAB8-7A11-475B-9BD6-D9C76CE7FB98}"/>
    <cellStyle name="Vírgula 2 2 2 2 2 2 4 7" xfId="28418" xr:uid="{FAF4BF8D-0437-408B-9142-21FF37392836}"/>
    <cellStyle name="Vírgula 2 2 2 2 2 2 4 8" xfId="48402" xr:uid="{0A941897-F3CE-4CB9-8BF4-54B003E24D22}"/>
    <cellStyle name="Vírgula 2 2 2 2 2 2 4 9" xfId="50072" xr:uid="{F1C7579F-1E65-4A62-B941-CDAAFBD3AF19}"/>
    <cellStyle name="Vírgula 2 2 2 2 2 2 5" xfId="3693" xr:uid="{8C3F3ABC-3C76-4A96-B446-568BFDD93E79}"/>
    <cellStyle name="Vírgula 2 2 2 2 2 2 5 2" xfId="22014" xr:uid="{B05469D4-56B9-48DD-9DB6-B93E31A038B6}"/>
    <cellStyle name="Vírgula 2 2 2 2 2 2 5 2 2" xfId="42350" xr:uid="{B175F9C7-DD79-4A1C-A212-8E668F439FF6}"/>
    <cellStyle name="Vírgula 2 2 2 2 2 2 5 3" xfId="25266" xr:uid="{D53F8EBB-D373-4A31-8B31-9374136D322B}"/>
    <cellStyle name="Vírgula 2 2 2 2 2 2 5 3 2" xfId="45601" xr:uid="{CAC5A3BD-C25A-430C-8596-06834AC20E1F}"/>
    <cellStyle name="Vírgula 2 2 2 2 2 2 5 4" xfId="13138" xr:uid="{6B5F70B4-8FE7-45C8-A695-9DF0526FA4C0}"/>
    <cellStyle name="Vírgula 2 2 2 2 2 2 5 4 2" xfId="33479" xr:uid="{2C752AFC-6BD4-4158-828E-E702D23DF7BA}"/>
    <cellStyle name="Vírgula 2 2 2 2 2 2 5 5" xfId="11723" xr:uid="{1E19ECEF-CC8E-474C-A920-27677EC7A727}"/>
    <cellStyle name="Vírgula 2 2 2 2 2 2 5 5 2" xfId="32065" xr:uid="{20D85B29-DD5A-4C50-B268-60D3B4FB4F6A}"/>
    <cellStyle name="Vírgula 2 2 2 2 2 2 5 6" xfId="28571" xr:uid="{CCB7E6F4-3F1F-47A1-9DA9-679D9B1BB7DC}"/>
    <cellStyle name="Vírgula 2 2 2 2 2 2 5 7" xfId="51701" xr:uid="{E11057EB-E6B4-4F48-B400-9A19F846F7B5}"/>
    <cellStyle name="Vírgula 2 2 2 2 2 2 5 8" xfId="54995" xr:uid="{362C7F3B-38F4-4B17-BEB2-E7F7D9DD3176}"/>
    <cellStyle name="Vírgula 2 2 2 2 2 2 5 9" xfId="8227" xr:uid="{D7289A10-77C0-45E2-A5DD-5902BC913CC5}"/>
    <cellStyle name="Vírgula 2 2 2 2 2 2 6" xfId="4116" xr:uid="{6944EA60-4CF7-4A6D-9842-09A227670E45}"/>
    <cellStyle name="Vírgula 2 2 2 2 2 2 6 2" xfId="16035" xr:uid="{0553D9C0-F917-4722-A1A2-118CB5465F83}"/>
    <cellStyle name="Vírgula 2 2 2 2 2 2 6 2 2" xfId="36375" xr:uid="{77F133EC-07C0-4C80-BFAE-2AE618397898}"/>
    <cellStyle name="Vírgula 2 2 2 2 2 2 6 3" xfId="28952" xr:uid="{57B64B39-549D-4277-A022-03E74679BABC}"/>
    <cellStyle name="Vírgula 2 2 2 2 2 2 6 4" xfId="56301" xr:uid="{CB547956-F777-4ED9-908A-47992634D0CD}"/>
    <cellStyle name="Vírgula 2 2 2 2 2 2 6 5" xfId="8609" xr:uid="{4CB6ED18-5E6D-4DBD-A7BE-51D8035CF009}"/>
    <cellStyle name="Vírgula 2 2 2 2 2 2 7" xfId="2042" xr:uid="{267CCA4B-5C2E-43EC-AEC8-738FA9022100}"/>
    <cellStyle name="Vírgula 2 2 2 2 2 2 7 2" xfId="39289" xr:uid="{4922A407-1ABE-4328-BD4F-67D98A7C032C}"/>
    <cellStyle name="Vírgula 2 2 2 2 2 2 7 3" xfId="18949" xr:uid="{B7A13148-F0DB-4E59-8ADE-DDAF9925CE22}"/>
    <cellStyle name="Vírgula 2 2 2 2 2 2 8" xfId="19537" xr:uid="{FCB31F46-8AC8-4BB9-9CE4-3FE984C86C21}"/>
    <cellStyle name="Vírgula 2 2 2 2 2 2 8 2" xfId="39876" xr:uid="{CBDFC4A3-0DB1-4481-988F-26DFAC12522C}"/>
    <cellStyle name="Vírgula 2 2 2 2 2 2 9" xfId="22792" xr:uid="{9D23EE6F-CA57-4533-9828-82E0C60D8880}"/>
    <cellStyle name="Vírgula 2 2 2 2 2 2 9 2" xfId="43127" xr:uid="{D66A261F-214B-4375-AD5F-C1FA0F7B981E}"/>
    <cellStyle name="Vírgula 2 2 2 2 2 20" xfId="48398" xr:uid="{280488DB-590C-4DA5-AA54-A1E9CF95B73C}"/>
    <cellStyle name="Vírgula 2 2 2 2 2 21" xfId="50068" xr:uid="{911E3354-06C0-42FE-AF15-86D83E81FB26}"/>
    <cellStyle name="Vírgula 2 2 2 2 2 22" xfId="53363" xr:uid="{37E28BC3-DF02-4BE1-B1DF-BB6DACE3285B}"/>
    <cellStyle name="Vírgula 2 2 2 2 2 23" xfId="5380" xr:uid="{AC8083BA-E0D9-4D66-941E-9B0B0292B217}"/>
    <cellStyle name="Vírgula 2 2 2 2 2 24" xfId="4522" xr:uid="{A9CD1DFC-DA8A-4CE1-9EB6-AE9AA7023BA0}"/>
    <cellStyle name="Vírgula 2 2 2 2 2 3" xfId="1057" xr:uid="{F1C39013-ACFA-425C-98DA-60BEC5FD59C2}"/>
    <cellStyle name="Vírgula 2 2 2 2 2 3 10" xfId="46648" xr:uid="{5124289E-8669-4363-BCFF-6BD55B00290D}"/>
    <cellStyle name="Vírgula 2 2 2 2 2 3 11" xfId="47140" xr:uid="{C1C82A59-F321-42CB-8F34-8E60B7E06145}"/>
    <cellStyle name="Vírgula 2 2 2 2 2 3 12" xfId="48403" xr:uid="{62EDDC68-6BE0-4996-91FB-DEF66DA43984}"/>
    <cellStyle name="Vírgula 2 2 2 2 2 3 13" xfId="50073" xr:uid="{4412EBF5-02CE-40D2-B78C-9CA335738387}"/>
    <cellStyle name="Vírgula 2 2 2 2 2 3 14" xfId="53368" xr:uid="{12889816-A28C-48A2-B7F4-903620D17748}"/>
    <cellStyle name="Vírgula 2 2 2 2 2 3 15" xfId="5943" xr:uid="{18A9F1D8-BA52-427F-8911-A115AEC31A0C}"/>
    <cellStyle name="Vírgula 2 2 2 2 2 3 16" xfId="5038" xr:uid="{6C0D5066-9247-4DE0-A230-74F5D7478931}"/>
    <cellStyle name="Vírgula 2 2 2 2 2 3 2" xfId="3584" xr:uid="{422BAE3D-B199-4DF1-ADC7-A8C93550E60E}"/>
    <cellStyle name="Vírgula 2 2 2 2 2 3 2 10" xfId="7101" xr:uid="{9454BBD6-F1DD-4217-9886-2A89D5B4E068}"/>
    <cellStyle name="Vírgula 2 2 2 2 2 3 2 2" xfId="17387" xr:uid="{4A51BA10-2216-47F3-A1E9-5988FFD5155D}"/>
    <cellStyle name="Vírgula 2 2 2 2 2 3 2 2 2" xfId="37727" xr:uid="{6721E023-8806-42EE-A7E1-CF455CCC3ED9}"/>
    <cellStyle name="Vírgula 2 2 2 2 2 3 2 3" xfId="20889" xr:uid="{804E0C51-DFD5-4575-ACED-7CA38DC35A1E}"/>
    <cellStyle name="Vírgula 2 2 2 2 2 3 2 3 2" xfId="41228" xr:uid="{2CFA2168-D247-4EAE-A787-DB2B49BB30D8}"/>
    <cellStyle name="Vírgula 2 2 2 2 2 3 2 4" xfId="24144" xr:uid="{C107BC29-2592-4452-98A3-1241470A544F}"/>
    <cellStyle name="Vírgula 2 2 2 2 2 3 2 4 2" xfId="44479" xr:uid="{D43D3C7F-71A1-45A6-8354-4E70D0CCED36}"/>
    <cellStyle name="Vírgula 2 2 2 2 2 3 2 5" xfId="14478" xr:uid="{D16C4B36-6A0B-4E7C-9DD2-E497A1C55D14}"/>
    <cellStyle name="Vírgula 2 2 2 2 2 3 2 5 2" xfId="34819" xr:uid="{8378B1FF-5F19-4918-BB40-D7C3FD1D05C1}"/>
    <cellStyle name="Vírgula 2 2 2 2 2 3 2 6" xfId="10600" xr:uid="{0F69DCD2-178A-4FB0-B914-BC21C87BA6FD}"/>
    <cellStyle name="Vírgula 2 2 2 2 2 3 2 6 2" xfId="30943" xr:uid="{6DF5ACA7-F821-42AE-B836-9DDDF9E2F179}"/>
    <cellStyle name="Vírgula 2 2 2 2 2 3 2 7" xfId="27449" xr:uid="{6191C373-2B68-4C6D-A682-BDF8134FFBC1}"/>
    <cellStyle name="Vírgula 2 2 2 2 2 3 2 8" xfId="51705" xr:uid="{213D9654-BC4B-4D9C-8531-44F4B559F0A4}"/>
    <cellStyle name="Vírgula 2 2 2 2 2 3 2 9" xfId="54999" xr:uid="{8553E037-FD77-4780-AD75-3BFF3312E7B8}"/>
    <cellStyle name="Vírgula 2 2 2 2 2 3 3" xfId="4288" xr:uid="{8A957B3B-322F-48E3-BAEB-D65D9723B697}"/>
    <cellStyle name="Vírgula 2 2 2 2 2 3 3 2" xfId="22015" xr:uid="{20767F25-DDD5-47AA-B2D9-1E912D5972AE}"/>
    <cellStyle name="Vírgula 2 2 2 2 2 3 3 2 2" xfId="42351" xr:uid="{A0D06AB6-A545-4F51-A358-4070970E27CC}"/>
    <cellStyle name="Vírgula 2 2 2 2 2 3 3 3" xfId="25267" xr:uid="{B6922FBE-A819-42BD-AB2A-CA6D659249A0}"/>
    <cellStyle name="Vírgula 2 2 2 2 2 3 3 3 2" xfId="45602" xr:uid="{7A0B39D9-0779-4FEC-BF52-11DF1DFFC398}"/>
    <cellStyle name="Vírgula 2 2 2 2 2 3 3 4" xfId="16229" xr:uid="{AB90167F-C986-4586-BF41-7ADF99CC05E4}"/>
    <cellStyle name="Vírgula 2 2 2 2 2 3 3 4 2" xfId="36569" xr:uid="{460142BB-62CF-4614-AD00-22DFB940C48D}"/>
    <cellStyle name="Vírgula 2 2 2 2 2 3 3 5" xfId="11724" xr:uid="{59B6D512-2B5B-4001-B1AB-B5011F37DCC6}"/>
    <cellStyle name="Vírgula 2 2 2 2 2 3 3 5 2" xfId="32066" xr:uid="{92932E2B-BBEB-4A88-B0FB-FB55AD6C4559}"/>
    <cellStyle name="Vírgula 2 2 2 2 2 3 3 6" xfId="28572" xr:uid="{4127105B-4109-4013-A994-5055FD600577}"/>
    <cellStyle name="Vírgula 2 2 2 2 2 3 3 7" xfId="56928" xr:uid="{4AD25DBA-A36D-4434-A189-8FF5B675BEEB}"/>
    <cellStyle name="Vírgula 2 2 2 2 2 3 3 8" xfId="8228" xr:uid="{829914DB-4C48-4F62-9817-DD0A39299DBC}"/>
    <cellStyle name="Vírgula 2 2 2 2 2 3 4" xfId="1933" xr:uid="{3ED1672D-2952-43D7-81D2-D7C592EEF358}"/>
    <cellStyle name="Vírgula 2 2 2 2 2 3 4 2" xfId="40070" xr:uid="{A807083B-CBBF-4244-90BF-E40254CF9AB1}"/>
    <cellStyle name="Vírgula 2 2 2 2 2 3 4 3" xfId="19731" xr:uid="{F9C90D56-BAAE-434A-8C87-3865E975BA22}"/>
    <cellStyle name="Vírgula 2 2 2 2 2 3 5" xfId="22986" xr:uid="{03C1E151-B43E-469F-ACCB-5121F3947C9F}"/>
    <cellStyle name="Vírgula 2 2 2 2 2 3 5 2" xfId="43321" xr:uid="{FD7DEAB7-3D27-4310-855E-36626C000405}"/>
    <cellStyle name="Vírgula 2 2 2 2 2 3 6" xfId="13320" xr:uid="{ACD49C1B-EFFD-477A-B7DD-E5F8A22DFE66}"/>
    <cellStyle name="Vírgula 2 2 2 2 2 3 6 2" xfId="33661" xr:uid="{2CE7DA73-6085-4B42-9862-635903CA46FD}"/>
    <cellStyle name="Vírgula 2 2 2 2 2 3 7" xfId="9442" xr:uid="{818B8BD8-6106-493D-A013-ABB1234C0B90}"/>
    <cellStyle name="Vírgula 2 2 2 2 2 3 7 2" xfId="29785" xr:uid="{E3922F0F-9A30-4A0F-8E26-B00F88CBAA5B}"/>
    <cellStyle name="Vírgula 2 2 2 2 2 3 8" xfId="26291" xr:uid="{8A7FFA70-5DB6-45E4-BC08-433FBD31E153}"/>
    <cellStyle name="Vírgula 2 2 2 2 2 3 9" xfId="46162" xr:uid="{D47DC55E-2CF2-4A55-B524-017CD82D0EED}"/>
    <cellStyle name="Vírgula 2 2 2 2 2 4" xfId="1463" xr:uid="{D02BB33B-4963-4F0A-B48B-145830357C83}"/>
    <cellStyle name="Vírgula 2 2 2 2 2 4 10" xfId="53369" xr:uid="{9F3E021B-84B9-4822-B043-4DA780D47B06}"/>
    <cellStyle name="Vírgula 2 2 2 2 2 4 11" xfId="6520" xr:uid="{76025E60-4445-466D-B983-EF05FC3C6F47}"/>
    <cellStyle name="Vírgula 2 2 2 2 2 4 12" xfId="4883" xr:uid="{F825C526-4058-4054-B4AF-DE0C602524D4}"/>
    <cellStyle name="Vírgula 2 2 2 2 2 4 2" xfId="3802" xr:uid="{F9D4014F-4D72-47AB-852D-36CA4D77F288}"/>
    <cellStyle name="Vírgula 2 2 2 2 2 4 2 2" xfId="37146" xr:uid="{B3A49EC1-F3EF-442E-9D43-F054EC499A78}"/>
    <cellStyle name="Vírgula 2 2 2 2 2 4 2 3" xfId="51706" xr:uid="{7BE78E98-97C7-4B54-9A77-8D711B46ECD4}"/>
    <cellStyle name="Vírgula 2 2 2 2 2 4 2 4" xfId="55000" xr:uid="{C7B35C45-F3A2-4D9F-AFD4-63F226A9A2A6}"/>
    <cellStyle name="Vírgula 2 2 2 2 2 4 2 5" xfId="16806" xr:uid="{DC0483E1-9B48-4F0B-89A7-77EEF4D2608A}"/>
    <cellStyle name="Vírgula 2 2 2 2 2 4 3" xfId="3124" xr:uid="{F8582ECD-07C7-4AFB-81A1-787283C9BF77}"/>
    <cellStyle name="Vírgula 2 2 2 2 2 4 3 2" xfId="40647" xr:uid="{1CCF0021-AE7D-4343-A956-BF3A67442D87}"/>
    <cellStyle name="Vírgula 2 2 2 2 2 4 3 3" xfId="57334" xr:uid="{477888A7-7E3E-4C84-920B-FFB9487D0CB4}"/>
    <cellStyle name="Vírgula 2 2 2 2 2 4 3 4" xfId="20308" xr:uid="{4019ACCD-4945-4738-BBDA-BD36EBA07E95}"/>
    <cellStyle name="Vírgula 2 2 2 2 2 4 4" xfId="23563" xr:uid="{1211B8C0-4DAD-4B60-B0CE-6D2435BBC094}"/>
    <cellStyle name="Vírgula 2 2 2 2 2 4 4 2" xfId="43898" xr:uid="{95DA04D6-019A-4F34-88A2-3DAC3EC71886}"/>
    <cellStyle name="Vírgula 2 2 2 2 2 4 5" xfId="13897" xr:uid="{649F533C-73E1-4C3F-A58C-3A98240D1DAF}"/>
    <cellStyle name="Vírgula 2 2 2 2 2 4 5 2" xfId="34238" xr:uid="{0A40B10A-75BE-41A8-BC70-D03DF722B1BA}"/>
    <cellStyle name="Vírgula 2 2 2 2 2 4 6" xfId="10019" xr:uid="{57AB7988-89A7-4EEE-913E-FA4691140904}"/>
    <cellStyle name="Vírgula 2 2 2 2 2 4 6 2" xfId="30362" xr:uid="{C325C3F4-8650-41EF-8791-E85C857F09E4}"/>
    <cellStyle name="Vírgula 2 2 2 2 2 4 7" xfId="26868" xr:uid="{127ED5ED-8438-4F8B-97FA-5DF8B0DB1DF9}"/>
    <cellStyle name="Vírgula 2 2 2 2 2 4 8" xfId="48404" xr:uid="{428E2743-AE81-4FDE-99B2-4FF42C514884}"/>
    <cellStyle name="Vírgula 2 2 2 2 2 4 9" xfId="50074" xr:uid="{8B0FB649-6A9A-4941-80AD-823A1AC2E20A}"/>
    <cellStyle name="Vírgula 2 2 2 2 2 5" xfId="650" xr:uid="{0110DBC2-9C10-4398-BE9F-3A90F8E7F4BE}"/>
    <cellStyle name="Vírgula 2 2 2 2 2 5 10" xfId="53370" xr:uid="{F7C2718C-98B7-4324-9EDF-9F0CAA69AA20}"/>
    <cellStyle name="Vírgula 2 2 2 2 2 5 11" xfId="7684" xr:uid="{67388A91-BBDF-4379-AB4E-F34795CEC3AC}"/>
    <cellStyle name="Vírgula 2 2 2 2 2 5 2" xfId="2366" xr:uid="{227CE135-2A89-4301-AD00-EFE79A47611F}"/>
    <cellStyle name="Vírgula 2 2 2 2 2 5 2 2" xfId="38309" xr:uid="{4101AB91-85D0-4A0F-82CF-52C075E7D239}"/>
    <cellStyle name="Vírgula 2 2 2 2 2 5 2 3" xfId="51707" xr:uid="{26D6B752-F12D-45A0-B8AD-DE32A084EBAA}"/>
    <cellStyle name="Vírgula 2 2 2 2 2 5 2 4" xfId="55001" xr:uid="{3544675B-B184-4A44-B290-8C886674C4E0}"/>
    <cellStyle name="Vírgula 2 2 2 2 2 5 2 5" xfId="17969" xr:uid="{F7441728-B1AF-41C6-8D2A-1745C1627A83}"/>
    <cellStyle name="Vírgula 2 2 2 2 2 5 3" xfId="21471" xr:uid="{D684B50D-1D75-463A-983D-A2F1CEFBC765}"/>
    <cellStyle name="Vírgula 2 2 2 2 2 5 3 2" xfId="41810" xr:uid="{D3A3CE97-40AD-4576-9AA2-7196803B8C19}"/>
    <cellStyle name="Vírgula 2 2 2 2 2 5 3 3" xfId="56521" xr:uid="{59451ABF-C202-4B5A-9DE0-05F9E4889BD6}"/>
    <cellStyle name="Vírgula 2 2 2 2 2 5 4" xfId="24726" xr:uid="{52875C9A-25D3-4C65-A433-0AE55C4A40D4}"/>
    <cellStyle name="Vírgula 2 2 2 2 2 5 4 2" xfId="45061" xr:uid="{D4799AFF-0CF1-49BE-92E7-87ED3D91090C}"/>
    <cellStyle name="Vírgula 2 2 2 2 2 5 5" xfId="15061" xr:uid="{5149BB37-B606-4C87-9EB8-6EC8E6B71C4A}"/>
    <cellStyle name="Vírgula 2 2 2 2 2 5 5 2" xfId="35401" xr:uid="{13D082EF-88B0-4E3F-97E6-53F7A08E71DB}"/>
    <cellStyle name="Vírgula 2 2 2 2 2 5 6" xfId="11182" xr:uid="{909E6C18-EB1C-408D-9D76-BC8E8000D656}"/>
    <cellStyle name="Vírgula 2 2 2 2 2 5 6 2" xfId="31525" xr:uid="{EF0B4F3F-A025-411C-8465-E95BEBED2992}"/>
    <cellStyle name="Vírgula 2 2 2 2 2 5 7" xfId="28031" xr:uid="{5DBBCB27-0B94-4799-8F06-BF87E625CBCA}"/>
    <cellStyle name="Vírgula 2 2 2 2 2 5 8" xfId="48405" xr:uid="{6A64C6C5-7D4D-4427-A6C9-C1436E83AFC3}"/>
    <cellStyle name="Vírgula 2 2 2 2 2 5 9" xfId="50075" xr:uid="{9751EAA9-1D35-446C-BB10-5E482B63B2A3}"/>
    <cellStyle name="Vírgula 2 2 2 2 2 6" xfId="3474" xr:uid="{3208EC4A-CE0E-45D2-B3F3-B4BC505123E4}"/>
    <cellStyle name="Vírgula 2 2 2 2 2 6 2" xfId="22013" xr:uid="{8F01C544-7DDB-41FD-8B78-A1330CB275CF}"/>
    <cellStyle name="Vírgula 2 2 2 2 2 6 2 2" xfId="42349" xr:uid="{7247C1BD-4A49-4424-AFAB-D0F43BF47248}"/>
    <cellStyle name="Vírgula 2 2 2 2 2 6 3" xfId="25265" xr:uid="{5E3A1025-F6C4-41DD-A897-210A9BFD0C82}"/>
    <cellStyle name="Vírgula 2 2 2 2 2 6 3 2" xfId="45600" xr:uid="{CB245553-8D7F-4182-B06C-0E83BFB542D7}"/>
    <cellStyle name="Vírgula 2 2 2 2 2 6 4" xfId="12751" xr:uid="{8BF7A024-90A3-4C2C-999A-A84568DD4CF0}"/>
    <cellStyle name="Vírgula 2 2 2 2 2 6 4 2" xfId="33092" xr:uid="{C8D2179D-2904-45EE-957A-FBD0B0095343}"/>
    <cellStyle name="Vírgula 2 2 2 2 2 6 5" xfId="11722" xr:uid="{2A1314D0-7B63-464E-B60B-936361C746EC}"/>
    <cellStyle name="Vírgula 2 2 2 2 2 6 5 2" xfId="32064" xr:uid="{D086F7E5-4751-449C-A410-F27E06BD9241}"/>
    <cellStyle name="Vírgula 2 2 2 2 2 6 6" xfId="28570" xr:uid="{20CEAEEA-8707-4094-A550-194D9A9A5A91}"/>
    <cellStyle name="Vírgula 2 2 2 2 2 6 7" xfId="51700" xr:uid="{5977ACE6-8BA9-4971-9A4C-A00F90876AC8}"/>
    <cellStyle name="Vírgula 2 2 2 2 2 6 8" xfId="54994" xr:uid="{F2628BFC-28CE-4DAE-A503-1F4E481FC53F}"/>
    <cellStyle name="Vírgula 2 2 2 2 2 6 9" xfId="8226" xr:uid="{50947675-2122-440C-A5C9-1F2235D31FB1}"/>
    <cellStyle name="Vírgula 2 2 2 2 2 7" xfId="3944" xr:uid="{9625D18B-E9E9-4347-8FBE-B156FD40DB8C}"/>
    <cellStyle name="Vírgula 2 2 2 2 2 7 2" xfId="15648" xr:uid="{3E07015C-9881-4017-9A3D-5CE32F75D1E3}"/>
    <cellStyle name="Vírgula 2 2 2 2 2 7 2 2" xfId="35988" xr:uid="{CFB873D2-DC9C-40CD-8AB4-F800C58AE621}"/>
    <cellStyle name="Vírgula 2 2 2 2 2 7 3" xfId="28887" xr:uid="{BD530FA2-FB65-4C39-8D87-88B4528B5E16}"/>
    <cellStyle name="Vírgula 2 2 2 2 2 7 4" xfId="56112" xr:uid="{015BE48B-8489-4C75-BEE1-67977999B476}"/>
    <cellStyle name="Vírgula 2 2 2 2 2 7 5" xfId="8544" xr:uid="{CC784FD0-A162-42D8-95EC-ED1D70036DCF}"/>
    <cellStyle name="Vírgula 2 2 2 2 2 8" xfId="1823" xr:uid="{83D4D577-2CC2-4835-BACA-6C5A71180C91}"/>
    <cellStyle name="Vírgula 2 2 2 2 2 8 2" xfId="38902" xr:uid="{E90DA3E6-DB33-441F-BEF4-0E8EABBEFEA1}"/>
    <cellStyle name="Vírgula 2 2 2 2 2 8 3" xfId="18562" xr:uid="{B9C77787-328E-4719-BED2-20067B0DB1CF}"/>
    <cellStyle name="Vírgula 2 2 2 2 2 9" xfId="19150" xr:uid="{7387E0B7-92DC-4E0C-A926-207BA2583403}"/>
    <cellStyle name="Vírgula 2 2 2 2 2 9 2" xfId="39489" xr:uid="{762170DC-B01B-4604-A52B-89C2C3FA032C}"/>
    <cellStyle name="Vírgula 2 2 2 2 20" xfId="46837" xr:uid="{B672362A-0BD7-49F7-9A9C-0D3C402C9639}"/>
    <cellStyle name="Vírgula 2 2 2 2 21" xfId="47351" xr:uid="{EA2B7A46-EFB7-45F4-9EF6-CC9EC1317658}"/>
    <cellStyle name="Vírgula 2 2 2 2 22" xfId="47477" xr:uid="{9198DF5B-2C1D-480F-A261-19FAA9C94054}"/>
    <cellStyle name="Vírgula 2 2 2 2 23" xfId="47603" xr:uid="{06146D5C-98D4-467E-8926-DABE42BDB9FC}"/>
    <cellStyle name="Vírgula 2 2 2 2 24" xfId="48397" xr:uid="{42DBFBF2-EF33-46A4-9F57-478A8DCEF127}"/>
    <cellStyle name="Vírgula 2 2 2 2 25" xfId="50067" xr:uid="{BBCBDD87-3A60-47D9-BE50-15AA7E2967CA}"/>
    <cellStyle name="Vírgula 2 2 2 2 26" xfId="53362" xr:uid="{E6EF3A5C-5C19-4D17-A08F-79C7CE5CA1BD}"/>
    <cellStyle name="Vírgula 2 2 2 2 27" xfId="5257" xr:uid="{1294543F-4D32-43D8-AF67-55C156C8BF82}"/>
    <cellStyle name="Vírgula 2 2 2 2 28" xfId="4444" xr:uid="{D0A4A9A9-FC5B-47E5-AD95-6EC72CC86146}"/>
    <cellStyle name="Vírgula 2 2 2 2 3" xfId="293" xr:uid="{0336740E-99C6-4474-BFAC-B144C0108E67}"/>
    <cellStyle name="Vírgula 2 2 2 2 3 10" xfId="12218" xr:uid="{DDB70275-AA05-4AE9-8955-ADE4ABF656F8}"/>
    <cellStyle name="Vírgula 2 2 2 2 3 10 2" xfId="32559" xr:uid="{7D7BC630-ADBA-4BC7-A0BD-224EAACD419C}"/>
    <cellStyle name="Vírgula 2 2 2 2 3 11" xfId="8957" xr:uid="{68F75242-DE0C-4DE2-8511-D67884455A7E}"/>
    <cellStyle name="Vírgula 2 2 2 2 3 11 2" xfId="29300" xr:uid="{73AA7E79-AF21-459E-9661-EF1ABB4A0F16}"/>
    <cellStyle name="Vírgula 2 2 2 2 3 12" xfId="25806" xr:uid="{0C0339CC-708B-4605-8F49-6CFB4A693166}"/>
    <cellStyle name="Vírgula 2 2 2 2 3 13" xfId="45983" xr:uid="{1C2142C3-2056-4043-8C33-B1ABCF377E56}"/>
    <cellStyle name="Vírgula 2 2 2 2 3 14" xfId="46469" xr:uid="{523A76DD-1392-4171-8E5C-29AE8599C449}"/>
    <cellStyle name="Vírgula 2 2 2 2 3 15" xfId="46961" xr:uid="{E2730159-A926-406B-9096-6C272F93D07B}"/>
    <cellStyle name="Vírgula 2 2 2 2 3 16" xfId="48406" xr:uid="{C511110C-BFD2-4B2B-8A69-C27852F10324}"/>
    <cellStyle name="Vírgula 2 2 2 2 3 17" xfId="50076" xr:uid="{8F6BB588-42F7-47C9-A36E-18296F8C85AF}"/>
    <cellStyle name="Vírgula 2 2 2 2 3 18" xfId="53371" xr:uid="{B20AAFCC-ABC4-4632-87E0-D6CC73022013}"/>
    <cellStyle name="Vírgula 2 2 2 2 3 19" xfId="5468" xr:uid="{F4F288A6-079E-4057-B0AD-B5EC921DECF2}"/>
    <cellStyle name="Vírgula 2 2 2 2 3 2" xfId="482" xr:uid="{B4D3BF4D-1F7E-4FCE-880A-48DB1EF6545E}"/>
    <cellStyle name="Vírgula 2 2 2 2 3 2 10" xfId="46712" xr:uid="{96DE220B-5909-491C-858A-968D48037C07}"/>
    <cellStyle name="Vírgula 2 2 2 2 3 2 11" xfId="47204" xr:uid="{CA4DDA67-3341-4B05-ADC7-B19D71627487}"/>
    <cellStyle name="Vírgula 2 2 2 2 3 2 12" xfId="48407" xr:uid="{09A2C9BE-43D9-4934-A9D1-61543E5A91F6}"/>
    <cellStyle name="Vírgula 2 2 2 2 3 2 13" xfId="50077" xr:uid="{18FD05F1-B974-43AE-9F53-D01BBCB3A250}"/>
    <cellStyle name="Vírgula 2 2 2 2 3 2 14" xfId="53372" xr:uid="{AACE282E-7F3E-4859-8672-607BD1CD64E1}"/>
    <cellStyle name="Vírgula 2 2 2 2 3 2 15" xfId="6039" xr:uid="{F644905F-624C-4549-BD3E-531FA72AA1E3}"/>
    <cellStyle name="Vírgula 2 2 2 2 3 2 16" xfId="4763" xr:uid="{56BB8209-6D1A-4EEB-89E8-381C86B5111B}"/>
    <cellStyle name="Vírgula 2 2 2 2 3 2 2" xfId="1298" xr:uid="{FB54FEC9-890F-434C-8623-0FA45F4FC7DB}"/>
    <cellStyle name="Vírgula 2 2 2 2 3 2 2 10" xfId="53373" xr:uid="{34594C15-C6F6-4D2D-8588-69A474FB82B3}"/>
    <cellStyle name="Vírgula 2 2 2 2 3 2 2 11" xfId="7197" xr:uid="{DF9FEA76-FB63-4416-B15E-BB50C9F5C942}"/>
    <cellStyle name="Vírgula 2 2 2 2 3 2 2 12" xfId="5101" xr:uid="{0DA18905-174A-43FF-AF40-B3DC84C26D93}"/>
    <cellStyle name="Vírgula 2 2 2 2 3 2 2 2" xfId="2959" xr:uid="{FEBF668E-997D-411A-BFF4-8F832D9B2A8E}"/>
    <cellStyle name="Vírgula 2 2 2 2 3 2 2 2 2" xfId="37823" xr:uid="{2C8E964B-3738-4628-9786-881DDB70099C}"/>
    <cellStyle name="Vírgula 2 2 2 2 3 2 2 2 3" xfId="51710" xr:uid="{F5E94ECD-52ED-4513-98C0-C84C48DBDFC6}"/>
    <cellStyle name="Vírgula 2 2 2 2 3 2 2 2 4" xfId="55004" xr:uid="{E292A64C-191E-4325-8082-5135E11CB9A0}"/>
    <cellStyle name="Vírgula 2 2 2 2 3 2 2 2 5" xfId="17483" xr:uid="{A680E41B-2C70-4326-A221-B491CB23DED3}"/>
    <cellStyle name="Vírgula 2 2 2 2 3 2 2 3" xfId="20985" xr:uid="{4E725ACF-6E17-47E8-B074-126027BD686B}"/>
    <cellStyle name="Vírgula 2 2 2 2 3 2 2 3 2" xfId="41324" xr:uid="{B0CD8C37-59F0-4A31-ABC2-6904D3D1C9BA}"/>
    <cellStyle name="Vírgula 2 2 2 2 3 2 2 3 3" xfId="57169" xr:uid="{DCB83F15-3304-4106-BFAA-366831B8EE3B}"/>
    <cellStyle name="Vírgula 2 2 2 2 3 2 2 4" xfId="24240" xr:uid="{95451D7E-7D8A-43F2-BE68-CA3B4FB1D6D4}"/>
    <cellStyle name="Vírgula 2 2 2 2 3 2 2 4 2" xfId="44575" xr:uid="{0AD6B133-2B1F-4BE0-B088-725CB54F891B}"/>
    <cellStyle name="Vírgula 2 2 2 2 3 2 2 5" xfId="14574" xr:uid="{AF75EC8F-2984-47CC-B06A-39AF9407FE90}"/>
    <cellStyle name="Vírgula 2 2 2 2 3 2 2 5 2" xfId="34915" xr:uid="{59C5E1E3-DE4D-4DAA-B8DF-01A9FEDC83DC}"/>
    <cellStyle name="Vírgula 2 2 2 2 3 2 2 6" xfId="10696" xr:uid="{3F61CCF1-9878-4833-B584-3F864F0DD911}"/>
    <cellStyle name="Vírgula 2 2 2 2 3 2 2 6 2" xfId="31039" xr:uid="{1C50394A-1DB6-4A9F-8C19-A3DFBCCDE8F3}"/>
    <cellStyle name="Vírgula 2 2 2 2 3 2 2 7" xfId="27545" xr:uid="{18D3229D-93C5-4CB8-8A86-5511842CC1E4}"/>
    <cellStyle name="Vírgula 2 2 2 2 3 2 2 8" xfId="48408" xr:uid="{EDCD30D1-9880-4570-A3A5-9576D906455E}"/>
    <cellStyle name="Vírgula 2 2 2 2 3 2 2 9" xfId="50078" xr:uid="{3B31E7BF-D24E-49A0-AB63-4219EEC489FB}"/>
    <cellStyle name="Vírgula 2 2 2 2 3 2 3" xfId="1704" xr:uid="{A2D2956B-375C-4B84-8729-CA8A5B5918CF}"/>
    <cellStyle name="Vírgula 2 2 2 2 3 2 3 2" xfId="3364" xr:uid="{A83760E2-F196-4F39-BB71-8B736E8B5624}"/>
    <cellStyle name="Vírgula 2 2 2 2 3 2 3 2 2" xfId="51711" xr:uid="{6A8DCB91-9A9F-4F75-B664-9C0A9FC71E96}"/>
    <cellStyle name="Vírgula 2 2 2 2 3 2 3 2 3" xfId="55005" xr:uid="{1D2415D5-956A-4B57-B1BD-C512E16A7710}"/>
    <cellStyle name="Vírgula 2 2 2 2 3 2 3 2 4" xfId="36665" xr:uid="{C3EC2B49-6FDE-485F-B2AF-831AC6D60A1B}"/>
    <cellStyle name="Vírgula 2 2 2 2 3 2 3 3" xfId="48409" xr:uid="{C848EE75-92A8-4B5A-A50C-D90ACB62E09E}"/>
    <cellStyle name="Vírgula 2 2 2 2 3 2 3 3 2" xfId="57575" xr:uid="{2300EAB2-1768-4EDD-BB0C-5C973DAD1F7D}"/>
    <cellStyle name="Vírgula 2 2 2 2 3 2 3 4" xfId="50079" xr:uid="{090EEF4D-E5D0-4A22-BF30-02B76C86F4AA}"/>
    <cellStyle name="Vírgula 2 2 2 2 3 2 3 5" xfId="53374" xr:uid="{9731E5D5-AF1C-489B-8AEE-0EE028793D3B}"/>
    <cellStyle name="Vírgula 2 2 2 2 3 2 3 6" xfId="16325" xr:uid="{707F1BCE-9DDE-4D01-8585-BB12DF35FDF5}"/>
    <cellStyle name="Vírgula 2 2 2 2 3 2 4" xfId="891" xr:uid="{B386C67F-1B87-4AB9-913B-BE5818E5A5F8}"/>
    <cellStyle name="Vírgula 2 2 2 2 3 2 4 2" xfId="2607" xr:uid="{5A8E147F-B359-4BD1-BC23-D87A9AE9635B}"/>
    <cellStyle name="Vírgula 2 2 2 2 3 2 4 2 2" xfId="51712" xr:uid="{36ED273E-239A-4848-8C86-0F0B7C60560B}"/>
    <cellStyle name="Vírgula 2 2 2 2 3 2 4 2 3" xfId="55006" xr:uid="{A2786C2C-6E61-419B-9DA1-C6C5EB9D8EFF}"/>
    <cellStyle name="Vírgula 2 2 2 2 3 2 4 2 4" xfId="40166" xr:uid="{DA99A2C7-97A4-45F8-B1B1-D808568D2236}"/>
    <cellStyle name="Vírgula 2 2 2 2 3 2 4 3" xfId="48410" xr:uid="{A888DC98-82AA-4C88-8B4C-D87C91B5481B}"/>
    <cellStyle name="Vírgula 2 2 2 2 3 2 4 3 2" xfId="56762" xr:uid="{D9FB64B2-5289-41D5-9F69-FCD12EFF5BAE}"/>
    <cellStyle name="Vírgula 2 2 2 2 3 2 4 4" xfId="50080" xr:uid="{15672595-6587-4273-A5AA-5D3D31156948}"/>
    <cellStyle name="Vírgula 2 2 2 2 3 2 4 5" xfId="53375" xr:uid="{24019364-AE97-4211-BA62-8651EA7424A1}"/>
    <cellStyle name="Vírgula 2 2 2 2 3 2 4 6" xfId="19827" xr:uid="{54E2A3F2-CCE4-4F07-98AD-C967384E60DF}"/>
    <cellStyle name="Vírgula 2 2 2 2 3 2 5" xfId="2199" xr:uid="{1A4615AE-DAC8-4FBE-9F1B-0F7369D1611C}"/>
    <cellStyle name="Vírgula 2 2 2 2 3 2 5 2" xfId="43417" xr:uid="{CDCC91C2-7832-4858-9CDF-4B98C636EC93}"/>
    <cellStyle name="Vírgula 2 2 2 2 3 2 5 3" xfId="51709" xr:uid="{99363424-3449-478F-A424-8A538E6DA075}"/>
    <cellStyle name="Vírgula 2 2 2 2 3 2 5 4" xfId="55003" xr:uid="{F9FF8C93-9D95-4D09-8DE1-941AAD24B672}"/>
    <cellStyle name="Vírgula 2 2 2 2 3 2 5 5" xfId="23082" xr:uid="{CBBD89CD-23DE-47AB-95D2-77107D804033}"/>
    <cellStyle name="Vírgula 2 2 2 2 3 2 6" xfId="13416" xr:uid="{1EAC0A26-6054-4670-A4AC-65FC9ECFA9D9}"/>
    <cellStyle name="Vírgula 2 2 2 2 3 2 6 2" xfId="33757" xr:uid="{CEFC39F4-24CB-4569-AC9D-C7FA18DDA474}"/>
    <cellStyle name="Vírgula 2 2 2 2 3 2 6 3" xfId="56353" xr:uid="{6FD36372-25F3-44F9-A03A-C92FCC1DB52E}"/>
    <cellStyle name="Vírgula 2 2 2 2 3 2 7" xfId="9538" xr:uid="{3BF9E2B8-71E7-4E61-8374-765780FACB07}"/>
    <cellStyle name="Vírgula 2 2 2 2 3 2 7 2" xfId="29881" xr:uid="{E331780F-AAAE-4C5C-A198-AF8C7717C274}"/>
    <cellStyle name="Vírgula 2 2 2 2 3 2 8" xfId="26387" xr:uid="{8D122100-FE5E-455C-AD0A-59BB97BCD504}"/>
    <cellStyle name="Vírgula 2 2 2 2 3 2 9" xfId="46226" xr:uid="{2051C4D5-EF1C-4960-ACBF-F45C8DC9E5B1}"/>
    <cellStyle name="Vírgula 2 2 2 2 3 20" xfId="4574" xr:uid="{06B938B7-7CA1-4665-B696-24A8373DF1EF}"/>
    <cellStyle name="Vírgula 2 2 2 2 3 3" xfId="1109" xr:uid="{13622F16-A53C-4BAF-8E28-AA12CB74269D}"/>
    <cellStyle name="Vírgula 2 2 2 2 3 3 10" xfId="53376" xr:uid="{709B70B0-AADB-42C1-BE1A-83BE05D6CB1F}"/>
    <cellStyle name="Vírgula 2 2 2 2 3 3 11" xfId="6616" xr:uid="{EDD1332D-6D92-4CE4-9E13-5ECC1FA24CB8}"/>
    <cellStyle name="Vírgula 2 2 2 2 3 3 12" xfId="4882" xr:uid="{1D77E869-7AD5-4D9E-81CA-83ED27D9825A}"/>
    <cellStyle name="Vírgula 2 2 2 2 3 3 2" xfId="2772" xr:uid="{FEDC3570-034B-4B9F-8F19-975A6C996A54}"/>
    <cellStyle name="Vírgula 2 2 2 2 3 3 2 2" xfId="37242" xr:uid="{04A4AB12-9C13-45BE-A7D7-E063D10A10C2}"/>
    <cellStyle name="Vírgula 2 2 2 2 3 3 2 3" xfId="51713" xr:uid="{65004FB7-8D13-48F3-A713-763ADA6C2AA7}"/>
    <cellStyle name="Vírgula 2 2 2 2 3 3 2 4" xfId="55007" xr:uid="{EC803550-AE98-44EF-ACD2-A1C1E7D0A2D9}"/>
    <cellStyle name="Vírgula 2 2 2 2 3 3 2 5" xfId="16902" xr:uid="{63AF9D56-418D-4EC0-B675-AD1256780B1D}"/>
    <cellStyle name="Vírgula 2 2 2 2 3 3 3" xfId="20404" xr:uid="{44710675-38F4-4C3E-B668-BBD3A3A59A7A}"/>
    <cellStyle name="Vírgula 2 2 2 2 3 3 3 2" xfId="40743" xr:uid="{010E253C-D6B1-4523-A8BB-57BC417DE7C0}"/>
    <cellStyle name="Vírgula 2 2 2 2 3 3 3 3" xfId="56980" xr:uid="{B2A957ED-CAFF-42C9-B949-A0577C07C3FF}"/>
    <cellStyle name="Vírgula 2 2 2 2 3 3 4" xfId="23659" xr:uid="{E4FC2254-7EEF-4104-BFD7-DE4CA8D43BA3}"/>
    <cellStyle name="Vírgula 2 2 2 2 3 3 4 2" xfId="43994" xr:uid="{A3A7ABDC-3928-45B9-8FF7-63C15B2CB991}"/>
    <cellStyle name="Vírgula 2 2 2 2 3 3 5" xfId="13993" xr:uid="{4E44FEC7-C635-42F9-87F0-FA5B591E97D5}"/>
    <cellStyle name="Vírgula 2 2 2 2 3 3 5 2" xfId="34334" xr:uid="{3CA2A604-CA9B-44A8-8B7D-94B852D14A7C}"/>
    <cellStyle name="Vírgula 2 2 2 2 3 3 6" xfId="10115" xr:uid="{F0365A1E-3759-4C78-B948-3F639B545978}"/>
    <cellStyle name="Vírgula 2 2 2 2 3 3 6 2" xfId="30458" xr:uid="{3D954A7A-63BE-423B-8FA2-A1E0F3DB5975}"/>
    <cellStyle name="Vírgula 2 2 2 2 3 3 7" xfId="26964" xr:uid="{F513D5DF-9D55-40CF-9F3B-BC9DBAECA4E9}"/>
    <cellStyle name="Vírgula 2 2 2 2 3 3 8" xfId="48411" xr:uid="{14E9C6F2-C069-4CAD-B772-810DE8249591}"/>
    <cellStyle name="Vírgula 2 2 2 2 3 3 9" xfId="50081" xr:uid="{25AC4B93-3A00-404F-9ACF-B4FCEDB04094}"/>
    <cellStyle name="Vírgula 2 2 2 2 3 4" xfId="1515" xr:uid="{05479D25-71C4-497A-A6F2-E8E9BB2882D9}"/>
    <cellStyle name="Vírgula 2 2 2 2 3 4 10" xfId="53377" xr:uid="{44DE23A9-E105-4CDF-BE94-F775C0F7B638}"/>
    <cellStyle name="Vírgula 2 2 2 2 3 4 11" xfId="7780" xr:uid="{483D565E-0EF6-49B2-A70B-B4187837D680}"/>
    <cellStyle name="Vírgula 2 2 2 2 3 4 2" xfId="3176" xr:uid="{CDD2DB54-E725-4B97-A218-D0854C106B66}"/>
    <cellStyle name="Vírgula 2 2 2 2 3 4 2 2" xfId="38405" xr:uid="{C358D76E-B3FC-4C3A-AF13-831B5842B767}"/>
    <cellStyle name="Vírgula 2 2 2 2 3 4 2 3" xfId="51714" xr:uid="{24BEC722-AB60-4B12-A590-2FEBA89573D0}"/>
    <cellStyle name="Vírgula 2 2 2 2 3 4 2 4" xfId="55008" xr:uid="{DE6937C0-C402-4670-A2B1-25E0A0605B95}"/>
    <cellStyle name="Vírgula 2 2 2 2 3 4 2 5" xfId="18065" xr:uid="{990DB21E-D477-4611-AE35-7574441EDA15}"/>
    <cellStyle name="Vírgula 2 2 2 2 3 4 3" xfId="21567" xr:uid="{04D3C42D-82FD-47AC-8330-E9CE909A3CD2}"/>
    <cellStyle name="Vírgula 2 2 2 2 3 4 3 2" xfId="41906" xr:uid="{8D341310-4139-4E20-AA6A-AA810CA93566}"/>
    <cellStyle name="Vírgula 2 2 2 2 3 4 3 3" xfId="57386" xr:uid="{B6CF230F-1ACE-4632-B43F-56E1F81C1060}"/>
    <cellStyle name="Vírgula 2 2 2 2 3 4 4" xfId="24822" xr:uid="{A5B2190D-65C3-4D33-9E32-8778301FCFD9}"/>
    <cellStyle name="Vírgula 2 2 2 2 3 4 4 2" xfId="45157" xr:uid="{B83A17C9-1ED4-4614-84B8-5F75E5C47D72}"/>
    <cellStyle name="Vírgula 2 2 2 2 3 4 5" xfId="15157" xr:uid="{C5C231E0-5921-4353-B4D1-801CE4653B29}"/>
    <cellStyle name="Vírgula 2 2 2 2 3 4 5 2" xfId="35497" xr:uid="{8783FBF7-0A6D-414E-9BB2-CDCD6DD1E44D}"/>
    <cellStyle name="Vírgula 2 2 2 2 3 4 6" xfId="11278" xr:uid="{72C9BB25-679B-483F-B06B-CB6E0D041059}"/>
    <cellStyle name="Vírgula 2 2 2 2 3 4 6 2" xfId="31621" xr:uid="{DA89F877-8068-4853-8D27-1E6F00A04F5D}"/>
    <cellStyle name="Vírgula 2 2 2 2 3 4 7" xfId="28127" xr:uid="{2FF2E581-9E5F-4FEE-A25D-FDC19B19B3F8}"/>
    <cellStyle name="Vírgula 2 2 2 2 3 4 8" xfId="48412" xr:uid="{3C4E5168-7DFD-4101-A904-DAADD2A01E53}"/>
    <cellStyle name="Vírgula 2 2 2 2 3 4 9" xfId="50082" xr:uid="{73C21A87-00FD-4273-B687-FF428E0B7F6A}"/>
    <cellStyle name="Vírgula 2 2 2 2 3 5" xfId="702" xr:uid="{FA46E7DA-5075-4E58-801C-C8BFD313ED73}"/>
    <cellStyle name="Vírgula 2 2 2 2 3 5 10" xfId="8229" xr:uid="{D8790432-3C61-40AB-A996-0D92B5703B7A}"/>
    <cellStyle name="Vírgula 2 2 2 2 3 5 2" xfId="2418" xr:uid="{C3720EE6-D7A5-4809-BB98-472819D7791C}"/>
    <cellStyle name="Vírgula 2 2 2 2 3 5 2 2" xfId="42352" xr:uid="{18921C05-B8F0-4E62-B67E-85BF7EAAA866}"/>
    <cellStyle name="Vírgula 2 2 2 2 3 5 2 3" xfId="51715" xr:uid="{4C3D3E71-131D-4829-83F3-59CFBA4F98B1}"/>
    <cellStyle name="Vírgula 2 2 2 2 3 5 2 4" xfId="55009" xr:uid="{370C5648-01D2-4C00-A7B2-48E0D30F6545}"/>
    <cellStyle name="Vírgula 2 2 2 2 3 5 2 5" xfId="22016" xr:uid="{A0287003-5306-4A72-B828-4C5347D32ACA}"/>
    <cellStyle name="Vírgula 2 2 2 2 3 5 3" xfId="25268" xr:uid="{426326C6-F86C-4997-B2D9-B5100B137FEB}"/>
    <cellStyle name="Vírgula 2 2 2 2 3 5 3 2" xfId="45603" xr:uid="{3CF3F44F-C78B-464A-BAB8-3A952A2AD131}"/>
    <cellStyle name="Vírgula 2 2 2 2 3 5 3 3" xfId="56573" xr:uid="{C35E74DC-BE8B-42CB-9657-9B2177C0F63F}"/>
    <cellStyle name="Vírgula 2 2 2 2 3 5 4" xfId="12847" xr:uid="{037458FD-C365-4EC4-9B01-03ED9D87F2EF}"/>
    <cellStyle name="Vírgula 2 2 2 2 3 5 4 2" xfId="33188" xr:uid="{E55EEA7F-857C-4986-83E2-A99BD681E7B2}"/>
    <cellStyle name="Vírgula 2 2 2 2 3 5 5" xfId="11725" xr:uid="{5A01D11F-96C4-48BA-A9D8-FBABECCEAC32}"/>
    <cellStyle name="Vírgula 2 2 2 2 3 5 5 2" xfId="32067" xr:uid="{0A057155-2197-4185-9A45-289BB3BEB70C}"/>
    <cellStyle name="Vírgula 2 2 2 2 3 5 6" xfId="28573" xr:uid="{25E76FD3-FFFE-41A4-A32B-F3B4A9AFF970}"/>
    <cellStyle name="Vírgula 2 2 2 2 3 5 7" xfId="48413" xr:uid="{525523BF-CB0F-4250-980A-E0AED9C8D83B}"/>
    <cellStyle name="Vírgula 2 2 2 2 3 5 8" xfId="50083" xr:uid="{8CE33E28-EC99-443C-9AAD-E8F2D01EF7DB}"/>
    <cellStyle name="Vírgula 2 2 2 2 3 5 9" xfId="53378" xr:uid="{96FAC020-1843-4BC7-B2CF-0D43E3DD043C}"/>
    <cellStyle name="Vírgula 2 2 2 2 3 6" xfId="3638" xr:uid="{DA709290-85AF-48A7-B113-8074FD4E5BC3}"/>
    <cellStyle name="Vírgula 2 2 2 2 3 6 2" xfId="15744" xr:uid="{C6BBFBD7-8CD2-419B-A819-C0C77E9C936E}"/>
    <cellStyle name="Vírgula 2 2 2 2 3 6 2 2" xfId="36084" xr:uid="{D9E1853F-AEC2-49F2-834A-2898C16CA702}"/>
    <cellStyle name="Vírgula 2 2 2 2 3 6 3" xfId="28951" xr:uid="{E8A9B08B-0D0A-4F85-BC93-69FD295B9228}"/>
    <cellStyle name="Vírgula 2 2 2 2 3 6 4" xfId="51708" xr:uid="{7AE79C0E-5B46-46C9-9988-62EA3932BD0C}"/>
    <cellStyle name="Vírgula 2 2 2 2 3 6 5" xfId="55002" xr:uid="{A61C6982-575A-4AAA-B23D-88885343915D}"/>
    <cellStyle name="Vírgula 2 2 2 2 3 6 6" xfId="8608" xr:uid="{F153D935-7DFC-4792-8E21-3D5C6DC27AC1}"/>
    <cellStyle name="Vírgula 2 2 2 2 3 7" xfId="4003" xr:uid="{F4AEA6AB-841C-408D-A38F-7F24325B3C12}"/>
    <cellStyle name="Vírgula 2 2 2 2 3 7 2" xfId="38998" xr:uid="{2E78E31F-CFDC-4119-AB3A-61E90732ABC7}"/>
    <cellStyle name="Vírgula 2 2 2 2 3 7 3" xfId="56164" xr:uid="{31719670-3B4A-43D1-8109-ECAD17198033}"/>
    <cellStyle name="Vírgula 2 2 2 2 3 7 4" xfId="18658" xr:uid="{3D50E5AD-D499-4B0A-B6FB-32493AE8F663}"/>
    <cellStyle name="Vírgula 2 2 2 2 3 8" xfId="1987" xr:uid="{B3E85DAB-342E-4206-9DF5-E64F8F8C47E8}"/>
    <cellStyle name="Vírgula 2 2 2 2 3 8 2" xfId="39585" xr:uid="{6098648D-2874-4F29-B9ED-16701CC116C3}"/>
    <cellStyle name="Vírgula 2 2 2 2 3 8 3" xfId="19246" xr:uid="{EB997A47-1F68-4E39-B176-E3D00BB14C2E}"/>
    <cellStyle name="Vírgula 2 2 2 2 3 9" xfId="22501" xr:uid="{8F0FC43F-4239-4F29-BC71-5075CCFC2BC1}"/>
    <cellStyle name="Vírgula 2 2 2 2 3 9 2" xfId="42836" xr:uid="{6B7F4B32-69CF-487A-A56F-CBB59B7DB8BE}"/>
    <cellStyle name="Vírgula 2 2 2 2 4" xfId="352" xr:uid="{6669E71D-D98D-4320-869F-88D86E87B720}"/>
    <cellStyle name="Vírgula 2 2 2 2 4 10" xfId="12276" xr:uid="{C532E4E2-3E58-440B-B752-7F4D0BFE0AB1}"/>
    <cellStyle name="Vírgula 2 2 2 2 4 10 2" xfId="32617" xr:uid="{F9720112-8826-4D35-ADC7-6D7A8B8B231C}"/>
    <cellStyle name="Vírgula 2 2 2 2 4 11" xfId="9015" xr:uid="{3019EA97-E99F-4A15-B579-6CCE36C840B0}"/>
    <cellStyle name="Vírgula 2 2 2 2 4 11 2" xfId="29358" xr:uid="{38B0E4A5-7A59-468A-9526-523E6AEFDE2D}"/>
    <cellStyle name="Vírgula 2 2 2 2 4 12" xfId="25864" xr:uid="{8A0D6E2D-CFD2-4F7D-BD17-0A28B8E41C84}"/>
    <cellStyle name="Vírgula 2 2 2 2 4 13" xfId="46102" xr:uid="{AFA6D1C7-7410-4BF2-9C26-C61EE7D7DA66}"/>
    <cellStyle name="Vírgula 2 2 2 2 4 14" xfId="46588" xr:uid="{B665A2D6-FA64-4570-8F25-BE22D4F0A0B6}"/>
    <cellStyle name="Vírgula 2 2 2 2 4 15" xfId="47080" xr:uid="{016738E6-5B36-451F-B475-E14C89CB2A24}"/>
    <cellStyle name="Vírgula 2 2 2 2 4 16" xfId="48414" xr:uid="{13E64C6D-D158-4909-94A7-A4CB89DF03F6}"/>
    <cellStyle name="Vírgula 2 2 2 2 4 17" xfId="50084" xr:uid="{FDAADF65-D83A-4AC9-9886-DB2D2DAF8387}"/>
    <cellStyle name="Vírgula 2 2 2 2 4 18" xfId="53379" xr:uid="{9935963E-A299-4FA4-BF10-E0203531D871}"/>
    <cellStyle name="Vírgula 2 2 2 2 4 19" xfId="5525" xr:uid="{03F420CA-DBCF-4023-BC22-F33DC28B13FD}"/>
    <cellStyle name="Vírgula 2 2 2 2 4 2" xfId="1168" xr:uid="{73B649FD-8300-41E1-82D9-4F8DDCB1C6C6}"/>
    <cellStyle name="Vírgula 2 2 2 2 4 2 10" xfId="50085" xr:uid="{29C1C85E-7AD8-42E1-9F8A-2F5B71854582}"/>
    <cellStyle name="Vírgula 2 2 2 2 4 2 11" xfId="53380" xr:uid="{AA6CC344-307A-4474-B83D-3F617B8915B5}"/>
    <cellStyle name="Vírgula 2 2 2 2 4 2 12" xfId="6097" xr:uid="{CED6BB2E-99E5-4D5F-AEAA-D231DE511B45}"/>
    <cellStyle name="Vírgula 2 2 2 2 4 2 13" xfId="4993" xr:uid="{61156C74-A92D-4B2E-8F28-856C37245E0D}"/>
    <cellStyle name="Vírgula 2 2 2 2 4 2 2" xfId="2829" xr:uid="{3A5F8821-8A1D-406A-B4E2-215A23FA8799}"/>
    <cellStyle name="Vírgula 2 2 2 2 4 2 2 10" xfId="7255" xr:uid="{E2D85DB2-4429-4616-8D8B-698965D69BC7}"/>
    <cellStyle name="Vírgula 2 2 2 2 4 2 2 2" xfId="17541" xr:uid="{22FD2DF7-2DD7-4686-A7AA-DBE0F2FCD58D}"/>
    <cellStyle name="Vírgula 2 2 2 2 4 2 2 2 2" xfId="37881" xr:uid="{1270E068-4D5A-4F75-A3DA-D4CDB5EF80E4}"/>
    <cellStyle name="Vírgula 2 2 2 2 4 2 2 3" xfId="21043" xr:uid="{5547BE20-36CB-4CF1-A62B-D042984586E0}"/>
    <cellStyle name="Vírgula 2 2 2 2 4 2 2 3 2" xfId="41382" xr:uid="{5877FD34-DFFA-4FD8-9DFC-B77D42E51F15}"/>
    <cellStyle name="Vírgula 2 2 2 2 4 2 2 4" xfId="24298" xr:uid="{D10EA8CC-EE7F-429C-BE26-34C406F9F1AE}"/>
    <cellStyle name="Vírgula 2 2 2 2 4 2 2 4 2" xfId="44633" xr:uid="{5B77319D-2F9E-44E2-88FB-597F47352337}"/>
    <cellStyle name="Vírgula 2 2 2 2 4 2 2 5" xfId="14632" xr:uid="{0DE9C770-9BBC-431E-90CA-BE3F91FC10B6}"/>
    <cellStyle name="Vírgula 2 2 2 2 4 2 2 5 2" xfId="34973" xr:uid="{8C008F50-C5C3-4DEC-A8B9-8BC82CFBFE1B}"/>
    <cellStyle name="Vírgula 2 2 2 2 4 2 2 6" xfId="10754" xr:uid="{A5B67850-C0A9-4417-9481-4BBD57516668}"/>
    <cellStyle name="Vírgula 2 2 2 2 4 2 2 6 2" xfId="31097" xr:uid="{0EE2472A-42AD-4F49-B7E0-3BD87125B9D7}"/>
    <cellStyle name="Vírgula 2 2 2 2 4 2 2 7" xfId="27603" xr:uid="{BC02B569-0C33-423D-9073-4821B6A46FC1}"/>
    <cellStyle name="Vírgula 2 2 2 2 4 2 2 8" xfId="51717" xr:uid="{E5CA678B-E4BB-43F6-A76D-E555D8AF0E89}"/>
    <cellStyle name="Vírgula 2 2 2 2 4 2 2 9" xfId="55011" xr:uid="{D45B804A-2D08-4281-B922-AC372B0582A9}"/>
    <cellStyle name="Vírgula 2 2 2 2 4 2 3" xfId="16383" xr:uid="{BD8D97FB-6E93-4612-8C34-C9625263A510}"/>
    <cellStyle name="Vírgula 2 2 2 2 4 2 3 2" xfId="36723" xr:uid="{4C0E50B6-B625-4A57-B6DE-7D891900F616}"/>
    <cellStyle name="Vírgula 2 2 2 2 4 2 3 3" xfId="57039" xr:uid="{C7346160-3C8B-4172-B7CF-0C04885090E0}"/>
    <cellStyle name="Vírgula 2 2 2 2 4 2 4" xfId="19885" xr:uid="{FBD745EA-C420-444F-9481-41CA663B1A0B}"/>
    <cellStyle name="Vírgula 2 2 2 2 4 2 4 2" xfId="40224" xr:uid="{EF4B7C83-E6CD-475A-8063-542BD82BD2F6}"/>
    <cellStyle name="Vírgula 2 2 2 2 4 2 5" xfId="23140" xr:uid="{3788933B-BF04-467B-A42C-BDC0C42BAC09}"/>
    <cellStyle name="Vírgula 2 2 2 2 4 2 5 2" xfId="43475" xr:uid="{83EAF58A-E1FA-4CCD-BA1E-241320FE3038}"/>
    <cellStyle name="Vírgula 2 2 2 2 4 2 6" xfId="13474" xr:uid="{045C5CB5-B370-431F-A412-32F6DDDE9653}"/>
    <cellStyle name="Vírgula 2 2 2 2 4 2 6 2" xfId="33815" xr:uid="{F1D1A73F-7F24-49BB-9FBE-ECE81B859961}"/>
    <cellStyle name="Vírgula 2 2 2 2 4 2 7" xfId="9596" xr:uid="{C8D78657-A222-40DF-801A-BE5281494C59}"/>
    <cellStyle name="Vírgula 2 2 2 2 4 2 7 2" xfId="29939" xr:uid="{BB5F5C32-6DEA-405B-BBDC-44C6A24D461C}"/>
    <cellStyle name="Vírgula 2 2 2 2 4 2 8" xfId="26445" xr:uid="{4A3C4CCC-969B-4CBA-AF86-D04EC9582DFF}"/>
    <cellStyle name="Vírgula 2 2 2 2 4 2 9" xfId="48415" xr:uid="{C5CBB6F9-17DC-44E6-9B00-0E5A861A2097}"/>
    <cellStyle name="Vírgula 2 2 2 2 4 20" xfId="4633" xr:uid="{0D0EA352-7E17-4DA9-A526-5228391BC203}"/>
    <cellStyle name="Vírgula 2 2 2 2 4 3" xfId="1574" xr:uid="{1C36AFDD-842A-4128-9762-9457380842A6}"/>
    <cellStyle name="Vírgula 2 2 2 2 4 3 10" xfId="53381" xr:uid="{0A8F2FD8-64E9-4AF3-A503-F6C5C0F679B7}"/>
    <cellStyle name="Vírgula 2 2 2 2 4 3 11" xfId="6674" xr:uid="{62CF019D-0FCE-4346-92E3-FAAAC9048B47}"/>
    <cellStyle name="Vírgula 2 2 2 2 4 3 2" xfId="3234" xr:uid="{910E0F61-1427-4A83-8B63-D63D4ADD1703}"/>
    <cellStyle name="Vírgula 2 2 2 2 4 3 2 2" xfId="37300" xr:uid="{DC1C1A3A-F883-45CC-A9DB-5D9D15D67E25}"/>
    <cellStyle name="Vírgula 2 2 2 2 4 3 2 3" xfId="51718" xr:uid="{C91CBFE7-EF94-4737-A6DA-94903C186273}"/>
    <cellStyle name="Vírgula 2 2 2 2 4 3 2 4" xfId="55012" xr:uid="{B53A4A98-B49E-4292-A568-8FDD13A4F9C3}"/>
    <cellStyle name="Vírgula 2 2 2 2 4 3 2 5" xfId="16960" xr:uid="{C91826E2-53A8-4430-8244-7BA35062F7EC}"/>
    <cellStyle name="Vírgula 2 2 2 2 4 3 3" xfId="20462" xr:uid="{97629F2C-6A1D-4D83-B617-49E3BBEB3CFF}"/>
    <cellStyle name="Vírgula 2 2 2 2 4 3 3 2" xfId="40801" xr:uid="{8AC7E956-2136-4A96-B1F3-DE9603ACDFE0}"/>
    <cellStyle name="Vírgula 2 2 2 2 4 3 3 3" xfId="57445" xr:uid="{D2F2D172-BBA4-42AC-9F6F-7DDB6F39DD0C}"/>
    <cellStyle name="Vírgula 2 2 2 2 4 3 4" xfId="23717" xr:uid="{DEC41CC8-528D-418F-9E82-02D454293AB6}"/>
    <cellStyle name="Vírgula 2 2 2 2 4 3 4 2" xfId="44052" xr:uid="{45A36871-378B-4A6C-B9AD-AB350C0DEE6C}"/>
    <cellStyle name="Vírgula 2 2 2 2 4 3 5" xfId="14051" xr:uid="{04AFB134-57FA-4848-9EB8-DD5DDCB41C3C}"/>
    <cellStyle name="Vírgula 2 2 2 2 4 3 5 2" xfId="34392" xr:uid="{D9629A35-F051-4DC1-A68D-D97A293E7801}"/>
    <cellStyle name="Vírgula 2 2 2 2 4 3 6" xfId="10173" xr:uid="{46547599-B2A0-4E2E-A1EF-D55090B57BF5}"/>
    <cellStyle name="Vírgula 2 2 2 2 4 3 6 2" xfId="30516" xr:uid="{179A4652-A032-498B-8DE0-0DE1FE11E407}"/>
    <cellStyle name="Vírgula 2 2 2 2 4 3 7" xfId="27022" xr:uid="{C71178B6-F93E-4BF7-9540-4A3074D97CB2}"/>
    <cellStyle name="Vírgula 2 2 2 2 4 3 8" xfId="48416" xr:uid="{AB735615-C7AF-4EC6-AA76-AC03C859026A}"/>
    <cellStyle name="Vírgula 2 2 2 2 4 3 9" xfId="50086" xr:uid="{AD5AFE53-337C-430E-B45B-17ED047DC9B1}"/>
    <cellStyle name="Vírgula 2 2 2 2 4 4" xfId="761" xr:uid="{B9570416-1302-4A34-AF41-49F7E9F3CCDC}"/>
    <cellStyle name="Vírgula 2 2 2 2 4 4 10" xfId="53382" xr:uid="{7851C22E-04CC-4367-A3BA-5859BA36E827}"/>
    <cellStyle name="Vírgula 2 2 2 2 4 4 11" xfId="7838" xr:uid="{95EE3959-D73A-41AD-B11E-718E7AEE1D7B}"/>
    <cellStyle name="Vírgula 2 2 2 2 4 4 2" xfId="2477" xr:uid="{CE3C5C26-2682-4965-9BAD-4AB805BE6752}"/>
    <cellStyle name="Vírgula 2 2 2 2 4 4 2 2" xfId="38463" xr:uid="{3A2459FE-29E8-4CE4-930D-19F54F2F6354}"/>
    <cellStyle name="Vírgula 2 2 2 2 4 4 2 3" xfId="51719" xr:uid="{9E820B71-B17A-4A91-9F0A-42948F78B6F9}"/>
    <cellStyle name="Vírgula 2 2 2 2 4 4 2 4" xfId="55013" xr:uid="{F921BF11-A6F4-4485-BC6A-5E43974BD1A9}"/>
    <cellStyle name="Vírgula 2 2 2 2 4 4 2 5" xfId="18123" xr:uid="{09247DF6-8FA3-49A5-8DDB-1AD9E34FA68E}"/>
    <cellStyle name="Vírgula 2 2 2 2 4 4 3" xfId="21625" xr:uid="{18A33694-07AE-49A6-A350-25AE14679060}"/>
    <cellStyle name="Vírgula 2 2 2 2 4 4 3 2" xfId="41964" xr:uid="{02527F62-AF6A-4B2B-92C4-DD6998AAC754}"/>
    <cellStyle name="Vírgula 2 2 2 2 4 4 3 3" xfId="56632" xr:uid="{A7B6C90D-D065-4184-85F9-C192CABF5E39}"/>
    <cellStyle name="Vírgula 2 2 2 2 4 4 4" xfId="24880" xr:uid="{446EC583-7A4E-4D23-A699-B71346DE6D16}"/>
    <cellStyle name="Vírgula 2 2 2 2 4 4 4 2" xfId="45215" xr:uid="{5C35F410-1C7E-4463-AEDC-F8A32E232EF6}"/>
    <cellStyle name="Vírgula 2 2 2 2 4 4 5" xfId="15215" xr:uid="{FF01D47E-5DC9-487A-BFC2-0C99DCA6F000}"/>
    <cellStyle name="Vírgula 2 2 2 2 4 4 5 2" xfId="35555" xr:uid="{BF741C97-CD3F-4325-9799-8EF5FD53098D}"/>
    <cellStyle name="Vírgula 2 2 2 2 4 4 6" xfId="11336" xr:uid="{2A9BC5D6-47CE-4E55-A2D9-291DE7851994}"/>
    <cellStyle name="Vírgula 2 2 2 2 4 4 6 2" xfId="31679" xr:uid="{4D93D710-2EF7-4C7D-8AEC-126A95C625D2}"/>
    <cellStyle name="Vírgula 2 2 2 2 4 4 7" xfId="28185" xr:uid="{3CD3C72E-56F2-4B3B-9ED4-5DDA882122DF}"/>
    <cellStyle name="Vírgula 2 2 2 2 4 4 8" xfId="48417" xr:uid="{3F6F46E9-6175-4FB3-A9C1-A6C4F743BC40}"/>
    <cellStyle name="Vírgula 2 2 2 2 4 4 9" xfId="50087" xr:uid="{22E55A9B-1F30-49C2-BE80-1E95C9D61744}"/>
    <cellStyle name="Vírgula 2 2 2 2 4 5" xfId="3529" xr:uid="{9A62CD56-0C6D-4F4F-A412-85C13F9544CB}"/>
    <cellStyle name="Vírgula 2 2 2 2 4 5 2" xfId="22017" xr:uid="{217835E2-4032-404D-869E-EBDDFB068260}"/>
    <cellStyle name="Vírgula 2 2 2 2 4 5 2 2" xfId="42353" xr:uid="{DC070D2D-ED3B-41E4-AC53-5B926D7CFE5D}"/>
    <cellStyle name="Vírgula 2 2 2 2 4 5 3" xfId="25269" xr:uid="{9B2316E5-934D-4373-936E-589F8B3335BD}"/>
    <cellStyle name="Vírgula 2 2 2 2 4 5 3 2" xfId="45604" xr:uid="{15E38790-6DD9-4B13-A208-A99DA9E104F4}"/>
    <cellStyle name="Vírgula 2 2 2 2 4 5 4" xfId="12905" xr:uid="{C8142ADB-CBD4-40BB-A394-BD38A86E314C}"/>
    <cellStyle name="Vírgula 2 2 2 2 4 5 4 2" xfId="33246" xr:uid="{80B77051-AD11-44D9-9DF6-291F395D30B3}"/>
    <cellStyle name="Vírgula 2 2 2 2 4 5 5" xfId="11726" xr:uid="{4DFECD6F-960C-49E2-A160-58728D14A1D3}"/>
    <cellStyle name="Vírgula 2 2 2 2 4 5 5 2" xfId="32068" xr:uid="{8232D1D7-BC97-4C14-9EF1-285C36541C0C}"/>
    <cellStyle name="Vírgula 2 2 2 2 4 5 6" xfId="28574" xr:uid="{E085B84D-7336-4349-B767-73B845F44D55}"/>
    <cellStyle name="Vírgula 2 2 2 2 4 5 7" xfId="51716" xr:uid="{C99B639C-25E8-464A-8F68-C93260B1D35E}"/>
    <cellStyle name="Vírgula 2 2 2 2 4 5 8" xfId="55010" xr:uid="{BA27ECEF-35DD-4453-AC09-5538C9CDA907}"/>
    <cellStyle name="Vírgula 2 2 2 2 4 5 9" xfId="8230" xr:uid="{808063B2-E925-4826-94F4-7A7E7E495BF3}"/>
    <cellStyle name="Vírgula 2 2 2 2 4 6" xfId="4175" xr:uid="{124E9F63-8783-4C5B-8FD0-D8115D760F15}"/>
    <cellStyle name="Vírgula 2 2 2 2 4 6 2" xfId="36142" xr:uid="{8661B19C-E31A-4A28-891F-23CD4DAD1316}"/>
    <cellStyle name="Vírgula 2 2 2 2 4 6 3" xfId="56223" xr:uid="{BB1EEE08-2B2C-4BC6-9E52-258C627DB67A}"/>
    <cellStyle name="Vírgula 2 2 2 2 4 6 4" xfId="15802" xr:uid="{A654F1BA-0ED0-4B9F-9386-FD1D5C6F1A42}"/>
    <cellStyle name="Vírgula 2 2 2 2 4 7" xfId="1878" xr:uid="{B0181F1A-96A5-4EC5-92F0-F89B71047D74}"/>
    <cellStyle name="Vírgula 2 2 2 2 4 7 2" xfId="39056" xr:uid="{E0A2E64A-00E5-43C2-B7E4-860CAFCE3192}"/>
    <cellStyle name="Vírgula 2 2 2 2 4 7 3" xfId="18716" xr:uid="{458871E8-4757-4CAB-B47C-7544194F3F17}"/>
    <cellStyle name="Vírgula 2 2 2 2 4 8" xfId="19304" xr:uid="{6D702815-7491-4CE9-911B-AE1556ECAB04}"/>
    <cellStyle name="Vírgula 2 2 2 2 4 8 2" xfId="39643" xr:uid="{61EC10EE-F197-4329-BA34-26CA5BAFF0AC}"/>
    <cellStyle name="Vírgula 2 2 2 2 4 9" xfId="22559" xr:uid="{147054FA-E8C2-47F5-9522-4BCB5DF95443}"/>
    <cellStyle name="Vírgula 2 2 2 2 4 9 2" xfId="42894" xr:uid="{03818DA1-A80F-45F0-A732-ABEB3C1368CF}"/>
    <cellStyle name="Vírgula 2 2 2 2 5" xfId="979" xr:uid="{BDD75330-324F-4661-B64A-518CD4BF2AED}"/>
    <cellStyle name="Vírgula 2 2 2 2 5 10" xfId="12351" xr:uid="{BB46CC2B-6ECC-4CFC-AFE7-72627CE3A795}"/>
    <cellStyle name="Vírgula 2 2 2 2 5 10 2" xfId="32692" xr:uid="{68C78537-0D5D-43B3-9646-5101615CEE74}"/>
    <cellStyle name="Vírgula 2 2 2 2 5 11" xfId="9090" xr:uid="{00972AD8-41C7-4156-9E9F-65CDE74888B2}"/>
    <cellStyle name="Vírgula 2 2 2 2 5 11 2" xfId="29433" xr:uid="{40169A8B-00A4-4A06-BDFC-206EE345FE32}"/>
    <cellStyle name="Vírgula 2 2 2 2 5 12" xfId="25939" xr:uid="{C4BE1EE1-B714-48A4-A4CB-261735B67DBB}"/>
    <cellStyle name="Vírgula 2 2 2 2 5 13" xfId="48418" xr:uid="{268956BC-EB53-4B05-BC95-9CA1F07E6391}"/>
    <cellStyle name="Vírgula 2 2 2 2 5 14" xfId="50088" xr:uid="{D0CA1649-0F5E-43F8-BDCB-5F41E6EC44A7}"/>
    <cellStyle name="Vírgula 2 2 2 2 5 15" xfId="53383" xr:uid="{270589EA-FB91-4123-AB70-EAB7E943CB16}"/>
    <cellStyle name="Vírgula 2 2 2 2 5 16" xfId="5600" xr:uid="{71BDD242-116A-46BC-810D-16617F6CD17C}"/>
    <cellStyle name="Vírgula 2 2 2 2 5 17" xfId="4831" xr:uid="{C246D519-3A7A-483E-A06D-A5A6A90D521E}"/>
    <cellStyle name="Vírgula 2 2 2 2 5 2" xfId="3747" xr:uid="{192BC97E-DB71-451A-B9EC-21B857CA0209}"/>
    <cellStyle name="Vírgula 2 2 2 2 5 2 10" xfId="55014" xr:uid="{21112671-0782-4948-ACCD-8DC3ED8CE7D4}"/>
    <cellStyle name="Vírgula 2 2 2 2 5 2 11" xfId="6172" xr:uid="{448F459D-9FAD-49FD-83B3-7D82EE49B88A}"/>
    <cellStyle name="Vírgula 2 2 2 2 5 2 2" xfId="7330" xr:uid="{C48E5176-D465-45E8-AD0D-CA60242946D1}"/>
    <cellStyle name="Vírgula 2 2 2 2 5 2 2 2" xfId="17616" xr:uid="{4B67333F-2B60-443D-991D-B726AB97C6C3}"/>
    <cellStyle name="Vírgula 2 2 2 2 5 2 2 2 2" xfId="37956" xr:uid="{72524BBA-97C3-4FB5-B166-5744AAF2C827}"/>
    <cellStyle name="Vírgula 2 2 2 2 5 2 2 3" xfId="21118" xr:uid="{0F0AF625-B5BE-43D3-9F8A-AEB99446F552}"/>
    <cellStyle name="Vírgula 2 2 2 2 5 2 2 3 2" xfId="41457" xr:uid="{4F6A0CEF-B91F-47C5-A1D5-8DDE71E5AEF8}"/>
    <cellStyle name="Vírgula 2 2 2 2 5 2 2 4" xfId="24373" xr:uid="{CD703E57-9905-498B-BD20-08F0C787183A}"/>
    <cellStyle name="Vírgula 2 2 2 2 5 2 2 4 2" xfId="44708" xr:uid="{3488AEA6-82A0-479A-B003-A63236DD073B}"/>
    <cellStyle name="Vírgula 2 2 2 2 5 2 2 5" xfId="14707" xr:uid="{06BD4B5B-DD71-43AE-BDED-1FD9DE161E53}"/>
    <cellStyle name="Vírgula 2 2 2 2 5 2 2 5 2" xfId="35048" xr:uid="{AA681D5B-2439-4FC2-9BE3-16BD463C5263}"/>
    <cellStyle name="Vírgula 2 2 2 2 5 2 2 6" xfId="10829" xr:uid="{D14A93A1-3DEF-4376-859E-2B0A46793C32}"/>
    <cellStyle name="Vírgula 2 2 2 2 5 2 2 6 2" xfId="31172" xr:uid="{5A86AE0F-C86A-48B9-A39B-0C5B18F6ECE6}"/>
    <cellStyle name="Vírgula 2 2 2 2 5 2 2 7" xfId="27678" xr:uid="{20AF3484-C1E3-48D7-BF4C-2324472EA33F}"/>
    <cellStyle name="Vírgula 2 2 2 2 5 2 3" xfId="16458" xr:uid="{498A4CEB-5479-458B-8DD1-A5A4FAAD6D55}"/>
    <cellStyle name="Vírgula 2 2 2 2 5 2 3 2" xfId="36798" xr:uid="{030146D4-85E8-4D55-8CBC-185DE39B5C92}"/>
    <cellStyle name="Vírgula 2 2 2 2 5 2 4" xfId="19960" xr:uid="{2476A014-9C49-414A-A55D-1968CC2C846B}"/>
    <cellStyle name="Vírgula 2 2 2 2 5 2 4 2" xfId="40299" xr:uid="{884A160C-0EA4-46FE-AE8F-FD28CF7ABC2B}"/>
    <cellStyle name="Vírgula 2 2 2 2 5 2 5" xfId="23215" xr:uid="{D95C760C-C0AC-4A1B-BEA7-CC642D512AAF}"/>
    <cellStyle name="Vírgula 2 2 2 2 5 2 5 2" xfId="43550" xr:uid="{A9B4450D-B600-458B-8487-221FADEF318A}"/>
    <cellStyle name="Vírgula 2 2 2 2 5 2 6" xfId="13549" xr:uid="{5AE2EF70-1F3D-4E73-839B-E7C3659152A2}"/>
    <cellStyle name="Vírgula 2 2 2 2 5 2 6 2" xfId="33890" xr:uid="{CCC9B5E5-829B-455D-A4C4-D7727C9F0D24}"/>
    <cellStyle name="Vírgula 2 2 2 2 5 2 7" xfId="9671" xr:uid="{7DA2E470-45A7-4A9B-9579-6FF6F98B1537}"/>
    <cellStyle name="Vírgula 2 2 2 2 5 2 7 2" xfId="30014" xr:uid="{7AEF5F11-3817-4D6C-9939-BC33F5CBC7CD}"/>
    <cellStyle name="Vírgula 2 2 2 2 5 2 8" xfId="26520" xr:uid="{0DE162FA-644A-4CF1-855B-BD40A090E85D}"/>
    <cellStyle name="Vírgula 2 2 2 2 5 2 9" xfId="51720" xr:uid="{DB066CFC-F35E-4444-BBEA-204144AB8D5F}"/>
    <cellStyle name="Vírgula 2 2 2 2 5 3" xfId="2693" xr:uid="{04791036-E5DD-49F4-91FB-01287433849C}"/>
    <cellStyle name="Vírgula 2 2 2 2 5 3 2" xfId="17035" xr:uid="{BCAB4826-A84B-4011-83E8-A8E94532EFCC}"/>
    <cellStyle name="Vírgula 2 2 2 2 5 3 2 2" xfId="37375" xr:uid="{72872F52-6AE3-48E4-8C85-11DA42A2190B}"/>
    <cellStyle name="Vírgula 2 2 2 2 5 3 3" xfId="20537" xr:uid="{C93D691B-1864-4134-94C4-9B870B8D9058}"/>
    <cellStyle name="Vírgula 2 2 2 2 5 3 3 2" xfId="40876" xr:uid="{527D3127-B398-401F-A07C-CE25AEF69990}"/>
    <cellStyle name="Vírgula 2 2 2 2 5 3 4" xfId="23792" xr:uid="{55B9FC64-0E04-490D-A666-94601E47AF7F}"/>
    <cellStyle name="Vírgula 2 2 2 2 5 3 4 2" xfId="44127" xr:uid="{31EBA7E8-7BFA-44E6-9913-0D890695B2D3}"/>
    <cellStyle name="Vírgula 2 2 2 2 5 3 5" xfId="14126" xr:uid="{AA60FAB0-99E4-49AE-9BEB-E61FDF878BB7}"/>
    <cellStyle name="Vírgula 2 2 2 2 5 3 5 2" xfId="34467" xr:uid="{809D47BE-7A5C-4225-8658-F8743A74F3C3}"/>
    <cellStyle name="Vírgula 2 2 2 2 5 3 6" xfId="10248" xr:uid="{298DECBB-BB24-46CC-A254-B5EC5AE1CF0A}"/>
    <cellStyle name="Vírgula 2 2 2 2 5 3 6 2" xfId="30591" xr:uid="{499C9979-FFCD-4F36-83EB-DE49E46DCE34}"/>
    <cellStyle name="Vírgula 2 2 2 2 5 3 7" xfId="27097" xr:uid="{897C8A30-9B00-4AD2-8993-72BC26F33DCF}"/>
    <cellStyle name="Vírgula 2 2 2 2 5 3 8" xfId="56850" xr:uid="{DE192C52-9A8D-4858-BF71-65F7B1D39220}"/>
    <cellStyle name="Vírgula 2 2 2 2 5 3 9" xfId="6749" xr:uid="{29090E59-992C-450E-8780-A756C0DF3AB1}"/>
    <cellStyle name="Vírgula 2 2 2 2 5 4" xfId="7913" xr:uid="{290C2339-8C30-447E-AB65-7758491C37D6}"/>
    <cellStyle name="Vírgula 2 2 2 2 5 4 2" xfId="18198" xr:uid="{0E900F9E-39B9-4F12-B904-3E19F84C6441}"/>
    <cellStyle name="Vírgula 2 2 2 2 5 4 2 2" xfId="38538" xr:uid="{C4CC8863-D228-49E5-88EA-38E49B9A6582}"/>
    <cellStyle name="Vírgula 2 2 2 2 5 4 3" xfId="21700" xr:uid="{4E0B1203-CADE-437D-BCD2-C387494E5B95}"/>
    <cellStyle name="Vírgula 2 2 2 2 5 4 3 2" xfId="42039" xr:uid="{712A5881-5194-49C4-9416-8E83F0354F45}"/>
    <cellStyle name="Vírgula 2 2 2 2 5 4 4" xfId="24955" xr:uid="{9EA6B14F-3F26-45CC-8F82-B50657583E1F}"/>
    <cellStyle name="Vírgula 2 2 2 2 5 4 4 2" xfId="45290" xr:uid="{C9A53F6B-E80B-4C17-9FF3-F80B3C18EC6E}"/>
    <cellStyle name="Vírgula 2 2 2 2 5 4 5" xfId="15290" xr:uid="{E3B38E06-1B14-4316-A983-F658323B29EC}"/>
    <cellStyle name="Vírgula 2 2 2 2 5 4 5 2" xfId="35630" xr:uid="{0CB99F44-4112-4381-91A1-DE10602E92AF}"/>
    <cellStyle name="Vírgula 2 2 2 2 5 4 6" xfId="11411" xr:uid="{99CC4E89-0338-4218-9C7E-7982E6D92792}"/>
    <cellStyle name="Vírgula 2 2 2 2 5 4 6 2" xfId="31754" xr:uid="{9A915F3B-7F63-4470-B97E-08F7BFA3C2ED}"/>
    <cellStyle name="Vírgula 2 2 2 2 5 4 7" xfId="28260" xr:uid="{BAAD4928-EDA4-4E35-8FB9-7A878A824B68}"/>
    <cellStyle name="Vírgula 2 2 2 2 5 5" xfId="12980" xr:uid="{79D6F97D-9E62-447A-93B8-37F720710A9A}"/>
    <cellStyle name="Vírgula 2 2 2 2 5 5 2" xfId="33321" xr:uid="{E4F7081F-3BDB-4112-B20D-230AA34E6B4C}"/>
    <cellStyle name="Vírgula 2 2 2 2 5 6" xfId="15877" xr:uid="{753658C7-6453-4870-A051-8DF0B818E9C0}"/>
    <cellStyle name="Vírgula 2 2 2 2 5 6 2" xfId="36217" xr:uid="{5529C789-6FE6-4AD9-A33D-B761B10BCC40}"/>
    <cellStyle name="Vírgula 2 2 2 2 5 7" xfId="18791" xr:uid="{CFECAD55-8EA7-4E65-A410-F1F0EA9B9983}"/>
    <cellStyle name="Vírgula 2 2 2 2 5 7 2" xfId="39131" xr:uid="{0F4B1F64-8D2D-40A9-9626-E46A391C354C}"/>
    <cellStyle name="Vírgula 2 2 2 2 5 8" xfId="19379" xr:uid="{010EE9DC-6556-4DD5-B5B6-817CC3372201}"/>
    <cellStyle name="Vírgula 2 2 2 2 5 8 2" xfId="39718" xr:uid="{BE6A93D6-F166-4583-8FF0-FBD199E4C440}"/>
    <cellStyle name="Vírgula 2 2 2 2 5 9" xfId="22634" xr:uid="{23873A2D-19AF-4520-A1C8-B000AB56754D}"/>
    <cellStyle name="Vírgula 2 2 2 2 5 9 2" xfId="42969" xr:uid="{1C17CDD5-95C7-4E91-BF85-826C2378CFA8}"/>
    <cellStyle name="Vírgula 2 2 2 2 6" xfId="1385" xr:uid="{59C5B326-92C4-4CEE-8A72-964B791C9968}"/>
    <cellStyle name="Vírgula 2 2 2 2 6 10" xfId="12449" xr:uid="{1510B7AB-5596-4328-9AF2-620A8F483465}"/>
    <cellStyle name="Vírgula 2 2 2 2 6 10 2" xfId="32790" xr:uid="{C4BACACE-8A3F-48A7-9F48-85D982FD3BAB}"/>
    <cellStyle name="Vírgula 2 2 2 2 6 11" xfId="9188" xr:uid="{B2FB835A-B97C-4D80-B039-D2FD93DAF004}"/>
    <cellStyle name="Vírgula 2 2 2 2 6 11 2" xfId="29531" xr:uid="{41389A7F-0D6B-43B3-9DF1-3C3675933CA1}"/>
    <cellStyle name="Vírgula 2 2 2 2 6 12" xfId="26037" xr:uid="{876810FF-32C6-4871-985F-D7C831D18746}"/>
    <cellStyle name="Vírgula 2 2 2 2 6 13" xfId="48419" xr:uid="{E6BA2508-6D8F-472F-8039-45507C10A83B}"/>
    <cellStyle name="Vírgula 2 2 2 2 6 14" xfId="50089" xr:uid="{7ACD2E86-EE1E-4142-A6CD-53003798D8CF}"/>
    <cellStyle name="Vírgula 2 2 2 2 6 15" xfId="53384" xr:uid="{A8B9C88E-2294-4083-B338-BFC04FCC12C3}"/>
    <cellStyle name="Vírgula 2 2 2 2 6 16" xfId="5698" xr:uid="{AC1C74E0-CF4B-4B47-A84E-B0FD832F0134}"/>
    <cellStyle name="Vírgula 2 2 2 2 6 2" xfId="3046" xr:uid="{6B5462A7-E5FB-4956-87B6-9B84969220E6}"/>
    <cellStyle name="Vírgula 2 2 2 2 6 2 10" xfId="55015" xr:uid="{29AC7CC5-9867-4108-AFFA-A06591307391}"/>
    <cellStyle name="Vírgula 2 2 2 2 6 2 11" xfId="6270" xr:uid="{0A641665-8D9A-4E69-B351-EDF0F8F6F3AD}"/>
    <cellStyle name="Vírgula 2 2 2 2 6 2 2" xfId="7428" xr:uid="{FEBDF385-27E7-403A-9DC9-0AF9DFD878C4}"/>
    <cellStyle name="Vírgula 2 2 2 2 6 2 2 2" xfId="17714" xr:uid="{4B0C8120-5515-4536-8E1A-CF76105FD9E1}"/>
    <cellStyle name="Vírgula 2 2 2 2 6 2 2 2 2" xfId="38054" xr:uid="{D31F45C9-332E-4BCA-8C2D-8A906C9C3049}"/>
    <cellStyle name="Vírgula 2 2 2 2 6 2 2 3" xfId="21216" xr:uid="{444161FC-50BD-4BC0-BD61-346DA5DCD915}"/>
    <cellStyle name="Vírgula 2 2 2 2 6 2 2 3 2" xfId="41555" xr:uid="{93184CE2-391F-4B37-AC74-04E4E3C7389F}"/>
    <cellStyle name="Vírgula 2 2 2 2 6 2 2 4" xfId="24471" xr:uid="{A3879CEC-F2A2-4436-B6A0-5C5DF3E0B7E0}"/>
    <cellStyle name="Vírgula 2 2 2 2 6 2 2 4 2" xfId="44806" xr:uid="{A513775B-F738-458E-9620-9FE737B85AA1}"/>
    <cellStyle name="Vírgula 2 2 2 2 6 2 2 5" xfId="14805" xr:uid="{8894032F-A0B7-43C8-B815-40BE7834669E}"/>
    <cellStyle name="Vírgula 2 2 2 2 6 2 2 5 2" xfId="35146" xr:uid="{6AEF5D26-55FB-4F86-B35D-2D238BE0A43C}"/>
    <cellStyle name="Vírgula 2 2 2 2 6 2 2 6" xfId="10927" xr:uid="{6BE1D177-F268-4F7F-9974-6D962CF2771C}"/>
    <cellStyle name="Vírgula 2 2 2 2 6 2 2 6 2" xfId="31270" xr:uid="{B87EBA1F-F2E8-42F0-A2DF-E6979CBC359E}"/>
    <cellStyle name="Vírgula 2 2 2 2 6 2 2 7" xfId="27776" xr:uid="{AF9E52D8-1A0B-4419-8D0F-5DA86DF59A54}"/>
    <cellStyle name="Vírgula 2 2 2 2 6 2 3" xfId="16556" xr:uid="{9FF3A16F-6209-4CBD-8F6C-B71966F74D9F}"/>
    <cellStyle name="Vírgula 2 2 2 2 6 2 3 2" xfId="36896" xr:uid="{78FF16BD-4DC5-47C7-89DC-33661F88376E}"/>
    <cellStyle name="Vírgula 2 2 2 2 6 2 4" xfId="20058" xr:uid="{86902D3A-CAE6-4156-B879-0863274218B4}"/>
    <cellStyle name="Vírgula 2 2 2 2 6 2 4 2" xfId="40397" xr:uid="{5FC6106B-69C9-44CA-8ED8-0AC137B95C60}"/>
    <cellStyle name="Vírgula 2 2 2 2 6 2 5" xfId="23313" xr:uid="{23E77C24-5C27-455B-B7B0-21687DDB7DEB}"/>
    <cellStyle name="Vírgula 2 2 2 2 6 2 5 2" xfId="43648" xr:uid="{AF2106EE-6EC6-48C9-9390-3CF49700846C}"/>
    <cellStyle name="Vírgula 2 2 2 2 6 2 6" xfId="13647" xr:uid="{3CE41921-E243-41D8-BC39-EB753C4F7AA7}"/>
    <cellStyle name="Vírgula 2 2 2 2 6 2 6 2" xfId="33988" xr:uid="{157818FA-B006-4A64-B16F-18DBAB84FCCF}"/>
    <cellStyle name="Vírgula 2 2 2 2 6 2 7" xfId="9769" xr:uid="{DA25CD3B-E1EA-47FC-B952-D8B63B4E092C}"/>
    <cellStyle name="Vírgula 2 2 2 2 6 2 7 2" xfId="30112" xr:uid="{C9D99F32-DE50-4F65-B43D-47EC12D215BE}"/>
    <cellStyle name="Vírgula 2 2 2 2 6 2 8" xfId="26618" xr:uid="{C3A8E2DC-CDDE-43BD-A478-B4DE01D8E4A9}"/>
    <cellStyle name="Vírgula 2 2 2 2 6 2 9" xfId="51721" xr:uid="{B772D6C4-6EB2-4D7F-8EC7-A66DE05AE526}"/>
    <cellStyle name="Vírgula 2 2 2 2 6 3" xfId="6847" xr:uid="{5ABB91FB-E645-4CCC-9509-EACBFDC7AF2E}"/>
    <cellStyle name="Vírgula 2 2 2 2 6 3 2" xfId="17133" xr:uid="{7754C344-439F-4774-9550-532E44E38AB0}"/>
    <cellStyle name="Vírgula 2 2 2 2 6 3 2 2" xfId="37473" xr:uid="{86F54BA5-4368-43E6-A548-5C6F6594348B}"/>
    <cellStyle name="Vírgula 2 2 2 2 6 3 3" xfId="20635" xr:uid="{F9D9D61C-87B7-4881-9C77-66B53AD47E4D}"/>
    <cellStyle name="Vírgula 2 2 2 2 6 3 3 2" xfId="40974" xr:uid="{43743480-56B7-44BD-8933-323839C8412E}"/>
    <cellStyle name="Vírgula 2 2 2 2 6 3 4" xfId="23890" xr:uid="{988EBD49-3CD9-4BEF-883C-96CF6707E0E9}"/>
    <cellStyle name="Vírgula 2 2 2 2 6 3 4 2" xfId="44225" xr:uid="{ED749700-7220-4AF3-886D-7DB7ACABA3BB}"/>
    <cellStyle name="Vírgula 2 2 2 2 6 3 5" xfId="14224" xr:uid="{B298BEB7-3029-4911-99DE-222FFD532EE9}"/>
    <cellStyle name="Vírgula 2 2 2 2 6 3 5 2" xfId="34565" xr:uid="{5055356D-27BD-4880-9E57-F70184138CEA}"/>
    <cellStyle name="Vírgula 2 2 2 2 6 3 6" xfId="10346" xr:uid="{1AFE47C5-EE17-4ED7-9DDD-1FAE6719C46B}"/>
    <cellStyle name="Vírgula 2 2 2 2 6 3 6 2" xfId="30689" xr:uid="{41FFE400-AA0F-4439-BB97-C9EE6E6335B0}"/>
    <cellStyle name="Vírgula 2 2 2 2 6 3 7" xfId="27195" xr:uid="{12B63051-6873-4C02-BC91-5C3C40054B88}"/>
    <cellStyle name="Vírgula 2 2 2 2 6 3 8" xfId="57256" xr:uid="{CFBFEEE1-E826-4192-9811-74808FAC8EBD}"/>
    <cellStyle name="Vírgula 2 2 2 2 6 4" xfId="8011" xr:uid="{866BE1EB-476E-4F48-B54D-3BE15E240858}"/>
    <cellStyle name="Vírgula 2 2 2 2 6 4 2" xfId="18296" xr:uid="{52EE9223-1AA5-4346-94C9-E576297D2EE2}"/>
    <cellStyle name="Vírgula 2 2 2 2 6 4 2 2" xfId="38636" xr:uid="{B9B3153A-AECE-41CA-A282-156ACFFEB701}"/>
    <cellStyle name="Vírgula 2 2 2 2 6 4 3" xfId="21798" xr:uid="{FDEA7772-9FF2-4119-A97F-A8A17643886E}"/>
    <cellStyle name="Vírgula 2 2 2 2 6 4 3 2" xfId="42137" xr:uid="{4B895931-4EDA-4845-BB60-4FA931BDCEE8}"/>
    <cellStyle name="Vírgula 2 2 2 2 6 4 4" xfId="25053" xr:uid="{56A4C189-CBDC-45AD-8744-0C39EE5C81B9}"/>
    <cellStyle name="Vírgula 2 2 2 2 6 4 4 2" xfId="45388" xr:uid="{794245ED-869E-40D1-9D44-8119D583E666}"/>
    <cellStyle name="Vírgula 2 2 2 2 6 4 5" xfId="15388" xr:uid="{BBA8C3F8-EFD3-4A50-8958-EFE146D5D231}"/>
    <cellStyle name="Vírgula 2 2 2 2 6 4 5 2" xfId="35728" xr:uid="{7D7E1D48-5669-46D8-B345-5FB5F13DECBB}"/>
    <cellStyle name="Vírgula 2 2 2 2 6 4 6" xfId="11509" xr:uid="{63BE6FED-CE76-4F1B-9F31-92D46C46FC0E}"/>
    <cellStyle name="Vírgula 2 2 2 2 6 4 6 2" xfId="31852" xr:uid="{5444EC2B-6DE5-4288-8211-2705D0D78C30}"/>
    <cellStyle name="Vírgula 2 2 2 2 6 4 7" xfId="28358" xr:uid="{862ABD9B-622A-4C84-91D4-F2F855FCA46A}"/>
    <cellStyle name="Vírgula 2 2 2 2 6 5" xfId="13078" xr:uid="{7CEF274C-7A00-4D5F-BA94-C985F704F16E}"/>
    <cellStyle name="Vírgula 2 2 2 2 6 5 2" xfId="33419" xr:uid="{27CE734C-9E96-4BA8-8775-1AC498B1A992}"/>
    <cellStyle name="Vírgula 2 2 2 2 6 6" xfId="15975" xr:uid="{EF8004A6-994D-40C7-8711-50120566B564}"/>
    <cellStyle name="Vírgula 2 2 2 2 6 6 2" xfId="36315" xr:uid="{C6A66EA2-F9DE-4FC1-B75C-E809FA5B2A54}"/>
    <cellStyle name="Vírgula 2 2 2 2 6 7" xfId="18889" xr:uid="{679AC04E-933E-4CDC-8955-90A084C3FF3A}"/>
    <cellStyle name="Vírgula 2 2 2 2 6 7 2" xfId="39229" xr:uid="{70073974-B51E-44D6-BC50-D034E58A8AAC}"/>
    <cellStyle name="Vírgula 2 2 2 2 6 8" xfId="19477" xr:uid="{77581AA3-F811-4F04-8050-E3BEC0CB3EA6}"/>
    <cellStyle name="Vírgula 2 2 2 2 6 8 2" xfId="39816" xr:uid="{80A2E8DF-4F66-4ECB-8993-4A6B3B3E78BF}"/>
    <cellStyle name="Vírgula 2 2 2 2 6 9" xfId="22732" xr:uid="{C2597A6F-6728-405D-991F-4AACEEFDE2BF}"/>
    <cellStyle name="Vírgula 2 2 2 2 6 9 2" xfId="43067" xr:uid="{0A7C4ED0-08E9-40C7-A90A-3C58BB7A1BCA}"/>
    <cellStyle name="Vírgula 2 2 2 2 7" xfId="572" xr:uid="{F310050B-7C42-4C7C-983D-05238EC61643}"/>
    <cellStyle name="Vírgula 2 2 2 2 7 10" xfId="48420" xr:uid="{F7EB54F5-041F-41DB-91F5-8F3C6ED74F95}"/>
    <cellStyle name="Vírgula 2 2 2 2 7 11" xfId="50090" xr:uid="{0FFCB6DE-B148-49C1-A730-0BEB50B78317}"/>
    <cellStyle name="Vírgula 2 2 2 2 7 12" xfId="53385" xr:uid="{930B1114-22E3-45B6-BE3D-4FE68F02E8EF}"/>
    <cellStyle name="Vírgula 2 2 2 2 7 13" xfId="5828" xr:uid="{1106920D-013B-4023-B543-78E507D96127}"/>
    <cellStyle name="Vírgula 2 2 2 2 7 2" xfId="2288" xr:uid="{1B3EC64D-C0EB-4396-8BDB-74CDD440B007}"/>
    <cellStyle name="Vírgula 2 2 2 2 7 2 10" xfId="6986" xr:uid="{3485A145-570A-4691-BE16-38334B05EE0F}"/>
    <cellStyle name="Vírgula 2 2 2 2 7 2 2" xfId="17272" xr:uid="{5D19EC41-DB51-4402-B96D-90D31EB0AEC1}"/>
    <cellStyle name="Vírgula 2 2 2 2 7 2 2 2" xfId="37612" xr:uid="{68E51544-0B31-4480-B9ED-318EEDBABCEA}"/>
    <cellStyle name="Vírgula 2 2 2 2 7 2 3" xfId="20774" xr:uid="{B011E470-9533-4D94-9758-04EE04D3FB44}"/>
    <cellStyle name="Vírgula 2 2 2 2 7 2 3 2" xfId="41113" xr:uid="{E888CBCD-C6AF-4E05-89E9-FD0C7BB0152C}"/>
    <cellStyle name="Vírgula 2 2 2 2 7 2 4" xfId="24029" xr:uid="{D991BB92-0534-45CC-AD5E-5135557005B0}"/>
    <cellStyle name="Vírgula 2 2 2 2 7 2 4 2" xfId="44364" xr:uid="{4DC4B8D2-CB0F-453A-B32C-64E309D73D48}"/>
    <cellStyle name="Vírgula 2 2 2 2 7 2 5" xfId="14363" xr:uid="{05C72FAC-1226-457B-A513-85509D051C90}"/>
    <cellStyle name="Vírgula 2 2 2 2 7 2 5 2" xfId="34704" xr:uid="{F6A972B8-63DA-4BE6-9472-D0EF74D9A627}"/>
    <cellStyle name="Vírgula 2 2 2 2 7 2 6" xfId="10485" xr:uid="{1B372435-2E00-4535-B1A5-0F01BF814040}"/>
    <cellStyle name="Vírgula 2 2 2 2 7 2 6 2" xfId="30828" xr:uid="{8620C047-93E9-47E4-B2A6-C1CC43BAE0EF}"/>
    <cellStyle name="Vírgula 2 2 2 2 7 2 7" xfId="27334" xr:uid="{0ACB4C5B-9AF0-4A32-806B-9EC77DACD873}"/>
    <cellStyle name="Vírgula 2 2 2 2 7 2 8" xfId="51722" xr:uid="{4F058CB5-1C84-467F-9BED-E4D99B43666D}"/>
    <cellStyle name="Vírgula 2 2 2 2 7 2 9" xfId="55016" xr:uid="{25FA0FB9-6F50-4365-852F-CC85DAAA392D}"/>
    <cellStyle name="Vírgula 2 2 2 2 7 3" xfId="13207" xr:uid="{AB27A117-59B8-44A2-BC99-7D1FF90E8B3D}"/>
    <cellStyle name="Vírgula 2 2 2 2 7 3 2" xfId="33548" xr:uid="{FE30429E-FB40-40D1-94BC-1E3F96D57DB0}"/>
    <cellStyle name="Vírgula 2 2 2 2 7 3 3" xfId="56443" xr:uid="{C5D36A6C-E1BC-4CA9-8533-FAF75DE7DBD9}"/>
    <cellStyle name="Vírgula 2 2 2 2 7 4" xfId="16114" xr:uid="{56DC9824-4EEB-4B38-B5D0-84935B309199}"/>
    <cellStyle name="Vírgula 2 2 2 2 7 4 2" xfId="36454" xr:uid="{9DD1D4E1-0574-413C-B6FE-D5B57666A6FC}"/>
    <cellStyle name="Vírgula 2 2 2 2 7 5" xfId="19616" xr:uid="{36CA963A-B4C5-40FF-BAE2-F0DAC7B074B9}"/>
    <cellStyle name="Vírgula 2 2 2 2 7 5 2" xfId="39955" xr:uid="{D98D2A7A-92FA-4D8C-94B9-EA361A48E530}"/>
    <cellStyle name="Vírgula 2 2 2 2 7 6" xfId="22871" xr:uid="{7FC3A5CA-8BD6-418F-BD53-9F27CA7A27C4}"/>
    <cellStyle name="Vírgula 2 2 2 2 7 6 2" xfId="43206" xr:uid="{4208F605-75E4-4934-8716-744FF0B0D902}"/>
    <cellStyle name="Vírgula 2 2 2 2 7 7" xfId="12572" xr:uid="{ABCE257E-84F7-46E7-8EB6-52C49BE06A6B}"/>
    <cellStyle name="Vírgula 2 2 2 2 7 7 2" xfId="32913" xr:uid="{17BA7D82-6749-40EA-94C6-D3FFF5F79345}"/>
    <cellStyle name="Vírgula 2 2 2 2 7 8" xfId="9327" xr:uid="{CFC4E549-5EEF-4E7E-B3AA-1E3459CEFF57}"/>
    <cellStyle name="Vírgula 2 2 2 2 7 8 2" xfId="29670" xr:uid="{4B87524B-1BDB-4B6B-8E66-20BF53227A35}"/>
    <cellStyle name="Vírgula 2 2 2 2 7 9" xfId="26176" xr:uid="{704E2E3D-54F1-49D9-819F-FC6FDFCE0500}"/>
    <cellStyle name="Vírgula 2 2 2 2 8" xfId="3419" xr:uid="{30F21CF4-D875-40D0-AFE4-50736C3EC8F5}"/>
    <cellStyle name="Vírgula 2 2 2 2 8 10" xfId="6405" xr:uid="{D6EB7114-221D-4A35-87F3-661DCC13695D}"/>
    <cellStyle name="Vírgula 2 2 2 2 8 2" xfId="16691" xr:uid="{AA03D0DA-F3D8-42CB-8482-D738D59D9896}"/>
    <cellStyle name="Vírgula 2 2 2 2 8 2 2" xfId="37031" xr:uid="{7E45FADF-DBE3-43EC-A297-B42D7CF0D9C0}"/>
    <cellStyle name="Vírgula 2 2 2 2 8 3" xfId="20193" xr:uid="{4320A868-114B-44FE-B2FE-2E44A23380E1}"/>
    <cellStyle name="Vírgula 2 2 2 2 8 3 2" xfId="40532" xr:uid="{C0B3DC03-A9C9-4EEB-9E46-D4CED5EC6329}"/>
    <cellStyle name="Vírgula 2 2 2 2 8 4" xfId="23448" xr:uid="{B34349E7-DC9C-44CE-9610-89463B79294F}"/>
    <cellStyle name="Vírgula 2 2 2 2 8 4 2" xfId="43783" xr:uid="{8C479DA4-D006-4260-BB28-29A3D5EECA62}"/>
    <cellStyle name="Vírgula 2 2 2 2 8 5" xfId="13782" xr:uid="{D28738DC-E023-4E97-BDD2-06DF700C1BF4}"/>
    <cellStyle name="Vírgula 2 2 2 2 8 5 2" xfId="34123" xr:uid="{D6D6886F-89B4-4795-8383-99AE4D7F364E}"/>
    <cellStyle name="Vírgula 2 2 2 2 8 6" xfId="9904" xr:uid="{7271DD7D-8348-403E-8258-326BF12C8BA4}"/>
    <cellStyle name="Vírgula 2 2 2 2 8 6 2" xfId="30247" xr:uid="{E84E6ECC-3ECE-4CE4-B5D2-1E2DA7876B8F}"/>
    <cellStyle name="Vírgula 2 2 2 2 8 7" xfId="26753" xr:uid="{DC535FAB-270B-45BF-B854-52619BBA075C}"/>
    <cellStyle name="Vírgula 2 2 2 2 8 8" xfId="51699" xr:uid="{C05BE39A-B04C-40DA-9914-BB08106BC887}"/>
    <cellStyle name="Vírgula 2 2 2 2 8 9" xfId="54993" xr:uid="{007EA72A-3E49-4751-BF94-4BB906CE1748}"/>
    <cellStyle name="Vírgula 2 2 2 2 9" xfId="3832" xr:uid="{6E1AD7BC-0F8B-4924-82DC-CB5A352D1C9D}"/>
    <cellStyle name="Vírgula 2 2 2 2 9 2" xfId="17854" xr:uid="{BCB47760-770D-465A-AEE8-920456C031E3}"/>
    <cellStyle name="Vírgula 2 2 2 2 9 2 2" xfId="38194" xr:uid="{19712F5D-5429-468C-8FD0-860C3C9B262D}"/>
    <cellStyle name="Vírgula 2 2 2 2 9 3" xfId="21356" xr:uid="{36D32535-1B43-4AB5-9C02-FB9C2B3AE227}"/>
    <cellStyle name="Vírgula 2 2 2 2 9 3 2" xfId="41695" xr:uid="{F5B3761E-3483-41EC-8940-2FE815FC9556}"/>
    <cellStyle name="Vírgula 2 2 2 2 9 4" xfId="24611" xr:uid="{E958D5F0-DFD4-4292-979D-B6C19606761E}"/>
    <cellStyle name="Vírgula 2 2 2 2 9 4 2" xfId="44946" xr:uid="{8BF97758-BBF9-4A6A-AEC2-D9E792C728CE}"/>
    <cellStyle name="Vírgula 2 2 2 2 9 5" xfId="14946" xr:uid="{4FEDD3B1-667D-450C-B8B0-FB99CA8828F5}"/>
    <cellStyle name="Vírgula 2 2 2 2 9 5 2" xfId="35286" xr:uid="{A180C836-7CA8-49C2-A14F-69EC9E34F9FB}"/>
    <cellStyle name="Vírgula 2 2 2 2 9 6" xfId="11067" xr:uid="{0802CA69-52CB-4B1C-B1E8-40AF40E6A702}"/>
    <cellStyle name="Vírgula 2 2 2 2 9 6 2" xfId="31410" xr:uid="{358F590C-C333-4D7A-A76C-ACFAA34ABF48}"/>
    <cellStyle name="Vírgula 2 2 2 2 9 7" xfId="27916" xr:uid="{273D5520-0DC5-4721-86DA-6FF03FC422E4}"/>
    <cellStyle name="Vírgula 2 2 2 2 9 8" xfId="56034" xr:uid="{8188D513-1B40-4AF9-80B6-B698FCC106F3}"/>
    <cellStyle name="Vírgula 2 2 2 2 9 9" xfId="7569" xr:uid="{429BD30D-3E35-4D38-926E-15EED4F5BDA1}"/>
    <cellStyle name="Vírgula 2 2 2 20" xfId="45831" xr:uid="{E52A52C5-3BF0-4283-BA56-82FFAEA55E47}"/>
    <cellStyle name="Vírgula 2 2 2 21" xfId="46317" xr:uid="{CDD266E9-B0B4-4D8E-AC3E-B2C4E111D94C}"/>
    <cellStyle name="Vírgula 2 2 2 22" xfId="46809" xr:uid="{AFB13315-9704-4F38-8BBB-A8416733BC95}"/>
    <cellStyle name="Vírgula 2 2 2 23" xfId="47325" xr:uid="{BA266C0C-668A-4B47-B634-752753112A32}"/>
    <cellStyle name="Vírgula 2 2 2 24" xfId="47451" xr:uid="{BAE70DDD-6855-4E64-BF73-A55047EE6759}"/>
    <cellStyle name="Vírgula 2 2 2 25" xfId="47577" xr:uid="{2CDC5B75-6811-49A5-AA0B-9BD4447AEED3}"/>
    <cellStyle name="Vírgula 2 2 2 26" xfId="48395" xr:uid="{4F113A81-7254-43C8-BCEE-0D457583544F}"/>
    <cellStyle name="Vírgula 2 2 2 27" xfId="50065" xr:uid="{C1FB1A4B-B1A4-48D4-97C4-8AEEC87B8D32}"/>
    <cellStyle name="Vírgula 2 2 2 28" xfId="53360" xr:uid="{6D18429A-1456-49C6-8754-14E22B389CCE}"/>
    <cellStyle name="Vírgula 2 2 2 29" xfId="5236" xr:uid="{56647FAF-B7F5-4ADD-B115-C1388327A47F}"/>
    <cellStyle name="Vírgula 2 2 2 3" xfId="189" xr:uid="{98C1F1F5-AEA0-48A1-BC12-755224B82567}"/>
    <cellStyle name="Vírgula 2 2 2 3 10" xfId="22377" xr:uid="{E816EC27-58E1-4CB6-B72D-C31114D203FC}"/>
    <cellStyle name="Vírgula 2 2 2 3 10 2" xfId="42712" xr:uid="{0FB8757F-8FC1-404A-AE2C-7891341226EF}"/>
    <cellStyle name="Vírgula 2 2 2 3 11" xfId="12094" xr:uid="{3381D951-23DB-4E96-B388-C02EF11BB865}"/>
    <cellStyle name="Vírgula 2 2 2 3 11 2" xfId="32435" xr:uid="{9FCC3457-4DFB-4D8A-A2DF-81979CDAD5EA}"/>
    <cellStyle name="Vírgula 2 2 2 3 12" xfId="8833" xr:uid="{561FB106-0BE3-48C9-9165-F5E1CEEB89DF}"/>
    <cellStyle name="Vírgula 2 2 2 3 12 2" xfId="29176" xr:uid="{42D7FE68-0751-4BA7-95BC-097AC9D953A5}"/>
    <cellStyle name="Vírgula 2 2 2 3 13" xfId="25682" xr:uid="{0C964354-9C76-49ED-95BB-5EC9BEAAE033}"/>
    <cellStyle name="Vírgula 2 2 2 3 14" xfId="45891" xr:uid="{3AD8BECE-C88F-466F-977C-D4B55621A696}"/>
    <cellStyle name="Vírgula 2 2 2 3 15" xfId="46377" xr:uid="{9A30A0D9-500C-43DD-96B0-3B25D63D8F1A}"/>
    <cellStyle name="Vírgula 2 2 2 3 16" xfId="46869" xr:uid="{B46A5B64-2085-45AD-94CE-288361B057B8}"/>
    <cellStyle name="Vírgula 2 2 2 3 17" xfId="47381" xr:uid="{77D58776-191D-4F71-8C1E-458BD9DAD40A}"/>
    <cellStyle name="Vírgula 2 2 2 3 18" xfId="47507" xr:uid="{22F1C45C-2B4D-45A9-8CE5-FB718A5972CA}"/>
    <cellStyle name="Vírgula 2 2 2 3 19" xfId="47633" xr:uid="{8308EB81-7B05-4AE7-8D8B-F45D01F2943D}"/>
    <cellStyle name="Vírgula 2 2 2 3 2" xfId="378" xr:uid="{912F154A-465D-4F54-BFA1-1DD4ABCCDB17}"/>
    <cellStyle name="Vírgula 2 2 2 3 2 10" xfId="12481" xr:uid="{00398390-103D-4921-B6F3-AE6BDBE60FC1}"/>
    <cellStyle name="Vírgula 2 2 2 3 2 10 2" xfId="32822" xr:uid="{8AF32A2A-CA02-435D-8FAC-CC158D5239AE}"/>
    <cellStyle name="Vírgula 2 2 2 3 2 11" xfId="9220" xr:uid="{A39F30FB-5F40-4A30-8D05-7D377A935256}"/>
    <cellStyle name="Vírgula 2 2 2 3 2 11 2" xfId="29563" xr:uid="{4CF2BCA0-25C9-4DD5-B9E6-5C9ABEDA5108}"/>
    <cellStyle name="Vírgula 2 2 2 3 2 12" xfId="26069" xr:uid="{A4150F0E-1A66-4E1B-A58B-59ED6363652F}"/>
    <cellStyle name="Vírgula 2 2 2 3 2 13" xfId="45985" xr:uid="{11C48446-C949-43DC-AE89-2D89760D0DFD}"/>
    <cellStyle name="Vírgula 2 2 2 3 2 14" xfId="46471" xr:uid="{11C904BD-C1AD-4E63-BA80-51B02EBAD8F7}"/>
    <cellStyle name="Vírgula 2 2 2 3 2 15" xfId="46963" xr:uid="{EE106FE0-4547-474B-A721-7EEFA0485715}"/>
    <cellStyle name="Vírgula 2 2 2 3 2 16" xfId="48422" xr:uid="{3B858874-2FAE-4EEF-83A5-7464205B1FCB}"/>
    <cellStyle name="Vírgula 2 2 2 3 2 17" xfId="50092" xr:uid="{FCB312B6-81BA-4336-AF26-3D902ACBF718}"/>
    <cellStyle name="Vírgula 2 2 2 3 2 18" xfId="53387" xr:uid="{F6AF7D64-E981-409E-8EFA-BBF9F109311A}"/>
    <cellStyle name="Vírgula 2 2 2 3 2 19" xfId="5728" xr:uid="{0A45922C-9A12-47AA-A732-52B38B5A4031}"/>
    <cellStyle name="Vírgula 2 2 2 3 2 2" xfId="1194" xr:uid="{2081A747-3089-4616-AE11-B1DD6B6B30FF}"/>
    <cellStyle name="Vírgula 2 2 2 3 2 2 10" xfId="46714" xr:uid="{26AF8973-4A56-4DA7-BCAC-8F36E5308051}"/>
    <cellStyle name="Vírgula 2 2 2 3 2 2 11" xfId="47206" xr:uid="{8D0D0352-6876-413E-B042-8F54FACCD290}"/>
    <cellStyle name="Vírgula 2 2 2 3 2 2 12" xfId="48423" xr:uid="{F3272BFB-DA2B-42F0-9109-5EA102CF857D}"/>
    <cellStyle name="Vírgula 2 2 2 3 2 2 13" xfId="50093" xr:uid="{9FB8FA5F-884A-4201-9497-AB3E02EB3051}"/>
    <cellStyle name="Vírgula 2 2 2 3 2 2 14" xfId="53388" xr:uid="{6A9E2E1A-86D6-4401-8CE1-2251F0CEE229}"/>
    <cellStyle name="Vírgula 2 2 2 3 2 2 15" xfId="6302" xr:uid="{EE36A9CB-1588-4507-A9CD-33BC6DD98B48}"/>
    <cellStyle name="Vírgula 2 2 2 3 2 2 16" xfId="5103" xr:uid="{0BFC7E58-ECEB-400D-86F4-FBB288EE065F}"/>
    <cellStyle name="Vírgula 2 2 2 3 2 2 2" xfId="2855" xr:uid="{727E36B3-D64E-4ECF-9A1E-5E5A51DD5DCC}"/>
    <cellStyle name="Vírgula 2 2 2 3 2 2 2 10" xfId="7460" xr:uid="{8900A212-3E8D-4319-AF9F-5FEA035CE198}"/>
    <cellStyle name="Vírgula 2 2 2 3 2 2 2 2" xfId="17746" xr:uid="{4DD75FD9-C3F5-45F5-98DF-E08B79F441D2}"/>
    <cellStyle name="Vírgula 2 2 2 3 2 2 2 2 2" xfId="38086" xr:uid="{E4723B70-52AE-458C-82AC-D1D92E2A2881}"/>
    <cellStyle name="Vírgula 2 2 2 3 2 2 2 3" xfId="21248" xr:uid="{1ABD3560-3473-467D-988A-4A80926F7C82}"/>
    <cellStyle name="Vírgula 2 2 2 3 2 2 2 3 2" xfId="41587" xr:uid="{544D9C8F-527B-4879-BDE0-0A405D14D738}"/>
    <cellStyle name="Vírgula 2 2 2 3 2 2 2 4" xfId="24503" xr:uid="{9F5D7F30-A1B9-412F-A004-343482E3F199}"/>
    <cellStyle name="Vírgula 2 2 2 3 2 2 2 4 2" xfId="44838" xr:uid="{04DE409B-A77D-46D6-A94F-88CA85F0B463}"/>
    <cellStyle name="Vírgula 2 2 2 3 2 2 2 5" xfId="14837" xr:uid="{819CD068-7413-47CB-AA80-0A3D0ECDD182}"/>
    <cellStyle name="Vírgula 2 2 2 3 2 2 2 5 2" xfId="35178" xr:uid="{D42E30D8-0AFC-4160-9046-41B1663E41CA}"/>
    <cellStyle name="Vírgula 2 2 2 3 2 2 2 6" xfId="10959" xr:uid="{D3CC0D2F-DC7C-49ED-BE5C-B179C7BB3FC6}"/>
    <cellStyle name="Vírgula 2 2 2 3 2 2 2 6 2" xfId="31302" xr:uid="{705B363E-43C9-469B-BBEB-F7CDE150C665}"/>
    <cellStyle name="Vírgula 2 2 2 3 2 2 2 7" xfId="27808" xr:uid="{2149DDC2-15F7-4B41-B679-CD9520D78624}"/>
    <cellStyle name="Vírgula 2 2 2 3 2 2 2 8" xfId="51725" xr:uid="{CE9F9792-2723-41E9-9FA4-B12581766B1D}"/>
    <cellStyle name="Vírgula 2 2 2 3 2 2 2 9" xfId="55019" xr:uid="{84EA4A87-FF1C-4A51-A760-6FFD9AE0DD14}"/>
    <cellStyle name="Vírgula 2 2 2 3 2 2 3" xfId="16588" xr:uid="{AD5A37E1-BA0C-4787-A7A8-64634E4F3A52}"/>
    <cellStyle name="Vírgula 2 2 2 3 2 2 3 2" xfId="36928" xr:uid="{00FE0330-1089-4261-8576-7ABD1E6E89B6}"/>
    <cellStyle name="Vírgula 2 2 2 3 2 2 3 3" xfId="57065" xr:uid="{19C980AE-955B-4BA9-86B2-F2CE113D233E}"/>
    <cellStyle name="Vírgula 2 2 2 3 2 2 4" xfId="20090" xr:uid="{9B54E4BC-AE99-4DB5-ACD5-E9947BFAC597}"/>
    <cellStyle name="Vírgula 2 2 2 3 2 2 4 2" xfId="40429" xr:uid="{737927F1-90B9-4507-9514-77A13A27A56D}"/>
    <cellStyle name="Vírgula 2 2 2 3 2 2 5" xfId="23345" xr:uid="{6D1BA89F-27FD-46AE-9EE9-390D9F541A38}"/>
    <cellStyle name="Vírgula 2 2 2 3 2 2 5 2" xfId="43680" xr:uid="{C2DDEAC1-501D-4998-92DA-EAF1CC6F6087}"/>
    <cellStyle name="Vírgula 2 2 2 3 2 2 6" xfId="13679" xr:uid="{6000C32C-86CF-4628-A0BD-8B155FDC71BC}"/>
    <cellStyle name="Vírgula 2 2 2 3 2 2 6 2" xfId="34020" xr:uid="{9D4A01F0-BE92-45BF-9CEA-43428270DCB3}"/>
    <cellStyle name="Vírgula 2 2 2 3 2 2 7" xfId="9801" xr:uid="{80104E6D-0240-47B5-99D1-6662B70C493F}"/>
    <cellStyle name="Vírgula 2 2 2 3 2 2 7 2" xfId="30144" xr:uid="{3F946147-DE25-461B-9AB4-08100C568319}"/>
    <cellStyle name="Vírgula 2 2 2 3 2 2 8" xfId="26650" xr:uid="{4635D74A-5474-4670-81DA-089F4ED1A31F}"/>
    <cellStyle name="Vírgula 2 2 2 3 2 2 9" xfId="46228" xr:uid="{CDEB198D-0745-4797-B3A0-D070AAAC2E59}"/>
    <cellStyle name="Vírgula 2 2 2 3 2 20" xfId="4659" xr:uid="{122A3EDE-E17A-4C96-B1E1-0240D359D92C}"/>
    <cellStyle name="Vírgula 2 2 2 3 2 3" xfId="1600" xr:uid="{97F68097-130E-4A90-9E22-20104EE0BD77}"/>
    <cellStyle name="Vírgula 2 2 2 3 2 3 10" xfId="53389" xr:uid="{390A773A-34FA-492C-9E2D-19ECE4F88362}"/>
    <cellStyle name="Vírgula 2 2 2 3 2 3 11" xfId="6879" xr:uid="{ED220779-C80A-439B-82F3-4CA471C03C9E}"/>
    <cellStyle name="Vírgula 2 2 2 3 2 3 2" xfId="3260" xr:uid="{AD362691-2161-42DA-ABCB-85FB5007F33D}"/>
    <cellStyle name="Vírgula 2 2 2 3 2 3 2 2" xfId="37505" xr:uid="{DE353214-C82F-4740-94A0-6A9039E0104A}"/>
    <cellStyle name="Vírgula 2 2 2 3 2 3 2 3" xfId="51726" xr:uid="{1E37C217-7FC8-4A29-9021-66F420C4CB0A}"/>
    <cellStyle name="Vírgula 2 2 2 3 2 3 2 4" xfId="55020" xr:uid="{F2ECEE36-0DF3-474D-BD0D-F3D8BCB8361A}"/>
    <cellStyle name="Vírgula 2 2 2 3 2 3 2 5" xfId="17165" xr:uid="{710922C2-82DB-42CC-A889-04710298B92D}"/>
    <cellStyle name="Vírgula 2 2 2 3 2 3 3" xfId="20667" xr:uid="{A328D4F6-22B7-4F4F-ABA4-505CE78CAA6F}"/>
    <cellStyle name="Vírgula 2 2 2 3 2 3 3 2" xfId="41006" xr:uid="{ABCAB506-1875-4711-BB7D-3C2C868BCB87}"/>
    <cellStyle name="Vírgula 2 2 2 3 2 3 3 3" xfId="57471" xr:uid="{767AB501-827F-44E6-876E-814C5DDD78AC}"/>
    <cellStyle name="Vírgula 2 2 2 3 2 3 4" xfId="23922" xr:uid="{463BF7F0-D175-497D-9F81-CE42693D055E}"/>
    <cellStyle name="Vírgula 2 2 2 3 2 3 4 2" xfId="44257" xr:uid="{E70A204D-FA62-436D-988F-FFBEB544710E}"/>
    <cellStyle name="Vírgula 2 2 2 3 2 3 5" xfId="14256" xr:uid="{62CFA3C0-F949-4052-AABA-7809CDF8889C}"/>
    <cellStyle name="Vírgula 2 2 2 3 2 3 5 2" xfId="34597" xr:uid="{926D4D83-E985-4A41-B231-1451382296F0}"/>
    <cellStyle name="Vírgula 2 2 2 3 2 3 6" xfId="10378" xr:uid="{057C4587-31A5-4F8B-9686-3C1E089C0992}"/>
    <cellStyle name="Vírgula 2 2 2 3 2 3 6 2" xfId="30721" xr:uid="{EACCC701-B58E-4C9A-86B5-6D44115E66B8}"/>
    <cellStyle name="Vírgula 2 2 2 3 2 3 7" xfId="27227" xr:uid="{9FD7E6AA-FAE1-46DF-A769-965BC507BD71}"/>
    <cellStyle name="Vírgula 2 2 2 3 2 3 8" xfId="48424" xr:uid="{6B62A037-756C-4A70-8615-F8B04D0BDA51}"/>
    <cellStyle name="Vírgula 2 2 2 3 2 3 9" xfId="50094" xr:uid="{6EF6BB86-77B3-4B61-885D-CF12E01BC797}"/>
    <cellStyle name="Vírgula 2 2 2 3 2 4" xfId="787" xr:uid="{C9674CC6-60FA-45CD-BF34-EFD9E6A5C0F6}"/>
    <cellStyle name="Vírgula 2 2 2 3 2 4 10" xfId="53390" xr:uid="{978F1444-92C2-4F5E-A06A-CBDB3942CC2E}"/>
    <cellStyle name="Vírgula 2 2 2 3 2 4 11" xfId="8043" xr:uid="{4D7DC9C4-3C11-4A23-8558-5C28135660AA}"/>
    <cellStyle name="Vírgula 2 2 2 3 2 4 2" xfId="2503" xr:uid="{D8C83703-64AE-4867-BBD8-35A7B5565C2A}"/>
    <cellStyle name="Vírgula 2 2 2 3 2 4 2 2" xfId="38668" xr:uid="{7140E185-6A0B-4F5D-AD7E-ED20F3C4A3B6}"/>
    <cellStyle name="Vírgula 2 2 2 3 2 4 2 3" xfId="51727" xr:uid="{506EE5EB-E10C-4B52-B7A6-D08AADF32CAD}"/>
    <cellStyle name="Vírgula 2 2 2 3 2 4 2 4" xfId="55021" xr:uid="{8B63CF51-212F-4A8A-8893-0C70ECE1992C}"/>
    <cellStyle name="Vírgula 2 2 2 3 2 4 2 5" xfId="18328" xr:uid="{B1214203-900E-4E6E-B429-8A1A3ACF0FD9}"/>
    <cellStyle name="Vírgula 2 2 2 3 2 4 3" xfId="21830" xr:uid="{145EC7CA-C9D7-4CBA-9961-D7ECF7282A9A}"/>
    <cellStyle name="Vírgula 2 2 2 3 2 4 3 2" xfId="42169" xr:uid="{E75BD659-12F2-493A-AC5D-BA1EA083D3A6}"/>
    <cellStyle name="Vírgula 2 2 2 3 2 4 3 3" xfId="56658" xr:uid="{992ECFA1-17B3-439E-A8AB-4903F500172E}"/>
    <cellStyle name="Vírgula 2 2 2 3 2 4 4" xfId="25085" xr:uid="{7D3341CA-DFBC-40F8-BE86-D1846153F995}"/>
    <cellStyle name="Vírgula 2 2 2 3 2 4 4 2" xfId="45420" xr:uid="{8F6C0E46-8B61-4369-87C0-347FF446841C}"/>
    <cellStyle name="Vírgula 2 2 2 3 2 4 5" xfId="15420" xr:uid="{E4E7FC6F-25F7-4699-BAE5-58610D85423D}"/>
    <cellStyle name="Vírgula 2 2 2 3 2 4 5 2" xfId="35760" xr:uid="{9D1FD43A-291B-4E81-B5A1-28C83F530974}"/>
    <cellStyle name="Vírgula 2 2 2 3 2 4 6" xfId="11541" xr:uid="{1F7CE119-5070-423B-9A7E-B8D77BC74F77}"/>
    <cellStyle name="Vírgula 2 2 2 3 2 4 6 2" xfId="31884" xr:uid="{F577A8AC-F33E-42B4-9E6A-A171589F6DB5}"/>
    <cellStyle name="Vírgula 2 2 2 3 2 4 7" xfId="28390" xr:uid="{C7713560-3BEF-4C09-AA28-90AC7749BEAB}"/>
    <cellStyle name="Vírgula 2 2 2 3 2 4 8" xfId="48425" xr:uid="{4934449B-F00D-4642-802B-BA1EC9B15DC0}"/>
    <cellStyle name="Vírgula 2 2 2 3 2 4 9" xfId="50095" xr:uid="{2D452826-438A-499E-8B12-0FD560521127}"/>
    <cellStyle name="Vírgula 2 2 2 3 2 5" xfId="3667" xr:uid="{A848DF51-C2D3-4456-875E-81B1D03161EF}"/>
    <cellStyle name="Vírgula 2 2 2 3 2 5 2" xfId="22019" xr:uid="{E120639E-0D43-4C23-9F28-A04FCA0B7B40}"/>
    <cellStyle name="Vírgula 2 2 2 3 2 5 2 2" xfId="42355" xr:uid="{8A071E28-73F4-477F-A0BC-10A22CECD518}"/>
    <cellStyle name="Vírgula 2 2 2 3 2 5 3" xfId="25271" xr:uid="{7B7DC629-F500-4D1E-9384-035E8E969948}"/>
    <cellStyle name="Vírgula 2 2 2 3 2 5 3 2" xfId="45606" xr:uid="{099A3CC1-771A-459B-B3CC-29E1059117A9}"/>
    <cellStyle name="Vírgula 2 2 2 3 2 5 4" xfId="13110" xr:uid="{370A297B-26CD-4629-BF44-E18DF5F120C6}"/>
    <cellStyle name="Vírgula 2 2 2 3 2 5 4 2" xfId="33451" xr:uid="{22C68742-03F3-4F69-A8BA-6240A88E40D1}"/>
    <cellStyle name="Vírgula 2 2 2 3 2 5 5" xfId="11728" xr:uid="{53751097-793C-4204-9AF5-5BAA52CEAAE2}"/>
    <cellStyle name="Vírgula 2 2 2 3 2 5 5 2" xfId="32070" xr:uid="{DBAE7D7A-AD93-47EA-BA15-9F37D00D5C1F}"/>
    <cellStyle name="Vírgula 2 2 2 3 2 5 6" xfId="28576" xr:uid="{E71606E9-A480-4FBC-8665-A9AEA7ED7593}"/>
    <cellStyle name="Vírgula 2 2 2 3 2 5 7" xfId="51724" xr:uid="{AA7243D7-54F3-4273-A48D-A404645BF607}"/>
    <cellStyle name="Vírgula 2 2 2 3 2 5 8" xfId="55018" xr:uid="{92DFE2D3-A7DE-4E22-8CEA-93181BCC41E9}"/>
    <cellStyle name="Vírgula 2 2 2 3 2 5 9" xfId="8232" xr:uid="{81A06EA7-4568-40BB-99C9-6789844490F7}"/>
    <cellStyle name="Vírgula 2 2 2 3 2 6" xfId="4106" xr:uid="{70033038-28DD-4233-87CF-FDE07C433C11}"/>
    <cellStyle name="Vírgula 2 2 2 3 2 6 2" xfId="16007" xr:uid="{6C120F8F-9F6B-46C1-BAD9-ADD91C843153}"/>
    <cellStyle name="Vírgula 2 2 2 3 2 6 2 2" xfId="36347" xr:uid="{6BC6A077-429A-4F2A-A600-B7BF47C9E534}"/>
    <cellStyle name="Vírgula 2 2 2 3 2 6 3" xfId="28953" xr:uid="{9BCCD552-3946-4FA1-9FEC-A11AD5929993}"/>
    <cellStyle name="Vírgula 2 2 2 3 2 6 4" xfId="56249" xr:uid="{88887135-D28F-4AA3-813C-384BAF1A8345}"/>
    <cellStyle name="Vírgula 2 2 2 3 2 6 5" xfId="8610" xr:uid="{6D42772C-DAAA-447A-9D57-7A676CE1BA1B}"/>
    <cellStyle name="Vírgula 2 2 2 3 2 7" xfId="2016" xr:uid="{CED06C1C-A892-4735-9461-29581FDEE682}"/>
    <cellStyle name="Vírgula 2 2 2 3 2 7 2" xfId="39261" xr:uid="{C0D906AF-674B-402F-A501-9CC508AB5DBF}"/>
    <cellStyle name="Vírgula 2 2 2 3 2 7 3" xfId="18921" xr:uid="{107EC3FE-ABD3-4F90-8E5A-3C93D37425D2}"/>
    <cellStyle name="Vírgula 2 2 2 3 2 8" xfId="19509" xr:uid="{B4166812-E8EB-47B9-A7D9-5D702D817E86}"/>
    <cellStyle name="Vírgula 2 2 2 3 2 8 2" xfId="39848" xr:uid="{498F5713-802D-469C-9ADB-AE4B1561A239}"/>
    <cellStyle name="Vírgula 2 2 2 3 2 9" xfId="22764" xr:uid="{6C3896D0-C4F5-4BDC-A358-A1BAF82832C7}"/>
    <cellStyle name="Vírgula 2 2 2 3 2 9 2" xfId="43099" xr:uid="{4610E3E2-45D3-47CD-8F04-4B90A13FD351}"/>
    <cellStyle name="Vírgula 2 2 2 3 20" xfId="48421" xr:uid="{DEF96ECD-6117-491A-A08A-ACA81134517B}"/>
    <cellStyle name="Vírgula 2 2 2 3 21" xfId="50091" xr:uid="{A4FF6814-2E6B-42E4-BF0C-A44CE4498769}"/>
    <cellStyle name="Vírgula 2 2 2 3 22" xfId="53386" xr:uid="{FC75DC82-AB8E-45AE-A772-096685F1E75D}"/>
    <cellStyle name="Vírgula 2 2 2 3 23" xfId="5358" xr:uid="{E92443A4-0A6E-4F69-94CE-E28F43E676CD}"/>
    <cellStyle name="Vírgula 2 2 2 3 24" xfId="4470" xr:uid="{B04B186C-5D10-412A-9F92-AF2B5B49B6B4}"/>
    <cellStyle name="Vírgula 2 2 2 3 3" xfId="1005" xr:uid="{CF4A4CB7-0685-4DEE-A8FF-87A882D8F75E}"/>
    <cellStyle name="Vírgula 2 2 2 3 3 10" xfId="46620" xr:uid="{57C3D644-D2A1-425A-93B7-AA986F115651}"/>
    <cellStyle name="Vírgula 2 2 2 3 3 11" xfId="47112" xr:uid="{1E981F0D-9588-4A87-BA73-DB949D19C950}"/>
    <cellStyle name="Vírgula 2 2 2 3 3 12" xfId="48426" xr:uid="{98A02AE4-3357-4DA7-B378-161FFE4C1A1C}"/>
    <cellStyle name="Vírgula 2 2 2 3 3 13" xfId="50096" xr:uid="{391B2994-DBF2-4E45-84AA-5BB14F082931}"/>
    <cellStyle name="Vírgula 2 2 2 3 3 14" xfId="53391" xr:uid="{CC3BBC8C-FAD6-4D6D-8659-DA676AC93AC2}"/>
    <cellStyle name="Vírgula 2 2 2 3 3 15" xfId="5915" xr:uid="{A79AFCA9-5F80-46BC-A771-FC62533AD8CE}"/>
    <cellStyle name="Vírgula 2 2 2 3 3 16" xfId="5017" xr:uid="{DBCCB875-0ED7-4630-B006-1BF372A81F38}"/>
    <cellStyle name="Vírgula 2 2 2 3 3 2" xfId="3558" xr:uid="{07FA71FD-3F94-4697-A1DA-05DC7A91ECDA}"/>
    <cellStyle name="Vírgula 2 2 2 3 3 2 10" xfId="7073" xr:uid="{9E984120-BA43-4A9E-89F9-D80C1CAAD2DD}"/>
    <cellStyle name="Vírgula 2 2 2 3 3 2 2" xfId="17359" xr:uid="{50B26722-82CF-40AF-B0FA-F25ABC531BFE}"/>
    <cellStyle name="Vírgula 2 2 2 3 3 2 2 2" xfId="37699" xr:uid="{279C97F9-148D-4289-AE6E-E4667C9C9D9C}"/>
    <cellStyle name="Vírgula 2 2 2 3 3 2 3" xfId="20861" xr:uid="{CA8D2221-F981-424D-B4E0-91D8395B1441}"/>
    <cellStyle name="Vírgula 2 2 2 3 3 2 3 2" xfId="41200" xr:uid="{A885095F-CA0F-44DE-977A-E7D988625D63}"/>
    <cellStyle name="Vírgula 2 2 2 3 3 2 4" xfId="24116" xr:uid="{8925E470-E9CC-4F98-98C5-D49547533C9C}"/>
    <cellStyle name="Vírgula 2 2 2 3 3 2 4 2" xfId="44451" xr:uid="{AE9BFCB7-6728-49FD-9A5F-D5250DBD8391}"/>
    <cellStyle name="Vírgula 2 2 2 3 3 2 5" xfId="14450" xr:uid="{6031CD8E-1D34-43C9-B49C-2824FA2662B5}"/>
    <cellStyle name="Vírgula 2 2 2 3 3 2 5 2" xfId="34791" xr:uid="{833D2BFE-A828-468A-9982-2FF4B4CE2383}"/>
    <cellStyle name="Vírgula 2 2 2 3 3 2 6" xfId="10572" xr:uid="{1D42ACE4-3AAB-4410-AC7D-0C38B7654782}"/>
    <cellStyle name="Vírgula 2 2 2 3 3 2 6 2" xfId="30915" xr:uid="{0A2CF4F1-B9AF-4040-B365-E22AD64727A1}"/>
    <cellStyle name="Vírgula 2 2 2 3 3 2 7" xfId="27421" xr:uid="{2525E61A-733D-4D65-AA18-073EC6BBBDFC}"/>
    <cellStyle name="Vírgula 2 2 2 3 3 2 8" xfId="51728" xr:uid="{26F93AE0-22A0-4AAA-BA74-2830EF688568}"/>
    <cellStyle name="Vírgula 2 2 2 3 3 2 9" xfId="55022" xr:uid="{F1BCF2EB-7BE7-4D95-AD83-EC54FD149C21}"/>
    <cellStyle name="Vírgula 2 2 2 3 3 3" xfId="4278" xr:uid="{FC84112C-545C-4C43-8205-8764D8F527A2}"/>
    <cellStyle name="Vírgula 2 2 2 3 3 3 2" xfId="22020" xr:uid="{5C59338E-71EB-4C5F-BF78-CE0A2F088D28}"/>
    <cellStyle name="Vírgula 2 2 2 3 3 3 2 2" xfId="42356" xr:uid="{213E3097-540F-499F-80E2-B78070858E14}"/>
    <cellStyle name="Vírgula 2 2 2 3 3 3 3" xfId="25272" xr:uid="{211A9390-B485-4A85-B3A7-92215DC40BE4}"/>
    <cellStyle name="Vírgula 2 2 2 3 3 3 3 2" xfId="45607" xr:uid="{2BABD2AD-0E1A-4228-86DF-EE614550346A}"/>
    <cellStyle name="Vírgula 2 2 2 3 3 3 4" xfId="16201" xr:uid="{BE39C80B-8C1D-407D-B188-177484879858}"/>
    <cellStyle name="Vírgula 2 2 2 3 3 3 4 2" xfId="36541" xr:uid="{7BAB6613-E6FC-4E5E-9504-AB6615C7AEAA}"/>
    <cellStyle name="Vírgula 2 2 2 3 3 3 5" xfId="11729" xr:uid="{614948FC-8B90-4390-BE4B-70127D16A567}"/>
    <cellStyle name="Vírgula 2 2 2 3 3 3 5 2" xfId="32071" xr:uid="{6597441F-5F8E-4C3B-AB45-706959476A83}"/>
    <cellStyle name="Vírgula 2 2 2 3 3 3 6" xfId="28577" xr:uid="{3EDAE645-0564-41B0-B11A-D5E0C2ACE655}"/>
    <cellStyle name="Vírgula 2 2 2 3 3 3 7" xfId="56876" xr:uid="{44C62841-C2C2-44BB-9316-EABFF217ED24}"/>
    <cellStyle name="Vírgula 2 2 2 3 3 3 8" xfId="8233" xr:uid="{17676E81-A7F6-4D99-BB51-1DB5B96424D8}"/>
    <cellStyle name="Vírgula 2 2 2 3 3 4" xfId="1907" xr:uid="{CEFF0119-4A7B-4B2B-B9B3-69220C878E6C}"/>
    <cellStyle name="Vírgula 2 2 2 3 3 4 2" xfId="40042" xr:uid="{E875B36A-05AA-4BBC-AF0D-4A408F804D32}"/>
    <cellStyle name="Vírgula 2 2 2 3 3 4 3" xfId="19703" xr:uid="{B325142F-01F8-4E0F-8A56-C48BE261327D}"/>
    <cellStyle name="Vírgula 2 2 2 3 3 5" xfId="22958" xr:uid="{4858FE46-489C-44BD-A82C-BE23B5AB6D81}"/>
    <cellStyle name="Vírgula 2 2 2 3 3 5 2" xfId="43293" xr:uid="{C93078B1-A42E-480D-B85A-015828A4CF8D}"/>
    <cellStyle name="Vírgula 2 2 2 3 3 6" xfId="13294" xr:uid="{4B43D45D-80C0-4E5C-8293-47CC9012A6A6}"/>
    <cellStyle name="Vírgula 2 2 2 3 3 6 2" xfId="33635" xr:uid="{F8714C73-326F-4A8D-94FE-DBB1465EB89A}"/>
    <cellStyle name="Vírgula 2 2 2 3 3 7" xfId="9414" xr:uid="{57EFAFA7-2E15-495F-A5FC-2A79E7DF2B0B}"/>
    <cellStyle name="Vírgula 2 2 2 3 3 7 2" xfId="29757" xr:uid="{A0709756-9EA5-49FE-BC27-975179E6D243}"/>
    <cellStyle name="Vírgula 2 2 2 3 3 8" xfId="26263" xr:uid="{E5BD6EF2-2682-4D7B-92A3-3ACD60CFCC24}"/>
    <cellStyle name="Vírgula 2 2 2 3 3 9" xfId="46134" xr:uid="{6D77B05D-92CD-47C8-A79A-810E4ABEC5FA}"/>
    <cellStyle name="Vírgula 2 2 2 3 4" xfId="1411" xr:uid="{FE072BF7-D7DB-465A-8B4C-34C1F4639467}"/>
    <cellStyle name="Vírgula 2 2 2 3 4 10" xfId="53392" xr:uid="{51E5E48B-FE08-4E4B-91F3-438FB34363CF}"/>
    <cellStyle name="Vírgula 2 2 2 3 4 11" xfId="6492" xr:uid="{16BD6763-7C7B-470F-94CE-E70381D479DF}"/>
    <cellStyle name="Vírgula 2 2 2 3 4 12" xfId="4884" xr:uid="{1F873872-3C2E-4C3F-98CB-AD8730550874}"/>
    <cellStyle name="Vírgula 2 2 2 3 4 2" xfId="3776" xr:uid="{FB1CBA1B-E91D-45D6-B581-D1B025ED3386}"/>
    <cellStyle name="Vírgula 2 2 2 3 4 2 2" xfId="37118" xr:uid="{9510F590-1121-42DA-98CF-8269D650A716}"/>
    <cellStyle name="Vírgula 2 2 2 3 4 2 3" xfId="51729" xr:uid="{A7907D94-2599-49CC-BD9E-24575EFD69FC}"/>
    <cellStyle name="Vírgula 2 2 2 3 4 2 4" xfId="55023" xr:uid="{C44C06A9-CCC3-4FB1-9340-CAA5FE68F673}"/>
    <cellStyle name="Vírgula 2 2 2 3 4 2 5" xfId="16778" xr:uid="{82E867CF-4062-4442-B899-93DEBC1C2580}"/>
    <cellStyle name="Vírgula 2 2 2 3 4 3" xfId="3072" xr:uid="{C82528B9-482F-42C1-9D2E-0AD7F650B0B2}"/>
    <cellStyle name="Vírgula 2 2 2 3 4 3 2" xfId="40619" xr:uid="{5E33A6DC-A65E-4302-8942-A3F157DA9CB9}"/>
    <cellStyle name="Vírgula 2 2 2 3 4 3 3" xfId="57282" xr:uid="{F7E0999C-8CF8-4B94-8AE6-8688E96CE298}"/>
    <cellStyle name="Vírgula 2 2 2 3 4 3 4" xfId="20280" xr:uid="{6881ADE7-6CE2-4914-8D9B-3AABC294DB43}"/>
    <cellStyle name="Vírgula 2 2 2 3 4 4" xfId="23535" xr:uid="{D89EF0C8-54F7-4210-8B44-EAF8E8218805}"/>
    <cellStyle name="Vírgula 2 2 2 3 4 4 2" xfId="43870" xr:uid="{FAFAD0B6-744C-4501-AF2C-BA2AE3ED029F}"/>
    <cellStyle name="Vírgula 2 2 2 3 4 5" xfId="13869" xr:uid="{C2AD8C06-747D-43E7-9FB3-FDB487544982}"/>
    <cellStyle name="Vírgula 2 2 2 3 4 5 2" xfId="34210" xr:uid="{C62A1A78-EC9A-4F80-B912-3D18AF2F231C}"/>
    <cellStyle name="Vírgula 2 2 2 3 4 6" xfId="9991" xr:uid="{3A3373C0-B6E1-4F00-B992-1A498A080AFA}"/>
    <cellStyle name="Vírgula 2 2 2 3 4 6 2" xfId="30334" xr:uid="{43AEC300-47B2-4EEB-999B-324865F72D62}"/>
    <cellStyle name="Vírgula 2 2 2 3 4 7" xfId="26840" xr:uid="{D431E7C7-C774-46C4-BE22-709AD26BA696}"/>
    <cellStyle name="Vírgula 2 2 2 3 4 8" xfId="48427" xr:uid="{B15DBD7E-A8A3-4BE6-A7FF-DE6E96804A2A}"/>
    <cellStyle name="Vírgula 2 2 2 3 4 9" xfId="50097" xr:uid="{4661095C-833F-4B65-91C9-8927CEA652CD}"/>
    <cellStyle name="Vírgula 2 2 2 3 5" xfId="598" xr:uid="{98E1EB62-981F-4B63-BDCC-79EF17CBCBCD}"/>
    <cellStyle name="Vírgula 2 2 2 3 5 10" xfId="53393" xr:uid="{04E45454-E320-4C71-818A-9AAF1DA86C31}"/>
    <cellStyle name="Vírgula 2 2 2 3 5 11" xfId="7656" xr:uid="{44A89112-B8E5-4006-9624-DDC5ECF65B5E}"/>
    <cellStyle name="Vírgula 2 2 2 3 5 2" xfId="2314" xr:uid="{6E36D2FA-C906-488E-BA45-971A1C0C0558}"/>
    <cellStyle name="Vírgula 2 2 2 3 5 2 2" xfId="38281" xr:uid="{E0A9C1FB-8C3B-4369-9B16-936F43212822}"/>
    <cellStyle name="Vírgula 2 2 2 3 5 2 3" xfId="51730" xr:uid="{FD26180B-63B0-47A0-A662-23B4D135DBED}"/>
    <cellStyle name="Vírgula 2 2 2 3 5 2 4" xfId="55024" xr:uid="{25FAE010-7414-4CD4-90D7-D9F36F2B3EE4}"/>
    <cellStyle name="Vírgula 2 2 2 3 5 2 5" xfId="17941" xr:uid="{838DDD8C-CE5D-4CC6-8BC8-A554537F14A3}"/>
    <cellStyle name="Vírgula 2 2 2 3 5 3" xfId="21443" xr:uid="{BEDA1B41-3C3B-43C0-AB88-23E4F5D54DF6}"/>
    <cellStyle name="Vírgula 2 2 2 3 5 3 2" xfId="41782" xr:uid="{38868541-DA41-4808-AB55-E78DE7D98FCA}"/>
    <cellStyle name="Vírgula 2 2 2 3 5 3 3" xfId="56469" xr:uid="{3E54BE5A-D8E8-44FC-80B5-D82EAE17CE00}"/>
    <cellStyle name="Vírgula 2 2 2 3 5 4" xfId="24698" xr:uid="{03BB14A5-6A83-405B-B245-0FAFDAE1786B}"/>
    <cellStyle name="Vírgula 2 2 2 3 5 4 2" xfId="45033" xr:uid="{8914ED6F-E2BA-4C4B-8F0E-6B12F980AEF1}"/>
    <cellStyle name="Vírgula 2 2 2 3 5 5" xfId="15033" xr:uid="{9F4126B2-D4DC-4121-A9AF-C81D84B75D3B}"/>
    <cellStyle name="Vírgula 2 2 2 3 5 5 2" xfId="35373" xr:uid="{83DA86D0-1B5B-4FF4-94B4-3C4C215F84A8}"/>
    <cellStyle name="Vírgula 2 2 2 3 5 6" xfId="11154" xr:uid="{6CDB9724-5296-4833-B1EE-35369C90F5F5}"/>
    <cellStyle name="Vírgula 2 2 2 3 5 6 2" xfId="31497" xr:uid="{725D65EE-E824-40F1-9725-54DA78A727BD}"/>
    <cellStyle name="Vírgula 2 2 2 3 5 7" xfId="28003" xr:uid="{FAB07DD7-F88F-4CBB-873C-A87A5695462A}"/>
    <cellStyle name="Vírgula 2 2 2 3 5 8" xfId="48428" xr:uid="{5D493A99-D6C6-41A8-95E0-38424AA77016}"/>
    <cellStyle name="Vírgula 2 2 2 3 5 9" xfId="50098" xr:uid="{F411BA7C-69C5-46C8-9418-11450EA20C99}"/>
    <cellStyle name="Vírgula 2 2 2 3 6" xfId="3448" xr:uid="{F1987DED-6965-4299-8F5A-42A378336262}"/>
    <cellStyle name="Vírgula 2 2 2 3 6 2" xfId="22018" xr:uid="{BFD2788E-5EF4-4966-9405-B2A71E497548}"/>
    <cellStyle name="Vírgula 2 2 2 3 6 2 2" xfId="42354" xr:uid="{E775A4AF-61B1-40A7-9F41-589D92AA76C2}"/>
    <cellStyle name="Vírgula 2 2 2 3 6 3" xfId="25270" xr:uid="{69903D98-F5E6-43F1-B7F7-44B58D6E92A1}"/>
    <cellStyle name="Vírgula 2 2 2 3 6 3 2" xfId="45605" xr:uid="{E10726A8-FB8D-49DA-82DB-B81ADAFF448D}"/>
    <cellStyle name="Vírgula 2 2 2 3 6 4" xfId="12725" xr:uid="{93BDB206-6909-4B8A-B1CB-F3F3004C6FF1}"/>
    <cellStyle name="Vírgula 2 2 2 3 6 4 2" xfId="33066" xr:uid="{6B36DADF-212E-4D4F-963E-84E4C65B8B7F}"/>
    <cellStyle name="Vírgula 2 2 2 3 6 5" xfId="11727" xr:uid="{FB0FE602-451D-4157-A0B1-78B2F0AD20F1}"/>
    <cellStyle name="Vírgula 2 2 2 3 6 5 2" xfId="32069" xr:uid="{16919BCC-A418-404A-A8A1-EE141156BCDB}"/>
    <cellStyle name="Vírgula 2 2 2 3 6 6" xfId="28575" xr:uid="{E4F96C99-FB10-4BB1-A67C-CECDF09A7424}"/>
    <cellStyle name="Vírgula 2 2 2 3 6 7" xfId="51723" xr:uid="{1731819C-038D-4622-ABAB-C85B1C0A9CB7}"/>
    <cellStyle name="Vírgula 2 2 2 3 6 8" xfId="55017" xr:uid="{11ED62ED-F462-4FE8-87CF-4C408C26FF1D}"/>
    <cellStyle name="Vírgula 2 2 2 3 6 9" xfId="8231" xr:uid="{D8DFF7AE-67F3-4097-8281-5F57348B1829}"/>
    <cellStyle name="Vírgula 2 2 2 3 7" xfId="3934" xr:uid="{FF2C98E9-13EB-4BC1-AEF9-92DDF5E80EE2}"/>
    <cellStyle name="Vírgula 2 2 2 3 7 2" xfId="15620" xr:uid="{2C7C3E07-3919-43B4-B4CE-C83CD820E874}"/>
    <cellStyle name="Vírgula 2 2 2 3 7 2 2" xfId="35960" xr:uid="{992911BA-9D14-4FBE-A40E-85C8DAA6A76A}"/>
    <cellStyle name="Vírgula 2 2 2 3 7 3" xfId="28859" xr:uid="{D52DA788-FED6-43A6-BE5C-6FC367427E03}"/>
    <cellStyle name="Vírgula 2 2 2 3 7 4" xfId="56060" xr:uid="{3E304E62-9858-473C-B390-61AB6BED2524}"/>
    <cellStyle name="Vírgula 2 2 2 3 7 5" xfId="8516" xr:uid="{39DAEEE3-5DB9-4287-94A3-FAE6E5D7044B}"/>
    <cellStyle name="Vírgula 2 2 2 3 8" xfId="1797" xr:uid="{8D5394D0-5EE0-4AC8-8C3D-91338EB7763A}"/>
    <cellStyle name="Vírgula 2 2 2 3 8 2" xfId="38874" xr:uid="{69EA5AFB-0A77-45B1-9360-A4140A50EC2E}"/>
    <cellStyle name="Vírgula 2 2 2 3 8 3" xfId="18534" xr:uid="{03E75C66-6BFB-4FCA-B8E1-9ECA70AA4E07}"/>
    <cellStyle name="Vírgula 2 2 2 3 9" xfId="19122" xr:uid="{95A84A20-1AA5-4E93-A0D0-F8C0EAC4D0C9}"/>
    <cellStyle name="Vírgula 2 2 2 3 9 2" xfId="39461" xr:uid="{FE26F4E6-8066-43EF-99BC-A1EAE1F63D7E}"/>
    <cellStyle name="Vírgula 2 2 2 30" xfId="4379" xr:uid="{E94D2FA8-8ED2-4C43-ABF1-D9B185C30A2C}"/>
    <cellStyle name="Vírgula 2 2 2 31" xfId="57607" xr:uid="{79322ACC-94D2-4B8C-B8EC-718269400631}"/>
    <cellStyle name="Vírgula 2 2 2 4" xfId="215" xr:uid="{2B498254-F135-4FBC-9707-5A75AA30A851}"/>
    <cellStyle name="Vírgula 2 2 2 4 10" xfId="12190" xr:uid="{AF17579B-06F1-4D2B-BA1C-4258A6C1F8CD}"/>
    <cellStyle name="Vírgula 2 2 2 4 10 2" xfId="32531" xr:uid="{61D57E9B-B0B1-4205-8258-485F161522DD}"/>
    <cellStyle name="Vírgula 2 2 2 4 11" xfId="8929" xr:uid="{A3390FD3-68FB-4E60-A775-63CB0717F74E}"/>
    <cellStyle name="Vírgula 2 2 2 4 11 2" xfId="29272" xr:uid="{275FD9A2-974B-4FD9-956E-83FA2DB21284}"/>
    <cellStyle name="Vírgula 2 2 2 4 12" xfId="25778" xr:uid="{4826D12F-453C-4EB0-B0C4-C0D51ED74338}"/>
    <cellStyle name="Vírgula 2 2 2 4 13" xfId="45986" xr:uid="{45313DCD-8AC2-442C-8F57-2B692EBAB64F}"/>
    <cellStyle name="Vírgula 2 2 2 4 14" xfId="46472" xr:uid="{AC19A8CE-BB36-4476-A37E-D83A673B1A2D}"/>
    <cellStyle name="Vírgula 2 2 2 4 15" xfId="46964" xr:uid="{B27B5A48-9D8D-4A4F-AD67-B45AE1EE543B}"/>
    <cellStyle name="Vírgula 2 2 2 4 16" xfId="48429" xr:uid="{36466035-7415-418F-A3C7-59773C39AE05}"/>
    <cellStyle name="Vírgula 2 2 2 4 17" xfId="50099" xr:uid="{68A17402-3255-4642-9FFB-2A3F2AA4C24D}"/>
    <cellStyle name="Vírgula 2 2 2 4 18" xfId="53394" xr:uid="{67587444-8DBE-434A-868E-A2B29867C7CC}"/>
    <cellStyle name="Vírgula 2 2 2 4 19" xfId="5445" xr:uid="{7A11477A-883C-4AD0-8B0A-4883D91A8EA9}"/>
    <cellStyle name="Vírgula 2 2 2 4 2" xfId="404" xr:uid="{E9729111-BEFB-4690-B7F0-3A75F5CBFE58}"/>
    <cellStyle name="Vírgula 2 2 2 4 2 10" xfId="46715" xr:uid="{006FBAA1-2C3A-4F15-A540-5FCD656B16C8}"/>
    <cellStyle name="Vírgula 2 2 2 4 2 11" xfId="47207" xr:uid="{80171E32-DD69-42D3-A1DC-E7CD911254FD}"/>
    <cellStyle name="Vírgula 2 2 2 4 2 12" xfId="48430" xr:uid="{2CEA1AD6-85E5-4504-968E-5F4B4BEDAD8D}"/>
    <cellStyle name="Vírgula 2 2 2 4 2 13" xfId="50100" xr:uid="{D62F747D-B4E7-4E0F-BA62-F787305AD6E1}"/>
    <cellStyle name="Vírgula 2 2 2 4 2 14" xfId="53395" xr:uid="{39EEE8AE-F4FB-4B06-B7DF-D2B3E9C403FC}"/>
    <cellStyle name="Vírgula 2 2 2 4 2 15" xfId="6011" xr:uid="{9D186BFC-D35A-4A70-991E-62B4894E66D7}"/>
    <cellStyle name="Vírgula 2 2 2 4 2 16" xfId="4685" xr:uid="{25F36B0E-C1A2-4B78-8CEF-FCBC85285D5F}"/>
    <cellStyle name="Vírgula 2 2 2 4 2 2" xfId="1220" xr:uid="{206D1AF6-4039-4927-AFD3-FD526AFB0A44}"/>
    <cellStyle name="Vírgula 2 2 2 4 2 2 10" xfId="53396" xr:uid="{C14581E3-7B20-4E74-B870-A9AFF76967A4}"/>
    <cellStyle name="Vírgula 2 2 2 4 2 2 11" xfId="7169" xr:uid="{7681D14A-07B9-43E9-9507-B6996F6C95CC}"/>
    <cellStyle name="Vírgula 2 2 2 4 2 2 12" xfId="5104" xr:uid="{810D8334-59A1-4AC4-A53C-AA95AF3AA774}"/>
    <cellStyle name="Vírgula 2 2 2 4 2 2 2" xfId="2881" xr:uid="{B90AFE8A-8435-452F-A3DC-B78D0CD68714}"/>
    <cellStyle name="Vírgula 2 2 2 4 2 2 2 2" xfId="37795" xr:uid="{D6E38C54-80F1-414E-972B-F4C2643842DA}"/>
    <cellStyle name="Vírgula 2 2 2 4 2 2 2 3" xfId="51733" xr:uid="{70341A96-9619-4235-9B5D-68D86178842D}"/>
    <cellStyle name="Vírgula 2 2 2 4 2 2 2 4" xfId="55027" xr:uid="{A4C9B4BB-0552-4AB1-81B5-32A3FE278A3F}"/>
    <cellStyle name="Vírgula 2 2 2 4 2 2 2 5" xfId="17455" xr:uid="{E4086344-9481-46CC-A668-10EE8B26D708}"/>
    <cellStyle name="Vírgula 2 2 2 4 2 2 3" xfId="20957" xr:uid="{5FB760FE-9E99-4618-882B-A4DAE16902C8}"/>
    <cellStyle name="Vírgula 2 2 2 4 2 2 3 2" xfId="41296" xr:uid="{D449B200-0C7D-4C91-87B5-10C928A5130E}"/>
    <cellStyle name="Vírgula 2 2 2 4 2 2 3 3" xfId="57091" xr:uid="{7E05FF3F-F09F-48C9-B149-1DE42FD24826}"/>
    <cellStyle name="Vírgula 2 2 2 4 2 2 4" xfId="24212" xr:uid="{720D5001-901E-48C8-A2CF-2696B25AAFE2}"/>
    <cellStyle name="Vírgula 2 2 2 4 2 2 4 2" xfId="44547" xr:uid="{7CE00E08-391F-419A-BC6E-729BC96DA4E3}"/>
    <cellStyle name="Vírgula 2 2 2 4 2 2 5" xfId="14546" xr:uid="{49D367DE-B906-4DBA-B7CF-5BAF3925398F}"/>
    <cellStyle name="Vírgula 2 2 2 4 2 2 5 2" xfId="34887" xr:uid="{BFA5546E-AF1D-47CC-BA85-E5CE99A855E8}"/>
    <cellStyle name="Vírgula 2 2 2 4 2 2 6" xfId="10668" xr:uid="{F794EC75-AD15-4715-813D-259CA89A4562}"/>
    <cellStyle name="Vírgula 2 2 2 4 2 2 6 2" xfId="31011" xr:uid="{FF9F965A-9313-4FCE-8337-752C04227F2D}"/>
    <cellStyle name="Vírgula 2 2 2 4 2 2 7" xfId="27517" xr:uid="{140C3D13-8467-476C-ADB9-D530EF9CF001}"/>
    <cellStyle name="Vírgula 2 2 2 4 2 2 8" xfId="48431" xr:uid="{637318C6-FC14-4D20-9286-4DBCB35417A6}"/>
    <cellStyle name="Vírgula 2 2 2 4 2 2 9" xfId="50101" xr:uid="{A85115AF-CD74-46E2-8F5C-171EF28128A4}"/>
    <cellStyle name="Vírgula 2 2 2 4 2 3" xfId="1626" xr:uid="{F96F01BF-5558-43F9-ACB9-5ACF5C4C1043}"/>
    <cellStyle name="Vírgula 2 2 2 4 2 3 10" xfId="8235" xr:uid="{C5E63A02-11D3-48FD-9810-BAF0EC471C89}"/>
    <cellStyle name="Vírgula 2 2 2 4 2 3 2" xfId="3286" xr:uid="{4AA2C325-4C72-406A-94CF-296CE173C098}"/>
    <cellStyle name="Vírgula 2 2 2 4 2 3 2 2" xfId="42358" xr:uid="{D3FB6E6A-BA8B-43A9-8417-B75EAB6E63BC}"/>
    <cellStyle name="Vírgula 2 2 2 4 2 3 2 3" xfId="51734" xr:uid="{CD792ED7-F9BD-41EB-9932-FFB143AC09D4}"/>
    <cellStyle name="Vírgula 2 2 2 4 2 3 2 4" xfId="55028" xr:uid="{C1105F1C-48BF-4C1F-82D0-406E798F1581}"/>
    <cellStyle name="Vírgula 2 2 2 4 2 3 2 5" xfId="22022" xr:uid="{F8339B77-B5D2-4571-A91A-A0085D50DB7E}"/>
    <cellStyle name="Vírgula 2 2 2 4 2 3 3" xfId="25274" xr:uid="{0BF33DFE-4BE7-4B28-A566-9C0A276EFBCA}"/>
    <cellStyle name="Vírgula 2 2 2 4 2 3 3 2" xfId="45609" xr:uid="{C09FE098-8BA1-43D7-82AE-E00AEC96692C}"/>
    <cellStyle name="Vírgula 2 2 2 4 2 3 3 3" xfId="57497" xr:uid="{5372C1F6-2BBF-4504-8B55-233A4F0E48B7}"/>
    <cellStyle name="Vírgula 2 2 2 4 2 3 4" xfId="16297" xr:uid="{40C59EBA-CD1E-4590-9C2E-061A0C8C7746}"/>
    <cellStyle name="Vírgula 2 2 2 4 2 3 4 2" xfId="36637" xr:uid="{F4B42013-B5BB-49C3-8993-A7012FD7982F}"/>
    <cellStyle name="Vírgula 2 2 2 4 2 3 5" xfId="11731" xr:uid="{2FFC1BFC-5D7E-4B8B-A50A-F0974E3FBC48}"/>
    <cellStyle name="Vírgula 2 2 2 4 2 3 5 2" xfId="32073" xr:uid="{0CB1D9AC-D505-464B-BFBC-9EBF3014EE81}"/>
    <cellStyle name="Vírgula 2 2 2 4 2 3 6" xfId="28579" xr:uid="{4FAED5A6-E00A-4779-AFFB-5F87C7519819}"/>
    <cellStyle name="Vírgula 2 2 2 4 2 3 7" xfId="48432" xr:uid="{7E0173C5-DC4E-4469-9FEF-7339A3B3DD14}"/>
    <cellStyle name="Vírgula 2 2 2 4 2 3 8" xfId="50102" xr:uid="{8FC909DC-AEC3-4B36-87E3-4221630A32B6}"/>
    <cellStyle name="Vírgula 2 2 2 4 2 3 9" xfId="53397" xr:uid="{4902CC4B-2A35-48F2-9491-4BEF1DBDAC97}"/>
    <cellStyle name="Vírgula 2 2 2 4 2 4" xfId="813" xr:uid="{6A10FE23-2F10-416B-8B1F-EADC3BD97078}"/>
    <cellStyle name="Vírgula 2 2 2 4 2 4 2" xfId="2529" xr:uid="{B974CD0F-B89D-47D7-8E0C-CC13F7E48C12}"/>
    <cellStyle name="Vírgula 2 2 2 4 2 4 2 2" xfId="51735" xr:uid="{310107EB-5768-4192-A6F3-DCA75638394A}"/>
    <cellStyle name="Vírgula 2 2 2 4 2 4 2 3" xfId="55029" xr:uid="{01C0630B-6834-45D9-B0BD-9BC356579E97}"/>
    <cellStyle name="Vírgula 2 2 2 4 2 4 2 4" xfId="40138" xr:uid="{F9F8E3C6-0FC2-451E-8804-3525632649BC}"/>
    <cellStyle name="Vírgula 2 2 2 4 2 4 3" xfId="48433" xr:uid="{87ED5356-DB67-4741-BD26-A11D2B95647A}"/>
    <cellStyle name="Vírgula 2 2 2 4 2 4 3 2" xfId="56684" xr:uid="{43C0BE40-E818-44C0-B11D-FC37033016CB}"/>
    <cellStyle name="Vírgula 2 2 2 4 2 4 4" xfId="50103" xr:uid="{4A2A8BC3-2B76-4AA2-8CAA-9B0DBC4391EB}"/>
    <cellStyle name="Vírgula 2 2 2 4 2 4 5" xfId="53398" xr:uid="{F4161CBC-ED1F-406F-89B1-62DED986A554}"/>
    <cellStyle name="Vírgula 2 2 2 4 2 4 6" xfId="19799" xr:uid="{554BE299-5F71-4EA8-BFF7-2C5D6ADEB347}"/>
    <cellStyle name="Vírgula 2 2 2 4 2 5" xfId="2147" xr:uid="{860FEA27-60B5-484D-94EA-945AB205ADB1}"/>
    <cellStyle name="Vírgula 2 2 2 4 2 5 2" xfId="43389" xr:uid="{5A929D80-2FE9-4149-8E5B-5BFE1B595569}"/>
    <cellStyle name="Vírgula 2 2 2 4 2 5 3" xfId="51732" xr:uid="{B7DE8696-23AB-4D1F-A679-E454F31C114D}"/>
    <cellStyle name="Vírgula 2 2 2 4 2 5 4" xfId="55026" xr:uid="{9EB8A6DE-6CEA-465E-8D3C-0D03A433BE32}"/>
    <cellStyle name="Vírgula 2 2 2 4 2 5 5" xfId="23054" xr:uid="{45262A1D-F919-4AE8-B2AA-C674537CF457}"/>
    <cellStyle name="Vírgula 2 2 2 4 2 6" xfId="13388" xr:uid="{8FF921F7-05F0-4727-A4C2-155F96132C02}"/>
    <cellStyle name="Vírgula 2 2 2 4 2 6 2" xfId="33729" xr:uid="{318B3C27-D713-4C11-A31D-73C16573CBD9}"/>
    <cellStyle name="Vírgula 2 2 2 4 2 6 3" xfId="56275" xr:uid="{B8A70F42-6A95-4E85-888E-7C739E532B58}"/>
    <cellStyle name="Vírgula 2 2 2 4 2 7" xfId="9510" xr:uid="{FF704EA3-AD0C-4D01-AB87-2C7C76DF02D6}"/>
    <cellStyle name="Vírgula 2 2 2 4 2 7 2" xfId="29853" xr:uid="{9A6BF3DF-E698-437D-A6EA-A45F6C89672D}"/>
    <cellStyle name="Vírgula 2 2 2 4 2 8" xfId="26359" xr:uid="{70F2205C-6F8A-4CF7-96E8-EC263C118C81}"/>
    <cellStyle name="Vírgula 2 2 2 4 2 9" xfId="46229" xr:uid="{F2578027-5C4D-4B15-9DE1-A8A1E1FC4E7A}"/>
    <cellStyle name="Vírgula 2 2 2 4 20" xfId="4496" xr:uid="{179F0CED-9432-46DD-B410-0535A835D80C}"/>
    <cellStyle name="Vírgula 2 2 2 4 3" xfId="1031" xr:uid="{81EFCDFF-6972-421E-92E7-3F33A68FBAE2}"/>
    <cellStyle name="Vírgula 2 2 2 4 3 10" xfId="53399" xr:uid="{3D18AC86-0A58-47A1-93B7-6BDD0A397D4D}"/>
    <cellStyle name="Vírgula 2 2 2 4 3 11" xfId="6588" xr:uid="{91F40777-9306-4706-B295-400077E7031A}"/>
    <cellStyle name="Vírgula 2 2 2 4 3 12" xfId="4885" xr:uid="{D8C122C6-F359-4857-B078-5A8C4B38870C}"/>
    <cellStyle name="Vírgula 2 2 2 4 3 2" xfId="2719" xr:uid="{D07FB726-032B-4695-991E-2D14F680E313}"/>
    <cellStyle name="Vírgula 2 2 2 4 3 2 2" xfId="37214" xr:uid="{614E4CA6-CD36-4860-9FA7-BE9C9DBF4F13}"/>
    <cellStyle name="Vírgula 2 2 2 4 3 2 3" xfId="51736" xr:uid="{F4E349FB-42A0-43C1-B899-0A46D7B177EE}"/>
    <cellStyle name="Vírgula 2 2 2 4 3 2 4" xfId="55030" xr:uid="{7259487E-1C49-4F29-B069-4039DC53F9B3}"/>
    <cellStyle name="Vírgula 2 2 2 4 3 2 5" xfId="16874" xr:uid="{91DB39EB-FA98-41F2-84AC-5F388E373169}"/>
    <cellStyle name="Vírgula 2 2 2 4 3 3" xfId="20376" xr:uid="{AF5C053F-92AF-4E3A-A012-356A113397B5}"/>
    <cellStyle name="Vírgula 2 2 2 4 3 3 2" xfId="40715" xr:uid="{68A5AB26-BA00-47C3-B13A-868481CFECD2}"/>
    <cellStyle name="Vírgula 2 2 2 4 3 3 3" xfId="56902" xr:uid="{98EF2424-3352-4615-ADF1-078C61700E2E}"/>
    <cellStyle name="Vírgula 2 2 2 4 3 4" xfId="23631" xr:uid="{2080CC72-A4C5-4AF7-AB4E-8D81343CED21}"/>
    <cellStyle name="Vírgula 2 2 2 4 3 4 2" xfId="43966" xr:uid="{96BB63D6-8996-4A6F-AEF5-95A06952E960}"/>
    <cellStyle name="Vírgula 2 2 2 4 3 5" xfId="13965" xr:uid="{D14ECF33-561D-4B9C-BD4A-714514867968}"/>
    <cellStyle name="Vírgula 2 2 2 4 3 5 2" xfId="34306" xr:uid="{2D1A3BFB-16F8-4E3E-893A-1F8CED5E70D0}"/>
    <cellStyle name="Vírgula 2 2 2 4 3 6" xfId="10087" xr:uid="{CE0B793C-F33F-49C3-88B7-DC10844E03EE}"/>
    <cellStyle name="Vírgula 2 2 2 4 3 6 2" xfId="30430" xr:uid="{72C581AA-ACC2-4F3C-92DE-6EE68717AED8}"/>
    <cellStyle name="Vírgula 2 2 2 4 3 7" xfId="26936" xr:uid="{6F308D36-CA71-43E6-9B5A-CB63A6AA000C}"/>
    <cellStyle name="Vírgula 2 2 2 4 3 8" xfId="48434" xr:uid="{0C9FAB5A-EBB4-4071-89FB-D6DD84E7FAFD}"/>
    <cellStyle name="Vírgula 2 2 2 4 3 9" xfId="50104" xr:uid="{EC0F12C5-7BA3-4080-88ED-7D765E0781CC}"/>
    <cellStyle name="Vírgula 2 2 2 4 4" xfId="1437" xr:uid="{C5319FF0-1CB6-477C-AE3C-9BB749F7F307}"/>
    <cellStyle name="Vírgula 2 2 2 4 4 10" xfId="53400" xr:uid="{ABB887B9-6F16-4649-B52C-941D0FB65C18}"/>
    <cellStyle name="Vírgula 2 2 2 4 4 11" xfId="7752" xr:uid="{8BC6E1E4-7CB8-444E-8E01-985489E233ED}"/>
    <cellStyle name="Vírgula 2 2 2 4 4 2" xfId="3098" xr:uid="{EC720CE0-5F39-460B-92F0-D703190EFD1E}"/>
    <cellStyle name="Vírgula 2 2 2 4 4 2 2" xfId="38377" xr:uid="{B5468584-B886-4C3A-9ACF-E496E23FBA42}"/>
    <cellStyle name="Vírgula 2 2 2 4 4 2 3" xfId="51737" xr:uid="{7DB035F3-170C-46CE-8560-F1CE47A5FDF2}"/>
    <cellStyle name="Vírgula 2 2 2 4 4 2 4" xfId="55031" xr:uid="{7159E853-BFAB-400F-BF80-FD6D365660E5}"/>
    <cellStyle name="Vírgula 2 2 2 4 4 2 5" xfId="18037" xr:uid="{1FA59582-FFD1-4BA5-A2EA-4C145797BA03}"/>
    <cellStyle name="Vírgula 2 2 2 4 4 3" xfId="21539" xr:uid="{E05F2ADB-E46D-45A9-A5D3-CC46277CD5EA}"/>
    <cellStyle name="Vírgula 2 2 2 4 4 3 2" xfId="41878" xr:uid="{2ED23455-786B-4D06-9184-F043D30D84D8}"/>
    <cellStyle name="Vírgula 2 2 2 4 4 3 3" xfId="57308" xr:uid="{7623D7DE-F20C-4808-9178-FD40D10CC154}"/>
    <cellStyle name="Vírgula 2 2 2 4 4 4" xfId="24794" xr:uid="{F262DCCD-34F5-4B4B-909A-D097550AFBCA}"/>
    <cellStyle name="Vírgula 2 2 2 4 4 4 2" xfId="45129" xr:uid="{414488F6-F404-49DE-9E4A-5E0DDDE463E8}"/>
    <cellStyle name="Vírgula 2 2 2 4 4 5" xfId="15129" xr:uid="{5854992B-1658-477D-90CE-D309F65BFDDF}"/>
    <cellStyle name="Vírgula 2 2 2 4 4 5 2" xfId="35469" xr:uid="{ACAEF55D-A3AB-4EB6-8862-42B5C87347A7}"/>
    <cellStyle name="Vírgula 2 2 2 4 4 6" xfId="11250" xr:uid="{CBA41997-6110-4577-A665-B27356A5CBDC}"/>
    <cellStyle name="Vírgula 2 2 2 4 4 6 2" xfId="31593" xr:uid="{C7A1DE94-901C-4B0E-BFB3-994769779B07}"/>
    <cellStyle name="Vírgula 2 2 2 4 4 7" xfId="28099" xr:uid="{DFE183B8-37F3-4E49-BD31-4B4FE597B15F}"/>
    <cellStyle name="Vírgula 2 2 2 4 4 8" xfId="48435" xr:uid="{F3B1E1CB-8EDD-40EB-9CC7-793FD6E73AC5}"/>
    <cellStyle name="Vírgula 2 2 2 4 4 9" xfId="50105" xr:uid="{4ABF6FF8-08E9-45FE-8859-1690FFEA8845}"/>
    <cellStyle name="Vírgula 2 2 2 4 5" xfId="624" xr:uid="{8914FECA-AFC4-4963-997C-07BF8C3B12AB}"/>
    <cellStyle name="Vírgula 2 2 2 4 5 10" xfId="8234" xr:uid="{54DC80B7-8B31-4D39-9E78-4119395B9FF0}"/>
    <cellStyle name="Vírgula 2 2 2 4 5 2" xfId="2340" xr:uid="{0544B9A8-5728-4F63-AD78-085D3BFAD8A7}"/>
    <cellStyle name="Vírgula 2 2 2 4 5 2 2" xfId="42357" xr:uid="{8BF2B006-9026-4A16-AA6B-1F3ABEDE3A9C}"/>
    <cellStyle name="Vírgula 2 2 2 4 5 2 3" xfId="51738" xr:uid="{E3787CB0-33C7-46B2-AA05-07CDF3441089}"/>
    <cellStyle name="Vírgula 2 2 2 4 5 2 4" xfId="55032" xr:uid="{2107FA36-47C3-4644-B7ED-C0C0843036C9}"/>
    <cellStyle name="Vírgula 2 2 2 4 5 2 5" xfId="22021" xr:uid="{9F4CFB1F-9D8F-4412-9928-E2E82E509CE3}"/>
    <cellStyle name="Vírgula 2 2 2 4 5 3" xfId="25273" xr:uid="{A8708D8D-D881-4324-972B-60334F3D3272}"/>
    <cellStyle name="Vírgula 2 2 2 4 5 3 2" xfId="45608" xr:uid="{844493B6-49AA-4C24-B2CF-41D028D3AF81}"/>
    <cellStyle name="Vírgula 2 2 2 4 5 3 3" xfId="56495" xr:uid="{BAF83131-8E21-45A4-A034-4E0305BB494C}"/>
    <cellStyle name="Vírgula 2 2 2 4 5 4" xfId="12819" xr:uid="{6FB340DC-C946-44FE-91E1-B06B0043CCE5}"/>
    <cellStyle name="Vírgula 2 2 2 4 5 4 2" xfId="33160" xr:uid="{C10774F7-03FE-49E5-98EC-C66E121EC47F}"/>
    <cellStyle name="Vírgula 2 2 2 4 5 5" xfId="11730" xr:uid="{43669914-C453-4AD8-A101-D3E47D2ACF25}"/>
    <cellStyle name="Vírgula 2 2 2 4 5 5 2" xfId="32072" xr:uid="{41A5D277-B625-4255-86E4-CEC298F0B8BC}"/>
    <cellStyle name="Vírgula 2 2 2 4 5 6" xfId="28578" xr:uid="{77A8C6BD-FF41-4FCB-A3CD-D332AE516201}"/>
    <cellStyle name="Vírgula 2 2 2 4 5 7" xfId="48436" xr:uid="{D9E76557-203F-4B24-BF14-5018582DC933}"/>
    <cellStyle name="Vírgula 2 2 2 4 5 8" xfId="50106" xr:uid="{FA275CC2-7718-4BD5-8EA7-01CCB375E23D}"/>
    <cellStyle name="Vírgula 2 2 2 4 5 9" xfId="53401" xr:uid="{7F71A75C-2DF9-49EE-8455-3D4587C5AF67}"/>
    <cellStyle name="Vírgula 2 2 2 4 6" xfId="3612" xr:uid="{311CCEB0-0FD9-4078-85FD-179F1059EB34}"/>
    <cellStyle name="Vírgula 2 2 2 4 6 2" xfId="15716" xr:uid="{111C258A-656C-4343-BD15-B55D8C3C7EE2}"/>
    <cellStyle name="Vírgula 2 2 2 4 6 2 2" xfId="36056" xr:uid="{F82CF3CC-ADDB-45D1-A100-F400F49D4AF6}"/>
    <cellStyle name="Vírgula 2 2 2 4 6 3" xfId="28954" xr:uid="{E008B121-BA07-4E47-B885-2A33F5EF9A2F}"/>
    <cellStyle name="Vírgula 2 2 2 4 6 4" xfId="51731" xr:uid="{050D8DC7-7651-45A6-BA53-4FB342463ADD}"/>
    <cellStyle name="Vírgula 2 2 2 4 6 5" xfId="55025" xr:uid="{1F74E836-CA5F-4DFB-B717-931FAC105899}"/>
    <cellStyle name="Vírgula 2 2 2 4 6 6" xfId="8611" xr:uid="{DB4C34AF-6FEC-4D7A-871E-EE35CC1693B4}"/>
    <cellStyle name="Vírgula 2 2 2 4 7" xfId="3993" xr:uid="{489F7FDB-56EF-4D17-B5F4-94AE94EB2F62}"/>
    <cellStyle name="Vírgula 2 2 2 4 7 2" xfId="38970" xr:uid="{CFBD8CC9-F9C0-4F8B-B160-BBFC5B963150}"/>
    <cellStyle name="Vírgula 2 2 2 4 7 3" xfId="56086" xr:uid="{347C2E72-1156-4E47-9D26-6342B252AB22}"/>
    <cellStyle name="Vírgula 2 2 2 4 7 4" xfId="18630" xr:uid="{74C376DF-3282-4928-8A48-87C2FE089A30}"/>
    <cellStyle name="Vírgula 2 2 2 4 8" xfId="1961" xr:uid="{D71F5BC9-DC69-41E2-B836-A25C10E75E6D}"/>
    <cellStyle name="Vírgula 2 2 2 4 8 2" xfId="39557" xr:uid="{052E5B26-1C73-4013-A51F-C83E2B3B9BDE}"/>
    <cellStyle name="Vírgula 2 2 2 4 8 3" xfId="19218" xr:uid="{E5F78829-5653-400A-A5B2-7AEFD2177B59}"/>
    <cellStyle name="Vírgula 2 2 2 4 9" xfId="22473" xr:uid="{A22059E9-D093-4B42-93BE-BAA0A12F1D27}"/>
    <cellStyle name="Vírgula 2 2 2 4 9 2" xfId="42808" xr:uid="{417C0FA5-EEDD-4E5C-B092-8BB8FE55E4FB}"/>
    <cellStyle name="Vírgula 2 2 2 5" xfId="267" xr:uid="{4E97C84D-D165-4034-B726-0B2A56A6434B}"/>
    <cellStyle name="Vírgula 2 2 2 5 10" xfId="12248" xr:uid="{70FEA534-ABA5-4EB1-83A7-7E9377446B49}"/>
    <cellStyle name="Vírgula 2 2 2 5 10 2" xfId="32589" xr:uid="{3F8ECCDA-462D-4870-B549-24DC718694FC}"/>
    <cellStyle name="Vírgula 2 2 2 5 11" xfId="8987" xr:uid="{3B67DDEC-7A28-4620-89CC-1FFC7D3E0DFB}"/>
    <cellStyle name="Vírgula 2 2 2 5 11 2" xfId="29330" xr:uid="{D8DC471F-8318-4613-8765-72AA6935836A}"/>
    <cellStyle name="Vírgula 2 2 2 5 12" xfId="25836" xr:uid="{F823CD7D-A5A9-40E0-B894-1744CE26F713}"/>
    <cellStyle name="Vírgula 2 2 2 5 13" xfId="45982" xr:uid="{8BE659F6-07E5-4E62-8C35-2E7B46BB8110}"/>
    <cellStyle name="Vírgula 2 2 2 5 14" xfId="46468" xr:uid="{F3FB82CB-3566-4CEF-9B7F-5A1A7737DA85}"/>
    <cellStyle name="Vírgula 2 2 2 5 15" xfId="46960" xr:uid="{2E15534D-63B9-4DF2-B8A2-F012F3E5A5AF}"/>
    <cellStyle name="Vírgula 2 2 2 5 16" xfId="48437" xr:uid="{30EEA94C-6809-4582-A944-EB4ED0ECE345}"/>
    <cellStyle name="Vírgula 2 2 2 5 17" xfId="50107" xr:uid="{E0BEABBE-9AA6-4881-A183-54B6F888A85F}"/>
    <cellStyle name="Vírgula 2 2 2 5 18" xfId="53402" xr:uid="{E90A917D-6710-4820-B42D-FCE1AD76ECB6}"/>
    <cellStyle name="Vírgula 2 2 2 5 19" xfId="5497" xr:uid="{37ACA3F8-237C-4A9D-ABCF-4D1DB8B3858D}"/>
    <cellStyle name="Vírgula 2 2 2 5 2" xfId="456" xr:uid="{57F29B22-96CC-42AD-A471-F47725C3E0C9}"/>
    <cellStyle name="Vírgula 2 2 2 5 2 10" xfId="46711" xr:uid="{BB27CEAA-D596-4E12-AC74-235454672A9E}"/>
    <cellStyle name="Vírgula 2 2 2 5 2 11" xfId="47203" xr:uid="{40A471EF-6CE2-4D16-BA99-30AD6F5677B1}"/>
    <cellStyle name="Vírgula 2 2 2 5 2 12" xfId="48438" xr:uid="{F471202C-5BD7-447E-B395-7A01F3CFD68F}"/>
    <cellStyle name="Vírgula 2 2 2 5 2 13" xfId="50108" xr:uid="{1F18E67C-6DC3-463A-9873-F0DE0427BBA6}"/>
    <cellStyle name="Vírgula 2 2 2 5 2 14" xfId="53403" xr:uid="{3CE48219-8F75-4B47-98C3-123FFA996831}"/>
    <cellStyle name="Vírgula 2 2 2 5 2 15" xfId="6069" xr:uid="{0AE5B648-43BC-491A-8D4B-76C93F8AE21A}"/>
    <cellStyle name="Vírgula 2 2 2 5 2 16" xfId="4737" xr:uid="{4B4A949B-446A-419B-B8F7-36094B93F4A2}"/>
    <cellStyle name="Vírgula 2 2 2 5 2 2" xfId="1272" xr:uid="{47BFB92B-89FF-49CB-AA1A-FBBA17937462}"/>
    <cellStyle name="Vírgula 2 2 2 5 2 2 10" xfId="53404" xr:uid="{AD93D711-9530-4945-A880-BCA17FD76A6D}"/>
    <cellStyle name="Vírgula 2 2 2 5 2 2 11" xfId="7227" xr:uid="{ABD05025-E8B4-4F59-8EBE-92866A4302EB}"/>
    <cellStyle name="Vírgula 2 2 2 5 2 2 12" xfId="5100" xr:uid="{C0C10BAC-956F-42B7-AADC-7C1117F935E6}"/>
    <cellStyle name="Vírgula 2 2 2 5 2 2 2" xfId="2933" xr:uid="{2E1B2FC5-AB5E-483A-94A4-A61C6F8CB26B}"/>
    <cellStyle name="Vírgula 2 2 2 5 2 2 2 2" xfId="37853" xr:uid="{956ECDE9-E512-4FFC-BCDC-25F1D4BF0012}"/>
    <cellStyle name="Vírgula 2 2 2 5 2 2 2 3" xfId="51741" xr:uid="{1699B77E-627E-401C-B636-7FD76924C08E}"/>
    <cellStyle name="Vírgula 2 2 2 5 2 2 2 4" xfId="55035" xr:uid="{3169D58A-A566-4966-9A52-D45EE41B7448}"/>
    <cellStyle name="Vírgula 2 2 2 5 2 2 2 5" xfId="17513" xr:uid="{5C43160F-FF61-475B-916B-1DE30F5D776E}"/>
    <cellStyle name="Vírgula 2 2 2 5 2 2 3" xfId="21015" xr:uid="{ECB0C4A5-518F-4FDA-99AF-A0F090D6DE92}"/>
    <cellStyle name="Vírgula 2 2 2 5 2 2 3 2" xfId="41354" xr:uid="{BFBA550B-BAB8-4191-83FA-41373CC4D521}"/>
    <cellStyle name="Vírgula 2 2 2 5 2 2 3 3" xfId="57143" xr:uid="{53389B7B-B6DE-4C51-8EC5-436ED412F16C}"/>
    <cellStyle name="Vírgula 2 2 2 5 2 2 4" xfId="24270" xr:uid="{816218DC-12B7-465D-AA24-D2CF1072780B}"/>
    <cellStyle name="Vírgula 2 2 2 5 2 2 4 2" xfId="44605" xr:uid="{D3162770-C5AE-4BFE-AAD3-758E0DC1A9DE}"/>
    <cellStyle name="Vírgula 2 2 2 5 2 2 5" xfId="14604" xr:uid="{27646D19-FA11-4623-8493-BBFA7B710F11}"/>
    <cellStyle name="Vírgula 2 2 2 5 2 2 5 2" xfId="34945" xr:uid="{ABB0203E-D19B-44F6-BFF8-6E8E3379C164}"/>
    <cellStyle name="Vírgula 2 2 2 5 2 2 6" xfId="10726" xr:uid="{598E7D50-B633-4E65-9CAF-B5AC0D3958D6}"/>
    <cellStyle name="Vírgula 2 2 2 5 2 2 6 2" xfId="31069" xr:uid="{DAE529ED-FE25-4262-87A4-EBA7A57CD712}"/>
    <cellStyle name="Vírgula 2 2 2 5 2 2 7" xfId="27575" xr:uid="{7CA9FF2D-F6BF-4E12-B603-A34A7E49162B}"/>
    <cellStyle name="Vírgula 2 2 2 5 2 2 8" xfId="48439" xr:uid="{A8DDD597-96A1-4EC4-9DFA-E532F42EA25A}"/>
    <cellStyle name="Vírgula 2 2 2 5 2 2 9" xfId="50109" xr:uid="{5C71B35B-700D-45DD-B3D9-9164240DA5A4}"/>
    <cellStyle name="Vírgula 2 2 2 5 2 3" xfId="1678" xr:uid="{34E8550D-53E3-4B4C-82F4-22D87F2D50A6}"/>
    <cellStyle name="Vírgula 2 2 2 5 2 3 2" xfId="3338" xr:uid="{AE4DEED5-68DB-46B2-9E5B-FB539B05A243}"/>
    <cellStyle name="Vírgula 2 2 2 5 2 3 2 2" xfId="51742" xr:uid="{954122AB-4F8F-4BFE-AD57-62836B658271}"/>
    <cellStyle name="Vírgula 2 2 2 5 2 3 2 3" xfId="55036" xr:uid="{34CCC348-4F99-4F3D-B89C-E283E8E2826F}"/>
    <cellStyle name="Vírgula 2 2 2 5 2 3 2 4" xfId="36695" xr:uid="{8191A1AC-9F5E-4D0F-9218-E1000162A7B1}"/>
    <cellStyle name="Vírgula 2 2 2 5 2 3 3" xfId="48440" xr:uid="{48999B86-30CD-4073-83EC-E243E746AD57}"/>
    <cellStyle name="Vírgula 2 2 2 5 2 3 3 2" xfId="57549" xr:uid="{EB638A97-DB66-4D96-A80F-3851C40FA441}"/>
    <cellStyle name="Vírgula 2 2 2 5 2 3 4" xfId="50110" xr:uid="{D3175CC7-FCBC-41D3-AAAA-27C5D72AD908}"/>
    <cellStyle name="Vírgula 2 2 2 5 2 3 5" xfId="53405" xr:uid="{3727DEED-E315-4298-B48B-8845BB08EE52}"/>
    <cellStyle name="Vírgula 2 2 2 5 2 3 6" xfId="16355" xr:uid="{7C54A14C-CD30-44B1-BFFD-036F2940598C}"/>
    <cellStyle name="Vírgula 2 2 2 5 2 4" xfId="865" xr:uid="{182BD505-640D-4624-82A2-266D0283126F}"/>
    <cellStyle name="Vírgula 2 2 2 5 2 4 2" xfId="2581" xr:uid="{4F180901-00FC-4989-A212-34D25715F34D}"/>
    <cellStyle name="Vírgula 2 2 2 5 2 4 2 2" xfId="51743" xr:uid="{A1C53FB8-2680-45FB-A627-A885F5ED9CCA}"/>
    <cellStyle name="Vírgula 2 2 2 5 2 4 2 3" xfId="55037" xr:uid="{7C3EE31F-DF66-44CB-9CA8-E5A166EB4974}"/>
    <cellStyle name="Vírgula 2 2 2 5 2 4 2 4" xfId="40196" xr:uid="{DEADDF8F-A329-41EE-ACC7-5100FAAC5610}"/>
    <cellStyle name="Vírgula 2 2 2 5 2 4 3" xfId="48441" xr:uid="{BCFF0B96-529A-449B-8240-7A05346939D9}"/>
    <cellStyle name="Vírgula 2 2 2 5 2 4 3 2" xfId="56736" xr:uid="{7DC6C31A-A583-42AC-B3ED-FDEB5E14FDD2}"/>
    <cellStyle name="Vírgula 2 2 2 5 2 4 4" xfId="50111" xr:uid="{9CD157D0-1FCE-4FF0-8CFA-8C5C408EC1A0}"/>
    <cellStyle name="Vírgula 2 2 2 5 2 4 5" xfId="53406" xr:uid="{1B453691-3AE5-4CEC-853F-A843A6DA99F0}"/>
    <cellStyle name="Vírgula 2 2 2 5 2 4 6" xfId="19857" xr:uid="{B3477B7B-4DFC-4C0D-A214-B728C43EBCF4}"/>
    <cellStyle name="Vírgula 2 2 2 5 2 5" xfId="2173" xr:uid="{080956DA-F953-452A-9B28-8E5BE2D3AC9E}"/>
    <cellStyle name="Vírgula 2 2 2 5 2 5 2" xfId="43447" xr:uid="{68DEB1A3-C3A7-4BB1-B753-3E3C4647A895}"/>
    <cellStyle name="Vírgula 2 2 2 5 2 5 3" xfId="51740" xr:uid="{7BFB7C3E-C4A3-483B-A024-84F40F180028}"/>
    <cellStyle name="Vírgula 2 2 2 5 2 5 4" xfId="55034" xr:uid="{FE607943-3277-49FE-BF24-95FD1CAB7394}"/>
    <cellStyle name="Vírgula 2 2 2 5 2 5 5" xfId="23112" xr:uid="{87E4072E-E00D-4DA1-8AAF-96BE9C3C3DE1}"/>
    <cellStyle name="Vírgula 2 2 2 5 2 6" xfId="13446" xr:uid="{84F75987-206A-4AC0-BA6E-CAF679E21D74}"/>
    <cellStyle name="Vírgula 2 2 2 5 2 6 2" xfId="33787" xr:uid="{80867EC8-D586-4FB2-A76E-1A53A700563C}"/>
    <cellStyle name="Vírgula 2 2 2 5 2 6 3" xfId="56327" xr:uid="{8E21E79E-1488-40BF-90CB-12A81FB5B797}"/>
    <cellStyle name="Vírgula 2 2 2 5 2 7" xfId="9568" xr:uid="{DBFAEA22-53D6-47C4-8DAB-C190CDFE1A5E}"/>
    <cellStyle name="Vírgula 2 2 2 5 2 7 2" xfId="29911" xr:uid="{346289AC-89D0-45BB-81A6-F470BB495B1E}"/>
    <cellStyle name="Vírgula 2 2 2 5 2 8" xfId="26417" xr:uid="{B6B1B369-15FA-4344-99DC-936525776A1D}"/>
    <cellStyle name="Vírgula 2 2 2 5 2 9" xfId="46225" xr:uid="{DD73B957-1CCC-4A6A-9A14-8DDC90739AE6}"/>
    <cellStyle name="Vírgula 2 2 2 5 20" xfId="4548" xr:uid="{C7784B6B-E861-42A7-8987-617EF1CD613D}"/>
    <cellStyle name="Vírgula 2 2 2 5 3" xfId="1083" xr:uid="{C8F3CB32-098B-4A92-AED0-14B8E1C59578}"/>
    <cellStyle name="Vírgula 2 2 2 5 3 10" xfId="53407" xr:uid="{FE0EBB00-1CAF-4928-A704-C24F9C0F1780}"/>
    <cellStyle name="Vírgula 2 2 2 5 3 11" xfId="6646" xr:uid="{A0D764B9-44B2-4D0F-8E27-81E73767AB79}"/>
    <cellStyle name="Vírgula 2 2 2 5 3 12" xfId="4881" xr:uid="{262FE51E-1C18-4C70-8235-EB57433EB8FF}"/>
    <cellStyle name="Vírgula 2 2 2 5 3 2" xfId="2746" xr:uid="{F757243E-04E5-408A-98AD-4EB188C25EA7}"/>
    <cellStyle name="Vírgula 2 2 2 5 3 2 2" xfId="37272" xr:uid="{BD9FC8F1-D753-4764-8D75-E5EF14BD35F4}"/>
    <cellStyle name="Vírgula 2 2 2 5 3 2 3" xfId="51744" xr:uid="{93B573DD-F2C9-414F-B666-3FB3C815398E}"/>
    <cellStyle name="Vírgula 2 2 2 5 3 2 4" xfId="55038" xr:uid="{0F7FE25F-FEC8-48F6-BFE9-4E2FAAA60351}"/>
    <cellStyle name="Vírgula 2 2 2 5 3 2 5" xfId="16932" xr:uid="{AF7CB77E-69A9-4A0E-BFD2-EEB84C57CE75}"/>
    <cellStyle name="Vírgula 2 2 2 5 3 3" xfId="20434" xr:uid="{4AF481C3-8534-4DDF-80D4-7B7A2683F480}"/>
    <cellStyle name="Vírgula 2 2 2 5 3 3 2" xfId="40773" xr:uid="{D847AFD9-6C3D-4A4A-8EEB-6985AEFF58E9}"/>
    <cellStyle name="Vírgula 2 2 2 5 3 3 3" xfId="56954" xr:uid="{FB3F3533-0071-48FF-93B5-5241D77A7BA8}"/>
    <cellStyle name="Vírgula 2 2 2 5 3 4" xfId="23689" xr:uid="{A41E6D19-6987-4F20-8EA3-B85F4D45D5CB}"/>
    <cellStyle name="Vírgula 2 2 2 5 3 4 2" xfId="44024" xr:uid="{C130B768-5E77-407D-9CB5-E3A4F7B8FE81}"/>
    <cellStyle name="Vírgula 2 2 2 5 3 5" xfId="14023" xr:uid="{7BC469C2-5D2D-451A-AD1C-F1BE69FF021D}"/>
    <cellStyle name="Vírgula 2 2 2 5 3 5 2" xfId="34364" xr:uid="{16B71908-78B9-49DD-BE82-3E922E5AEE9A}"/>
    <cellStyle name="Vírgula 2 2 2 5 3 6" xfId="10145" xr:uid="{AF1DE702-68E7-429C-9410-6FF81BBA283D}"/>
    <cellStyle name="Vírgula 2 2 2 5 3 6 2" xfId="30488" xr:uid="{870D5127-A0EC-44E7-B922-6B9D84B20094}"/>
    <cellStyle name="Vírgula 2 2 2 5 3 7" xfId="26994" xr:uid="{D5209824-2F60-4C4C-AA73-7260871D81D0}"/>
    <cellStyle name="Vírgula 2 2 2 5 3 8" xfId="48442" xr:uid="{EA83CC0C-2C49-40D4-BA65-A7F7F60444D0}"/>
    <cellStyle name="Vírgula 2 2 2 5 3 9" xfId="50112" xr:uid="{C55356B3-DE04-4E6D-8DF5-4107AAFC363E}"/>
    <cellStyle name="Vírgula 2 2 2 5 4" xfId="1489" xr:uid="{145518AF-B59A-4FBC-A28F-724BB7B65297}"/>
    <cellStyle name="Vírgula 2 2 2 5 4 10" xfId="53408" xr:uid="{6703284D-465D-43A8-9B9C-410845D096DE}"/>
    <cellStyle name="Vírgula 2 2 2 5 4 11" xfId="7810" xr:uid="{ED511303-3827-4216-BAD9-E6273C5CC4DB}"/>
    <cellStyle name="Vírgula 2 2 2 5 4 2" xfId="3150" xr:uid="{C03379C3-D894-49AD-8785-D05804D3716A}"/>
    <cellStyle name="Vírgula 2 2 2 5 4 2 2" xfId="38435" xr:uid="{5C4933AF-5555-4A66-A244-E3876A533D55}"/>
    <cellStyle name="Vírgula 2 2 2 5 4 2 3" xfId="51745" xr:uid="{2A558CC9-C1D2-4122-B3BC-1A475475CAE3}"/>
    <cellStyle name="Vírgula 2 2 2 5 4 2 4" xfId="55039" xr:uid="{E3422EDD-D008-4347-BD10-2108E278F62F}"/>
    <cellStyle name="Vírgula 2 2 2 5 4 2 5" xfId="18095" xr:uid="{C0465288-86AE-48AB-88AA-80D1C74AA572}"/>
    <cellStyle name="Vírgula 2 2 2 5 4 3" xfId="21597" xr:uid="{E710EAE3-6E86-4B5B-BB10-688F23A77F8E}"/>
    <cellStyle name="Vírgula 2 2 2 5 4 3 2" xfId="41936" xr:uid="{9034A38C-202E-45C4-AA9B-1EB9190BFACB}"/>
    <cellStyle name="Vírgula 2 2 2 5 4 3 3" xfId="57360" xr:uid="{E416A3AE-1161-4508-8249-B404FAF67C13}"/>
    <cellStyle name="Vírgula 2 2 2 5 4 4" xfId="24852" xr:uid="{E1391FD4-F027-4699-A24A-655C0ED7B720}"/>
    <cellStyle name="Vírgula 2 2 2 5 4 4 2" xfId="45187" xr:uid="{EFCFBCF0-31FE-4ED1-9DCD-6BC7A4337CB8}"/>
    <cellStyle name="Vírgula 2 2 2 5 4 5" xfId="15187" xr:uid="{D293CDF6-BF9B-490C-B28A-60097C7B00E0}"/>
    <cellStyle name="Vírgula 2 2 2 5 4 5 2" xfId="35527" xr:uid="{1286D4C6-880F-45DA-954D-8DF0C7082165}"/>
    <cellStyle name="Vírgula 2 2 2 5 4 6" xfId="11308" xr:uid="{572BB470-0DD1-461E-927C-85E2DFAEEE29}"/>
    <cellStyle name="Vírgula 2 2 2 5 4 6 2" xfId="31651" xr:uid="{6FA96ECD-BF8F-44A6-82A9-5C5F7CCB5385}"/>
    <cellStyle name="Vírgula 2 2 2 5 4 7" xfId="28157" xr:uid="{64FC5A70-43B6-4E03-A86D-4C839B874F0D}"/>
    <cellStyle name="Vírgula 2 2 2 5 4 8" xfId="48443" xr:uid="{08FDEDB4-9F63-44CA-B236-09ED0EFB9566}"/>
    <cellStyle name="Vírgula 2 2 2 5 4 9" xfId="50113" xr:uid="{1C9E41D0-03BD-48A7-86A7-A1F4993E434E}"/>
    <cellStyle name="Vírgula 2 2 2 5 5" xfId="676" xr:uid="{93959298-4B73-4D1D-B8EE-09787A267675}"/>
    <cellStyle name="Vírgula 2 2 2 5 5 10" xfId="8236" xr:uid="{68B97D20-5F8D-475F-803C-F2C40572B355}"/>
    <cellStyle name="Vírgula 2 2 2 5 5 2" xfId="2392" xr:uid="{FCE048E9-53FE-4210-BBC7-E71EC005A16C}"/>
    <cellStyle name="Vírgula 2 2 2 5 5 2 2" xfId="42359" xr:uid="{3040A355-21C6-472A-8692-D8B5E58C064E}"/>
    <cellStyle name="Vírgula 2 2 2 5 5 2 3" xfId="51746" xr:uid="{3BD2C37E-40E3-412B-A01D-52B5A9F7C368}"/>
    <cellStyle name="Vírgula 2 2 2 5 5 2 4" xfId="55040" xr:uid="{BE19C1B0-B67A-4FE7-B71E-D1FD0F67B0DA}"/>
    <cellStyle name="Vírgula 2 2 2 5 5 2 5" xfId="22023" xr:uid="{0FF2AD98-38FB-4D73-AAF9-90E3B52E0697}"/>
    <cellStyle name="Vírgula 2 2 2 5 5 3" xfId="25275" xr:uid="{7E8DD211-C02E-4360-9547-C4096D771950}"/>
    <cellStyle name="Vírgula 2 2 2 5 5 3 2" xfId="45610" xr:uid="{E9881594-B613-4851-9C9B-C612BE04EEC8}"/>
    <cellStyle name="Vírgula 2 2 2 5 5 3 3" xfId="56547" xr:uid="{A4F77B33-948D-49D4-9769-BD1C7ACECEA0}"/>
    <cellStyle name="Vírgula 2 2 2 5 5 4" xfId="12877" xr:uid="{51BB231F-6039-4663-81D0-97AC1FC1E613}"/>
    <cellStyle name="Vírgula 2 2 2 5 5 4 2" xfId="33218" xr:uid="{BCAEFDB3-1079-4983-A208-DBBCC8BFB2ED}"/>
    <cellStyle name="Vírgula 2 2 2 5 5 5" xfId="11732" xr:uid="{622EC8CB-A790-4580-A18A-96F078048656}"/>
    <cellStyle name="Vírgula 2 2 2 5 5 5 2" xfId="32074" xr:uid="{72A7D044-D42E-4F31-8BFA-BB358FBD1E2B}"/>
    <cellStyle name="Vírgula 2 2 2 5 5 6" xfId="28580" xr:uid="{28EFCDC0-A334-4684-8DCB-3C7D60AA2A68}"/>
    <cellStyle name="Vírgula 2 2 2 5 5 7" xfId="48444" xr:uid="{A64526BC-7BE8-42C1-B2B8-D7F83EF4263F}"/>
    <cellStyle name="Vírgula 2 2 2 5 5 8" xfId="50114" xr:uid="{E7592712-00C1-4232-8F0A-94F6463D5C8E}"/>
    <cellStyle name="Vírgula 2 2 2 5 5 9" xfId="53409" xr:uid="{B513EA18-7668-4A60-A36B-8861256C59E2}"/>
    <cellStyle name="Vírgula 2 2 2 5 6" xfId="3503" xr:uid="{34A039AB-5C8A-4C28-8D13-C678C5C5B3F7}"/>
    <cellStyle name="Vírgula 2 2 2 5 6 2" xfId="15774" xr:uid="{99C99A9E-1B2C-4299-850F-C95912293A75}"/>
    <cellStyle name="Vírgula 2 2 2 5 6 2 2" xfId="36114" xr:uid="{6F45F9EA-0838-4A1D-BC70-DF9F9DD787E2}"/>
    <cellStyle name="Vírgula 2 2 2 5 6 3" xfId="28950" xr:uid="{7E3229AB-3FCA-4939-B310-E7F4D2110019}"/>
    <cellStyle name="Vírgula 2 2 2 5 6 4" xfId="51739" xr:uid="{76ACC8A9-7A81-46DD-B485-781877053434}"/>
    <cellStyle name="Vírgula 2 2 2 5 6 5" xfId="55033" xr:uid="{3F845861-D2AE-486C-BA0E-9D5FF4EDFCDD}"/>
    <cellStyle name="Vírgula 2 2 2 5 6 6" xfId="8607" xr:uid="{9914A44F-2BD1-4A54-9262-FDF19AD61BCC}"/>
    <cellStyle name="Vírgula 2 2 2 5 7" xfId="4165" xr:uid="{8F073F06-7ACB-48FF-9EA8-63EC49058D3D}"/>
    <cellStyle name="Vírgula 2 2 2 5 7 2" xfId="39028" xr:uid="{640FDD56-B2BA-4E82-9818-A258E1D5D2B6}"/>
    <cellStyle name="Vírgula 2 2 2 5 7 3" xfId="56138" xr:uid="{8D18D699-6C01-41A2-B468-557BF2AA51E3}"/>
    <cellStyle name="Vírgula 2 2 2 5 7 4" xfId="18688" xr:uid="{5DEDD93B-E562-4067-AD93-98E5EFA868D5}"/>
    <cellStyle name="Vírgula 2 2 2 5 8" xfId="1852" xr:uid="{90277C41-AAE7-4CEA-8DB1-B66437079684}"/>
    <cellStyle name="Vírgula 2 2 2 5 8 2" xfId="39615" xr:uid="{95B1A44B-B18F-4A84-859A-9B3B678B737A}"/>
    <cellStyle name="Vírgula 2 2 2 5 8 3" xfId="19276" xr:uid="{CDF2DA1E-3A3D-4334-9127-134DA9D0547E}"/>
    <cellStyle name="Vírgula 2 2 2 5 9" xfId="22531" xr:uid="{A0625888-BF22-43BF-A6D1-A22D4ED6BFE5}"/>
    <cellStyle name="Vírgula 2 2 2 5 9 2" xfId="42866" xr:uid="{6C2C7C5A-B402-4665-815E-5F49D1D86989}"/>
    <cellStyle name="Vírgula 2 2 2 6" xfId="323" xr:uid="{C26711CC-0AFD-4A5D-95C8-48B30A2AEC4E}"/>
    <cellStyle name="Vírgula 2 2 2 6 10" xfId="12323" xr:uid="{289B0F90-7219-4CFD-BE66-9EF4B2045C9A}"/>
    <cellStyle name="Vírgula 2 2 2 6 10 2" xfId="32664" xr:uid="{2A4FBD11-51D1-4972-AA0E-C9E2E3FB67A3}"/>
    <cellStyle name="Vírgula 2 2 2 6 11" xfId="9062" xr:uid="{83C1933F-FAD8-4BBC-ABD3-DB7BD878B332}"/>
    <cellStyle name="Vírgula 2 2 2 6 11 2" xfId="29405" xr:uid="{1AAA5001-7BB4-4445-964E-C0A83B48402D}"/>
    <cellStyle name="Vírgula 2 2 2 6 12" xfId="25911" xr:uid="{68145B32-366E-4326-8D43-E13DC8EFA6CB}"/>
    <cellStyle name="Vírgula 2 2 2 6 13" xfId="46074" xr:uid="{08199778-A09A-4C38-AF0F-84CD7EF38055}"/>
    <cellStyle name="Vírgula 2 2 2 6 14" xfId="46560" xr:uid="{557B2A24-5424-4DBE-9A83-57A8B03484A0}"/>
    <cellStyle name="Vírgula 2 2 2 6 15" xfId="47052" xr:uid="{62782326-5B23-4315-884C-01F24F0BCC11}"/>
    <cellStyle name="Vírgula 2 2 2 6 16" xfId="48445" xr:uid="{256408EA-B2DB-4957-819A-824FB701549B}"/>
    <cellStyle name="Vírgula 2 2 2 6 17" xfId="50115" xr:uid="{46E48DCD-5D6B-4461-9611-2E952F46E806}"/>
    <cellStyle name="Vírgula 2 2 2 6 18" xfId="53410" xr:uid="{50004A5F-74C0-4ED3-80CC-AB59250A9B28}"/>
    <cellStyle name="Vírgula 2 2 2 6 19" xfId="5572" xr:uid="{CCBF2193-1915-4F0B-AE0F-232549A12A40}"/>
    <cellStyle name="Vírgula 2 2 2 6 2" xfId="1139" xr:uid="{13A515DA-2C86-4E96-9378-41DCC60EE277}"/>
    <cellStyle name="Vírgula 2 2 2 6 2 10" xfId="50116" xr:uid="{570B3077-B3B2-4AFF-B879-22DDC2B582A6}"/>
    <cellStyle name="Vírgula 2 2 2 6 2 11" xfId="53411" xr:uid="{C13FBA9E-C30B-4DC5-86BC-1A6AB57EF8DE}"/>
    <cellStyle name="Vírgula 2 2 2 6 2 12" xfId="6144" xr:uid="{E86DC536-0FC2-43A9-B30C-1B285770C898}"/>
    <cellStyle name="Vírgula 2 2 2 6 2 13" xfId="4972" xr:uid="{0BB4DDED-FB67-4E6D-93CA-3AB7809224F8}"/>
    <cellStyle name="Vírgula 2 2 2 6 2 2" xfId="2801" xr:uid="{9C8165CD-9C96-418C-8A81-DF2BD4E7D57B}"/>
    <cellStyle name="Vírgula 2 2 2 6 2 2 10" xfId="7302" xr:uid="{5503731F-5718-44FE-85B8-2F84A7550814}"/>
    <cellStyle name="Vírgula 2 2 2 6 2 2 2" xfId="17588" xr:uid="{9068D029-BA2C-4314-AA1B-454D3CAB7DCA}"/>
    <cellStyle name="Vírgula 2 2 2 6 2 2 2 2" xfId="37928" xr:uid="{9AADCDFA-7797-41BB-88E9-92CF6FBF6BBD}"/>
    <cellStyle name="Vírgula 2 2 2 6 2 2 3" xfId="21090" xr:uid="{30CF2A95-A750-45E7-93E2-2BBB2037D6FF}"/>
    <cellStyle name="Vírgula 2 2 2 6 2 2 3 2" xfId="41429" xr:uid="{4AB22813-7515-4F0F-9127-6335D3155105}"/>
    <cellStyle name="Vírgula 2 2 2 6 2 2 4" xfId="24345" xr:uid="{DCEF4D8C-67B9-47E2-BB84-C7C77BF6CDE2}"/>
    <cellStyle name="Vírgula 2 2 2 6 2 2 4 2" xfId="44680" xr:uid="{14C8D9B3-869C-40A1-A056-3E1273EE1E85}"/>
    <cellStyle name="Vírgula 2 2 2 6 2 2 5" xfId="14679" xr:uid="{32007BA0-2E65-4FE7-A606-8A3DFEE7453E}"/>
    <cellStyle name="Vírgula 2 2 2 6 2 2 5 2" xfId="35020" xr:uid="{81247E33-6F61-4FAA-BE27-3DC90C382C84}"/>
    <cellStyle name="Vírgula 2 2 2 6 2 2 6" xfId="10801" xr:uid="{1E516545-E596-4090-8607-6A192A4DEBB0}"/>
    <cellStyle name="Vírgula 2 2 2 6 2 2 6 2" xfId="31144" xr:uid="{46EB72DF-99AE-4AD3-A165-0832A4FFFCD5}"/>
    <cellStyle name="Vírgula 2 2 2 6 2 2 7" xfId="27650" xr:uid="{2FF2173E-7D39-47F9-B536-65F458B06AD6}"/>
    <cellStyle name="Vírgula 2 2 2 6 2 2 8" xfId="51748" xr:uid="{EF0C331C-75F5-4509-8260-9AA2C8F3EF69}"/>
    <cellStyle name="Vírgula 2 2 2 6 2 2 9" xfId="55042" xr:uid="{1A6D2968-A918-4637-B3A0-92A1AEEB0394}"/>
    <cellStyle name="Vírgula 2 2 2 6 2 3" xfId="16430" xr:uid="{E70C6EDD-414A-4AE1-B406-F3F7AA442C33}"/>
    <cellStyle name="Vírgula 2 2 2 6 2 3 2" xfId="36770" xr:uid="{A27025AA-E3AA-43BF-8171-6209980EB065}"/>
    <cellStyle name="Vírgula 2 2 2 6 2 3 3" xfId="57010" xr:uid="{84EAAFBA-3709-48D7-AAFC-15B0155B103A}"/>
    <cellStyle name="Vírgula 2 2 2 6 2 4" xfId="19932" xr:uid="{59492A9D-5C95-412E-865E-BA87EDF3021A}"/>
    <cellStyle name="Vírgula 2 2 2 6 2 4 2" xfId="40271" xr:uid="{EAAA551A-2D5C-4001-8B02-ECB24E85F4D8}"/>
    <cellStyle name="Vírgula 2 2 2 6 2 5" xfId="23187" xr:uid="{1868F243-85D4-408B-9F76-E5FB9491A578}"/>
    <cellStyle name="Vírgula 2 2 2 6 2 5 2" xfId="43522" xr:uid="{B35FE85D-8BA0-4E38-97E2-54504678F766}"/>
    <cellStyle name="Vírgula 2 2 2 6 2 6" xfId="13521" xr:uid="{20C23032-9692-403B-A5CC-70E90E779CCD}"/>
    <cellStyle name="Vírgula 2 2 2 6 2 6 2" xfId="33862" xr:uid="{5416D391-7192-430F-9BB7-1E84D4C11622}"/>
    <cellStyle name="Vírgula 2 2 2 6 2 7" xfId="9643" xr:uid="{CAAAA904-608F-44C5-9182-F52FCE48D5B1}"/>
    <cellStyle name="Vírgula 2 2 2 6 2 7 2" xfId="29986" xr:uid="{32FA719A-85DB-4EFC-BF51-FDD51D73DCB8}"/>
    <cellStyle name="Vírgula 2 2 2 6 2 8" xfId="26492" xr:uid="{FDE00ECA-1DA4-4120-854A-98C86C1BBBB8}"/>
    <cellStyle name="Vírgula 2 2 2 6 2 9" xfId="48446" xr:uid="{18C187E0-3CC9-4DA3-83F1-6A8C08F965DF}"/>
    <cellStyle name="Vírgula 2 2 2 6 20" xfId="4604" xr:uid="{8F204017-D6BE-46C8-9748-C42AC2767F29}"/>
    <cellStyle name="Vírgula 2 2 2 6 3" xfId="1545" xr:uid="{CE834ABF-DAB8-4E49-A690-4CA24349FA14}"/>
    <cellStyle name="Vírgula 2 2 2 6 3 10" xfId="53412" xr:uid="{2BF5B781-7A8D-415B-97D8-61D6CBE5CDB0}"/>
    <cellStyle name="Vírgula 2 2 2 6 3 11" xfId="6721" xr:uid="{63B8FAC9-B372-413E-A7D0-650638EA8A4C}"/>
    <cellStyle name="Vírgula 2 2 2 6 3 2" xfId="3206" xr:uid="{CD95CA83-2DD9-43E9-A1A0-4F6DA094894E}"/>
    <cellStyle name="Vírgula 2 2 2 6 3 2 2" xfId="37347" xr:uid="{60C5AE81-A44A-4271-B912-8F485285C104}"/>
    <cellStyle name="Vírgula 2 2 2 6 3 2 3" xfId="51749" xr:uid="{6EEA5589-352B-44BC-8ED3-E297F60BD90F}"/>
    <cellStyle name="Vírgula 2 2 2 6 3 2 4" xfId="55043" xr:uid="{16A23569-22BA-4CBE-8FC1-6E31DFEF6733}"/>
    <cellStyle name="Vírgula 2 2 2 6 3 2 5" xfId="17007" xr:uid="{652754CB-F03C-4947-9EE3-FC3087477BEC}"/>
    <cellStyle name="Vírgula 2 2 2 6 3 3" xfId="20509" xr:uid="{C37FD2D3-56DE-4E87-B606-8066286EF7D2}"/>
    <cellStyle name="Vírgula 2 2 2 6 3 3 2" xfId="40848" xr:uid="{50B405FC-6218-4F14-9F87-393BEB2BB5DB}"/>
    <cellStyle name="Vírgula 2 2 2 6 3 3 3" xfId="57416" xr:uid="{379E4E5A-FFF3-40C0-9344-2151EA703951}"/>
    <cellStyle name="Vírgula 2 2 2 6 3 4" xfId="23764" xr:uid="{580BE2D5-8BEF-4836-AD9E-3337B827EE0A}"/>
    <cellStyle name="Vírgula 2 2 2 6 3 4 2" xfId="44099" xr:uid="{3AEA5A79-D56B-4434-AB3E-36F3EE3B36D0}"/>
    <cellStyle name="Vírgula 2 2 2 6 3 5" xfId="14098" xr:uid="{4623BA76-FF74-4B0F-8D33-255D8622DAC1}"/>
    <cellStyle name="Vírgula 2 2 2 6 3 5 2" xfId="34439" xr:uid="{3F7D5C66-BD2A-455C-9B57-30E87997EF6F}"/>
    <cellStyle name="Vírgula 2 2 2 6 3 6" xfId="10220" xr:uid="{A3D4AD4B-03FC-4174-807F-D9410534AC3B}"/>
    <cellStyle name="Vírgula 2 2 2 6 3 6 2" xfId="30563" xr:uid="{654C8E29-904D-4565-B3FA-8394BCF8E38F}"/>
    <cellStyle name="Vírgula 2 2 2 6 3 7" xfId="27069" xr:uid="{C880C451-5A80-4ECD-A105-86197CAC7CD2}"/>
    <cellStyle name="Vírgula 2 2 2 6 3 8" xfId="48447" xr:uid="{C2B479F2-345C-499E-8060-8764E211B82B}"/>
    <cellStyle name="Vírgula 2 2 2 6 3 9" xfId="50117" xr:uid="{BA4BC4D1-1615-423B-9491-7B4CF3A82EA7}"/>
    <cellStyle name="Vírgula 2 2 2 6 4" xfId="732" xr:uid="{7D291650-B6E9-4944-AFB8-87F2D66701A6}"/>
    <cellStyle name="Vírgula 2 2 2 6 4 10" xfId="53413" xr:uid="{C00D3743-8260-445B-972B-1EB657D8E3C4}"/>
    <cellStyle name="Vírgula 2 2 2 6 4 11" xfId="7885" xr:uid="{F70AB2CB-71DC-4483-8EBB-8C79931A39A1}"/>
    <cellStyle name="Vírgula 2 2 2 6 4 2" xfId="2448" xr:uid="{EAA47A35-C0F1-4A69-A18F-69299BEFF2D4}"/>
    <cellStyle name="Vírgula 2 2 2 6 4 2 2" xfId="38510" xr:uid="{24784FE8-AC8C-47C7-B83D-730A9C2E156A}"/>
    <cellStyle name="Vírgula 2 2 2 6 4 2 3" xfId="51750" xr:uid="{922A575A-5A95-4D8A-A0B3-28B39719DEBB}"/>
    <cellStyle name="Vírgula 2 2 2 6 4 2 4" xfId="55044" xr:uid="{43383B0F-2170-4188-AF36-81BE6D6E7D43}"/>
    <cellStyle name="Vírgula 2 2 2 6 4 2 5" xfId="18170" xr:uid="{DD44E0D8-4E01-4A55-AAD4-9146D6F3FF61}"/>
    <cellStyle name="Vírgula 2 2 2 6 4 3" xfId="21672" xr:uid="{3A1ABE75-F0F3-4DDE-A9E2-8A41E028C641}"/>
    <cellStyle name="Vírgula 2 2 2 6 4 3 2" xfId="42011" xr:uid="{D99CBD0D-BB3A-4FF1-A19F-AFA4C29BD6FF}"/>
    <cellStyle name="Vírgula 2 2 2 6 4 3 3" xfId="56603" xr:uid="{A1EE4879-5417-4829-B8DC-2CCFB3666CE7}"/>
    <cellStyle name="Vírgula 2 2 2 6 4 4" xfId="24927" xr:uid="{D653EE58-E3F1-45B4-B392-CA9EFE0BC810}"/>
    <cellStyle name="Vírgula 2 2 2 6 4 4 2" xfId="45262" xr:uid="{76791811-63A5-4B57-B277-31A48191BB53}"/>
    <cellStyle name="Vírgula 2 2 2 6 4 5" xfId="15262" xr:uid="{47A92FBA-E08D-406C-AF51-DBF7E2F7756D}"/>
    <cellStyle name="Vírgula 2 2 2 6 4 5 2" xfId="35602" xr:uid="{C59AD2DC-A850-4857-8791-6E220133E4D8}"/>
    <cellStyle name="Vírgula 2 2 2 6 4 6" xfId="11383" xr:uid="{F3B6F923-B5F3-4F25-BC8A-D69968EE97B4}"/>
    <cellStyle name="Vírgula 2 2 2 6 4 6 2" xfId="31726" xr:uid="{D8CDB91F-B096-49E1-8525-1DD95A36E09F}"/>
    <cellStyle name="Vírgula 2 2 2 6 4 7" xfId="28232" xr:uid="{0F5DBEEF-8CBB-46FB-8688-1C6A3CCB7BFA}"/>
    <cellStyle name="Vírgula 2 2 2 6 4 8" xfId="48448" xr:uid="{28483388-8842-4931-9C19-B4A60F7A647F}"/>
    <cellStyle name="Vírgula 2 2 2 6 4 9" xfId="50118" xr:uid="{75293AE5-7F86-4E9A-9B93-181B6BDD9B10}"/>
    <cellStyle name="Vírgula 2 2 2 6 5" xfId="3721" xr:uid="{D4EBE3E1-7747-45E0-9F8A-4F68BC26986C}"/>
    <cellStyle name="Vírgula 2 2 2 6 5 2" xfId="22024" xr:uid="{76358278-F7FF-473D-89F5-6378A1D0019A}"/>
    <cellStyle name="Vírgula 2 2 2 6 5 2 2" xfId="42360" xr:uid="{5C519E08-DA68-4478-B00D-F1ED8E1F01CD}"/>
    <cellStyle name="Vírgula 2 2 2 6 5 3" xfId="25276" xr:uid="{E43B2ADD-9C9F-43C3-8289-A838A44C47E8}"/>
    <cellStyle name="Vírgula 2 2 2 6 5 3 2" xfId="45611" xr:uid="{68DE822F-B9C7-4567-94D9-1254268D61FF}"/>
    <cellStyle name="Vírgula 2 2 2 6 5 4" xfId="12952" xr:uid="{858D4E57-2482-433B-9CAE-85D7DC5479C8}"/>
    <cellStyle name="Vírgula 2 2 2 6 5 4 2" xfId="33293" xr:uid="{A01815D6-2E2F-4CBA-9C1F-A0EC96FAEBAF}"/>
    <cellStyle name="Vírgula 2 2 2 6 5 5" xfId="11733" xr:uid="{1D4D4DE3-D116-4B7D-AD23-BA6FE19980F9}"/>
    <cellStyle name="Vírgula 2 2 2 6 5 5 2" xfId="32075" xr:uid="{437A55B7-7C73-4F42-BF46-B3FC856853B8}"/>
    <cellStyle name="Vírgula 2 2 2 6 5 6" xfId="28581" xr:uid="{DAEE22CF-B9F3-45FC-A5E7-20B0991AB75C}"/>
    <cellStyle name="Vírgula 2 2 2 6 5 7" xfId="51747" xr:uid="{74A9DD26-5A74-45C8-A827-F59211B7D9B7}"/>
    <cellStyle name="Vírgula 2 2 2 6 5 8" xfId="55041" xr:uid="{D35C6416-8C47-4760-BBC9-0D4CCFA9B311}"/>
    <cellStyle name="Vírgula 2 2 2 6 5 9" xfId="8237" xr:uid="{FEDCC5EF-2FF3-4D64-A619-A062DA7BFCDA}"/>
    <cellStyle name="Vírgula 2 2 2 6 6" xfId="2124" xr:uid="{198E874A-E3F1-495F-95D7-104E9E5A398B}"/>
    <cellStyle name="Vírgula 2 2 2 6 6 2" xfId="36189" xr:uid="{EA5355B7-5733-4D2D-B595-7E1AF272425E}"/>
    <cellStyle name="Vírgula 2 2 2 6 6 3" xfId="56194" xr:uid="{B3F738DF-15CC-4E3D-BF98-4A75A6ACA9A3}"/>
    <cellStyle name="Vírgula 2 2 2 6 6 4" xfId="15849" xr:uid="{FACA7BB8-5038-412D-9B5D-5BD1BE8182F4}"/>
    <cellStyle name="Vírgula 2 2 2 6 7" xfId="18763" xr:uid="{B50D2043-E824-46D7-B2DA-3CEF20A99F09}"/>
    <cellStyle name="Vírgula 2 2 2 6 7 2" xfId="39103" xr:uid="{135B7A57-6FF2-43D5-8C8E-E6DC17E8F102}"/>
    <cellStyle name="Vírgula 2 2 2 6 8" xfId="19351" xr:uid="{00BFA759-8702-4A00-8D4C-E34DAA4A9E70}"/>
    <cellStyle name="Vírgula 2 2 2 6 8 2" xfId="39690" xr:uid="{29B6EFC3-69C8-4B0D-8CE9-2E52FD29DC0E}"/>
    <cellStyle name="Vírgula 2 2 2 6 9" xfId="22606" xr:uid="{BD8E618F-89E3-4888-9706-872AA94A3C8F}"/>
    <cellStyle name="Vírgula 2 2 2 6 9 2" xfId="42941" xr:uid="{31A6DFB1-45E2-4AD0-874F-55E07C9B819E}"/>
    <cellStyle name="Vírgula 2 2 2 7" xfId="134" xr:uid="{3136CB73-5438-474F-9F17-74AC5A88F678}"/>
    <cellStyle name="Vírgula 2 2 2 7 10" xfId="12421" xr:uid="{B605AE77-64CE-46AC-BA7C-8BF126E0E37F}"/>
    <cellStyle name="Vírgula 2 2 2 7 10 2" xfId="32762" xr:uid="{28B02F8F-D383-4783-8E3C-CB876D7487C2}"/>
    <cellStyle name="Vírgula 2 2 2 7 11" xfId="9160" xr:uid="{811799F0-5843-4047-912F-E340CCD5D723}"/>
    <cellStyle name="Vírgula 2 2 2 7 11 2" xfId="29503" xr:uid="{125F4A65-E23C-4149-B95C-6BC3EEEDC3DF}"/>
    <cellStyle name="Vírgula 2 2 2 7 12" xfId="26009" xr:uid="{F2DCD544-491D-42A9-B8A3-2DD76F69CDC6}"/>
    <cellStyle name="Vírgula 2 2 2 7 13" xfId="48449" xr:uid="{D0164313-A895-484D-ADC8-C25DE634C4DB}"/>
    <cellStyle name="Vírgula 2 2 2 7 14" xfId="50119" xr:uid="{1D0C054F-411D-480F-A002-D00034BFC8E4}"/>
    <cellStyle name="Vírgula 2 2 2 7 15" xfId="53414" xr:uid="{EDF3D00E-FE96-41A5-ADAB-505DF1C31693}"/>
    <cellStyle name="Vírgula 2 2 2 7 16" xfId="5670" xr:uid="{8D30493C-E1DC-4F35-9389-D4D93BBDACDD}"/>
    <cellStyle name="Vírgula 2 2 2 7 17" xfId="4415" xr:uid="{620AE123-3F89-49DB-9684-E3424D7819D8}"/>
    <cellStyle name="Vírgula 2 2 2 7 2" xfId="950" xr:uid="{5E0C1E09-D6CB-441C-AA47-5B1B4B09F6C6}"/>
    <cellStyle name="Vírgula 2 2 2 7 2 10" xfId="50120" xr:uid="{961D3DB5-B7C6-4CFC-8C5D-D2A53670432A}"/>
    <cellStyle name="Vírgula 2 2 2 7 2 11" xfId="53415" xr:uid="{03B3D415-E422-4720-8C7D-D2BF4121AFD3}"/>
    <cellStyle name="Vírgula 2 2 2 7 2 12" xfId="6242" xr:uid="{FB5E4F6E-504A-49B2-9468-076683018E59}"/>
    <cellStyle name="Vírgula 2 2 2 7 2 2" xfId="2665" xr:uid="{EE83004A-B571-4F51-93BB-730A4F066135}"/>
    <cellStyle name="Vírgula 2 2 2 7 2 2 10" xfId="7400" xr:uid="{0784DDCD-9345-44CD-9E24-CC6543B1ED80}"/>
    <cellStyle name="Vírgula 2 2 2 7 2 2 2" xfId="17686" xr:uid="{4A16833B-7A6C-461B-8FBF-E312D5576614}"/>
    <cellStyle name="Vírgula 2 2 2 7 2 2 2 2" xfId="38026" xr:uid="{C508E490-CFEB-4766-8C13-335FB04799D8}"/>
    <cellStyle name="Vírgula 2 2 2 7 2 2 3" xfId="21188" xr:uid="{F9E803BB-4071-4096-A5C0-30605E632DD9}"/>
    <cellStyle name="Vírgula 2 2 2 7 2 2 3 2" xfId="41527" xr:uid="{EEFF3738-D5B3-489C-BBEA-707A068BBA71}"/>
    <cellStyle name="Vírgula 2 2 2 7 2 2 4" xfId="24443" xr:uid="{0357FB58-124A-4A06-B75D-2270DCE9794A}"/>
    <cellStyle name="Vírgula 2 2 2 7 2 2 4 2" xfId="44778" xr:uid="{E4345E8A-D990-4480-B9A5-14A5C14A1E81}"/>
    <cellStyle name="Vírgula 2 2 2 7 2 2 5" xfId="14777" xr:uid="{038470AC-329A-4905-93FE-62F6461AD8EE}"/>
    <cellStyle name="Vírgula 2 2 2 7 2 2 5 2" xfId="35118" xr:uid="{ED1AE184-28AA-4094-B029-F8C343C35395}"/>
    <cellStyle name="Vírgula 2 2 2 7 2 2 6" xfId="10899" xr:uid="{C1FBF32F-D938-4A21-8FB8-A6936286E4ED}"/>
    <cellStyle name="Vírgula 2 2 2 7 2 2 6 2" xfId="31242" xr:uid="{DF951B9E-9567-4583-8DAB-25EC89FB738B}"/>
    <cellStyle name="Vírgula 2 2 2 7 2 2 7" xfId="27748" xr:uid="{EA148F08-978F-4B80-B4EB-C95119231155}"/>
    <cellStyle name="Vírgula 2 2 2 7 2 2 8" xfId="51752" xr:uid="{6272F7D7-CAF5-4A12-92AE-DA58FB610130}"/>
    <cellStyle name="Vírgula 2 2 2 7 2 2 9" xfId="55046" xr:uid="{50AE7FB9-E9AE-4450-883E-A14BD38AD213}"/>
    <cellStyle name="Vírgula 2 2 2 7 2 3" xfId="16528" xr:uid="{8ED72031-F35A-4FF0-990C-0CD10A7FCF3E}"/>
    <cellStyle name="Vírgula 2 2 2 7 2 3 2" xfId="36868" xr:uid="{828BFDF8-77F8-4A7E-A2BE-14222F2DD269}"/>
    <cellStyle name="Vírgula 2 2 2 7 2 3 3" xfId="56821" xr:uid="{13C613BD-9FAE-4652-9CDA-C677FC76CE2A}"/>
    <cellStyle name="Vírgula 2 2 2 7 2 4" xfId="20030" xr:uid="{79E644DC-BC08-4929-ABA2-7FDD7E4A63FA}"/>
    <cellStyle name="Vírgula 2 2 2 7 2 4 2" xfId="40369" xr:uid="{8B59CA21-26EF-4F0F-8006-E61772A21876}"/>
    <cellStyle name="Vírgula 2 2 2 7 2 5" xfId="23285" xr:uid="{9AB08FDC-EEDD-4DFA-8B8E-801A11BF7CED}"/>
    <cellStyle name="Vírgula 2 2 2 7 2 5 2" xfId="43620" xr:uid="{7D429825-F879-4A79-8BF7-4970B1DF3F92}"/>
    <cellStyle name="Vírgula 2 2 2 7 2 6" xfId="13619" xr:uid="{4A820257-84AE-46C4-9CDD-08E179007AAD}"/>
    <cellStyle name="Vírgula 2 2 2 7 2 6 2" xfId="33960" xr:uid="{528885E2-F151-4070-9409-51735522920A}"/>
    <cellStyle name="Vírgula 2 2 2 7 2 7" xfId="9741" xr:uid="{1C661840-6468-4833-84C0-DBAF735D6DF9}"/>
    <cellStyle name="Vírgula 2 2 2 7 2 7 2" xfId="30084" xr:uid="{21969305-3579-4A37-B55E-0A060C8FE17E}"/>
    <cellStyle name="Vírgula 2 2 2 7 2 8" xfId="26590" xr:uid="{CFDBFBF9-C832-455E-AC4F-D28B9E28CE9C}"/>
    <cellStyle name="Vírgula 2 2 2 7 2 9" xfId="48450" xr:uid="{31A945B3-C9F6-4145-988D-7EF599800DC4}"/>
    <cellStyle name="Vírgula 2 2 2 7 3" xfId="1356" xr:uid="{65F8142C-C529-4893-AA2C-3335FECBDB71}"/>
    <cellStyle name="Vírgula 2 2 2 7 3 10" xfId="53416" xr:uid="{697445B0-4DAB-458C-941C-9FBA8678E6D4}"/>
    <cellStyle name="Vírgula 2 2 2 7 3 11" xfId="6819" xr:uid="{CE352175-7855-4172-A3FC-95E506B8738E}"/>
    <cellStyle name="Vírgula 2 2 2 7 3 2" xfId="3017" xr:uid="{8D6758CC-E4ED-4297-88BA-AE4FE3CF97D6}"/>
    <cellStyle name="Vírgula 2 2 2 7 3 2 2" xfId="37445" xr:uid="{B8993BA1-E43B-4F4B-9309-C061DFE9B4AA}"/>
    <cellStyle name="Vírgula 2 2 2 7 3 2 3" xfId="51753" xr:uid="{51F31944-A724-44FF-BD5C-81417F5D8630}"/>
    <cellStyle name="Vírgula 2 2 2 7 3 2 4" xfId="55047" xr:uid="{638B879D-8B2F-423E-94AE-08E7A99F6753}"/>
    <cellStyle name="Vírgula 2 2 2 7 3 2 5" xfId="17105" xr:uid="{AED383B6-1225-435C-8B74-419A0F123BA8}"/>
    <cellStyle name="Vírgula 2 2 2 7 3 3" xfId="20607" xr:uid="{32ED856C-ADF3-4D4A-A27B-4D2D4967CE78}"/>
    <cellStyle name="Vírgula 2 2 2 7 3 3 2" xfId="40946" xr:uid="{4893E7CD-52B5-46FF-BB56-0DACBDAE838E}"/>
    <cellStyle name="Vírgula 2 2 2 7 3 3 3" xfId="57227" xr:uid="{ADB6A5FB-31F3-43CD-896D-10275F1320E9}"/>
    <cellStyle name="Vírgula 2 2 2 7 3 4" xfId="23862" xr:uid="{9052219C-C568-4042-BB3F-F9CFFEB35991}"/>
    <cellStyle name="Vírgula 2 2 2 7 3 4 2" xfId="44197" xr:uid="{4FFAB828-F531-4169-A856-BE3ACF752E92}"/>
    <cellStyle name="Vírgula 2 2 2 7 3 5" xfId="14196" xr:uid="{102854FB-737C-4BF7-A4BA-F2A575E2A5FA}"/>
    <cellStyle name="Vírgula 2 2 2 7 3 5 2" xfId="34537" xr:uid="{81366950-BA7D-436E-8AA0-E63038F953E4}"/>
    <cellStyle name="Vírgula 2 2 2 7 3 6" xfId="10318" xr:uid="{9ED03379-05B0-44DF-A94A-A3697D48E75A}"/>
    <cellStyle name="Vírgula 2 2 2 7 3 6 2" xfId="30661" xr:uid="{031EB7C6-B4F8-4ED2-BBC6-73382E61A043}"/>
    <cellStyle name="Vírgula 2 2 2 7 3 7" xfId="27167" xr:uid="{3932D231-A638-4E10-8CD7-AC48F9471F51}"/>
    <cellStyle name="Vírgula 2 2 2 7 3 8" xfId="48451" xr:uid="{8FCD263E-7637-4559-A5B1-DB24580DE437}"/>
    <cellStyle name="Vírgula 2 2 2 7 3 9" xfId="50121" xr:uid="{F8B6D5E2-4645-4AA3-A81A-A366DC7C1A7C}"/>
    <cellStyle name="Vírgula 2 2 2 7 4" xfId="543" xr:uid="{9A0D4C6E-7DB2-414C-BA80-1625C9310961}"/>
    <cellStyle name="Vírgula 2 2 2 7 4 10" xfId="53417" xr:uid="{5B88F610-C9EF-4E84-833F-7202AFFBF440}"/>
    <cellStyle name="Vírgula 2 2 2 7 4 11" xfId="7983" xr:uid="{03DC7AE8-0583-44F1-B9CC-BE75AB4B3B9B}"/>
    <cellStyle name="Vírgula 2 2 2 7 4 2" xfId="2259" xr:uid="{3A11E716-7CC9-44F8-835A-DBF20479CDE8}"/>
    <cellStyle name="Vírgula 2 2 2 7 4 2 2" xfId="38608" xr:uid="{3A77F63A-21EB-4B6B-A508-094BC462A1D0}"/>
    <cellStyle name="Vírgula 2 2 2 7 4 2 3" xfId="51754" xr:uid="{15CACA4A-E017-4401-BA5E-CAD4A8707B9C}"/>
    <cellStyle name="Vírgula 2 2 2 7 4 2 4" xfId="55048" xr:uid="{0D2C09E0-5B65-41CB-B349-1055B042EC87}"/>
    <cellStyle name="Vírgula 2 2 2 7 4 2 5" xfId="18268" xr:uid="{FE02CD84-AB93-4719-8AD1-B9278CADC3B4}"/>
    <cellStyle name="Vírgula 2 2 2 7 4 3" xfId="21770" xr:uid="{33BE5455-3585-454E-ACDC-B4B6BC17318B}"/>
    <cellStyle name="Vírgula 2 2 2 7 4 3 2" xfId="42109" xr:uid="{50FE823E-0861-4E12-ACB1-E4B9087928BF}"/>
    <cellStyle name="Vírgula 2 2 2 7 4 3 3" xfId="56414" xr:uid="{E97C97C1-9F1D-4680-A159-C9E3D57B910E}"/>
    <cellStyle name="Vírgula 2 2 2 7 4 4" xfId="25025" xr:uid="{39C785F1-240A-40A5-AA06-BE62F3313D25}"/>
    <cellStyle name="Vírgula 2 2 2 7 4 4 2" xfId="45360" xr:uid="{4800EBCD-3E88-4391-8812-ED2B7C9C1268}"/>
    <cellStyle name="Vírgula 2 2 2 7 4 5" xfId="15360" xr:uid="{936E23CB-76C3-45AA-9C8B-2EF26C8D2E1B}"/>
    <cellStyle name="Vírgula 2 2 2 7 4 5 2" xfId="35700" xr:uid="{E835BAD1-F22E-4D8C-89C9-3011CDBE8FE8}"/>
    <cellStyle name="Vírgula 2 2 2 7 4 6" xfId="11481" xr:uid="{0700C781-C005-4EBA-A842-0B5F25B83D86}"/>
    <cellStyle name="Vírgula 2 2 2 7 4 6 2" xfId="31824" xr:uid="{883F798F-1E20-4814-88F2-E64D64484CFC}"/>
    <cellStyle name="Vírgula 2 2 2 7 4 7" xfId="28330" xr:uid="{DACC9F08-2C2C-4343-B96C-6BD5AFF1A6A9}"/>
    <cellStyle name="Vírgula 2 2 2 7 4 8" xfId="48452" xr:uid="{8533094B-A8EA-47C7-99EE-C4C554850F56}"/>
    <cellStyle name="Vírgula 2 2 2 7 4 9" xfId="50122" xr:uid="{77CE5546-2B42-44CA-A230-8CFB01E5D800}"/>
    <cellStyle name="Vírgula 2 2 2 7 5" xfId="2082" xr:uid="{8E1E60BE-486D-4825-9A4F-844AEE79A4EF}"/>
    <cellStyle name="Vírgula 2 2 2 7 5 2" xfId="33391" xr:uid="{D3401F03-B694-4771-A2D3-97D33A4E4846}"/>
    <cellStyle name="Vírgula 2 2 2 7 5 3" xfId="51751" xr:uid="{68BADAE8-058F-4AFC-9565-1C2944AAACEF}"/>
    <cellStyle name="Vírgula 2 2 2 7 5 4" xfId="55045" xr:uid="{66CC70A5-01DA-4709-A17C-A9D8174190C9}"/>
    <cellStyle name="Vírgula 2 2 2 7 5 5" xfId="13050" xr:uid="{4D3612AF-526C-46A0-A5FE-1B3806F9A58C}"/>
    <cellStyle name="Vírgula 2 2 2 7 6" xfId="15947" xr:uid="{AEF02F00-4EF2-4BD9-8532-CF9251F94ADB}"/>
    <cellStyle name="Vírgula 2 2 2 7 6 2" xfId="36287" xr:uid="{EBD6BF22-B4A1-432D-9E37-F295D32AD07F}"/>
    <cellStyle name="Vírgula 2 2 2 7 6 3" xfId="56005" xr:uid="{AAD1B116-2C70-489E-A03C-9BE619CCCD6E}"/>
    <cellStyle name="Vírgula 2 2 2 7 7" xfId="18861" xr:uid="{58BC70A4-813C-4BC0-BF6D-3AFB6AF19800}"/>
    <cellStyle name="Vírgula 2 2 2 7 7 2" xfId="39201" xr:uid="{02FD5156-EB5A-4662-851A-DA823BA3CE7F}"/>
    <cellStyle name="Vírgula 2 2 2 7 8" xfId="19449" xr:uid="{434814D8-F6B2-43E1-9D08-00D5C0B144CC}"/>
    <cellStyle name="Vírgula 2 2 2 7 8 2" xfId="39788" xr:uid="{854D475D-C702-42F1-B7EF-D16E376B64B2}"/>
    <cellStyle name="Vírgula 2 2 2 7 9" xfId="22704" xr:uid="{3EDD48A1-0307-49D8-9B66-C0F75C7AE0AF}"/>
    <cellStyle name="Vírgula 2 2 2 7 9 2" xfId="43039" xr:uid="{BFE3D8FB-7581-4258-8DB0-1D1BAE4921D6}"/>
    <cellStyle name="Vírgula 2 2 2 8" xfId="914" xr:uid="{9E3812C7-08AD-49AD-BE1B-0211C6A12CD2}"/>
    <cellStyle name="Vírgula 2 2 2 8 10" xfId="48453" xr:uid="{10085635-F6AD-478F-9FA9-58404FDBB766}"/>
    <cellStyle name="Vírgula 2 2 2 8 11" xfId="50123" xr:uid="{E5DA0E3F-8CC1-4179-B661-D609E149DF59}"/>
    <cellStyle name="Vírgula 2 2 2 8 12" xfId="53418" xr:uid="{A2671990-2292-4EE7-B339-E0CA1F4231BF}"/>
    <cellStyle name="Vírgula 2 2 2 8 13" xfId="5800" xr:uid="{24375077-B605-44EB-826D-4A5292C67D66}"/>
    <cellStyle name="Vírgula 2 2 2 8 14" xfId="4804" xr:uid="{A64FA16A-850D-40DC-99A4-D4B8E2EFFAB9}"/>
    <cellStyle name="Vírgula 2 2 2 8 2" xfId="2630" xr:uid="{A54150E8-2EFA-445B-BDE2-0B3245D320D6}"/>
    <cellStyle name="Vírgula 2 2 2 8 2 10" xfId="6958" xr:uid="{D7AF0459-1B66-48F8-A761-F769E64CE7A8}"/>
    <cellStyle name="Vírgula 2 2 2 8 2 2" xfId="17244" xr:uid="{B43B5745-0797-4FEA-8654-255AB1D2550D}"/>
    <cellStyle name="Vírgula 2 2 2 8 2 2 2" xfId="37584" xr:uid="{9839E69D-FD6A-4CA6-BE36-B8FB8CB317D8}"/>
    <cellStyle name="Vírgula 2 2 2 8 2 3" xfId="20746" xr:uid="{DF689B97-2296-4AFB-8EBF-74AAF21D4049}"/>
    <cellStyle name="Vírgula 2 2 2 8 2 3 2" xfId="41085" xr:uid="{739A3ACA-EC19-4EE9-9145-E88CF0E03140}"/>
    <cellStyle name="Vírgula 2 2 2 8 2 4" xfId="24001" xr:uid="{B2E954C4-27C0-47F9-8FC6-2FFD158433C0}"/>
    <cellStyle name="Vírgula 2 2 2 8 2 4 2" xfId="44336" xr:uid="{B2B8180B-3E2B-4C26-8891-CEE1D1896151}"/>
    <cellStyle name="Vírgula 2 2 2 8 2 5" xfId="14335" xr:uid="{08F36EB4-9B73-41FB-BFE1-529D59D98C1F}"/>
    <cellStyle name="Vírgula 2 2 2 8 2 5 2" xfId="34676" xr:uid="{05330744-6993-45E1-AA8B-8AC803D1ADA3}"/>
    <cellStyle name="Vírgula 2 2 2 8 2 6" xfId="10457" xr:uid="{6545B2F2-7DAD-461D-B811-60BCCB566BBA}"/>
    <cellStyle name="Vírgula 2 2 2 8 2 6 2" xfId="30800" xr:uid="{2B184C50-1BDE-4752-9344-8312026FD68C}"/>
    <cellStyle name="Vírgula 2 2 2 8 2 7" xfId="27306" xr:uid="{361290C8-0A2E-4EF9-A566-DCB502DE8EEB}"/>
    <cellStyle name="Vírgula 2 2 2 8 2 8" xfId="51755" xr:uid="{B2460204-1D1B-42C2-9776-D24BA65B5480}"/>
    <cellStyle name="Vírgula 2 2 2 8 2 9" xfId="55049" xr:uid="{69E22CEB-6C39-4B81-9A15-E26D9BD6B9DA}"/>
    <cellStyle name="Vírgula 2 2 2 8 3" xfId="13184" xr:uid="{4834E559-A2BB-4A46-99E9-FFA5803001A5}"/>
    <cellStyle name="Vírgula 2 2 2 8 3 2" xfId="33525" xr:uid="{B40238EF-B7E9-463F-8ADC-7F6F7B9C7153}"/>
    <cellStyle name="Vírgula 2 2 2 8 3 3" xfId="56785" xr:uid="{29F2F86A-6FE9-4D7C-BACD-472BE39A8E4E}"/>
    <cellStyle name="Vírgula 2 2 2 8 4" xfId="16086" xr:uid="{F23ABF61-9702-49EC-8F22-345A3532F320}"/>
    <cellStyle name="Vírgula 2 2 2 8 4 2" xfId="36426" xr:uid="{ADABE31A-F37F-4584-A8CF-EBB5B4A7BABE}"/>
    <cellStyle name="Vírgula 2 2 2 8 5" xfId="19588" xr:uid="{C6E7A0F0-311F-4696-BA42-B6B095C5C30B}"/>
    <cellStyle name="Vírgula 2 2 2 8 5 2" xfId="39927" xr:uid="{3B189913-3078-47A0-BDDD-0F25A0633640}"/>
    <cellStyle name="Vírgula 2 2 2 8 6" xfId="22843" xr:uid="{51CC1255-657D-48E4-8FF5-6AFED95B5EC5}"/>
    <cellStyle name="Vírgula 2 2 2 8 6 2" xfId="43178" xr:uid="{307463D7-3E1B-41CA-976F-032B991FCE85}"/>
    <cellStyle name="Vírgula 2 2 2 8 7" xfId="12546" xr:uid="{7459A68F-3ECF-447C-9A0E-76D1A106F3B8}"/>
    <cellStyle name="Vírgula 2 2 2 8 7 2" xfId="32887" xr:uid="{9F4F542B-0D12-4D44-830C-77B9939B016A}"/>
    <cellStyle name="Vírgula 2 2 2 8 8" xfId="9299" xr:uid="{1542B638-9988-4AA2-8CBB-355D707145F0}"/>
    <cellStyle name="Vírgula 2 2 2 8 8 2" xfId="29642" xr:uid="{376C85D5-2AA9-4251-BBD2-013B9B93F2DD}"/>
    <cellStyle name="Vírgula 2 2 2 8 9" xfId="26148" xr:uid="{5D734933-4266-4611-9CAC-48725F90D562}"/>
    <cellStyle name="Vírgula 2 2 2 9" xfId="1320" xr:uid="{0488D41A-5C8B-41A8-8B32-EB7AB24AAB75}"/>
    <cellStyle name="Vírgula 2 2 2 9 10" xfId="53419" xr:uid="{FEFA66F0-CCA9-4943-B80B-A095A83E7252}"/>
    <cellStyle name="Vírgula 2 2 2 9 11" xfId="6377" xr:uid="{ECD398F3-B6B9-4200-AA67-40FA1623D704}"/>
    <cellStyle name="Vírgula 2 2 2 9 2" xfId="2981" xr:uid="{7391CADF-7E4E-4C33-AA87-34CF27164AE3}"/>
    <cellStyle name="Vírgula 2 2 2 9 2 2" xfId="37003" xr:uid="{738C1784-DDFB-46EE-B3FB-83AD328841A9}"/>
    <cellStyle name="Vírgula 2 2 2 9 2 3" xfId="51756" xr:uid="{A725164E-4538-4D8C-AA0C-2809AB58E6C2}"/>
    <cellStyle name="Vírgula 2 2 2 9 2 4" xfId="55050" xr:uid="{A719F042-99B1-4415-9E2E-4A55A0E1B368}"/>
    <cellStyle name="Vírgula 2 2 2 9 2 5" xfId="16663" xr:uid="{A5387552-FB95-4FEB-825F-6E309AF85DF2}"/>
    <cellStyle name="Vírgula 2 2 2 9 3" xfId="20165" xr:uid="{E9D0D669-9042-4BC9-97FD-AF3E9E6BE174}"/>
    <cellStyle name="Vírgula 2 2 2 9 3 2" xfId="40504" xr:uid="{DDA84D81-D22E-456B-92F3-CEFE1E91473E}"/>
    <cellStyle name="Vírgula 2 2 2 9 3 3" xfId="57191" xr:uid="{7FEC8A38-925C-4EC0-A9FE-94C8F75602F8}"/>
    <cellStyle name="Vírgula 2 2 2 9 4" xfId="23420" xr:uid="{D1D64E07-6701-440D-A2B5-93EA0082F520}"/>
    <cellStyle name="Vírgula 2 2 2 9 4 2" xfId="43755" xr:uid="{843E1430-DBC3-450A-8559-486843ABBF03}"/>
    <cellStyle name="Vírgula 2 2 2 9 5" xfId="13754" xr:uid="{9368835B-B0E7-49E2-9D86-6FCDFC462994}"/>
    <cellStyle name="Vírgula 2 2 2 9 5 2" xfId="34095" xr:uid="{A1254889-A7F5-4F14-816B-DC24B8EFCD56}"/>
    <cellStyle name="Vírgula 2 2 2 9 6" xfId="9876" xr:uid="{0DB96AD4-5033-4B1E-A50A-BFC6D0BEB309}"/>
    <cellStyle name="Vírgula 2 2 2 9 6 2" xfId="30219" xr:uid="{041CA769-F5F7-478A-A046-012B03BC4B3A}"/>
    <cellStyle name="Vírgula 2 2 2 9 7" xfId="26725" xr:uid="{ECEC4D3C-2569-4FE8-A956-8208C216131E}"/>
    <cellStyle name="Vírgula 2 2 2 9 8" xfId="48454" xr:uid="{D1384C5E-6649-4558-951D-F44CF4E8EC35}"/>
    <cellStyle name="Vírgula 2 2 2 9 9" xfId="50124" xr:uid="{D9C4F2E5-396C-49C9-92E9-A93563E27AB4}"/>
    <cellStyle name="Vírgula 2 2 20" xfId="8681" xr:uid="{1030B467-7FB0-4288-A79F-AF9C6FCACE26}"/>
    <cellStyle name="Vírgula 2 2 20 2" xfId="29024" xr:uid="{8360DAF7-19A6-4A16-B0B3-9D63B8C5B52D}"/>
    <cellStyle name="Vírgula 2 2 21" xfId="25526" xr:uid="{0824A8E6-2B88-4CB4-A640-66EF8780FFF5}"/>
    <cellStyle name="Vírgula 2 2 22" xfId="25476" xr:uid="{135E8169-88D8-4F98-A4EE-06D23E0178A8}"/>
    <cellStyle name="Vírgula 2 2 23" xfId="45818" xr:uid="{4F264D66-B629-4D72-A428-520AED978898}"/>
    <cellStyle name="Vírgula 2 2 24" xfId="46304" xr:uid="{A86BAEF4-7128-4E23-98E9-C357AEE5ED7F}"/>
    <cellStyle name="Vírgula 2 2 25" xfId="46796" xr:uid="{29966B02-883F-4FC6-A2B1-6A47693A3FAF}"/>
    <cellStyle name="Vírgula 2 2 26" xfId="47312" xr:uid="{89DE0875-9C8E-4A29-88CF-1EFE88263911}"/>
    <cellStyle name="Vírgula 2 2 27" xfId="47438" xr:uid="{1AA1EDED-EC5C-4EB7-874A-E059CF69E745}"/>
    <cellStyle name="Vírgula 2 2 28" xfId="47564" xr:uid="{8E31C1EF-AA7B-41F0-9AA3-B1DBD2351FB4}"/>
    <cellStyle name="Vírgula 2 2 29" xfId="48392" xr:uid="{D61414C1-74AB-4481-A869-BACF444B296D}"/>
    <cellStyle name="Vírgula 2 2 3" xfId="40" xr:uid="{CA2C8C35-C0AD-4DEC-BCE1-85F57A71DB8D}"/>
    <cellStyle name="Vírgula 2 2 3 10" xfId="3406" xr:uid="{D74FBE58-8D72-442E-BC5E-B7EAE9D95B09}"/>
    <cellStyle name="Vírgula 2 2 3 10 2" xfId="22025" xr:uid="{B8814B19-6F90-4D79-A696-31877C1E0B49}"/>
    <cellStyle name="Vírgula 2 2 3 10 2 2" xfId="42361" xr:uid="{0050AB23-EA34-4D79-A440-3C938B3DACFF}"/>
    <cellStyle name="Vírgula 2 2 3 10 3" xfId="25277" xr:uid="{B28F6EAE-85B4-429A-8970-6BC4251A3E63}"/>
    <cellStyle name="Vírgula 2 2 3 10 3 2" xfId="45612" xr:uid="{8DEA29EB-2D45-447D-8635-AD456882D21E}"/>
    <cellStyle name="Vírgula 2 2 3 10 4" xfId="12627" xr:uid="{43F9FAD7-7B46-481B-9F42-51917ACF47ED}"/>
    <cellStyle name="Vírgula 2 2 3 10 4 2" xfId="32968" xr:uid="{0505B718-46F9-47A8-A4F8-01B6DD53DD58}"/>
    <cellStyle name="Vírgula 2 2 3 10 5" xfId="11734" xr:uid="{E10376BC-EFEE-40EA-9016-3C8F89B73E84}"/>
    <cellStyle name="Vírgula 2 2 3 10 5 2" xfId="32076" xr:uid="{15368A09-F1BA-487D-85F1-7D29197F3150}"/>
    <cellStyle name="Vírgula 2 2 3 10 6" xfId="28582" xr:uid="{5BD7694D-5E16-4E88-BF74-FA11E8DCFD41}"/>
    <cellStyle name="Vírgula 2 2 3 10 7" xfId="55964" xr:uid="{33B838FC-6822-48CA-A0B3-A27E44628315}"/>
    <cellStyle name="Vírgula 2 2 3 10 8" xfId="8238" xr:uid="{0FADE2F1-0FC7-4842-AF2B-9317F0B78865}"/>
    <cellStyle name="Vírgula 2 2 3 11" xfId="3827" xr:uid="{736A772E-04DF-4680-9B65-3733C956782E}"/>
    <cellStyle name="Vírgula 2 2 3 11 2" xfId="15520" xr:uid="{8DB94D7B-EC6B-4B3D-8CA1-37544B4375CD}"/>
    <cellStyle name="Vírgula 2 2 3 11 2 2" xfId="35860" xr:uid="{FF1789D6-9D0B-472B-B26E-D4E80458D38D}"/>
    <cellStyle name="Vírgula 2 2 3 11 3" xfId="28814" xr:uid="{97B4C376-3C45-4254-A720-0D1BA711070B}"/>
    <cellStyle name="Vírgula 2 2 3 11 4" xfId="8471" xr:uid="{6B0580B1-E7BE-4797-AD3C-80A82B46E0DC}"/>
    <cellStyle name="Vírgula 2 2 3 12" xfId="1754" xr:uid="{F5C39A35-59FD-4620-9BC5-5B0BD0015B9E}"/>
    <cellStyle name="Vírgula 2 2 3 12 2" xfId="38774" xr:uid="{1F41DBCD-4504-4B97-AC11-89AD38434682}"/>
    <cellStyle name="Vírgula 2 2 3 12 3" xfId="18434" xr:uid="{6A2DA477-BBF3-440D-97ED-D25784318AD4}"/>
    <cellStyle name="Vírgula 2 2 3 13" xfId="19022" xr:uid="{7E871B8C-3AF1-424F-AFA2-FF4D037D00F2}"/>
    <cellStyle name="Vírgula 2 2 3 13 2" xfId="39361" xr:uid="{A449EB49-B947-456D-870E-13074E1AE473}"/>
    <cellStyle name="Vírgula 2 2 3 14" xfId="22277" xr:uid="{D153A467-46EE-41D8-A194-5A9E30D4A913}"/>
    <cellStyle name="Vírgula 2 2 3 14 2" xfId="42612" xr:uid="{7B64D92F-AE57-4EB2-894E-3297C9C559A5}"/>
    <cellStyle name="Vírgula 2 2 3 15" xfId="11994" xr:uid="{B17AAD3A-DCD5-479A-BB1E-A9CF463658C8}"/>
    <cellStyle name="Vírgula 2 2 3 15 2" xfId="32335" xr:uid="{5CD85ED1-91B9-4310-BBBF-2D7CECC7CA7C}"/>
    <cellStyle name="Vírgula 2 2 3 16" xfId="8733" xr:uid="{1AA805AB-0B45-4679-B485-C2929841665B}"/>
    <cellStyle name="Vírgula 2 2 3 16 2" xfId="29076" xr:uid="{D4D68B77-7351-466A-8F5A-5F7FBCC80F60}"/>
    <cellStyle name="Vírgula 2 2 3 17" xfId="25578" xr:uid="{CE29F09A-6ACF-43B3-B262-32A67A722F54}"/>
    <cellStyle name="Vírgula 2 2 3 18" xfId="25483" xr:uid="{C22C7A1E-B580-4046-9A25-3BF1B6AB49F5}"/>
    <cellStyle name="Vírgula 2 2 3 19" xfId="45846" xr:uid="{CD8A3C1D-81FC-42AC-B8E0-EA089E9A69F1}"/>
    <cellStyle name="Vírgula 2 2 3 2" xfId="228" xr:uid="{31D156ED-4F69-4634-805F-50B4E7BEF1DA}"/>
    <cellStyle name="Vírgula 2 2 3 2 10" xfId="22392" xr:uid="{2C2EE8F7-FDA5-4256-8A9E-3F1CE8926EAB}"/>
    <cellStyle name="Vírgula 2 2 3 2 10 2" xfId="42727" xr:uid="{35BFB29F-CC5A-40EF-A639-BC3743EE1F6F}"/>
    <cellStyle name="Vírgula 2 2 3 2 11" xfId="12109" xr:uid="{382D84A5-CEF8-403E-926E-71CB12C35D92}"/>
    <cellStyle name="Vírgula 2 2 3 2 11 2" xfId="32450" xr:uid="{F0666019-DDE8-4320-BA12-4B3FA667A063}"/>
    <cellStyle name="Vírgula 2 2 3 2 12" xfId="8848" xr:uid="{48BBDB9A-4121-4362-86B1-56732267100B}"/>
    <cellStyle name="Vírgula 2 2 3 2 12 2" xfId="29191" xr:uid="{43D40DA4-43D8-4402-842A-438D62B25A82}"/>
    <cellStyle name="Vírgula 2 2 3 2 13" xfId="25697" xr:uid="{3E66A780-B0A2-4827-B19D-7E4C73FCD5AB}"/>
    <cellStyle name="Vírgula 2 2 3 2 14" xfId="45906" xr:uid="{F61CE1B1-22A0-4C0A-93EE-0B62E415D456}"/>
    <cellStyle name="Vírgula 2 2 3 2 15" xfId="46392" xr:uid="{55550554-F7DB-42B9-8B63-82A14C23BA21}"/>
    <cellStyle name="Vírgula 2 2 3 2 16" xfId="46884" xr:uid="{2E0FD9FD-7740-4268-907D-636D6F6F6636}"/>
    <cellStyle name="Vírgula 2 2 3 2 17" xfId="47394" xr:uid="{B87E97F1-6CEF-429B-A215-C98380B29806}"/>
    <cellStyle name="Vírgula 2 2 3 2 18" xfId="47520" xr:uid="{C9E9DC85-38CB-4FD1-ADE4-DADE5B3C8861}"/>
    <cellStyle name="Vírgula 2 2 3 2 19" xfId="47646" xr:uid="{D2DCD20E-44A6-4C01-BBBA-3DDC899AB69B}"/>
    <cellStyle name="Vírgula 2 2 3 2 2" xfId="417" xr:uid="{350561DB-6FEF-47C4-95EB-DC959881C637}"/>
    <cellStyle name="Vírgula 2 2 3 2 2 10" xfId="12496" xr:uid="{80FD7163-463B-449D-8A90-65C4081459AE}"/>
    <cellStyle name="Vírgula 2 2 3 2 2 10 2" xfId="32837" xr:uid="{DCA4A04A-E7E4-4DF7-8A95-5EA910F5D12E}"/>
    <cellStyle name="Vírgula 2 2 3 2 2 11" xfId="9235" xr:uid="{B25B315F-4CF2-4ED4-AA61-8F99BCB295E5}"/>
    <cellStyle name="Vírgula 2 2 3 2 2 11 2" xfId="29578" xr:uid="{487EE07B-16C3-4B86-A657-D5EC4E27B556}"/>
    <cellStyle name="Vírgula 2 2 3 2 2 12" xfId="26084" xr:uid="{E9B75AEB-AFAF-4050-AAB1-451873A083D6}"/>
    <cellStyle name="Vírgula 2 2 3 2 2 13" xfId="45988" xr:uid="{FC7768BE-D34B-42B5-A0E8-07CA480FBA95}"/>
    <cellStyle name="Vírgula 2 2 3 2 2 14" xfId="46474" xr:uid="{BC8461FE-1109-47CD-A209-D3D26CFEF566}"/>
    <cellStyle name="Vírgula 2 2 3 2 2 15" xfId="46966" xr:uid="{454C2567-EE36-41F1-873D-2A900B941766}"/>
    <cellStyle name="Vírgula 2 2 3 2 2 16" xfId="48457" xr:uid="{7888C954-7D09-4105-9503-41D4D6EF8F33}"/>
    <cellStyle name="Vírgula 2 2 3 2 2 17" xfId="50127" xr:uid="{145BC9D3-018A-41C7-8220-DFEC1DE6AF02}"/>
    <cellStyle name="Vírgula 2 2 3 2 2 18" xfId="53422" xr:uid="{A291DFDE-ECAC-48A5-AF85-DBD41F340032}"/>
    <cellStyle name="Vírgula 2 2 3 2 2 19" xfId="5741" xr:uid="{886FC294-EE96-4F1C-AC79-7DE1E3905A10}"/>
    <cellStyle name="Vírgula 2 2 3 2 2 2" xfId="1233" xr:uid="{0DAAE9A8-0EC7-4EE5-A013-0F70A044DDE4}"/>
    <cellStyle name="Vírgula 2 2 3 2 2 2 10" xfId="46717" xr:uid="{2EEE37AE-FC43-4420-8139-A579C22D2A66}"/>
    <cellStyle name="Vírgula 2 2 3 2 2 2 11" xfId="47209" xr:uid="{7ED981B9-02E4-43AE-9DFB-D6EB437858CD}"/>
    <cellStyle name="Vírgula 2 2 3 2 2 2 12" xfId="48458" xr:uid="{2A10F3C8-6523-4AA0-89C3-D627930B5490}"/>
    <cellStyle name="Vírgula 2 2 3 2 2 2 13" xfId="50128" xr:uid="{09BD7892-64B6-4332-8E49-45BA02517929}"/>
    <cellStyle name="Vírgula 2 2 3 2 2 2 14" xfId="53423" xr:uid="{B556741D-F757-4F9B-8286-C83A3FFA04AF}"/>
    <cellStyle name="Vírgula 2 2 3 2 2 2 15" xfId="6317" xr:uid="{1435448E-5AE7-4226-84BA-1421361AB8CD}"/>
    <cellStyle name="Vírgula 2 2 3 2 2 2 16" xfId="5106" xr:uid="{F5DB9F20-BB0C-4556-8DC8-1A85541C49BF}"/>
    <cellStyle name="Vírgula 2 2 3 2 2 2 2" xfId="2894" xr:uid="{76F80D7D-F6C8-4F88-BC04-DEA02598D3F9}"/>
    <cellStyle name="Vírgula 2 2 3 2 2 2 2 10" xfId="7475" xr:uid="{9FD1216F-7B6C-433D-8471-EE5576C1C48D}"/>
    <cellStyle name="Vírgula 2 2 3 2 2 2 2 2" xfId="17761" xr:uid="{6CE9D733-B001-4F39-85CE-B2DAC1D60021}"/>
    <cellStyle name="Vírgula 2 2 3 2 2 2 2 2 2" xfId="38101" xr:uid="{216ACDFE-10A8-4DC9-A284-9B4CECEA6D54}"/>
    <cellStyle name="Vírgula 2 2 3 2 2 2 2 3" xfId="21263" xr:uid="{8611F7E9-F035-46DF-B2C8-55CC8283F862}"/>
    <cellStyle name="Vírgula 2 2 3 2 2 2 2 3 2" xfId="41602" xr:uid="{49566DFA-2D62-4E6C-A9D8-F80C78D12B5B}"/>
    <cellStyle name="Vírgula 2 2 3 2 2 2 2 4" xfId="24518" xr:uid="{E6CD75EE-395D-445A-8053-152EE9E796EC}"/>
    <cellStyle name="Vírgula 2 2 3 2 2 2 2 4 2" xfId="44853" xr:uid="{62B2CF8F-30CC-42DE-BE87-9B119D3483FC}"/>
    <cellStyle name="Vírgula 2 2 3 2 2 2 2 5" xfId="14852" xr:uid="{30A22178-F7BC-41C5-AD12-79CA74B02074}"/>
    <cellStyle name="Vírgula 2 2 3 2 2 2 2 5 2" xfId="35193" xr:uid="{CA12FDC7-22E0-4AED-B9E8-CB51F315B99B}"/>
    <cellStyle name="Vírgula 2 2 3 2 2 2 2 6" xfId="10974" xr:uid="{9825A62E-5750-4543-923B-DA8334F8D4BB}"/>
    <cellStyle name="Vírgula 2 2 3 2 2 2 2 6 2" xfId="31317" xr:uid="{3AAA2151-BDCF-4A82-9BAC-B3DEBD351F81}"/>
    <cellStyle name="Vírgula 2 2 3 2 2 2 2 7" xfId="27823" xr:uid="{450EC285-F04C-4C94-8787-26CBA246002D}"/>
    <cellStyle name="Vírgula 2 2 3 2 2 2 2 8" xfId="51760" xr:uid="{B4C12651-7858-4FD1-A66E-A4D05AAF644C}"/>
    <cellStyle name="Vírgula 2 2 3 2 2 2 2 9" xfId="55054" xr:uid="{47D1A564-5930-4893-B5C3-AE6E5F674DFE}"/>
    <cellStyle name="Vírgula 2 2 3 2 2 2 3" xfId="16603" xr:uid="{F0BB1918-20E7-4689-A9AA-0CC797B60435}"/>
    <cellStyle name="Vírgula 2 2 3 2 2 2 3 2" xfId="36943" xr:uid="{D1400D43-1B7F-4BF9-9377-C97D9F25202E}"/>
    <cellStyle name="Vírgula 2 2 3 2 2 2 3 3" xfId="57104" xr:uid="{8B4C108E-0C1A-442E-B7B5-5D5D55568CCE}"/>
    <cellStyle name="Vírgula 2 2 3 2 2 2 4" xfId="20105" xr:uid="{61B76806-5625-4ECE-AC61-7EA20FD6C6DA}"/>
    <cellStyle name="Vírgula 2 2 3 2 2 2 4 2" xfId="40444" xr:uid="{C63E2B0B-A0EE-4F1A-BF60-BC0803BA69D5}"/>
    <cellStyle name="Vírgula 2 2 3 2 2 2 5" xfId="23360" xr:uid="{ED6B776C-F683-4E60-861E-8DA95E784F07}"/>
    <cellStyle name="Vírgula 2 2 3 2 2 2 5 2" xfId="43695" xr:uid="{9B7EAB04-78DE-4FF7-9BAC-3A09BDF255DD}"/>
    <cellStyle name="Vírgula 2 2 3 2 2 2 6" xfId="13694" xr:uid="{E55B5E73-F280-4A2C-B8E0-594C8D8E80AD}"/>
    <cellStyle name="Vírgula 2 2 3 2 2 2 6 2" xfId="34035" xr:uid="{407C5432-6111-434D-A1BF-BFA7339BB400}"/>
    <cellStyle name="Vírgula 2 2 3 2 2 2 7" xfId="9816" xr:uid="{13B31ECD-8D8F-4A8C-BC75-8913F1534AAA}"/>
    <cellStyle name="Vírgula 2 2 3 2 2 2 7 2" xfId="30159" xr:uid="{5B54B086-1C3E-4742-A5D7-140531762D67}"/>
    <cellStyle name="Vírgula 2 2 3 2 2 2 8" xfId="26665" xr:uid="{96F6F029-5D50-41E6-9DDF-339A2FA43905}"/>
    <cellStyle name="Vírgula 2 2 3 2 2 2 9" xfId="46231" xr:uid="{1913EBE6-F9B0-4FD8-847A-030E5C2005EB}"/>
    <cellStyle name="Vírgula 2 2 3 2 2 20" xfId="4698" xr:uid="{586A3D36-7B32-47C7-A4A5-88A5618983AC}"/>
    <cellStyle name="Vírgula 2 2 3 2 2 3" xfId="1639" xr:uid="{03F24E57-6ED5-4B62-935F-859F9446E78F}"/>
    <cellStyle name="Vírgula 2 2 3 2 2 3 10" xfId="53424" xr:uid="{1442E821-438A-429E-8249-01E623BA87B4}"/>
    <cellStyle name="Vírgula 2 2 3 2 2 3 11" xfId="6894" xr:uid="{F5CB69C3-E465-436C-8B11-060E346ED2EC}"/>
    <cellStyle name="Vírgula 2 2 3 2 2 3 2" xfId="3299" xr:uid="{F1661F18-711C-4CD5-9545-9BDDF18472B7}"/>
    <cellStyle name="Vírgula 2 2 3 2 2 3 2 2" xfId="37520" xr:uid="{4C37F002-76C7-4BCE-A563-891450A8E8A5}"/>
    <cellStyle name="Vírgula 2 2 3 2 2 3 2 3" xfId="51761" xr:uid="{C4E83A09-982C-41C7-B27D-57595CE3FB00}"/>
    <cellStyle name="Vírgula 2 2 3 2 2 3 2 4" xfId="55055" xr:uid="{764EBD9F-381B-451D-ABE1-4CAE75497CAF}"/>
    <cellStyle name="Vírgula 2 2 3 2 2 3 2 5" xfId="17180" xr:uid="{D6911890-59A6-4B60-8732-4C894973B3B6}"/>
    <cellStyle name="Vírgula 2 2 3 2 2 3 3" xfId="20682" xr:uid="{FFEBA44B-CB1B-440D-8CBB-B4D3E360D7CA}"/>
    <cellStyle name="Vírgula 2 2 3 2 2 3 3 2" xfId="41021" xr:uid="{D93C0A8E-4B6C-4396-9546-354E08540BE8}"/>
    <cellStyle name="Vírgula 2 2 3 2 2 3 3 3" xfId="57510" xr:uid="{63AACCC7-1509-4D05-81B9-85163751515F}"/>
    <cellStyle name="Vírgula 2 2 3 2 2 3 4" xfId="23937" xr:uid="{85766B36-EC5D-4870-9006-18E74F59C5DC}"/>
    <cellStyle name="Vírgula 2 2 3 2 2 3 4 2" xfId="44272" xr:uid="{DB9FD0B4-4F3D-451F-A6E3-12EB0DC90887}"/>
    <cellStyle name="Vírgula 2 2 3 2 2 3 5" xfId="14271" xr:uid="{7D7E2D19-8C1B-4E1C-8F43-7150888E23AA}"/>
    <cellStyle name="Vírgula 2 2 3 2 2 3 5 2" xfId="34612" xr:uid="{BB2B49A5-0241-4632-BD33-44985D961CCF}"/>
    <cellStyle name="Vírgula 2 2 3 2 2 3 6" xfId="10393" xr:uid="{511E5880-F713-4647-BB47-E16DF1D93686}"/>
    <cellStyle name="Vírgula 2 2 3 2 2 3 6 2" xfId="30736" xr:uid="{285B1614-4EAF-491B-A3CF-36920CCA1157}"/>
    <cellStyle name="Vírgula 2 2 3 2 2 3 7" xfId="27242" xr:uid="{BB1ACF23-F7BC-43EE-B8E5-077A738D5CAB}"/>
    <cellStyle name="Vírgula 2 2 3 2 2 3 8" xfId="48459" xr:uid="{A2C50B5C-B3E1-4EA8-8D6C-6646BA67D01E}"/>
    <cellStyle name="Vírgula 2 2 3 2 2 3 9" xfId="50129" xr:uid="{D6062CFB-6527-44F0-8B31-D41B29273D8C}"/>
    <cellStyle name="Vírgula 2 2 3 2 2 4" xfId="826" xr:uid="{78D40324-F144-4355-BE08-94B8D5568F6C}"/>
    <cellStyle name="Vírgula 2 2 3 2 2 4 10" xfId="53425" xr:uid="{FCD8A245-ED4F-4A66-8389-B1E8CB7F32D0}"/>
    <cellStyle name="Vírgula 2 2 3 2 2 4 11" xfId="8058" xr:uid="{E12E54B7-110C-4A89-BE4F-2825FFBB3442}"/>
    <cellStyle name="Vírgula 2 2 3 2 2 4 2" xfId="2542" xr:uid="{A3BDFE73-4400-4BFF-97C6-06D56BBCC7A5}"/>
    <cellStyle name="Vírgula 2 2 3 2 2 4 2 2" xfId="38683" xr:uid="{9065A5EE-1A0D-4107-A9FD-A861CFA6F25E}"/>
    <cellStyle name="Vírgula 2 2 3 2 2 4 2 3" xfId="51762" xr:uid="{5CAD66C0-97AC-47E2-BCF6-A0F92637B417}"/>
    <cellStyle name="Vírgula 2 2 3 2 2 4 2 4" xfId="55056" xr:uid="{893ED904-BC9B-488E-A190-5E42ECBC8438}"/>
    <cellStyle name="Vírgula 2 2 3 2 2 4 2 5" xfId="18343" xr:uid="{1E9A5D51-C015-4801-BB9C-4CEE67568C06}"/>
    <cellStyle name="Vírgula 2 2 3 2 2 4 3" xfId="21845" xr:uid="{257DF963-3C60-4ECA-928B-9878B134C8CF}"/>
    <cellStyle name="Vírgula 2 2 3 2 2 4 3 2" xfId="42184" xr:uid="{87200E90-F699-40AE-80E0-3F62AB126E69}"/>
    <cellStyle name="Vírgula 2 2 3 2 2 4 3 3" xfId="56697" xr:uid="{278ACC7E-FED1-40BD-9E9A-EC5BB4826549}"/>
    <cellStyle name="Vírgula 2 2 3 2 2 4 4" xfId="25100" xr:uid="{076CF3C1-7F00-4414-95D2-2E8E1EFB1110}"/>
    <cellStyle name="Vírgula 2 2 3 2 2 4 4 2" xfId="45435" xr:uid="{2AE0F5E8-8326-422C-9C0B-99F6106959EE}"/>
    <cellStyle name="Vírgula 2 2 3 2 2 4 5" xfId="15435" xr:uid="{72447E72-0B46-431A-8B5B-5790A907BD85}"/>
    <cellStyle name="Vírgula 2 2 3 2 2 4 5 2" xfId="35775" xr:uid="{1E43A390-FDCD-448F-B6B1-B1605770C822}"/>
    <cellStyle name="Vírgula 2 2 3 2 2 4 6" xfId="11556" xr:uid="{9DCD1D8C-57D3-487E-B629-82DBBF704836}"/>
    <cellStyle name="Vírgula 2 2 3 2 2 4 6 2" xfId="31899" xr:uid="{D5C50300-8997-4C5A-A75D-7E61BFCD3E61}"/>
    <cellStyle name="Vírgula 2 2 3 2 2 4 7" xfId="28405" xr:uid="{81F6164C-E72B-42E9-9827-1733D45CC229}"/>
    <cellStyle name="Vírgula 2 2 3 2 2 4 8" xfId="48460" xr:uid="{F83AAEB3-4BBF-4F7A-9F81-9BB0600DE683}"/>
    <cellStyle name="Vírgula 2 2 3 2 2 4 9" xfId="50130" xr:uid="{DD62151D-DC66-41E4-8681-35A90C678711}"/>
    <cellStyle name="Vírgula 2 2 3 2 2 5" xfId="3680" xr:uid="{ADE97719-5063-4744-9B4D-AE2E3D25869C}"/>
    <cellStyle name="Vírgula 2 2 3 2 2 5 2" xfId="22027" xr:uid="{B9263A0F-74D7-4D89-8E9F-7B1B90016D71}"/>
    <cellStyle name="Vírgula 2 2 3 2 2 5 2 2" xfId="42363" xr:uid="{0723E685-7E82-4326-84D0-E1828E3F0268}"/>
    <cellStyle name="Vírgula 2 2 3 2 2 5 3" xfId="25279" xr:uid="{830F49DD-603C-47D9-92DD-5A5120709005}"/>
    <cellStyle name="Vírgula 2 2 3 2 2 5 3 2" xfId="45614" xr:uid="{BAE75914-8121-4097-A227-AB5BFB7B5531}"/>
    <cellStyle name="Vírgula 2 2 3 2 2 5 4" xfId="13125" xr:uid="{76DBC5A9-3013-43F6-8FCB-0A5A214B4BDF}"/>
    <cellStyle name="Vírgula 2 2 3 2 2 5 4 2" xfId="33466" xr:uid="{33896E0D-8A07-42EB-BE5B-0E07A3203168}"/>
    <cellStyle name="Vírgula 2 2 3 2 2 5 5" xfId="11736" xr:uid="{66F43E49-87FA-4E14-B7AD-CA006549602A}"/>
    <cellStyle name="Vírgula 2 2 3 2 2 5 5 2" xfId="32078" xr:uid="{869FF64F-5634-48FC-AC6D-72C35196FAEF}"/>
    <cellStyle name="Vírgula 2 2 3 2 2 5 6" xfId="28584" xr:uid="{D8CA470E-914B-44E3-944D-EC43534527E6}"/>
    <cellStyle name="Vírgula 2 2 3 2 2 5 7" xfId="51759" xr:uid="{9BFA65CA-1551-49C9-AFAB-347516EA6607}"/>
    <cellStyle name="Vírgula 2 2 3 2 2 5 8" xfId="55053" xr:uid="{63A9061A-6253-4586-A0F0-4062C358FC83}"/>
    <cellStyle name="Vírgula 2 2 3 2 2 5 9" xfId="8240" xr:uid="{CAFE2AFD-9D0B-4654-A306-A973D12B7B8D}"/>
    <cellStyle name="Vírgula 2 2 3 2 2 6" xfId="4111" xr:uid="{3A1293D7-B453-4B58-BF61-5AB7F33BB987}"/>
    <cellStyle name="Vírgula 2 2 3 2 2 6 2" xfId="16022" xr:uid="{222C2EB8-9980-4321-8DAF-C9DAF6D7A113}"/>
    <cellStyle name="Vírgula 2 2 3 2 2 6 2 2" xfId="36362" xr:uid="{DC35590C-C5DF-44BA-BF40-BEA3984B9547}"/>
    <cellStyle name="Vírgula 2 2 3 2 2 6 3" xfId="28956" xr:uid="{FAFB5052-370E-437D-88E5-F4307C10BFB7}"/>
    <cellStyle name="Vírgula 2 2 3 2 2 6 4" xfId="56288" xr:uid="{8C33F699-8A4B-476D-8574-6085CE7176EE}"/>
    <cellStyle name="Vírgula 2 2 3 2 2 6 5" xfId="8613" xr:uid="{C9824D52-E8F2-499E-9AF8-0F37D9F93C8E}"/>
    <cellStyle name="Vírgula 2 2 3 2 2 7" xfId="2029" xr:uid="{AF0EE096-1211-4773-B722-910B017D3CEC}"/>
    <cellStyle name="Vírgula 2 2 3 2 2 7 2" xfId="39276" xr:uid="{D93D6949-34AE-48D5-9E2D-9A13B4D669CB}"/>
    <cellStyle name="Vírgula 2 2 3 2 2 7 3" xfId="18936" xr:uid="{D23303C5-F8CA-4095-AF50-85A607636FB0}"/>
    <cellStyle name="Vírgula 2 2 3 2 2 8" xfId="19524" xr:uid="{6DC2B738-97D9-451F-8E88-A9B5B9B319B9}"/>
    <cellStyle name="Vírgula 2 2 3 2 2 8 2" xfId="39863" xr:uid="{145E68CB-6F3A-4FD9-A37D-6F41C549E60D}"/>
    <cellStyle name="Vírgula 2 2 3 2 2 9" xfId="22779" xr:uid="{57CDD0D0-3B63-420C-9E7A-9A30B3BDF453}"/>
    <cellStyle name="Vírgula 2 2 3 2 2 9 2" xfId="43114" xr:uid="{D8B4AE2C-C12E-4BA1-B798-D19364AC766A}"/>
    <cellStyle name="Vírgula 2 2 3 2 20" xfId="48456" xr:uid="{01F72DEE-2DF5-451E-B983-A73E786B5F03}"/>
    <cellStyle name="Vírgula 2 2 3 2 21" xfId="50126" xr:uid="{6AA86E25-E274-4A84-928D-2442C671EAAA}"/>
    <cellStyle name="Vírgula 2 2 3 2 22" xfId="53421" xr:uid="{C0A8A2FA-EC15-457F-8149-8A787EF27EA3}"/>
    <cellStyle name="Vírgula 2 2 3 2 23" xfId="5370" xr:uid="{D4FD4212-BBF8-41F7-ACFE-A9B6C2CB157E}"/>
    <cellStyle name="Vírgula 2 2 3 2 24" xfId="4509" xr:uid="{3BF67EE4-7075-437C-92DD-2DB25EFD7808}"/>
    <cellStyle name="Vírgula 2 2 3 2 3" xfId="1044" xr:uid="{8180E0D8-D1E5-45D6-B7BE-FB87C6F7C4E8}"/>
    <cellStyle name="Vírgula 2 2 3 2 3 10" xfId="46635" xr:uid="{FE7C4F40-05B5-4B62-B24E-380AA526D64E}"/>
    <cellStyle name="Vírgula 2 2 3 2 3 11" xfId="47127" xr:uid="{21F4CF3E-2C1D-4469-A6B6-EFE26D6E20CD}"/>
    <cellStyle name="Vírgula 2 2 3 2 3 12" xfId="48461" xr:uid="{1F431F5B-691E-4596-96B0-C32B5B8B499F}"/>
    <cellStyle name="Vírgula 2 2 3 2 3 13" xfId="50131" xr:uid="{557143AD-F311-43CB-A6F6-EE1796C1D857}"/>
    <cellStyle name="Vírgula 2 2 3 2 3 14" xfId="53426" xr:uid="{24AAF3D8-DF07-4951-9C56-12216D05E5C3}"/>
    <cellStyle name="Vírgula 2 2 3 2 3 15" xfId="5930" xr:uid="{09838B8C-38D5-46A0-BAE3-DC2B92599546}"/>
    <cellStyle name="Vírgula 2 2 3 2 3 16" xfId="5028" xr:uid="{F725C060-B279-4436-AD52-606887AB0EB8}"/>
    <cellStyle name="Vírgula 2 2 3 2 3 2" xfId="3571" xr:uid="{4942A67F-5FAF-4A68-8AA1-C8B16FFECFA7}"/>
    <cellStyle name="Vírgula 2 2 3 2 3 2 10" xfId="7088" xr:uid="{747418D0-FC6E-473A-B5D4-858832635BCD}"/>
    <cellStyle name="Vírgula 2 2 3 2 3 2 2" xfId="17374" xr:uid="{4471EB6C-0571-4924-929A-64C1235E1DAE}"/>
    <cellStyle name="Vírgula 2 2 3 2 3 2 2 2" xfId="37714" xr:uid="{6E550F24-A31E-4B13-8A83-DFD1444CAB75}"/>
    <cellStyle name="Vírgula 2 2 3 2 3 2 3" xfId="20876" xr:uid="{8A1520FE-6503-4965-B7F1-986003EE2C45}"/>
    <cellStyle name="Vírgula 2 2 3 2 3 2 3 2" xfId="41215" xr:uid="{8F6E6C6A-5DE6-4601-934B-16B52A7EC122}"/>
    <cellStyle name="Vírgula 2 2 3 2 3 2 4" xfId="24131" xr:uid="{F9BE17AC-7D8A-40A2-BCC9-1946C5EEDEF4}"/>
    <cellStyle name="Vírgula 2 2 3 2 3 2 4 2" xfId="44466" xr:uid="{70E09E46-BC1B-437A-BE88-6D8C267F728F}"/>
    <cellStyle name="Vírgula 2 2 3 2 3 2 5" xfId="14465" xr:uid="{E1B0CAF2-782A-4082-ABA8-CC7E6B987322}"/>
    <cellStyle name="Vírgula 2 2 3 2 3 2 5 2" xfId="34806" xr:uid="{AAEB3DA6-66A7-4C3F-968A-C77C9165BCF2}"/>
    <cellStyle name="Vírgula 2 2 3 2 3 2 6" xfId="10587" xr:uid="{CCB7DA6F-0BE3-495D-AE97-AC6DCA1197B9}"/>
    <cellStyle name="Vírgula 2 2 3 2 3 2 6 2" xfId="30930" xr:uid="{7A97AD61-0E35-4F0B-8318-177525209E70}"/>
    <cellStyle name="Vírgula 2 2 3 2 3 2 7" xfId="27436" xr:uid="{6AFB9119-AE5E-48D4-9F61-BD5A391A57A9}"/>
    <cellStyle name="Vírgula 2 2 3 2 3 2 8" xfId="51763" xr:uid="{EFB6D8E2-603A-424E-8DC7-AA9218334DEC}"/>
    <cellStyle name="Vírgula 2 2 3 2 3 2 9" xfId="55057" xr:uid="{04F3BA4D-501D-4BDC-9B4D-51323A48AB26}"/>
    <cellStyle name="Vírgula 2 2 3 2 3 3" xfId="4283" xr:uid="{6295AA0B-E877-487B-9E9A-68B1BDA74427}"/>
    <cellStyle name="Vírgula 2 2 3 2 3 3 2" xfId="22028" xr:uid="{56FF9E9B-26F1-46A9-9250-B8602EC8D8FF}"/>
    <cellStyle name="Vírgula 2 2 3 2 3 3 2 2" xfId="42364" xr:uid="{68D8C71A-EC81-4824-AC65-F963BAC56F82}"/>
    <cellStyle name="Vírgula 2 2 3 2 3 3 3" xfId="25280" xr:uid="{235BC9AB-4F84-4334-8F9B-A6D19F7A915C}"/>
    <cellStyle name="Vírgula 2 2 3 2 3 3 3 2" xfId="45615" xr:uid="{F023A50A-DC68-44E2-8938-FB24586DEE78}"/>
    <cellStyle name="Vírgula 2 2 3 2 3 3 4" xfId="16216" xr:uid="{9E46DAF8-921C-4034-82E7-B94D66B43387}"/>
    <cellStyle name="Vírgula 2 2 3 2 3 3 4 2" xfId="36556" xr:uid="{FC9F861C-B1FD-4651-91DF-33DCE6037926}"/>
    <cellStyle name="Vírgula 2 2 3 2 3 3 5" xfId="11737" xr:uid="{0356911E-1007-4AEE-ABD6-AC37BFE0ECCB}"/>
    <cellStyle name="Vírgula 2 2 3 2 3 3 5 2" xfId="32079" xr:uid="{42B704D2-8901-46F7-9CDC-FE9F44ED905C}"/>
    <cellStyle name="Vírgula 2 2 3 2 3 3 6" xfId="28585" xr:uid="{2EB4E844-C7E6-4EF0-A320-51E03B2905FE}"/>
    <cellStyle name="Vírgula 2 2 3 2 3 3 7" xfId="56915" xr:uid="{4F984B0E-6EAC-482F-8EAB-A46E4033ABA6}"/>
    <cellStyle name="Vírgula 2 2 3 2 3 3 8" xfId="8241" xr:uid="{3B1B38A9-0C75-4C21-879E-2BC6A100ECB7}"/>
    <cellStyle name="Vírgula 2 2 3 2 3 4" xfId="1920" xr:uid="{075D1DEA-2B60-4994-AA56-42D53908CE8F}"/>
    <cellStyle name="Vírgula 2 2 3 2 3 4 2" xfId="40057" xr:uid="{EFD1F8B6-F2D8-4550-8D13-FDB2FB60D776}"/>
    <cellStyle name="Vírgula 2 2 3 2 3 4 3" xfId="19718" xr:uid="{4876BD66-B3A2-4526-85A5-58E4E7505E7C}"/>
    <cellStyle name="Vírgula 2 2 3 2 3 5" xfId="22973" xr:uid="{0B5BA99A-38D7-4641-B375-2F50D2418520}"/>
    <cellStyle name="Vírgula 2 2 3 2 3 5 2" xfId="43308" xr:uid="{8E91223E-174A-47E8-9DCF-B3F092B1C5A1}"/>
    <cellStyle name="Vírgula 2 2 3 2 3 6" xfId="13308" xr:uid="{EFDBA5E3-B596-4064-95C6-A34D62C3C244}"/>
    <cellStyle name="Vírgula 2 2 3 2 3 6 2" xfId="33649" xr:uid="{91EBF528-4B9C-419A-AED2-E3CABB3B398A}"/>
    <cellStyle name="Vírgula 2 2 3 2 3 7" xfId="9429" xr:uid="{75182452-7A42-49B7-8E14-565062F44D76}"/>
    <cellStyle name="Vírgula 2 2 3 2 3 7 2" xfId="29772" xr:uid="{153D6BB1-AE8E-40CB-9171-9794674DD8D9}"/>
    <cellStyle name="Vírgula 2 2 3 2 3 8" xfId="26278" xr:uid="{FED770EB-CA76-45AF-AADC-8DEA44428554}"/>
    <cellStyle name="Vírgula 2 2 3 2 3 9" xfId="46149" xr:uid="{DB5CDC35-67E5-4CF4-84D3-3F2A965E5E8C}"/>
    <cellStyle name="Vírgula 2 2 3 2 4" xfId="1450" xr:uid="{2AFB1095-548C-466D-8F9B-20DEF9DC6FB1}"/>
    <cellStyle name="Vírgula 2 2 3 2 4 10" xfId="53427" xr:uid="{E009D243-6D14-4442-B126-510F0BB9CEC6}"/>
    <cellStyle name="Vírgula 2 2 3 2 4 11" xfId="6507" xr:uid="{9BDF5779-8299-4505-8AAF-0CE2C4B80EF9}"/>
    <cellStyle name="Vírgula 2 2 3 2 4 12" xfId="4887" xr:uid="{68F092CD-A3B8-48F5-A489-8515D86D9007}"/>
    <cellStyle name="Vírgula 2 2 3 2 4 2" xfId="3789" xr:uid="{81605F90-813B-40D4-9938-EBB4ACD3B0C9}"/>
    <cellStyle name="Vírgula 2 2 3 2 4 2 2" xfId="37133" xr:uid="{D97F44E7-F5F3-4A17-9E71-76BF389F0171}"/>
    <cellStyle name="Vírgula 2 2 3 2 4 2 3" xfId="51764" xr:uid="{40458EEE-183E-4809-B9EF-CE5623410B14}"/>
    <cellStyle name="Vírgula 2 2 3 2 4 2 4" xfId="55058" xr:uid="{5850903D-5DD2-4E1D-931A-AFFC8F5358D9}"/>
    <cellStyle name="Vírgula 2 2 3 2 4 2 5" xfId="16793" xr:uid="{3D6D3354-21B7-473C-969C-E26F4DB85D70}"/>
    <cellStyle name="Vírgula 2 2 3 2 4 3" xfId="3111" xr:uid="{FF4E3595-137C-48DB-A7B7-3FD5B04643E6}"/>
    <cellStyle name="Vírgula 2 2 3 2 4 3 2" xfId="40634" xr:uid="{39148825-FB82-4688-83C6-B8710E54388B}"/>
    <cellStyle name="Vírgula 2 2 3 2 4 3 3" xfId="57321" xr:uid="{57B215FF-F27B-4B79-B82E-B0C952FBCDA9}"/>
    <cellStyle name="Vírgula 2 2 3 2 4 3 4" xfId="20295" xr:uid="{B7166C57-6ECE-4502-86AB-CE4D57E9A429}"/>
    <cellStyle name="Vírgula 2 2 3 2 4 4" xfId="23550" xr:uid="{1D5ABCEB-3407-46AA-A761-4F08D91F5574}"/>
    <cellStyle name="Vírgula 2 2 3 2 4 4 2" xfId="43885" xr:uid="{5A7100FF-B4B5-4433-882E-5B2A9542F959}"/>
    <cellStyle name="Vírgula 2 2 3 2 4 5" xfId="13884" xr:uid="{7092A50D-A200-4793-9F47-303E4D34B808}"/>
    <cellStyle name="Vírgula 2 2 3 2 4 5 2" xfId="34225" xr:uid="{D9731691-F625-4FCA-AF59-F61F15E1DA1C}"/>
    <cellStyle name="Vírgula 2 2 3 2 4 6" xfId="10006" xr:uid="{6D63955A-60C3-402A-B638-63215B8410CD}"/>
    <cellStyle name="Vírgula 2 2 3 2 4 6 2" xfId="30349" xr:uid="{A65D40D0-B01A-4C91-93A4-27DB9D25EE2F}"/>
    <cellStyle name="Vírgula 2 2 3 2 4 7" xfId="26855" xr:uid="{4FC9EF4F-2F64-48EC-9A57-E8C4071CF6E1}"/>
    <cellStyle name="Vírgula 2 2 3 2 4 8" xfId="48462" xr:uid="{C4B7593E-4F55-4499-A48D-C143B33970AF}"/>
    <cellStyle name="Vírgula 2 2 3 2 4 9" xfId="50132" xr:uid="{D3CC1C26-030D-4591-80CE-6E5B8348F638}"/>
    <cellStyle name="Vírgula 2 2 3 2 5" xfId="637" xr:uid="{52143EC3-2E63-417B-AE7B-FB8AF54FD9D9}"/>
    <cellStyle name="Vírgula 2 2 3 2 5 10" xfId="53428" xr:uid="{4BE1B906-CAAF-4132-8DA5-24E8216BBA7B}"/>
    <cellStyle name="Vírgula 2 2 3 2 5 11" xfId="7671" xr:uid="{50A7EBEA-1561-4C74-88FB-191C1D36D195}"/>
    <cellStyle name="Vírgula 2 2 3 2 5 2" xfId="2353" xr:uid="{6C3AD3D3-EF53-4FD4-A8CE-93D5DBDE5909}"/>
    <cellStyle name="Vírgula 2 2 3 2 5 2 2" xfId="38296" xr:uid="{D611F422-B6FF-44BC-B962-0D3DA02D5DCA}"/>
    <cellStyle name="Vírgula 2 2 3 2 5 2 3" xfId="51765" xr:uid="{336FA88F-1496-4515-889A-4C5A104BE796}"/>
    <cellStyle name="Vírgula 2 2 3 2 5 2 4" xfId="55059" xr:uid="{ADF0095A-8451-49B0-A12C-F99B3DA0C685}"/>
    <cellStyle name="Vírgula 2 2 3 2 5 2 5" xfId="17956" xr:uid="{DC7604AC-CDE7-48F8-A9E2-7DC8D16FFA47}"/>
    <cellStyle name="Vírgula 2 2 3 2 5 3" xfId="21458" xr:uid="{F9D296F3-7B35-436C-B1B7-D08240E91FF2}"/>
    <cellStyle name="Vírgula 2 2 3 2 5 3 2" xfId="41797" xr:uid="{FDEAC2B9-F599-4E63-BD72-AD29947F8E26}"/>
    <cellStyle name="Vírgula 2 2 3 2 5 3 3" xfId="56508" xr:uid="{93956572-42B5-44A5-A312-ED4662ED51C2}"/>
    <cellStyle name="Vírgula 2 2 3 2 5 4" xfId="24713" xr:uid="{74AAB932-9480-40D1-BCA3-7CDA402B6676}"/>
    <cellStyle name="Vírgula 2 2 3 2 5 4 2" xfId="45048" xr:uid="{F3F7C92E-EC01-4683-854C-B5C91B83310A}"/>
    <cellStyle name="Vírgula 2 2 3 2 5 5" xfId="15048" xr:uid="{E49EF0D0-7190-48D3-859A-3A344FE861C9}"/>
    <cellStyle name="Vírgula 2 2 3 2 5 5 2" xfId="35388" xr:uid="{945891E7-0663-4534-9923-85CD7A38D66C}"/>
    <cellStyle name="Vírgula 2 2 3 2 5 6" xfId="11169" xr:uid="{5E0DEBFB-854C-4CE6-B65D-22E31A904610}"/>
    <cellStyle name="Vírgula 2 2 3 2 5 6 2" xfId="31512" xr:uid="{6D20B6EF-B8A5-43C1-A7C9-CEFADE550AF1}"/>
    <cellStyle name="Vírgula 2 2 3 2 5 7" xfId="28018" xr:uid="{CB6C5187-FDAC-40ED-98B5-536A68146DF7}"/>
    <cellStyle name="Vírgula 2 2 3 2 5 8" xfId="48463" xr:uid="{5A5F6430-36A3-447F-8F5D-07302C1A99F8}"/>
    <cellStyle name="Vírgula 2 2 3 2 5 9" xfId="50133" xr:uid="{BACDF0AD-B54D-4863-BC94-1A62ABA6A2B6}"/>
    <cellStyle name="Vírgula 2 2 3 2 6" xfId="3461" xr:uid="{3914B057-DA31-4654-84F3-6E8F5E7DE6F9}"/>
    <cellStyle name="Vírgula 2 2 3 2 6 2" xfId="22026" xr:uid="{D2A703E3-9A22-4AB4-A416-6E7C22ACFF7E}"/>
    <cellStyle name="Vírgula 2 2 3 2 6 2 2" xfId="42362" xr:uid="{F543BE06-EC2A-49BB-95A4-3E606F8C7629}"/>
    <cellStyle name="Vírgula 2 2 3 2 6 3" xfId="25278" xr:uid="{21A1B10E-B15A-494B-89EC-E711DACCA271}"/>
    <cellStyle name="Vírgula 2 2 3 2 6 3 2" xfId="45613" xr:uid="{3C66E116-BB39-4283-B480-6D61A4634A0E}"/>
    <cellStyle name="Vírgula 2 2 3 2 6 4" xfId="12739" xr:uid="{9A25D6D3-EE4A-46B6-81E7-2576BD5D0195}"/>
    <cellStyle name="Vírgula 2 2 3 2 6 4 2" xfId="33080" xr:uid="{12F177AB-E75A-4DAE-B9C3-5EED67371AF0}"/>
    <cellStyle name="Vírgula 2 2 3 2 6 5" xfId="11735" xr:uid="{7D5FA8AB-654F-48A3-9258-607F36F0601C}"/>
    <cellStyle name="Vírgula 2 2 3 2 6 5 2" xfId="32077" xr:uid="{4A9BF218-41EB-42C3-AE0B-607336D9E2B2}"/>
    <cellStyle name="Vírgula 2 2 3 2 6 6" xfId="28583" xr:uid="{E03447AE-80A2-4421-9D67-F36FB2ABD150}"/>
    <cellStyle name="Vírgula 2 2 3 2 6 7" xfId="51758" xr:uid="{98891115-BB83-4D86-B844-F6CC33FFDBA8}"/>
    <cellStyle name="Vírgula 2 2 3 2 6 8" xfId="55052" xr:uid="{64EF136B-0BEB-4DC4-878E-245D0C80260B}"/>
    <cellStyle name="Vírgula 2 2 3 2 6 9" xfId="8239" xr:uid="{58ECD09F-3108-4703-B73D-EC3880A0D2D3}"/>
    <cellStyle name="Vírgula 2 2 3 2 7" xfId="3939" xr:uid="{D7D06040-BECC-443C-B4E5-AA54B3CD329D}"/>
    <cellStyle name="Vírgula 2 2 3 2 7 2" xfId="15635" xr:uid="{E4836731-90AF-4447-84D7-F5D7370C8277}"/>
    <cellStyle name="Vírgula 2 2 3 2 7 2 2" xfId="35975" xr:uid="{584E2180-0A67-45FC-98C3-32409A188CCF}"/>
    <cellStyle name="Vírgula 2 2 3 2 7 3" xfId="28874" xr:uid="{FF990A03-8FBE-418E-9FD1-712AE4163835}"/>
    <cellStyle name="Vírgula 2 2 3 2 7 4" xfId="56099" xr:uid="{0526A5F2-0F67-4004-BC25-1469527A0EE7}"/>
    <cellStyle name="Vírgula 2 2 3 2 7 5" xfId="8531" xr:uid="{94CAC187-7C21-4D40-8EAB-127BE02B9989}"/>
    <cellStyle name="Vírgula 2 2 3 2 8" xfId="1810" xr:uid="{D96CBC00-87B6-4132-BABD-13DEEC6C976D}"/>
    <cellStyle name="Vírgula 2 2 3 2 8 2" xfId="38889" xr:uid="{6A1FBEB0-E083-4438-AF16-A6CB8D72E885}"/>
    <cellStyle name="Vírgula 2 2 3 2 8 3" xfId="18549" xr:uid="{6A8703CE-A1FB-42F4-88CF-3BCE4D164C4A}"/>
    <cellStyle name="Vírgula 2 2 3 2 9" xfId="19137" xr:uid="{E5082DF4-873C-425B-B7DE-8BF90E66D6F6}"/>
    <cellStyle name="Vírgula 2 2 3 2 9 2" xfId="39476" xr:uid="{6AA7F53B-0566-40B0-88B0-6552826DBC79}"/>
    <cellStyle name="Vírgula 2 2 3 20" xfId="46332" xr:uid="{2A62EE9F-706E-405C-AB5B-BB03BD15DB16}"/>
    <cellStyle name="Vírgula 2 2 3 21" xfId="46824" xr:uid="{74AE8FDB-A4CA-4C7D-A37C-7EBDED701E63}"/>
    <cellStyle name="Vírgula 2 2 3 22" xfId="47338" xr:uid="{3C687C77-B236-46DB-8905-9661CFA8CD09}"/>
    <cellStyle name="Vírgula 2 2 3 23" xfId="47464" xr:uid="{10FFD0A3-CCDB-43C7-8269-8F1E5B7E6F83}"/>
    <cellStyle name="Vírgula 2 2 3 24" xfId="47590" xr:uid="{AB23CDB9-9616-4A81-BBCE-E7F920413933}"/>
    <cellStyle name="Vírgula 2 2 3 25" xfId="48455" xr:uid="{84AC533A-7A2C-4858-8B05-3DFC2468B34E}"/>
    <cellStyle name="Vírgula 2 2 3 26" xfId="50125" xr:uid="{2EC09A4C-D7B9-4F81-A609-82622604EE34}"/>
    <cellStyle name="Vírgula 2 2 3 27" xfId="53420" xr:uid="{ED174CD0-49A0-4A44-87A4-03BA76F4CEA9}"/>
    <cellStyle name="Vírgula 2 2 3 28" xfId="5247" xr:uid="{FE3509EA-9080-431A-9CFD-5ADE84A0EBB2}"/>
    <cellStyle name="Vírgula 2 2 3 29" xfId="4374" xr:uid="{78B585B1-51D8-400F-9A50-29062B942AF8}"/>
    <cellStyle name="Vírgula 2 2 3 3" xfId="280" xr:uid="{66256B89-9282-439F-BE92-FA9D14DE4BDE}"/>
    <cellStyle name="Vírgula 2 2 3 3 10" xfId="12205" xr:uid="{9CC1D800-0A49-4873-9EE1-B292308CA62D}"/>
    <cellStyle name="Vírgula 2 2 3 3 10 2" xfId="32546" xr:uid="{298D4E49-63F0-4ECF-B04C-A603D24724D7}"/>
    <cellStyle name="Vírgula 2 2 3 3 11" xfId="8944" xr:uid="{D1794496-A2E3-464E-AFEA-E19ACDE08069}"/>
    <cellStyle name="Vírgula 2 2 3 3 11 2" xfId="29287" xr:uid="{FAD58ED5-9A84-462A-B16A-567E80A700C0}"/>
    <cellStyle name="Vírgula 2 2 3 3 12" xfId="25793" xr:uid="{49DDA1A8-642D-4F49-B28E-52B4F3E8C9E9}"/>
    <cellStyle name="Vírgula 2 2 3 3 13" xfId="45987" xr:uid="{130F3F22-6118-4272-860E-9FA45DE78C9D}"/>
    <cellStyle name="Vírgula 2 2 3 3 14" xfId="46473" xr:uid="{7F683741-2452-4EA3-8AA6-F5082C1470B9}"/>
    <cellStyle name="Vírgula 2 2 3 3 15" xfId="46965" xr:uid="{92B0EAC2-107F-41D0-B3EF-A3D4293C39E7}"/>
    <cellStyle name="Vírgula 2 2 3 3 16" xfId="48464" xr:uid="{D2CF2D2D-213C-462B-80BB-D0760F23866E}"/>
    <cellStyle name="Vírgula 2 2 3 3 17" xfId="50134" xr:uid="{57BEF927-D105-4C72-98C2-89B4D2371C4E}"/>
    <cellStyle name="Vírgula 2 2 3 3 18" xfId="53429" xr:uid="{A062637A-29FD-4221-BE44-A44CC37E4F1B}"/>
    <cellStyle name="Vírgula 2 2 3 3 19" xfId="5458" xr:uid="{3660E13C-997C-41C9-B910-DB62650B4E13}"/>
    <cellStyle name="Vírgula 2 2 3 3 2" xfId="469" xr:uid="{871701AF-CB2B-4A14-AB01-17F15CF4E3D3}"/>
    <cellStyle name="Vírgula 2 2 3 3 2 10" xfId="46716" xr:uid="{ECD99D39-17F5-4000-9028-38F7634AB4FB}"/>
    <cellStyle name="Vírgula 2 2 3 3 2 11" xfId="47208" xr:uid="{3CEE2343-590E-44C3-A65C-CFF0F3F16DB5}"/>
    <cellStyle name="Vírgula 2 2 3 3 2 12" xfId="48465" xr:uid="{0913B394-5A35-44D7-B0D6-3EF451967742}"/>
    <cellStyle name="Vírgula 2 2 3 3 2 13" xfId="50135" xr:uid="{086AC252-1AFA-4443-B43F-569EBD5CAC66}"/>
    <cellStyle name="Vírgula 2 2 3 3 2 14" xfId="53430" xr:uid="{D5299F48-2242-498C-9145-B02BD55A0926}"/>
    <cellStyle name="Vírgula 2 2 3 3 2 15" xfId="6026" xr:uid="{4F7B3A83-2F8C-45AE-AD2B-A3963494AC37}"/>
    <cellStyle name="Vírgula 2 2 3 3 2 16" xfId="4750" xr:uid="{F2AAFE32-C826-4DE0-97BA-34A838B7864B}"/>
    <cellStyle name="Vírgula 2 2 3 3 2 2" xfId="1285" xr:uid="{E5AADFCD-6517-413A-A6E1-88CA844D751A}"/>
    <cellStyle name="Vírgula 2 2 3 3 2 2 10" xfId="53431" xr:uid="{A429145B-641E-4559-8DC2-CB1D4A00C415}"/>
    <cellStyle name="Vírgula 2 2 3 3 2 2 11" xfId="7184" xr:uid="{32995F0D-FF85-400E-8135-529C24B86D9C}"/>
    <cellStyle name="Vírgula 2 2 3 3 2 2 12" xfId="5105" xr:uid="{13099C4B-7E02-4ABD-AC7A-87A57869BEAA}"/>
    <cellStyle name="Vírgula 2 2 3 3 2 2 2" xfId="2946" xr:uid="{4A89D1AC-5340-44CF-9BF8-05AAAFEE1B1E}"/>
    <cellStyle name="Vírgula 2 2 3 3 2 2 2 2" xfId="37810" xr:uid="{FB561F6B-D9B0-43ED-A2E1-DDF7352F02C1}"/>
    <cellStyle name="Vírgula 2 2 3 3 2 2 2 3" xfId="51768" xr:uid="{55646F6E-D76B-492A-9258-E463BC265A97}"/>
    <cellStyle name="Vírgula 2 2 3 3 2 2 2 4" xfId="55062" xr:uid="{27656B4F-ED1F-4FA1-ACE4-CC8463283DCD}"/>
    <cellStyle name="Vírgula 2 2 3 3 2 2 2 5" xfId="17470" xr:uid="{214A26A3-EBCB-4D3D-A844-102C7DA25F08}"/>
    <cellStyle name="Vírgula 2 2 3 3 2 2 3" xfId="20972" xr:uid="{3EE29CC9-5351-4B41-8B09-AD79E6B0842B}"/>
    <cellStyle name="Vírgula 2 2 3 3 2 2 3 2" xfId="41311" xr:uid="{ECC3E897-86CC-4DDC-9ADD-A242D218F10C}"/>
    <cellStyle name="Vírgula 2 2 3 3 2 2 3 3" xfId="57156" xr:uid="{6E3C9AB4-2407-478D-BF2F-12820FFA7051}"/>
    <cellStyle name="Vírgula 2 2 3 3 2 2 4" xfId="24227" xr:uid="{E76E74A6-876F-4E6A-B9A1-CB069AF2F2FB}"/>
    <cellStyle name="Vírgula 2 2 3 3 2 2 4 2" xfId="44562" xr:uid="{9D63581E-246C-4834-B479-3A55061A8F24}"/>
    <cellStyle name="Vírgula 2 2 3 3 2 2 5" xfId="14561" xr:uid="{50AC35E0-26AF-4346-9158-84E3BF5B330E}"/>
    <cellStyle name="Vírgula 2 2 3 3 2 2 5 2" xfId="34902" xr:uid="{E22A781B-A027-4495-8D76-21B6F53E3C3F}"/>
    <cellStyle name="Vírgula 2 2 3 3 2 2 6" xfId="10683" xr:uid="{13240023-455B-44A3-8034-981E91C0989A}"/>
    <cellStyle name="Vírgula 2 2 3 3 2 2 6 2" xfId="31026" xr:uid="{39E1612D-4690-4D2E-A2B7-E96EA2A0703E}"/>
    <cellStyle name="Vírgula 2 2 3 3 2 2 7" xfId="27532" xr:uid="{19343DFC-EC03-45E9-BE1A-AC0D0AB28D37}"/>
    <cellStyle name="Vírgula 2 2 3 3 2 2 8" xfId="48466" xr:uid="{788D602E-B555-43B3-9AA5-04F0C10F7FE5}"/>
    <cellStyle name="Vírgula 2 2 3 3 2 2 9" xfId="50136" xr:uid="{4303B614-9FBD-44C4-8907-F734C985DBB3}"/>
    <cellStyle name="Vírgula 2 2 3 3 2 3" xfId="1691" xr:uid="{C6F83EC6-0D52-417B-8272-27FCB646671F}"/>
    <cellStyle name="Vírgula 2 2 3 3 2 3 2" xfId="3351" xr:uid="{59B00B32-B364-44EA-A72A-22DA61C27897}"/>
    <cellStyle name="Vírgula 2 2 3 3 2 3 2 2" xfId="51769" xr:uid="{BDEB809E-9BB9-4696-BD93-6B75CD1C1C3C}"/>
    <cellStyle name="Vírgula 2 2 3 3 2 3 2 3" xfId="55063" xr:uid="{98EEC645-3302-4AEA-8875-D5AC5826C05F}"/>
    <cellStyle name="Vírgula 2 2 3 3 2 3 2 4" xfId="36652" xr:uid="{6A04EDB7-F627-41A2-B22D-307D4C4FDF55}"/>
    <cellStyle name="Vírgula 2 2 3 3 2 3 3" xfId="48467" xr:uid="{ED62BE5B-59C9-4B96-AE70-281F9B638E76}"/>
    <cellStyle name="Vírgula 2 2 3 3 2 3 3 2" xfId="57562" xr:uid="{FBF2026C-5845-4B74-8688-189CAB9A32B4}"/>
    <cellStyle name="Vírgula 2 2 3 3 2 3 4" xfId="50137" xr:uid="{BD0EC33D-F197-4AC5-BFE5-B14B72F504E7}"/>
    <cellStyle name="Vírgula 2 2 3 3 2 3 5" xfId="53432" xr:uid="{DE0BF820-7056-47FC-881E-2A8E62BCAB2F}"/>
    <cellStyle name="Vírgula 2 2 3 3 2 3 6" xfId="16312" xr:uid="{A89AFD14-B4DF-4F26-9243-16719007B6F0}"/>
    <cellStyle name="Vírgula 2 2 3 3 2 4" xfId="878" xr:uid="{C2479FE7-1E30-4316-B80A-BEC8DE925BCC}"/>
    <cellStyle name="Vírgula 2 2 3 3 2 4 2" xfId="2594" xr:uid="{407D32EA-49B7-4D48-ACA6-33EA78C78DC7}"/>
    <cellStyle name="Vírgula 2 2 3 3 2 4 2 2" xfId="51770" xr:uid="{DE5280AF-CFCF-498A-9ACD-C5DE293FECC9}"/>
    <cellStyle name="Vírgula 2 2 3 3 2 4 2 3" xfId="55064" xr:uid="{DD806861-EA59-4626-8E6C-AAA143D8FF9D}"/>
    <cellStyle name="Vírgula 2 2 3 3 2 4 2 4" xfId="40153" xr:uid="{5819197E-FDFA-460F-B04F-AD23D6FD9E8D}"/>
    <cellStyle name="Vírgula 2 2 3 3 2 4 3" xfId="48468" xr:uid="{81CA452E-281A-45EA-874F-EF13F8934DCF}"/>
    <cellStyle name="Vírgula 2 2 3 3 2 4 3 2" xfId="56749" xr:uid="{540F52F0-3585-474A-A8C1-B7034FF5C43A}"/>
    <cellStyle name="Vírgula 2 2 3 3 2 4 4" xfId="50138" xr:uid="{10E05DCF-83CE-4B35-91CD-B72E382432F9}"/>
    <cellStyle name="Vírgula 2 2 3 3 2 4 5" xfId="53433" xr:uid="{6DE28E27-6BBC-4736-BFB1-107E3A4B80CD}"/>
    <cellStyle name="Vírgula 2 2 3 3 2 4 6" xfId="19814" xr:uid="{3E8C4798-5EBD-4A9E-A742-33623F01957B}"/>
    <cellStyle name="Vírgula 2 2 3 3 2 5" xfId="2186" xr:uid="{3A99D674-3214-4B01-8954-A1C0A036FC53}"/>
    <cellStyle name="Vírgula 2 2 3 3 2 5 2" xfId="43404" xr:uid="{3D9C5CB3-6D39-4439-B158-69C1654FE1A3}"/>
    <cellStyle name="Vírgula 2 2 3 3 2 5 3" xfId="51767" xr:uid="{7CC66B71-6230-4F88-ABB7-7BE53BA154A5}"/>
    <cellStyle name="Vírgula 2 2 3 3 2 5 4" xfId="55061" xr:uid="{102C2970-40DC-4B64-A736-AA4A2DB46928}"/>
    <cellStyle name="Vírgula 2 2 3 3 2 5 5" xfId="23069" xr:uid="{B123585C-8ACD-405F-BBE0-DE2E4B612EDD}"/>
    <cellStyle name="Vírgula 2 2 3 3 2 6" xfId="13403" xr:uid="{0F785AE5-6315-4688-BBA2-4D0E52AD92E1}"/>
    <cellStyle name="Vírgula 2 2 3 3 2 6 2" xfId="33744" xr:uid="{6FBB98AA-8CBC-4756-9A0C-9B8BB956DF42}"/>
    <cellStyle name="Vírgula 2 2 3 3 2 6 3" xfId="56340" xr:uid="{7B2405BA-3DA6-4E6B-9B5A-E7913DDFAAB7}"/>
    <cellStyle name="Vírgula 2 2 3 3 2 7" xfId="9525" xr:uid="{8FED0CC4-8FA0-4F78-B82E-0AFF5B8DBA29}"/>
    <cellStyle name="Vírgula 2 2 3 3 2 7 2" xfId="29868" xr:uid="{0B86F975-6452-40FC-B49C-97A755048213}"/>
    <cellStyle name="Vírgula 2 2 3 3 2 8" xfId="26374" xr:uid="{C2139844-776B-4086-8E09-BE084707CDE4}"/>
    <cellStyle name="Vírgula 2 2 3 3 2 9" xfId="46230" xr:uid="{31175BDA-9180-42AC-B593-186BE2D46506}"/>
    <cellStyle name="Vírgula 2 2 3 3 20" xfId="4561" xr:uid="{5C2DF695-B729-4DC1-B176-69EFDF19A91E}"/>
    <cellStyle name="Vírgula 2 2 3 3 3" xfId="1096" xr:uid="{A59AFBD0-8BBB-41B8-90EC-A133FA81A13E}"/>
    <cellStyle name="Vírgula 2 2 3 3 3 10" xfId="53434" xr:uid="{63B88E5E-96F2-44F3-AC08-2B6F4154D562}"/>
    <cellStyle name="Vírgula 2 2 3 3 3 11" xfId="6603" xr:uid="{801BB296-4B9D-44F5-9039-2E1A4CF14871}"/>
    <cellStyle name="Vírgula 2 2 3 3 3 12" xfId="4886" xr:uid="{A163BF7F-BA4D-4CA1-B772-B2822D3DE428}"/>
    <cellStyle name="Vírgula 2 2 3 3 3 2" xfId="2759" xr:uid="{6839B027-5A35-409A-AAA2-4A2EE3266026}"/>
    <cellStyle name="Vírgula 2 2 3 3 3 2 2" xfId="37229" xr:uid="{5A4611C9-7099-46CA-8391-BB9AA74586EC}"/>
    <cellStyle name="Vírgula 2 2 3 3 3 2 3" xfId="51771" xr:uid="{5CCCAF90-57A5-4B57-BB2B-B2B6FA79AD46}"/>
    <cellStyle name="Vírgula 2 2 3 3 3 2 4" xfId="55065" xr:uid="{55A94632-76B7-4FBA-B905-FD9968C7A96E}"/>
    <cellStyle name="Vírgula 2 2 3 3 3 2 5" xfId="16889" xr:uid="{CDDFA2C5-A8F0-4016-92F6-49648ED871C1}"/>
    <cellStyle name="Vírgula 2 2 3 3 3 3" xfId="20391" xr:uid="{04D9DD10-8FBD-4872-B05A-FD497C986BF4}"/>
    <cellStyle name="Vírgula 2 2 3 3 3 3 2" xfId="40730" xr:uid="{740B18A8-86EE-409F-8B7F-A7BDA63FF599}"/>
    <cellStyle name="Vírgula 2 2 3 3 3 3 3" xfId="56967" xr:uid="{07E43B9A-902D-4F83-A17A-CDCB811ACFF3}"/>
    <cellStyle name="Vírgula 2 2 3 3 3 4" xfId="23646" xr:uid="{E5691AC2-CB67-4150-AD60-5DDFFE4A0DEA}"/>
    <cellStyle name="Vírgula 2 2 3 3 3 4 2" xfId="43981" xr:uid="{F6C4EEAE-46A2-463A-B2C5-26A9859F6845}"/>
    <cellStyle name="Vírgula 2 2 3 3 3 5" xfId="13980" xr:uid="{CD632B9F-C611-490B-B5C1-8E8984740DFE}"/>
    <cellStyle name="Vírgula 2 2 3 3 3 5 2" xfId="34321" xr:uid="{B4308FE4-2604-4B01-94B8-49B3F9253646}"/>
    <cellStyle name="Vírgula 2 2 3 3 3 6" xfId="10102" xr:uid="{AADC75D7-5107-4EC9-92BC-AB3A605DF9E0}"/>
    <cellStyle name="Vírgula 2 2 3 3 3 6 2" xfId="30445" xr:uid="{77EFB7DB-16C9-47A7-BA54-9D80E332B9E6}"/>
    <cellStyle name="Vírgula 2 2 3 3 3 7" xfId="26951" xr:uid="{0AC3D1BE-399B-412F-AF57-5484FA5A1AE1}"/>
    <cellStyle name="Vírgula 2 2 3 3 3 8" xfId="48469" xr:uid="{41386D80-6B68-41A9-BF79-186700F381A7}"/>
    <cellStyle name="Vírgula 2 2 3 3 3 9" xfId="50139" xr:uid="{FB04B61F-D1B9-478E-AA3D-D75DB4798A08}"/>
    <cellStyle name="Vírgula 2 2 3 3 4" xfId="1502" xr:uid="{52CDBA42-DB47-49F0-9ABE-0ADFF0A8CF6A}"/>
    <cellStyle name="Vírgula 2 2 3 3 4 10" xfId="53435" xr:uid="{3476FC62-14A8-4B21-8F02-C7175D43725A}"/>
    <cellStyle name="Vírgula 2 2 3 3 4 11" xfId="7767" xr:uid="{96FCEF6A-7E80-4000-B683-313865C64D78}"/>
    <cellStyle name="Vírgula 2 2 3 3 4 2" xfId="3163" xr:uid="{37EBC516-A8F2-4712-A84B-E448F48B2959}"/>
    <cellStyle name="Vírgula 2 2 3 3 4 2 2" xfId="38392" xr:uid="{7EA7CFA5-786E-4335-969F-66220C13CD57}"/>
    <cellStyle name="Vírgula 2 2 3 3 4 2 3" xfId="51772" xr:uid="{52218CE0-B6C9-400C-8BCF-BC9D21ACF607}"/>
    <cellStyle name="Vírgula 2 2 3 3 4 2 4" xfId="55066" xr:uid="{4B41DFFD-4AC0-4BFA-819C-6B72A3254A07}"/>
    <cellStyle name="Vírgula 2 2 3 3 4 2 5" xfId="18052" xr:uid="{18357FA4-D027-414A-ABB1-084A6002A4DC}"/>
    <cellStyle name="Vírgula 2 2 3 3 4 3" xfId="21554" xr:uid="{966EB649-4C7A-4897-8627-F449182CBAB8}"/>
    <cellStyle name="Vírgula 2 2 3 3 4 3 2" xfId="41893" xr:uid="{CBE32114-BE49-4FEE-8382-6B8B892C96F1}"/>
    <cellStyle name="Vírgula 2 2 3 3 4 3 3" xfId="57373" xr:uid="{EA6BD7CA-87AF-43C9-8CDD-838D7D631629}"/>
    <cellStyle name="Vírgula 2 2 3 3 4 4" xfId="24809" xr:uid="{26F0FBDF-6EE1-4D43-A707-71BBEF0D4EED}"/>
    <cellStyle name="Vírgula 2 2 3 3 4 4 2" xfId="45144" xr:uid="{11AB04C0-D75B-464C-B94A-198E8B8A0E6E}"/>
    <cellStyle name="Vírgula 2 2 3 3 4 5" xfId="15144" xr:uid="{2C6F7E23-E153-4FC0-A80F-057F5B09B563}"/>
    <cellStyle name="Vírgula 2 2 3 3 4 5 2" xfId="35484" xr:uid="{47604930-F4D8-4723-985C-90BF7BD9A12E}"/>
    <cellStyle name="Vírgula 2 2 3 3 4 6" xfId="11265" xr:uid="{BE88C340-5735-48F8-99B1-D769BB07DA22}"/>
    <cellStyle name="Vírgula 2 2 3 3 4 6 2" xfId="31608" xr:uid="{FCC4B2D3-1691-4C89-84B5-2D5DD7B94CDC}"/>
    <cellStyle name="Vírgula 2 2 3 3 4 7" xfId="28114" xr:uid="{0CED599B-BFBD-41B0-AD4C-22306812A20E}"/>
    <cellStyle name="Vírgula 2 2 3 3 4 8" xfId="48470" xr:uid="{48BFF52D-C4FC-4434-ABD2-DA99771AE171}"/>
    <cellStyle name="Vírgula 2 2 3 3 4 9" xfId="50140" xr:uid="{F76BF5BF-ACFC-49A2-B0FE-3749C0C6532D}"/>
    <cellStyle name="Vírgula 2 2 3 3 5" xfId="689" xr:uid="{DD7AFEFD-AC19-4DE3-8E51-B9FDA8F6BA5E}"/>
    <cellStyle name="Vírgula 2 2 3 3 5 10" xfId="8242" xr:uid="{15FCE4DB-C8A8-40F9-B696-7AD2DF76476C}"/>
    <cellStyle name="Vírgula 2 2 3 3 5 2" xfId="2405" xr:uid="{F200B269-07CC-41ED-842F-8D36E78077B4}"/>
    <cellStyle name="Vírgula 2 2 3 3 5 2 2" xfId="42365" xr:uid="{95E89073-3728-4469-B87A-425A75F5220B}"/>
    <cellStyle name="Vírgula 2 2 3 3 5 2 3" xfId="51773" xr:uid="{E5242C32-6B93-478E-9878-13444191FCB9}"/>
    <cellStyle name="Vírgula 2 2 3 3 5 2 4" xfId="55067" xr:uid="{6ED4CA61-5E15-42B2-9CD1-827209ED743E}"/>
    <cellStyle name="Vírgula 2 2 3 3 5 2 5" xfId="22029" xr:uid="{FB250C2B-45F8-4987-BE8C-A6E30FDA15B3}"/>
    <cellStyle name="Vírgula 2 2 3 3 5 3" xfId="25281" xr:uid="{02163F0C-8EF5-40DC-95D8-CCEF66E14211}"/>
    <cellStyle name="Vírgula 2 2 3 3 5 3 2" xfId="45616" xr:uid="{02AC167D-8B2D-4254-BB83-B1A18619881A}"/>
    <cellStyle name="Vírgula 2 2 3 3 5 3 3" xfId="56560" xr:uid="{CCE2AC46-604D-4B2E-A7CC-1E207E294CB0}"/>
    <cellStyle name="Vírgula 2 2 3 3 5 4" xfId="12834" xr:uid="{5447936B-81AC-4B48-9BF2-0B7E836B8C52}"/>
    <cellStyle name="Vírgula 2 2 3 3 5 4 2" xfId="33175" xr:uid="{DDFED7B3-E238-439B-9FC9-94FA1B59A0C7}"/>
    <cellStyle name="Vírgula 2 2 3 3 5 5" xfId="11738" xr:uid="{A001E386-6118-497C-874B-E2AD031C18D6}"/>
    <cellStyle name="Vírgula 2 2 3 3 5 5 2" xfId="32080" xr:uid="{31AD4F1F-75F6-46BB-BA81-513981E45FC3}"/>
    <cellStyle name="Vírgula 2 2 3 3 5 6" xfId="28586" xr:uid="{5CB53EFF-5689-4404-813B-454068EAC604}"/>
    <cellStyle name="Vírgula 2 2 3 3 5 7" xfId="48471" xr:uid="{3BE2DB7C-B296-4E17-99AB-C880BD9A0C9E}"/>
    <cellStyle name="Vírgula 2 2 3 3 5 8" xfId="50141" xr:uid="{FC759AD8-0DE0-44BF-B7CB-9A9CE4B7C1F5}"/>
    <cellStyle name="Vírgula 2 2 3 3 5 9" xfId="53436" xr:uid="{126C39F6-4F55-4B1F-AB07-F5922C00969C}"/>
    <cellStyle name="Vírgula 2 2 3 3 6" xfId="3625" xr:uid="{8D75BF64-F6E0-4697-87DA-9B6B2BD3072A}"/>
    <cellStyle name="Vírgula 2 2 3 3 6 2" xfId="15731" xr:uid="{D16EDCEB-65E0-41EA-A1D4-D465BD8190CE}"/>
    <cellStyle name="Vírgula 2 2 3 3 6 2 2" xfId="36071" xr:uid="{4CE44783-8067-4B01-AF0E-DFAB42F210CB}"/>
    <cellStyle name="Vírgula 2 2 3 3 6 3" xfId="28955" xr:uid="{A7C48C0C-1BFB-40F4-8432-885C789421FF}"/>
    <cellStyle name="Vírgula 2 2 3 3 6 4" xfId="51766" xr:uid="{572D3B9F-EC33-42FE-80EE-C5FB74149C65}"/>
    <cellStyle name="Vírgula 2 2 3 3 6 5" xfId="55060" xr:uid="{A6357DEC-5A67-418F-AE32-4335836E8635}"/>
    <cellStyle name="Vírgula 2 2 3 3 6 6" xfId="8612" xr:uid="{1BF06543-B5D4-4ED8-8344-85F803468F4F}"/>
    <cellStyle name="Vírgula 2 2 3 3 7" xfId="3998" xr:uid="{49A6C013-C8AB-4CC1-B452-18463F4985D4}"/>
    <cellStyle name="Vírgula 2 2 3 3 7 2" xfId="38985" xr:uid="{43674E0F-7A12-4DBB-9F30-71E751E7F1BB}"/>
    <cellStyle name="Vírgula 2 2 3 3 7 3" xfId="56151" xr:uid="{57BE754C-BE76-4FFF-A59F-32221CDC6E5A}"/>
    <cellStyle name="Vírgula 2 2 3 3 7 4" xfId="18645" xr:uid="{25ACEF0D-D568-4335-BDFE-C42DD4B4E5B2}"/>
    <cellStyle name="Vírgula 2 2 3 3 8" xfId="1974" xr:uid="{CA6CF40F-44C0-4336-BEAE-8C62FDCE88F9}"/>
    <cellStyle name="Vírgula 2 2 3 3 8 2" xfId="39572" xr:uid="{82BB45F5-FA9C-47DA-AEFE-171F230DAA75}"/>
    <cellStyle name="Vírgula 2 2 3 3 8 3" xfId="19233" xr:uid="{E81A7E4F-4A85-4A0D-AE52-8DF41B2C27DA}"/>
    <cellStyle name="Vírgula 2 2 3 3 9" xfId="22488" xr:uid="{72A50E16-2809-46B8-958D-5A29824E8D31}"/>
    <cellStyle name="Vírgula 2 2 3 3 9 2" xfId="42823" xr:uid="{2A903C45-4FE5-4E38-B856-6146DAA14055}"/>
    <cellStyle name="Vírgula 2 2 3 4" xfId="338" xr:uid="{FB71B3D2-250A-4223-A242-F77713C2FFA7}"/>
    <cellStyle name="Vírgula 2 2 3 4 10" xfId="12263" xr:uid="{B82C2738-EB81-4371-BF0B-365A46F7A721}"/>
    <cellStyle name="Vírgula 2 2 3 4 10 2" xfId="32604" xr:uid="{D1447D20-9FDF-41D3-B072-BC1F0CCE1366}"/>
    <cellStyle name="Vírgula 2 2 3 4 11" xfId="9002" xr:uid="{FA850919-1812-41B3-97E3-E883C1866C67}"/>
    <cellStyle name="Vírgula 2 2 3 4 11 2" xfId="29345" xr:uid="{F7AA7DB1-153F-4C17-A7AD-7634C7344172}"/>
    <cellStyle name="Vírgula 2 2 3 4 12" xfId="25851" xr:uid="{40E1574A-465E-414F-8F92-04682AECFD5C}"/>
    <cellStyle name="Vírgula 2 2 3 4 13" xfId="46089" xr:uid="{94EC6009-B2D1-4B76-836C-8852F5D0C8CF}"/>
    <cellStyle name="Vírgula 2 2 3 4 14" xfId="46575" xr:uid="{9DE90F33-EB34-4675-81CF-0429E5EAB697}"/>
    <cellStyle name="Vírgula 2 2 3 4 15" xfId="47067" xr:uid="{CF92D764-44E4-40F1-88FB-F3E4247BE797}"/>
    <cellStyle name="Vírgula 2 2 3 4 16" xfId="48472" xr:uid="{800BAC4E-2968-44E9-8595-8961DF1DC3DB}"/>
    <cellStyle name="Vírgula 2 2 3 4 17" xfId="50142" xr:uid="{3A8E70FE-2326-410B-B246-04864CFD55B1}"/>
    <cellStyle name="Vírgula 2 2 3 4 18" xfId="53437" xr:uid="{F503B88B-26AC-4E9F-AEC3-C64D17AF05DD}"/>
    <cellStyle name="Vírgula 2 2 3 4 19" xfId="5512" xr:uid="{86FE82C4-9938-4AA2-8BB9-70CDFF3DF41B}"/>
    <cellStyle name="Vírgula 2 2 3 4 2" xfId="1154" xr:uid="{E415043D-E7FE-41BB-98E6-535D0245892B}"/>
    <cellStyle name="Vírgula 2 2 3 4 2 10" xfId="50143" xr:uid="{1457EA2F-CBC6-4C44-A472-063AABAE3DD0}"/>
    <cellStyle name="Vírgula 2 2 3 4 2 11" xfId="53438" xr:uid="{DA85DF2F-1DED-4C2B-9E8D-10A599F7D1FC}"/>
    <cellStyle name="Vírgula 2 2 3 4 2 12" xfId="6084" xr:uid="{AF04F855-9B7B-4BAB-B49A-C09E58A14002}"/>
    <cellStyle name="Vírgula 2 2 3 4 2 13" xfId="4983" xr:uid="{973DA1D8-7109-4972-9602-74F056763D9F}"/>
    <cellStyle name="Vírgula 2 2 3 4 2 2" xfId="2815" xr:uid="{3986B530-ED3E-4C97-9393-CD253BD525EF}"/>
    <cellStyle name="Vírgula 2 2 3 4 2 2 10" xfId="7242" xr:uid="{F8C8C28A-620C-453D-BAD2-C36BE066AB67}"/>
    <cellStyle name="Vírgula 2 2 3 4 2 2 2" xfId="17528" xr:uid="{0ED970A9-ACF9-40EB-96AE-701CD373F7D4}"/>
    <cellStyle name="Vírgula 2 2 3 4 2 2 2 2" xfId="37868" xr:uid="{101D0FB6-0A23-4595-A165-8427B95CCACB}"/>
    <cellStyle name="Vírgula 2 2 3 4 2 2 3" xfId="21030" xr:uid="{2C0E323A-9847-4FB8-B774-02008DF483EB}"/>
    <cellStyle name="Vírgula 2 2 3 4 2 2 3 2" xfId="41369" xr:uid="{D6028EB3-62CA-4389-A17B-559EF29987C9}"/>
    <cellStyle name="Vírgula 2 2 3 4 2 2 4" xfId="24285" xr:uid="{28D4D139-94A8-4326-9366-2D3C7D17D4F3}"/>
    <cellStyle name="Vírgula 2 2 3 4 2 2 4 2" xfId="44620" xr:uid="{3784ED2E-48C1-46D9-83D8-0210C1638D25}"/>
    <cellStyle name="Vírgula 2 2 3 4 2 2 5" xfId="14619" xr:uid="{AB8FFEFD-3F40-43E6-8C0B-AA757C879A78}"/>
    <cellStyle name="Vírgula 2 2 3 4 2 2 5 2" xfId="34960" xr:uid="{E5C61E96-F14C-43B7-83AE-269D35C5FA03}"/>
    <cellStyle name="Vírgula 2 2 3 4 2 2 6" xfId="10741" xr:uid="{9A4CC662-43FA-43A3-9860-8A93A6317657}"/>
    <cellStyle name="Vírgula 2 2 3 4 2 2 6 2" xfId="31084" xr:uid="{A690C8DA-0754-4B20-AF52-66BB6B224DDC}"/>
    <cellStyle name="Vírgula 2 2 3 4 2 2 7" xfId="27590" xr:uid="{60BB3AE3-41A8-453E-97AA-D09DFC7CFCC3}"/>
    <cellStyle name="Vírgula 2 2 3 4 2 2 8" xfId="51775" xr:uid="{78047A9C-A381-4EBD-A47D-1422943F1763}"/>
    <cellStyle name="Vírgula 2 2 3 4 2 2 9" xfId="55069" xr:uid="{F50ABF84-2256-452C-965D-91E7890402DA}"/>
    <cellStyle name="Vírgula 2 2 3 4 2 3" xfId="16370" xr:uid="{8E520083-C013-474D-B368-B91B97FBCA6A}"/>
    <cellStyle name="Vírgula 2 2 3 4 2 3 2" xfId="36710" xr:uid="{94D146BA-B47D-4129-92AC-8DE5FBA8CBA0}"/>
    <cellStyle name="Vírgula 2 2 3 4 2 3 3" xfId="57025" xr:uid="{14D3111C-C04E-4A40-8171-D9AEFFFE3059}"/>
    <cellStyle name="Vírgula 2 2 3 4 2 4" xfId="19872" xr:uid="{D073E760-C14A-4AAD-9D20-9D97E7D90BF5}"/>
    <cellStyle name="Vírgula 2 2 3 4 2 4 2" xfId="40211" xr:uid="{8A896157-7AEE-44FE-A2A4-86EA0A8CFA96}"/>
    <cellStyle name="Vírgula 2 2 3 4 2 5" xfId="23127" xr:uid="{C349D950-9130-416C-800A-318CCA24984B}"/>
    <cellStyle name="Vírgula 2 2 3 4 2 5 2" xfId="43462" xr:uid="{1D49CC0A-0C90-44F2-B33D-C1FF01A5B555}"/>
    <cellStyle name="Vírgula 2 2 3 4 2 6" xfId="13461" xr:uid="{473ABDF5-8D40-4998-B6C4-8C402EC65B4A}"/>
    <cellStyle name="Vírgula 2 2 3 4 2 6 2" xfId="33802" xr:uid="{DBC4C1E4-8BED-468A-8243-96FB3C2243A3}"/>
    <cellStyle name="Vírgula 2 2 3 4 2 7" xfId="9583" xr:uid="{386026A2-0068-4785-BB95-75FEE145D9E6}"/>
    <cellStyle name="Vírgula 2 2 3 4 2 7 2" xfId="29926" xr:uid="{88E23A0B-3DC8-43D6-9538-BDFFE0090B86}"/>
    <cellStyle name="Vírgula 2 2 3 4 2 8" xfId="26432" xr:uid="{B4120718-8985-48AA-9EF6-9EB265D9EF87}"/>
    <cellStyle name="Vírgula 2 2 3 4 2 9" xfId="48473" xr:uid="{CC5A22F7-4561-4F4D-B890-9F40891675C1}"/>
    <cellStyle name="Vírgula 2 2 3 4 20" xfId="4619" xr:uid="{71574D76-3765-429D-8976-E2A841F837EA}"/>
    <cellStyle name="Vírgula 2 2 3 4 3" xfId="1560" xr:uid="{9E598636-7F09-435D-A5DE-769DCBC99C69}"/>
    <cellStyle name="Vírgula 2 2 3 4 3 10" xfId="53439" xr:uid="{BC0A36B8-DD9E-49F4-9110-213C77183D58}"/>
    <cellStyle name="Vírgula 2 2 3 4 3 11" xfId="6661" xr:uid="{871C3920-74EC-4812-8AC8-858A0246F586}"/>
    <cellStyle name="Vírgula 2 2 3 4 3 2" xfId="3220" xr:uid="{53E976EE-089D-40A9-8C85-E42DE276A029}"/>
    <cellStyle name="Vírgula 2 2 3 4 3 2 2" xfId="37287" xr:uid="{3B290E6A-618F-461B-BDF4-1B9A7829C342}"/>
    <cellStyle name="Vírgula 2 2 3 4 3 2 3" xfId="51776" xr:uid="{261070E3-19A8-44E2-929A-810FF022D334}"/>
    <cellStyle name="Vírgula 2 2 3 4 3 2 4" xfId="55070" xr:uid="{787C92DB-EC6A-4FD3-ADDA-21CE379E7B1F}"/>
    <cellStyle name="Vírgula 2 2 3 4 3 2 5" xfId="16947" xr:uid="{76AA5DB4-0F00-4671-90CC-F7D1944B7762}"/>
    <cellStyle name="Vírgula 2 2 3 4 3 3" xfId="20449" xr:uid="{B72F0E8B-0ABB-4B78-BB72-ED4863B3EA53}"/>
    <cellStyle name="Vírgula 2 2 3 4 3 3 2" xfId="40788" xr:uid="{BC8FD75A-BBC1-41D3-9FF9-5568CCBFB46A}"/>
    <cellStyle name="Vírgula 2 2 3 4 3 3 3" xfId="57431" xr:uid="{39143D70-04E4-4608-856F-8248ABE5B633}"/>
    <cellStyle name="Vírgula 2 2 3 4 3 4" xfId="23704" xr:uid="{117CDF09-47C2-4BE5-9B36-623CB616B9AC}"/>
    <cellStyle name="Vírgula 2 2 3 4 3 4 2" xfId="44039" xr:uid="{96E79850-960A-40C6-95B9-393A1CACEA30}"/>
    <cellStyle name="Vírgula 2 2 3 4 3 5" xfId="14038" xr:uid="{77964AC5-9CD7-4D85-8B9E-254E809340C1}"/>
    <cellStyle name="Vírgula 2 2 3 4 3 5 2" xfId="34379" xr:uid="{B7F5B5AB-8C23-44E7-9C34-7B6C065A92FF}"/>
    <cellStyle name="Vírgula 2 2 3 4 3 6" xfId="10160" xr:uid="{5313D744-403E-4D61-80F9-8F31A158DCE3}"/>
    <cellStyle name="Vírgula 2 2 3 4 3 6 2" xfId="30503" xr:uid="{6A8FEB3C-ED8F-4863-A1DB-4946F44F4C4A}"/>
    <cellStyle name="Vírgula 2 2 3 4 3 7" xfId="27009" xr:uid="{07D20951-0167-4244-B05E-8DE6DD432AB7}"/>
    <cellStyle name="Vírgula 2 2 3 4 3 8" xfId="48474" xr:uid="{2FCF4F6B-A4E9-416F-8392-203E179E9D09}"/>
    <cellStyle name="Vírgula 2 2 3 4 3 9" xfId="50144" xr:uid="{E421B721-D622-4A9F-940E-2532152EEE39}"/>
    <cellStyle name="Vírgula 2 2 3 4 4" xfId="747" xr:uid="{9DDE36DA-5A33-419E-B5EF-843EC037F729}"/>
    <cellStyle name="Vírgula 2 2 3 4 4 10" xfId="53440" xr:uid="{1C91124B-A5E1-455B-B7DE-ACB184C2A406}"/>
    <cellStyle name="Vírgula 2 2 3 4 4 11" xfId="7825" xr:uid="{B3A31E6A-870C-4075-9B39-5C662242E771}"/>
    <cellStyle name="Vírgula 2 2 3 4 4 2" xfId="2463" xr:uid="{1BA3910B-5948-40FA-9323-BE786557DB4C}"/>
    <cellStyle name="Vírgula 2 2 3 4 4 2 2" xfId="38450" xr:uid="{DB942344-CA97-45F1-A7AB-0B79A5438A98}"/>
    <cellStyle name="Vírgula 2 2 3 4 4 2 3" xfId="51777" xr:uid="{9F7BE75F-413A-415A-889B-2CD391BEFC57}"/>
    <cellStyle name="Vírgula 2 2 3 4 4 2 4" xfId="55071" xr:uid="{5E3150FF-D7FE-445F-ABFB-A51C07E3B89B}"/>
    <cellStyle name="Vírgula 2 2 3 4 4 2 5" xfId="18110" xr:uid="{C999A206-9DC9-4F94-BF35-C7CC52CC027C}"/>
    <cellStyle name="Vírgula 2 2 3 4 4 3" xfId="21612" xr:uid="{FAA87730-4A9A-4AEC-9B41-3F431D5D381E}"/>
    <cellStyle name="Vírgula 2 2 3 4 4 3 2" xfId="41951" xr:uid="{12CC600E-8F4C-42B6-8BD9-8E32931DFCE0}"/>
    <cellStyle name="Vírgula 2 2 3 4 4 3 3" xfId="56618" xr:uid="{769F0A68-D034-4C3D-A9A3-C3714DEA4522}"/>
    <cellStyle name="Vírgula 2 2 3 4 4 4" xfId="24867" xr:uid="{6D6A73FC-3387-4E4C-8A8D-26CBC702C4BF}"/>
    <cellStyle name="Vírgula 2 2 3 4 4 4 2" xfId="45202" xr:uid="{91DECFF8-CB70-4AF2-9ACF-C4C14F992DCA}"/>
    <cellStyle name="Vírgula 2 2 3 4 4 5" xfId="15202" xr:uid="{C5757CF2-BA69-4913-83E4-E8FC4871B4C8}"/>
    <cellStyle name="Vírgula 2 2 3 4 4 5 2" xfId="35542" xr:uid="{48E1D668-9A83-4121-B8F5-F1684D2A7646}"/>
    <cellStyle name="Vírgula 2 2 3 4 4 6" xfId="11323" xr:uid="{7F47E537-49EB-4263-97EC-2CDAED98F0CA}"/>
    <cellStyle name="Vírgula 2 2 3 4 4 6 2" xfId="31666" xr:uid="{39093061-33CE-4002-B8CF-B647730136F4}"/>
    <cellStyle name="Vírgula 2 2 3 4 4 7" xfId="28172" xr:uid="{40682759-C98F-47D6-BFA4-F89402B132E0}"/>
    <cellStyle name="Vírgula 2 2 3 4 4 8" xfId="48475" xr:uid="{D9E455F3-A646-41FC-8AFB-5A2E4861FA32}"/>
    <cellStyle name="Vírgula 2 2 3 4 4 9" xfId="50145" xr:uid="{402430C6-27BE-4E27-8968-E1EF24ACC4B2}"/>
    <cellStyle name="Vírgula 2 2 3 4 5" xfId="3516" xr:uid="{48194C7F-8FAB-4EB6-8503-DBFA0737DDD0}"/>
    <cellStyle name="Vírgula 2 2 3 4 5 2" xfId="22030" xr:uid="{0EEACB23-85AA-4D04-A216-4867038FFAB4}"/>
    <cellStyle name="Vírgula 2 2 3 4 5 2 2" xfId="42366" xr:uid="{FED8EF5D-BB37-494D-AD3A-D5E00843ED4A}"/>
    <cellStyle name="Vírgula 2 2 3 4 5 3" xfId="25282" xr:uid="{022F1303-01C3-444D-868F-2D49BF4BDF0C}"/>
    <cellStyle name="Vírgula 2 2 3 4 5 3 2" xfId="45617" xr:uid="{E2EED77D-12C3-4477-A109-43BE407FDC52}"/>
    <cellStyle name="Vírgula 2 2 3 4 5 4" xfId="12892" xr:uid="{188616B8-29BC-4E2F-8E4B-D8DA1EEDDC96}"/>
    <cellStyle name="Vírgula 2 2 3 4 5 4 2" xfId="33233" xr:uid="{97B16AD7-8BE5-4CBE-83FC-6DD68266A563}"/>
    <cellStyle name="Vírgula 2 2 3 4 5 5" xfId="11739" xr:uid="{9497EE89-64EF-421B-B37D-4DE283468EF4}"/>
    <cellStyle name="Vírgula 2 2 3 4 5 5 2" xfId="32081" xr:uid="{90CF8DDB-57A6-4520-9150-5A9477844890}"/>
    <cellStyle name="Vírgula 2 2 3 4 5 6" xfId="28587" xr:uid="{D2C3A8AA-6E07-4B6E-947D-0036EA047FBB}"/>
    <cellStyle name="Vírgula 2 2 3 4 5 7" xfId="51774" xr:uid="{90A750A1-2BCD-4233-844E-96E37687CD7B}"/>
    <cellStyle name="Vírgula 2 2 3 4 5 8" xfId="55068" xr:uid="{0213F726-B895-49C3-94DE-17DFF957916C}"/>
    <cellStyle name="Vírgula 2 2 3 4 5 9" xfId="8243" xr:uid="{1F47E04A-05BD-4097-96E9-5AD23946A3D0}"/>
    <cellStyle name="Vírgula 2 2 3 4 6" xfId="4170" xr:uid="{70E265BD-1BD8-4DDE-8862-5CEC0B3584BE}"/>
    <cellStyle name="Vírgula 2 2 3 4 6 2" xfId="36129" xr:uid="{39A0916E-46C4-44A0-AF66-1C454C7F1615}"/>
    <cellStyle name="Vírgula 2 2 3 4 6 3" xfId="56209" xr:uid="{5F60343C-6BFD-4E9A-AA30-5D88EA6451DA}"/>
    <cellStyle name="Vírgula 2 2 3 4 6 4" xfId="15789" xr:uid="{5021E817-3707-4CE5-A59E-2158D8E1E1FE}"/>
    <cellStyle name="Vírgula 2 2 3 4 7" xfId="1865" xr:uid="{4D80120B-A876-44B8-A8D4-601439850625}"/>
    <cellStyle name="Vírgula 2 2 3 4 7 2" xfId="39043" xr:uid="{8977A411-0C8F-48C4-B6AE-11617C38BEEF}"/>
    <cellStyle name="Vírgula 2 2 3 4 7 3" xfId="18703" xr:uid="{AE17F1FE-236B-454C-A07E-E3A7C996308B}"/>
    <cellStyle name="Vírgula 2 2 3 4 8" xfId="19291" xr:uid="{920C9041-286E-411A-A63E-197452FD63AF}"/>
    <cellStyle name="Vírgula 2 2 3 4 8 2" xfId="39630" xr:uid="{E7613ACD-1905-44CC-BC6E-AEDD5F46585A}"/>
    <cellStyle name="Vírgula 2 2 3 4 9" xfId="22546" xr:uid="{37B32927-DE95-4FD1-B125-98012E41D556}"/>
    <cellStyle name="Vírgula 2 2 3 4 9 2" xfId="42881" xr:uid="{0DBC7A1D-C872-4A7D-9E04-67E71A61B8E5}"/>
    <cellStyle name="Vírgula 2 2 3 5" xfId="149" xr:uid="{7669A490-395C-4273-BACC-30704DFA971A}"/>
    <cellStyle name="Vírgula 2 2 3 5 10" xfId="12338" xr:uid="{AE762461-4EF9-4205-9E30-683A9BA61C82}"/>
    <cellStyle name="Vírgula 2 2 3 5 10 2" xfId="32679" xr:uid="{41676DC4-26BD-4C67-8C53-EAAC0CC44DCF}"/>
    <cellStyle name="Vírgula 2 2 3 5 11" xfId="9077" xr:uid="{207D8E1B-3E67-47CE-931F-430B7300ABF8}"/>
    <cellStyle name="Vírgula 2 2 3 5 11 2" xfId="29420" xr:uid="{803F38A9-9705-460A-B17C-3E9776DDF877}"/>
    <cellStyle name="Vírgula 2 2 3 5 12" xfId="25926" xr:uid="{298777D6-507C-4D0E-9402-11ADA5C2C03F}"/>
    <cellStyle name="Vírgula 2 2 3 5 13" xfId="48476" xr:uid="{B940582C-36B7-4F9C-A5F9-3FCFA73CC550}"/>
    <cellStyle name="Vírgula 2 2 3 5 14" xfId="50146" xr:uid="{319B771E-E1BC-4FC9-87FD-1386407C30A4}"/>
    <cellStyle name="Vírgula 2 2 3 5 15" xfId="53441" xr:uid="{2448BE9B-0D29-4A96-842C-971E3F8D718B}"/>
    <cellStyle name="Vírgula 2 2 3 5 16" xfId="5587" xr:uid="{115FFA1E-3E54-484D-9D61-699A9511410E}"/>
    <cellStyle name="Vírgula 2 2 3 5 17" xfId="4430" xr:uid="{7ACBB88B-FB4D-4684-AD24-C205354C37AB}"/>
    <cellStyle name="Vírgula 2 2 3 5 2" xfId="965" xr:uid="{4E246C69-77B0-4EE2-84DE-779889244225}"/>
    <cellStyle name="Vírgula 2 2 3 5 2 10" xfId="50147" xr:uid="{70418B6C-CBC3-4990-ACB3-DB6D11959B01}"/>
    <cellStyle name="Vírgula 2 2 3 5 2 11" xfId="53442" xr:uid="{E2182977-EACE-43BB-A5FE-CC79B029534F}"/>
    <cellStyle name="Vírgula 2 2 3 5 2 12" xfId="6159" xr:uid="{03803191-1706-47D0-828B-659032F2234D}"/>
    <cellStyle name="Vírgula 2 2 3 5 2 2" xfId="2680" xr:uid="{8A764D9E-1C2C-40F4-BEAD-4DDE0D94AFF0}"/>
    <cellStyle name="Vírgula 2 2 3 5 2 2 10" xfId="7317" xr:uid="{84A05C4F-9837-4BD3-AD40-796FFD0CBBAC}"/>
    <cellStyle name="Vírgula 2 2 3 5 2 2 2" xfId="17603" xr:uid="{E453A417-06A3-4484-B84C-036B79FFF5C5}"/>
    <cellStyle name="Vírgula 2 2 3 5 2 2 2 2" xfId="37943" xr:uid="{C881A649-FFB5-478B-8360-2B247447C74B}"/>
    <cellStyle name="Vírgula 2 2 3 5 2 2 3" xfId="21105" xr:uid="{9C61CDE2-4D60-4006-925F-ED43448B1456}"/>
    <cellStyle name="Vírgula 2 2 3 5 2 2 3 2" xfId="41444" xr:uid="{35B437B0-CFCA-41DF-837F-F0127F6016FB}"/>
    <cellStyle name="Vírgula 2 2 3 5 2 2 4" xfId="24360" xr:uid="{BDCE53EA-EB31-4079-BBEA-AEE33E29ED2D}"/>
    <cellStyle name="Vírgula 2 2 3 5 2 2 4 2" xfId="44695" xr:uid="{149A2261-98BC-4B83-B61D-A9EF1EF00292}"/>
    <cellStyle name="Vírgula 2 2 3 5 2 2 5" xfId="14694" xr:uid="{1CC6FD99-EFD7-447A-A8EB-5BAA5635E992}"/>
    <cellStyle name="Vírgula 2 2 3 5 2 2 5 2" xfId="35035" xr:uid="{231A07DD-7BCC-44A3-AE2E-CA282072152E}"/>
    <cellStyle name="Vírgula 2 2 3 5 2 2 6" xfId="10816" xr:uid="{F80F9460-9985-4065-BFF7-AB2A5482A8E4}"/>
    <cellStyle name="Vírgula 2 2 3 5 2 2 6 2" xfId="31159" xr:uid="{3FED9252-A929-4249-B152-0CC47571A1E8}"/>
    <cellStyle name="Vírgula 2 2 3 5 2 2 7" xfId="27665" xr:uid="{6874527E-1C42-4D39-98BA-73B5992DC7FD}"/>
    <cellStyle name="Vírgula 2 2 3 5 2 2 8" xfId="51779" xr:uid="{2D9CB48F-C397-4E61-A4DA-558707FC0881}"/>
    <cellStyle name="Vírgula 2 2 3 5 2 2 9" xfId="55073" xr:uid="{2074582A-D2E6-43B7-87A4-DDBC863706A8}"/>
    <cellStyle name="Vírgula 2 2 3 5 2 3" xfId="16445" xr:uid="{4B2EE715-B3DD-42E7-944A-BCD1C5AED502}"/>
    <cellStyle name="Vírgula 2 2 3 5 2 3 2" xfId="36785" xr:uid="{80E97FA8-2CC2-43B8-B324-3B8DCF142D66}"/>
    <cellStyle name="Vírgula 2 2 3 5 2 3 3" xfId="56836" xr:uid="{548DBAA2-ADCB-48D7-9A66-00732DD84D20}"/>
    <cellStyle name="Vírgula 2 2 3 5 2 4" xfId="19947" xr:uid="{FACAFA46-AEFA-44A6-9B79-0AA4895A0136}"/>
    <cellStyle name="Vírgula 2 2 3 5 2 4 2" xfId="40286" xr:uid="{81389F43-B6E7-4854-8E52-2E833E5F879D}"/>
    <cellStyle name="Vírgula 2 2 3 5 2 5" xfId="23202" xr:uid="{3A94DB23-7541-48CE-93C2-3FF79B551D93}"/>
    <cellStyle name="Vírgula 2 2 3 5 2 5 2" xfId="43537" xr:uid="{29E9BC66-2C7A-4C27-A3F7-EDCE49605203}"/>
    <cellStyle name="Vírgula 2 2 3 5 2 6" xfId="13536" xr:uid="{01A97C5F-5F88-4D8A-A86D-A5904AD6D418}"/>
    <cellStyle name="Vírgula 2 2 3 5 2 6 2" xfId="33877" xr:uid="{3E400DBE-DF99-433D-B68F-E8525AB7A520}"/>
    <cellStyle name="Vírgula 2 2 3 5 2 7" xfId="9658" xr:uid="{1521FA01-2376-4655-A5EF-10579BFABCB6}"/>
    <cellStyle name="Vírgula 2 2 3 5 2 7 2" xfId="30001" xr:uid="{98DA195A-7DE1-40F5-8DEA-8879763555C6}"/>
    <cellStyle name="Vírgula 2 2 3 5 2 8" xfId="26507" xr:uid="{D71B700C-0516-428D-A87B-9D1BA4F9D1D0}"/>
    <cellStyle name="Vírgula 2 2 3 5 2 9" xfId="48477" xr:uid="{708D47CE-3115-48CF-9CF4-D7A87BD2F435}"/>
    <cellStyle name="Vírgula 2 2 3 5 3" xfId="1371" xr:uid="{1CA91B4F-D96D-4639-A569-B6E553A1184F}"/>
    <cellStyle name="Vírgula 2 2 3 5 3 10" xfId="53443" xr:uid="{7E54CD5F-1425-40D0-B19C-BB2AE4A8CE2D}"/>
    <cellStyle name="Vírgula 2 2 3 5 3 11" xfId="6736" xr:uid="{C697E55E-A072-43D3-8F9A-C37185EF1D3A}"/>
    <cellStyle name="Vírgula 2 2 3 5 3 2" xfId="3032" xr:uid="{30D3551A-8EA2-435D-8260-E5EE4DBD86C6}"/>
    <cellStyle name="Vírgula 2 2 3 5 3 2 2" xfId="37362" xr:uid="{FCA38F4B-6BB7-438D-A5DB-46EE2E5CCCCC}"/>
    <cellStyle name="Vírgula 2 2 3 5 3 2 3" xfId="51780" xr:uid="{165D1CFA-D957-4206-91F1-B1FE35363DB3}"/>
    <cellStyle name="Vírgula 2 2 3 5 3 2 4" xfId="55074" xr:uid="{C3C8CFD6-6229-4F04-B6B7-BA865C4A8052}"/>
    <cellStyle name="Vírgula 2 2 3 5 3 2 5" xfId="17022" xr:uid="{439B5EA5-716B-40BC-B9F5-F4A78E6C022E}"/>
    <cellStyle name="Vírgula 2 2 3 5 3 3" xfId="20524" xr:uid="{47A80BAD-7178-46E6-BC9B-381D84DB7119}"/>
    <cellStyle name="Vírgula 2 2 3 5 3 3 2" xfId="40863" xr:uid="{D183EF11-B14B-4893-A344-DB71EF6BA549}"/>
    <cellStyle name="Vírgula 2 2 3 5 3 3 3" xfId="57242" xr:uid="{8A13997D-079D-447C-8729-4801D47F89FD}"/>
    <cellStyle name="Vírgula 2 2 3 5 3 4" xfId="23779" xr:uid="{3B9D542E-C7C4-4366-9864-AC15EE460475}"/>
    <cellStyle name="Vírgula 2 2 3 5 3 4 2" xfId="44114" xr:uid="{6F2B3EB1-1B28-40E3-95DD-D47D34B4287B}"/>
    <cellStyle name="Vírgula 2 2 3 5 3 5" xfId="14113" xr:uid="{F8985803-6FA5-4D7E-AF6D-033A36113A4B}"/>
    <cellStyle name="Vírgula 2 2 3 5 3 5 2" xfId="34454" xr:uid="{78D865BD-E8C9-4123-9A97-6D0B9B338494}"/>
    <cellStyle name="Vírgula 2 2 3 5 3 6" xfId="10235" xr:uid="{7D31225D-57ED-4CA5-977F-646522D21237}"/>
    <cellStyle name="Vírgula 2 2 3 5 3 6 2" xfId="30578" xr:uid="{BC9BFDC3-5247-448E-BE90-89C6BBEFCDFD}"/>
    <cellStyle name="Vírgula 2 2 3 5 3 7" xfId="27084" xr:uid="{E3ECD6BB-09C0-4888-BE5E-1C1CE51F909E}"/>
    <cellStyle name="Vírgula 2 2 3 5 3 8" xfId="48478" xr:uid="{00013ABE-820D-4E06-8CAB-128429DE9BBA}"/>
    <cellStyle name="Vírgula 2 2 3 5 3 9" xfId="50148" xr:uid="{05880CFB-19E2-4D99-AFB3-D7913134CF90}"/>
    <cellStyle name="Vírgula 2 2 3 5 4" xfId="558" xr:uid="{27698D04-C734-4150-AE37-A5E40403C7B3}"/>
    <cellStyle name="Vírgula 2 2 3 5 4 10" xfId="53444" xr:uid="{10EAD95D-09D8-42F9-8900-AEF5EAE77556}"/>
    <cellStyle name="Vírgula 2 2 3 5 4 11" xfId="7900" xr:uid="{98C4D151-6FE2-46C8-8B76-0747F3240773}"/>
    <cellStyle name="Vírgula 2 2 3 5 4 2" xfId="2274" xr:uid="{100A540F-9065-48F8-AB49-4185C9085BE1}"/>
    <cellStyle name="Vírgula 2 2 3 5 4 2 2" xfId="38525" xr:uid="{BCC6914D-A27D-4923-A867-66BE80EF89FB}"/>
    <cellStyle name="Vírgula 2 2 3 5 4 2 3" xfId="51781" xr:uid="{0A5C96FE-6426-4B07-A833-EA3643B6A7EB}"/>
    <cellStyle name="Vírgula 2 2 3 5 4 2 4" xfId="55075" xr:uid="{9A7D7260-D2E6-454F-84EB-70E483F8C80B}"/>
    <cellStyle name="Vírgula 2 2 3 5 4 2 5" xfId="18185" xr:uid="{12214062-C88B-49BC-95A4-D7BECDBF6779}"/>
    <cellStyle name="Vírgula 2 2 3 5 4 3" xfId="21687" xr:uid="{4EBE82DE-8F75-4817-AB67-7294701D5A4C}"/>
    <cellStyle name="Vírgula 2 2 3 5 4 3 2" xfId="42026" xr:uid="{E9B39992-00C8-43F1-867B-354FE2F9893F}"/>
    <cellStyle name="Vírgula 2 2 3 5 4 3 3" xfId="56429" xr:uid="{F2AA6FB2-F83F-4118-A712-72D83201AF7A}"/>
    <cellStyle name="Vírgula 2 2 3 5 4 4" xfId="24942" xr:uid="{B694A736-E184-4903-84CD-E5450452B9BF}"/>
    <cellStyle name="Vírgula 2 2 3 5 4 4 2" xfId="45277" xr:uid="{BCD9727C-0AC9-4133-9BCB-321F4FC44218}"/>
    <cellStyle name="Vírgula 2 2 3 5 4 5" xfId="15277" xr:uid="{96ADF5FF-1FE0-4C8E-B48F-7896A68966D8}"/>
    <cellStyle name="Vírgula 2 2 3 5 4 5 2" xfId="35617" xr:uid="{787D5ABE-258A-4726-8B23-1ACF86F8DB04}"/>
    <cellStyle name="Vírgula 2 2 3 5 4 6" xfId="11398" xr:uid="{C6550A93-6B63-4A5D-B16C-70F921B4D1D8}"/>
    <cellStyle name="Vírgula 2 2 3 5 4 6 2" xfId="31741" xr:uid="{45FB4247-B919-4E4C-9A66-F016404E46A5}"/>
    <cellStyle name="Vírgula 2 2 3 5 4 7" xfId="28247" xr:uid="{7B3503D1-C4D6-4C83-AF08-3C113AF493FC}"/>
    <cellStyle name="Vírgula 2 2 3 5 4 8" xfId="48479" xr:uid="{81B2F360-EECC-487B-9604-404C459F140A}"/>
    <cellStyle name="Vírgula 2 2 3 5 4 9" xfId="50149" xr:uid="{7D8F0350-C249-4B83-90FE-76FA79C98BE4}"/>
    <cellStyle name="Vírgula 2 2 3 5 5" xfId="3734" xr:uid="{4960721B-2A47-4F4C-ABCD-B90666CA4076}"/>
    <cellStyle name="Vírgula 2 2 3 5 5 2" xfId="33308" xr:uid="{BE0B99B7-FC2D-4F45-A4E0-881BAA4661FC}"/>
    <cellStyle name="Vírgula 2 2 3 5 5 3" xfId="51778" xr:uid="{A28A53AA-F3C5-49D4-A418-2867DEACE4D2}"/>
    <cellStyle name="Vírgula 2 2 3 5 5 4" xfId="55072" xr:uid="{B65AC424-5238-4080-9308-90690A9BAE0A}"/>
    <cellStyle name="Vírgula 2 2 3 5 5 5" xfId="12967" xr:uid="{253CC134-83A3-48FE-A22C-5606501EC770}"/>
    <cellStyle name="Vírgula 2 2 3 5 6" xfId="2080" xr:uid="{AC7B1C7B-5679-44E4-9B20-D1481546F73B}"/>
    <cellStyle name="Vírgula 2 2 3 5 6 2" xfId="36204" xr:uid="{B595C8B3-ACF2-45D9-8D77-267BF4302034}"/>
    <cellStyle name="Vírgula 2 2 3 5 6 3" xfId="56020" xr:uid="{CC2592A6-F2F2-4A6F-A85A-BFCC564A8E90}"/>
    <cellStyle name="Vírgula 2 2 3 5 6 4" xfId="15864" xr:uid="{9788FAA2-5DB2-4B02-BFAD-A517C0870E6E}"/>
    <cellStyle name="Vírgula 2 2 3 5 7" xfId="18778" xr:uid="{F6795C92-DB1F-4684-A577-5681317A0AB8}"/>
    <cellStyle name="Vírgula 2 2 3 5 7 2" xfId="39118" xr:uid="{213D8C48-D5CC-4A8C-BF15-8D55061CE765}"/>
    <cellStyle name="Vírgula 2 2 3 5 8" xfId="19366" xr:uid="{D3895A84-B5B3-4BDA-8F59-0736C59932CD}"/>
    <cellStyle name="Vírgula 2 2 3 5 8 2" xfId="39705" xr:uid="{49EBCA9D-7A91-401F-919E-CA08AADBE7A6}"/>
    <cellStyle name="Vírgula 2 2 3 5 9" xfId="22621" xr:uid="{9DFEF476-EB2F-4F97-A209-3BC4E0E9A304}"/>
    <cellStyle name="Vírgula 2 2 3 5 9 2" xfId="42956" xr:uid="{6B1085FB-008C-4A08-AB00-86D93EEB5C15}"/>
    <cellStyle name="Vírgula 2 2 3 6" xfId="909" xr:uid="{D21D6880-0841-4744-854F-A1959DEBAC25}"/>
    <cellStyle name="Vírgula 2 2 3 6 10" xfId="12436" xr:uid="{106AA56C-3FD7-4E12-B894-D931F772767A}"/>
    <cellStyle name="Vírgula 2 2 3 6 10 2" xfId="32777" xr:uid="{02F327E1-0419-4738-9E69-F2C84F60A183}"/>
    <cellStyle name="Vírgula 2 2 3 6 11" xfId="9175" xr:uid="{01B6B9A0-7B07-481B-B5CA-6F7D31B78BD1}"/>
    <cellStyle name="Vírgula 2 2 3 6 11 2" xfId="29518" xr:uid="{1553B159-A2A6-42B2-9D3C-45AC28A82E1C}"/>
    <cellStyle name="Vírgula 2 2 3 6 12" xfId="26024" xr:uid="{1576BD54-AC34-4BD8-9BAF-0498AE0CB216}"/>
    <cellStyle name="Vírgula 2 2 3 6 13" xfId="48480" xr:uid="{F5E15517-6887-4D6F-9CC5-35D358356DBB}"/>
    <cellStyle name="Vírgula 2 2 3 6 14" xfId="50150" xr:uid="{ABA7DE38-0420-47AB-8125-7A0CF616C762}"/>
    <cellStyle name="Vírgula 2 2 3 6 15" xfId="53445" xr:uid="{2702F513-5461-4E05-862A-6D7F67566543}"/>
    <cellStyle name="Vírgula 2 2 3 6 16" xfId="5685" xr:uid="{E99B1347-AF51-448F-BFA0-07558357AF50}"/>
    <cellStyle name="Vírgula 2 2 3 6 17" xfId="4818" xr:uid="{D43727BC-0A0A-4223-9FB6-B1CEB07B0C28}"/>
    <cellStyle name="Vírgula 2 2 3 6 2" xfId="2625" xr:uid="{F6C722D3-89F0-4D23-B594-AA7C88C52C42}"/>
    <cellStyle name="Vírgula 2 2 3 6 2 10" xfId="55076" xr:uid="{C694EC11-4533-4D75-8D7A-59A2D417A94E}"/>
    <cellStyle name="Vírgula 2 2 3 6 2 11" xfId="6257" xr:uid="{1D9302ED-D77C-451B-B7AD-8BFF288FA160}"/>
    <cellStyle name="Vírgula 2 2 3 6 2 2" xfId="7415" xr:uid="{67151484-4849-48AA-AF54-ED58A2BDAA0A}"/>
    <cellStyle name="Vírgula 2 2 3 6 2 2 2" xfId="17701" xr:uid="{80C7A5FE-1824-4FDB-8A3F-FADC003064F9}"/>
    <cellStyle name="Vírgula 2 2 3 6 2 2 2 2" xfId="38041" xr:uid="{62650230-27A1-466C-BFF9-473414C80C43}"/>
    <cellStyle name="Vírgula 2 2 3 6 2 2 3" xfId="21203" xr:uid="{47353AD7-3B10-4238-B96E-A4447D59C65F}"/>
    <cellStyle name="Vírgula 2 2 3 6 2 2 3 2" xfId="41542" xr:uid="{337E1ADA-1849-4EFE-911E-967C98A41121}"/>
    <cellStyle name="Vírgula 2 2 3 6 2 2 4" xfId="24458" xr:uid="{AF3EACE8-0B02-456F-8659-88177F86657F}"/>
    <cellStyle name="Vírgula 2 2 3 6 2 2 4 2" xfId="44793" xr:uid="{BBF31E6E-D20C-4A42-96A5-A8A1140B40B3}"/>
    <cellStyle name="Vírgula 2 2 3 6 2 2 5" xfId="14792" xr:uid="{6DAC1D07-4EF8-4EF8-8949-C118D9D37E1F}"/>
    <cellStyle name="Vírgula 2 2 3 6 2 2 5 2" xfId="35133" xr:uid="{F1F2B337-35CE-4763-ACC6-AF58B4A60250}"/>
    <cellStyle name="Vírgula 2 2 3 6 2 2 6" xfId="10914" xr:uid="{52FC65E6-11DB-4E8C-A359-AE29E9C294DF}"/>
    <cellStyle name="Vírgula 2 2 3 6 2 2 6 2" xfId="31257" xr:uid="{DE583FB2-EAF0-4194-8C05-CDE10080DAC9}"/>
    <cellStyle name="Vírgula 2 2 3 6 2 2 7" xfId="27763" xr:uid="{64D68EDB-DBD5-4351-8CE3-F8D0E3DB1CB7}"/>
    <cellStyle name="Vírgula 2 2 3 6 2 3" xfId="16543" xr:uid="{357E1BEB-5AB1-491E-92D5-B5BFD7A37018}"/>
    <cellStyle name="Vírgula 2 2 3 6 2 3 2" xfId="36883" xr:uid="{78461061-1889-43C3-AD22-42DA9BE18BDC}"/>
    <cellStyle name="Vírgula 2 2 3 6 2 4" xfId="20045" xr:uid="{88D32BD4-61CD-4C30-8FF3-C18E679FE2CE}"/>
    <cellStyle name="Vírgula 2 2 3 6 2 4 2" xfId="40384" xr:uid="{9F720321-BA86-4059-8812-236DD9365770}"/>
    <cellStyle name="Vírgula 2 2 3 6 2 5" xfId="23300" xr:uid="{61CFD800-A6C0-49F0-93BC-4A28748496EE}"/>
    <cellStyle name="Vírgula 2 2 3 6 2 5 2" xfId="43635" xr:uid="{97005394-5290-4184-80B5-E8CD192806C4}"/>
    <cellStyle name="Vírgula 2 2 3 6 2 6" xfId="13634" xr:uid="{C520A8FF-38A6-455E-AE81-30F596B69900}"/>
    <cellStyle name="Vírgula 2 2 3 6 2 6 2" xfId="33975" xr:uid="{26CCE830-D7BA-4A18-A653-18F33028F49F}"/>
    <cellStyle name="Vírgula 2 2 3 6 2 7" xfId="9756" xr:uid="{DFEF3163-47D6-4474-B709-15F0000EED38}"/>
    <cellStyle name="Vírgula 2 2 3 6 2 7 2" xfId="30099" xr:uid="{F6340595-95D4-4668-BB68-E3DCC696446D}"/>
    <cellStyle name="Vírgula 2 2 3 6 2 8" xfId="26605" xr:uid="{D285A7C8-982C-4EF9-AC7A-4A843C76D01C}"/>
    <cellStyle name="Vírgula 2 2 3 6 2 9" xfId="51782" xr:uid="{BDD26D9D-2F68-4B4F-A72E-AFAE2240CA89}"/>
    <cellStyle name="Vírgula 2 2 3 6 3" xfId="6834" xr:uid="{72EAAFA5-7C18-4C3C-B440-800F2EDEBDE4}"/>
    <cellStyle name="Vírgula 2 2 3 6 3 2" xfId="17120" xr:uid="{B17D3B15-F0A8-4839-8443-05C88AF050E0}"/>
    <cellStyle name="Vírgula 2 2 3 6 3 2 2" xfId="37460" xr:uid="{F670FCB3-7392-419B-8A84-AB55AD562B0C}"/>
    <cellStyle name="Vírgula 2 2 3 6 3 3" xfId="20622" xr:uid="{6456D1EF-B247-4B1E-8097-D5D1005A4B3A}"/>
    <cellStyle name="Vírgula 2 2 3 6 3 3 2" xfId="40961" xr:uid="{3F864040-38F8-4274-846A-BF76C5DA047B}"/>
    <cellStyle name="Vírgula 2 2 3 6 3 4" xfId="23877" xr:uid="{6C248CBF-4FE4-4E1A-A9B8-39FA905B1AAE}"/>
    <cellStyle name="Vírgula 2 2 3 6 3 4 2" xfId="44212" xr:uid="{34E1E9E3-DC34-4C5B-8081-3A8923EDEC61}"/>
    <cellStyle name="Vírgula 2 2 3 6 3 5" xfId="14211" xr:uid="{E1D8442D-7C0F-40B2-BD86-EE4DA839CAD1}"/>
    <cellStyle name="Vírgula 2 2 3 6 3 5 2" xfId="34552" xr:uid="{6E2B47D7-1998-4567-959A-5C57AA1CE2C8}"/>
    <cellStyle name="Vírgula 2 2 3 6 3 6" xfId="10333" xr:uid="{AAD76268-8006-4476-91C3-9EED83B16E53}"/>
    <cellStyle name="Vírgula 2 2 3 6 3 6 2" xfId="30676" xr:uid="{8C5EC47D-A344-41E0-8FCB-C91CD5E31B65}"/>
    <cellStyle name="Vírgula 2 2 3 6 3 7" xfId="27182" xr:uid="{F8AA4259-DF34-492A-9125-3CFD2E3D6131}"/>
    <cellStyle name="Vírgula 2 2 3 6 3 8" xfId="56780" xr:uid="{7F39561F-4E17-488B-BA2E-D21965F35E0B}"/>
    <cellStyle name="Vírgula 2 2 3 6 4" xfId="7998" xr:uid="{30D60447-8881-4DA1-A492-7A467FD4E6E3}"/>
    <cellStyle name="Vírgula 2 2 3 6 4 2" xfId="18283" xr:uid="{609A4948-FA8A-4271-9CD8-AF26509BB943}"/>
    <cellStyle name="Vírgula 2 2 3 6 4 2 2" xfId="38623" xr:uid="{CA15C07E-FA8A-4A46-AFC2-BDB48BECDDAD}"/>
    <cellStyle name="Vírgula 2 2 3 6 4 3" xfId="21785" xr:uid="{0F5AE7DC-DAAC-40DA-B351-0200D9BBE6EE}"/>
    <cellStyle name="Vírgula 2 2 3 6 4 3 2" xfId="42124" xr:uid="{F77BB588-E6FB-41D0-8421-A0AB4E5724FD}"/>
    <cellStyle name="Vírgula 2 2 3 6 4 4" xfId="25040" xr:uid="{CBDB8410-96CF-4B3E-BFE4-74BE5C13D681}"/>
    <cellStyle name="Vírgula 2 2 3 6 4 4 2" xfId="45375" xr:uid="{C483C1D8-A131-4F98-B4B6-DADDE63EAB27}"/>
    <cellStyle name="Vírgula 2 2 3 6 4 5" xfId="15375" xr:uid="{936C3C59-B6C4-490C-B5BC-C0A6430C23A7}"/>
    <cellStyle name="Vírgula 2 2 3 6 4 5 2" xfId="35715" xr:uid="{780FE95C-0160-4149-AC4B-D7EB5DE982E4}"/>
    <cellStyle name="Vírgula 2 2 3 6 4 6" xfId="11496" xr:uid="{9E623CF4-ADCB-475E-AD29-640D8E6541F7}"/>
    <cellStyle name="Vírgula 2 2 3 6 4 6 2" xfId="31839" xr:uid="{079B50D9-E2BD-4935-ADBF-7EC135153B13}"/>
    <cellStyle name="Vírgula 2 2 3 6 4 7" xfId="28345" xr:uid="{CE381F10-11D9-4D0E-BC4C-D33B24FA1CD4}"/>
    <cellStyle name="Vírgula 2 2 3 6 5" xfId="13065" xr:uid="{1FF3660F-F494-49DE-B4A2-BFEC40830C04}"/>
    <cellStyle name="Vírgula 2 2 3 6 5 2" xfId="33406" xr:uid="{30F7836C-FA0C-434C-8F9D-02BBE5B62145}"/>
    <cellStyle name="Vírgula 2 2 3 6 6" xfId="15962" xr:uid="{02B68187-2DB5-4E41-B572-5D6A842603D0}"/>
    <cellStyle name="Vírgula 2 2 3 6 6 2" xfId="36302" xr:uid="{8087D09B-A306-4763-9A69-BD4287B94FBF}"/>
    <cellStyle name="Vírgula 2 2 3 6 7" xfId="18876" xr:uid="{ACAF267C-8009-4ACB-BB8B-6A5DA04819EB}"/>
    <cellStyle name="Vírgula 2 2 3 6 7 2" xfId="39216" xr:uid="{FA083E23-EDAD-44A4-9229-ABF22BF82672}"/>
    <cellStyle name="Vírgula 2 2 3 6 8" xfId="19464" xr:uid="{F08DD245-F222-4F80-AA2E-85AD249E74B4}"/>
    <cellStyle name="Vírgula 2 2 3 6 8 2" xfId="39803" xr:uid="{2A57A4E7-9385-4A73-9F30-6C1A50937100}"/>
    <cellStyle name="Vírgula 2 2 3 6 9" xfId="22719" xr:uid="{7E7DC6DD-767B-4236-BFD5-3D84B284A549}"/>
    <cellStyle name="Vírgula 2 2 3 6 9 2" xfId="43054" xr:uid="{C9CA91B0-A265-4C8D-8DB2-98B963918353}"/>
    <cellStyle name="Vírgula 2 2 3 7" xfId="1315" xr:uid="{01D3CFF5-B945-4C92-A459-8826F0ECB392}"/>
    <cellStyle name="Vírgula 2 2 3 7 10" xfId="48481" xr:uid="{864D4165-0B30-477B-8B12-9BA4E7AFC906}"/>
    <cellStyle name="Vírgula 2 2 3 7 11" xfId="50151" xr:uid="{36585766-2F18-495E-BD56-33DA7EEDB806}"/>
    <cellStyle name="Vírgula 2 2 3 7 12" xfId="53446" xr:uid="{43B77D4F-6BB2-4A49-BB32-4EF7BF65D883}"/>
    <cellStyle name="Vírgula 2 2 3 7 13" xfId="5815" xr:uid="{A95FEC4C-517A-44DB-9510-A03D784B318B}"/>
    <cellStyle name="Vírgula 2 2 3 7 2" xfId="2976" xr:uid="{B6C977DD-43B7-47BD-90E7-A6AF58E8B88A}"/>
    <cellStyle name="Vírgula 2 2 3 7 2 10" xfId="6973" xr:uid="{1A5972FD-2308-4228-B427-975618AB6E38}"/>
    <cellStyle name="Vírgula 2 2 3 7 2 2" xfId="17259" xr:uid="{AD00ADA4-4D2A-4FB0-A764-A6855C2F0D9E}"/>
    <cellStyle name="Vírgula 2 2 3 7 2 2 2" xfId="37599" xr:uid="{EB80C19B-21BD-446D-9AA9-44340A4061C5}"/>
    <cellStyle name="Vírgula 2 2 3 7 2 3" xfId="20761" xr:uid="{5B9C6180-B748-4B14-96F3-FE9C2AF41250}"/>
    <cellStyle name="Vírgula 2 2 3 7 2 3 2" xfId="41100" xr:uid="{2A6C19BC-97DF-4432-8DB3-D7D65B7D3A30}"/>
    <cellStyle name="Vírgula 2 2 3 7 2 4" xfId="24016" xr:uid="{608D3228-D067-4E45-96EA-EFF248394006}"/>
    <cellStyle name="Vírgula 2 2 3 7 2 4 2" xfId="44351" xr:uid="{AC5CB974-000F-48F5-90AD-F34AD37E7707}"/>
    <cellStyle name="Vírgula 2 2 3 7 2 5" xfId="14350" xr:uid="{774877C2-DB10-4C1E-982D-EC64C06DB9D2}"/>
    <cellStyle name="Vírgula 2 2 3 7 2 5 2" xfId="34691" xr:uid="{02EDD631-E148-4A77-B5FE-7BEF9D2E331C}"/>
    <cellStyle name="Vírgula 2 2 3 7 2 6" xfId="10472" xr:uid="{45AFEC84-449F-41F3-9CC0-D162D2BAAD7D}"/>
    <cellStyle name="Vírgula 2 2 3 7 2 6 2" xfId="30815" xr:uid="{51B7BE21-7B42-4A8E-A886-229CB855B64D}"/>
    <cellStyle name="Vírgula 2 2 3 7 2 7" xfId="27321" xr:uid="{57A25FD2-B3F0-4BDD-B9CE-D151F69A31B9}"/>
    <cellStyle name="Vírgula 2 2 3 7 2 8" xfId="51783" xr:uid="{79636CDD-5835-474A-A81C-E4CFF8F125CC}"/>
    <cellStyle name="Vírgula 2 2 3 7 2 9" xfId="55077" xr:uid="{D3F3A9F4-9C9A-460E-AC91-B05C6DDD9F95}"/>
    <cellStyle name="Vírgula 2 2 3 7 3" xfId="13196" xr:uid="{5ADD4A8C-3233-4369-93B6-9CCA72A464C4}"/>
    <cellStyle name="Vírgula 2 2 3 7 3 2" xfId="33537" xr:uid="{2E825C68-C823-4EDA-A049-D38D3BF17718}"/>
    <cellStyle name="Vírgula 2 2 3 7 3 3" xfId="57186" xr:uid="{9058B79C-AD8A-4E7F-9805-0C63A865D469}"/>
    <cellStyle name="Vírgula 2 2 3 7 4" xfId="16101" xr:uid="{70CE5E0C-2ABB-4AD6-92E1-DC72876B33CB}"/>
    <cellStyle name="Vírgula 2 2 3 7 4 2" xfId="36441" xr:uid="{BF035ED8-3040-4971-B907-2782E2BFB4DB}"/>
    <cellStyle name="Vírgula 2 2 3 7 5" xfId="19603" xr:uid="{ECE087F8-D367-42D7-89B9-C347BA4CF054}"/>
    <cellStyle name="Vírgula 2 2 3 7 5 2" xfId="39942" xr:uid="{85F2224E-592F-431F-AB90-F96001AC9895}"/>
    <cellStyle name="Vírgula 2 2 3 7 6" xfId="22858" xr:uid="{80DF827C-6542-4906-A340-11458C33D1BC}"/>
    <cellStyle name="Vírgula 2 2 3 7 6 2" xfId="43193" xr:uid="{A211235D-C1B6-4C3D-9035-945A51C2B545}"/>
    <cellStyle name="Vírgula 2 2 3 7 7" xfId="12559" xr:uid="{70B44749-9D50-4F3B-AE7B-2FA877E7D2D9}"/>
    <cellStyle name="Vírgula 2 2 3 7 7 2" xfId="32900" xr:uid="{D198C159-9DE5-431B-98AE-BAB9A002E23F}"/>
    <cellStyle name="Vírgula 2 2 3 7 8" xfId="9314" xr:uid="{73FA5483-880D-44C4-BBF4-0004DA246CF0}"/>
    <cellStyle name="Vírgula 2 2 3 7 8 2" xfId="29657" xr:uid="{9F984606-96F3-4F41-805E-CEC5F5044FBE}"/>
    <cellStyle name="Vírgula 2 2 3 7 9" xfId="26163" xr:uid="{54C64210-3A02-4E6A-813B-0687EDD8C252}"/>
    <cellStyle name="Vírgula 2 2 3 8" xfId="502" xr:uid="{2022D387-AADA-4F86-81B4-8B64EBBED10D}"/>
    <cellStyle name="Vírgula 2 2 3 8 10" xfId="53447" xr:uid="{7ADE0849-7246-47EC-948B-328982F4456B}"/>
    <cellStyle name="Vírgula 2 2 3 8 11" xfId="6392" xr:uid="{EAB07F43-8FAF-401E-94A8-BDEF4D33F121}"/>
    <cellStyle name="Vírgula 2 2 3 8 2" xfId="2218" xr:uid="{33BD58E0-4246-4C08-8D98-1D77F628C3E5}"/>
    <cellStyle name="Vírgula 2 2 3 8 2 2" xfId="37018" xr:uid="{A5B61165-B98C-4711-93F6-3301F91D8F29}"/>
    <cellStyle name="Vírgula 2 2 3 8 2 3" xfId="51784" xr:uid="{A6942776-49DE-458B-9082-3668F1365966}"/>
    <cellStyle name="Vírgula 2 2 3 8 2 4" xfId="55078" xr:uid="{6F3D004A-B3CB-4DE1-B292-ED728AF76E24}"/>
    <cellStyle name="Vírgula 2 2 3 8 2 5" xfId="16678" xr:uid="{8062DA4C-CF5F-40D9-8278-6C18AA5C887C}"/>
    <cellStyle name="Vírgula 2 2 3 8 3" xfId="20180" xr:uid="{ABF34074-4EB3-4C96-8B16-2289151F8758}"/>
    <cellStyle name="Vírgula 2 2 3 8 3 2" xfId="40519" xr:uid="{11B3B040-DB4E-4E3D-A621-96B7FC5A391D}"/>
    <cellStyle name="Vírgula 2 2 3 8 3 3" xfId="56373" xr:uid="{837DE858-C1AB-4866-A58A-C208D6D14B86}"/>
    <cellStyle name="Vírgula 2 2 3 8 4" xfId="23435" xr:uid="{9A9E17B5-AB0F-4F1E-ADE3-87E64B5250C3}"/>
    <cellStyle name="Vírgula 2 2 3 8 4 2" xfId="43770" xr:uid="{5734BC9E-8F6E-46E3-A60C-250388103560}"/>
    <cellStyle name="Vírgula 2 2 3 8 5" xfId="13769" xr:uid="{73A34696-DEBE-425B-91B4-BDA6D2969803}"/>
    <cellStyle name="Vírgula 2 2 3 8 5 2" xfId="34110" xr:uid="{F30D6E3B-A9F0-4941-BC26-522CD10D5797}"/>
    <cellStyle name="Vírgula 2 2 3 8 6" xfId="9891" xr:uid="{33715EEB-2AC1-49B3-86D4-5731FC586EF5}"/>
    <cellStyle name="Vírgula 2 2 3 8 6 2" xfId="30234" xr:uid="{EB29C716-1597-4E18-96D2-1E6DCF484108}"/>
    <cellStyle name="Vírgula 2 2 3 8 7" xfId="26740" xr:uid="{83C17714-E5DC-4234-8487-1B5D722199DF}"/>
    <cellStyle name="Vírgula 2 2 3 8 8" xfId="48482" xr:uid="{3C1B79C2-361F-4498-8DCB-CDBD49411A32}"/>
    <cellStyle name="Vírgula 2 2 3 8 9" xfId="50152" xr:uid="{F2A14B8E-2C0A-4E19-AF25-8FC68038DBB3}"/>
    <cellStyle name="Vírgula 2 2 3 9" xfId="2084" xr:uid="{8FDAEDAC-C74C-4AA2-8470-AF3F1584F1D9}"/>
    <cellStyle name="Vírgula 2 2 3 9 10" xfId="7556" xr:uid="{8B3196D9-5B8C-4064-8A0B-0C0968EF71C6}"/>
    <cellStyle name="Vírgula 2 2 3 9 2" xfId="17841" xr:uid="{61E10D34-BBEA-4635-A5A2-4F72214F90A4}"/>
    <cellStyle name="Vírgula 2 2 3 9 2 2" xfId="38181" xr:uid="{94072820-0C3C-47EC-AC26-475FF863788B}"/>
    <cellStyle name="Vírgula 2 2 3 9 3" xfId="21343" xr:uid="{6FF1EA97-5D8B-4855-B4EE-051BFC74B809}"/>
    <cellStyle name="Vírgula 2 2 3 9 3 2" xfId="41682" xr:uid="{8DC63FE1-15B6-4F14-8942-EBBB3569E1EE}"/>
    <cellStyle name="Vírgula 2 2 3 9 4" xfId="24598" xr:uid="{AB773903-7A2B-45F2-9A19-BB2E17A28C0F}"/>
    <cellStyle name="Vírgula 2 2 3 9 4 2" xfId="44933" xr:uid="{6C33C1A3-EED4-4471-BF56-E4D8EA3F2475}"/>
    <cellStyle name="Vírgula 2 2 3 9 5" xfId="14933" xr:uid="{87867B98-19A6-44A2-8053-2028C7C8EB2B}"/>
    <cellStyle name="Vírgula 2 2 3 9 5 2" xfId="35273" xr:uid="{A42700F4-48CF-4685-9C6F-537895804915}"/>
    <cellStyle name="Vírgula 2 2 3 9 6" xfId="11054" xr:uid="{CB9E5D6A-3FFC-457A-84B0-BC18F8452B8B}"/>
    <cellStyle name="Vírgula 2 2 3 9 6 2" xfId="31397" xr:uid="{0DA786F9-94AF-4B07-98D3-7E71D8C6D954}"/>
    <cellStyle name="Vírgula 2 2 3 9 7" xfId="27903" xr:uid="{3F3B6F39-9842-4BB3-AD40-57E6DADFC4FC}"/>
    <cellStyle name="Vírgula 2 2 3 9 8" xfId="51757" xr:uid="{BC5DD1C3-A7EE-4F64-BAD5-2B46A0A4FE27}"/>
    <cellStyle name="Vírgula 2 2 3 9 9" xfId="55051" xr:uid="{7112C68D-24B4-420C-A4FA-845B51FBF56B}"/>
    <cellStyle name="Vírgula 2 2 30" xfId="50062" xr:uid="{6660C8F5-C245-40C8-B591-D30B24BC2B29}"/>
    <cellStyle name="Vírgula 2 2 31" xfId="53357" xr:uid="{EF85EC9F-CB50-4EC4-9DD7-20123D2A905E}"/>
    <cellStyle name="Vírgula 2 2 32" xfId="5210" xr:uid="{DF07A520-C78D-4BEA-B919-40183D3FF027}"/>
    <cellStyle name="Vírgula 2 2 33" xfId="4370" xr:uid="{07BAC99F-E678-46AF-9755-F50DEC0AFDB1}"/>
    <cellStyle name="Vírgula 2 2 34" xfId="57599" xr:uid="{0859543B-4BD7-4D4C-9F15-88A800E7F199}"/>
    <cellStyle name="Vírgula 2 2 4" xfId="176" xr:uid="{FD819E79-72CF-45E9-9073-05C49FAFD522}"/>
    <cellStyle name="Vírgula 2 2 4 10" xfId="18406" xr:uid="{8B4A5E8C-154F-402F-834E-EC7644F18986}"/>
    <cellStyle name="Vírgula 2 2 4 10 2" xfId="38746" xr:uid="{3F51D6C0-8023-44B4-AD3B-A26EA2A009C1}"/>
    <cellStyle name="Vírgula 2 2 4 11" xfId="18994" xr:uid="{1760FA4C-74AA-43C5-A70F-CA6A1BBE4F9C}"/>
    <cellStyle name="Vírgula 2 2 4 11 2" xfId="39333" xr:uid="{36C26B05-93B3-40CF-AD5C-03600510EA5E}"/>
    <cellStyle name="Vírgula 2 2 4 12" xfId="22249" xr:uid="{CAAA1826-5799-4AF2-A5FF-6DD8C88E9CB6}"/>
    <cellStyle name="Vírgula 2 2 4 12 2" xfId="42584" xr:uid="{53EF4BB5-4DD2-40AB-B7CF-2227E10D3E9C}"/>
    <cellStyle name="Vírgula 2 2 4 13" xfId="11966" xr:uid="{C57BFCFB-E934-45D1-8192-16045B5B4847}"/>
    <cellStyle name="Vírgula 2 2 4 13 2" xfId="32307" xr:uid="{EDB07A1F-0558-485F-A49D-59FDA879AE23}"/>
    <cellStyle name="Vírgula 2 2 4 14" xfId="8705" xr:uid="{31FBDA01-5E2C-495F-B203-DC2988DA8B26}"/>
    <cellStyle name="Vírgula 2 2 4 14 2" xfId="29048" xr:uid="{44F360DE-76F3-4103-AF5C-7D7F882BC628}"/>
    <cellStyle name="Vírgula 2 2 4 15" xfId="25550" xr:uid="{FA2699FF-604C-4099-9021-68804FD175C7}"/>
    <cellStyle name="Vírgula 2 2 4 16" xfId="45878" xr:uid="{40668D08-CBEE-4ACE-8A32-62D301DA78BA}"/>
    <cellStyle name="Vírgula 2 2 4 17" xfId="46364" xr:uid="{2806D7D1-CFB4-4403-B5D1-4A8FB8FBE672}"/>
    <cellStyle name="Vírgula 2 2 4 18" xfId="46856" xr:uid="{D789C482-6CBD-4A1E-96F8-11AD63787FA1}"/>
    <cellStyle name="Vírgula 2 2 4 19" xfId="47368" xr:uid="{C4CA0652-0270-4ED9-9CCA-EB7872F5ADD2}"/>
    <cellStyle name="Vírgula 2 2 4 2" xfId="365" xr:uid="{AAA20699-2EEC-4208-AE57-761B1EFFE0E6}"/>
    <cellStyle name="Vírgula 2 2 4 2 10" xfId="12081" xr:uid="{78D5809D-CA64-4AD4-A9CD-74B4F1F3F000}"/>
    <cellStyle name="Vírgula 2 2 4 2 10 2" xfId="32422" xr:uid="{F31A2592-70B3-4329-9B15-6F0E3B4F2C7B}"/>
    <cellStyle name="Vírgula 2 2 4 2 11" xfId="8820" xr:uid="{3A589C6B-02D0-464A-8F96-35A442DF4527}"/>
    <cellStyle name="Vírgula 2 2 4 2 11 2" xfId="29163" xr:uid="{BCE4B766-BF56-4B0C-AF9B-1DCC51353F2D}"/>
    <cellStyle name="Vírgula 2 2 4 2 12" xfId="25669" xr:uid="{BAB2F50D-96C7-45D1-8850-56172074B361}"/>
    <cellStyle name="Vírgula 2 2 4 2 13" xfId="45989" xr:uid="{E0FEF419-6299-41F8-8EC5-6CEDA8FD0071}"/>
    <cellStyle name="Vírgula 2 2 4 2 14" xfId="46475" xr:uid="{0164984A-2BD4-46C8-AF4D-81D8B6A1321E}"/>
    <cellStyle name="Vírgula 2 2 4 2 15" xfId="46967" xr:uid="{3A03C066-65CF-4207-8E26-5AE6EB877484}"/>
    <cellStyle name="Vírgula 2 2 4 2 16" xfId="48484" xr:uid="{C8B50542-2E58-4A98-B42D-9E7D9CA95A9A}"/>
    <cellStyle name="Vírgula 2 2 4 2 17" xfId="50154" xr:uid="{EA62E746-D48F-4731-9D68-672282BC9A48}"/>
    <cellStyle name="Vírgula 2 2 4 2 18" xfId="53449" xr:uid="{3F364DD7-35E5-40EA-8361-203EF772B539}"/>
    <cellStyle name="Vírgula 2 2 4 2 19" xfId="5348" xr:uid="{8B54B52F-28A4-4A50-82A5-66FAF9D8C649}"/>
    <cellStyle name="Vírgula 2 2 4 2 2" xfId="1181" xr:uid="{35F0A7F5-8B41-4A45-BCA3-DD6E33780742}"/>
    <cellStyle name="Vírgula 2 2 4 2 2 10" xfId="46718" xr:uid="{0245A9F2-61D3-413B-A50D-16EFB58C5868}"/>
    <cellStyle name="Vírgula 2 2 4 2 2 11" xfId="47210" xr:uid="{9AAFB7D4-4C0A-4454-AC4A-85FE953811F0}"/>
    <cellStyle name="Vírgula 2 2 4 2 2 12" xfId="48485" xr:uid="{EFDB2C4F-5DA0-4406-B221-5D2495CF170A}"/>
    <cellStyle name="Vírgula 2 2 4 2 2 13" xfId="50155" xr:uid="{1FEBFA9D-A5A5-40C4-8B91-A49F2CB4BCAC}"/>
    <cellStyle name="Vírgula 2 2 4 2 2 14" xfId="53450" xr:uid="{F4DD538C-10A4-4F65-841B-351FA636B6CF}"/>
    <cellStyle name="Vírgula 2 2 4 2 2 15" xfId="5902" xr:uid="{CE9FD97C-B341-489C-BFD5-E013DEF28866}"/>
    <cellStyle name="Vírgula 2 2 4 2 2 16" xfId="5107" xr:uid="{846243FF-D762-4282-A7E6-77DE7969A5C3}"/>
    <cellStyle name="Vírgula 2 2 4 2 2 2" xfId="4132" xr:uid="{F7FDD68A-DF39-457C-82E2-2262358A6B8A}"/>
    <cellStyle name="Vírgula 2 2 4 2 2 2 10" xfId="7060" xr:uid="{20B18556-572D-4264-BE60-F4B0622B1FFD}"/>
    <cellStyle name="Vírgula 2 2 4 2 2 2 2" xfId="17346" xr:uid="{6E880D85-EB48-49EC-9548-B69BF31853CC}"/>
    <cellStyle name="Vírgula 2 2 4 2 2 2 2 2" xfId="37686" xr:uid="{0747CEEA-9D59-4013-A461-ED10F7105F1E}"/>
    <cellStyle name="Vírgula 2 2 4 2 2 2 3" xfId="20848" xr:uid="{E25BD55D-38CC-4B39-8E83-BB0074B9172D}"/>
    <cellStyle name="Vírgula 2 2 4 2 2 2 3 2" xfId="41187" xr:uid="{744E69C4-CBE2-4B35-9275-C1490B36B193}"/>
    <cellStyle name="Vírgula 2 2 4 2 2 2 4" xfId="24103" xr:uid="{903FCCFF-B2EB-4B90-A52F-E852F72F3731}"/>
    <cellStyle name="Vírgula 2 2 4 2 2 2 4 2" xfId="44438" xr:uid="{6E850E5D-3313-48A4-8E4A-AAAB5725063A}"/>
    <cellStyle name="Vírgula 2 2 4 2 2 2 5" xfId="14437" xr:uid="{507769C4-7905-45FB-9E05-33CEB0FDFF55}"/>
    <cellStyle name="Vírgula 2 2 4 2 2 2 5 2" xfId="34778" xr:uid="{6DF791E0-F259-4715-A613-FB82462BE80D}"/>
    <cellStyle name="Vírgula 2 2 4 2 2 2 6" xfId="10559" xr:uid="{E45A417C-C6A7-4601-BD73-2152BE31D1F2}"/>
    <cellStyle name="Vírgula 2 2 4 2 2 2 6 2" xfId="30902" xr:uid="{C23674CF-1704-4824-8A5F-C5853FB97C67}"/>
    <cellStyle name="Vírgula 2 2 4 2 2 2 7" xfId="27408" xr:uid="{D350FC83-BB0F-49FE-8A9B-01A69DB5AB7D}"/>
    <cellStyle name="Vírgula 2 2 4 2 2 2 8" xfId="51787" xr:uid="{AE9AE7F9-F74E-419B-81F1-90D4BA70D9AF}"/>
    <cellStyle name="Vírgula 2 2 4 2 2 2 9" xfId="55081" xr:uid="{E788FD56-2A65-48C2-AF3E-953C68A8D40C}"/>
    <cellStyle name="Vírgula 2 2 4 2 2 3" xfId="2842" xr:uid="{E40DC638-61CC-42A2-8EDB-90DB62993270}"/>
    <cellStyle name="Vírgula 2 2 4 2 2 3 2" xfId="36528" xr:uid="{ADD70831-83E1-4EDE-8B2A-FFB32D8176BF}"/>
    <cellStyle name="Vírgula 2 2 4 2 2 3 3" xfId="57052" xr:uid="{C857A995-3B29-4687-AE21-984616B04E6B}"/>
    <cellStyle name="Vírgula 2 2 4 2 2 3 4" xfId="16188" xr:uid="{30113375-36AD-4685-9673-A2282AA51C94}"/>
    <cellStyle name="Vírgula 2 2 4 2 2 4" xfId="19690" xr:uid="{2DBC9E7E-386D-4C44-8E29-49176A7D5597}"/>
    <cellStyle name="Vírgula 2 2 4 2 2 4 2" xfId="40029" xr:uid="{5126B1FA-8FDF-4434-940D-2D0215492E70}"/>
    <cellStyle name="Vírgula 2 2 4 2 2 5" xfId="22945" xr:uid="{FB60CA24-991E-4A5F-83A6-42CE53F6D9BA}"/>
    <cellStyle name="Vírgula 2 2 4 2 2 5 2" xfId="43280" xr:uid="{CDAC7399-F653-48BB-B1B4-F0A0A7745383}"/>
    <cellStyle name="Vírgula 2 2 4 2 2 6" xfId="13281" xr:uid="{F5CAA331-31D8-45AF-9A26-D65A3D28C74A}"/>
    <cellStyle name="Vírgula 2 2 4 2 2 6 2" xfId="33622" xr:uid="{2C2DA203-5F3A-40FA-9B22-03FD4AED5478}"/>
    <cellStyle name="Vírgula 2 2 4 2 2 7" xfId="9401" xr:uid="{D20D8B26-53D4-47F0-B5D9-E728FAAF7EED}"/>
    <cellStyle name="Vírgula 2 2 4 2 2 7 2" xfId="29744" xr:uid="{21844531-84EB-43BA-BCD1-0F4C1628020D}"/>
    <cellStyle name="Vírgula 2 2 4 2 2 8" xfId="26250" xr:uid="{B45A0AC7-AFE2-46F2-929E-C1FCA3FC4F12}"/>
    <cellStyle name="Vírgula 2 2 4 2 2 9" xfId="46232" xr:uid="{8042B7B3-8681-460E-98A1-1F1B55D88104}"/>
    <cellStyle name="Vírgula 2 2 4 2 20" xfId="4646" xr:uid="{7F6202C8-B3D4-4A70-866D-4F48ECCEF049}"/>
    <cellStyle name="Vírgula 2 2 4 2 3" xfId="1587" xr:uid="{BC85852A-A717-4AD4-976A-3CBC37DF8814}"/>
    <cellStyle name="Vírgula 2 2 4 2 3 10" xfId="53451" xr:uid="{660AE7EC-B4E4-4A7F-94BB-8182EEF67E44}"/>
    <cellStyle name="Vírgula 2 2 4 2 3 11" xfId="6479" xr:uid="{92B17189-DE58-44B8-96BA-56DF188714CA}"/>
    <cellStyle name="Vírgula 2 2 4 2 3 2" xfId="4304" xr:uid="{19EEA833-30FC-4C73-98B2-5FE33BF7DBA5}"/>
    <cellStyle name="Vírgula 2 2 4 2 3 2 2" xfId="37105" xr:uid="{DB5DECFF-9CAB-43A4-91FC-9D1DD5F9D567}"/>
    <cellStyle name="Vírgula 2 2 4 2 3 2 3" xfId="51788" xr:uid="{7D558C9D-4BB1-4BDC-8AFA-5BB0D43FCA1F}"/>
    <cellStyle name="Vírgula 2 2 4 2 3 2 4" xfId="55082" xr:uid="{4E570AA9-DF57-4527-83CA-030F8E44A162}"/>
    <cellStyle name="Vírgula 2 2 4 2 3 2 5" xfId="16765" xr:uid="{08B90E77-235A-4422-AB70-D630F337502A}"/>
    <cellStyle name="Vírgula 2 2 4 2 3 3" xfId="3247" xr:uid="{E0490E91-C379-41F1-B41E-E60D92284484}"/>
    <cellStyle name="Vírgula 2 2 4 2 3 3 2" xfId="40606" xr:uid="{A9C3A2F4-5DD5-4797-8556-4D59CFB973A9}"/>
    <cellStyle name="Vírgula 2 2 4 2 3 3 3" xfId="57458" xr:uid="{A751C768-0974-40DA-A5B5-F61E1E426BF6}"/>
    <cellStyle name="Vírgula 2 2 4 2 3 3 4" xfId="20267" xr:uid="{1B6CBD60-A6C6-4B02-BA46-CAA8E9A1E74D}"/>
    <cellStyle name="Vírgula 2 2 4 2 3 4" xfId="23522" xr:uid="{1132A575-7705-451E-BA5F-D1403B4593F6}"/>
    <cellStyle name="Vírgula 2 2 4 2 3 4 2" xfId="43857" xr:uid="{B5F798ED-BE64-4D8A-A651-65D55F46E1FA}"/>
    <cellStyle name="Vírgula 2 2 4 2 3 5" xfId="13856" xr:uid="{07C72DC6-34D1-4327-B16E-D402ECB61FCA}"/>
    <cellStyle name="Vírgula 2 2 4 2 3 5 2" xfId="34197" xr:uid="{1375052A-1575-4180-AF52-E908AD48C5A0}"/>
    <cellStyle name="Vírgula 2 2 4 2 3 6" xfId="9978" xr:uid="{B3DB00DF-35BB-4598-9EF7-09C5B1BC6ED8}"/>
    <cellStyle name="Vírgula 2 2 4 2 3 6 2" xfId="30321" xr:uid="{29223C25-1523-4787-AA53-E9B2278FB03C}"/>
    <cellStyle name="Vírgula 2 2 4 2 3 7" xfId="26827" xr:uid="{7F802A99-235E-4A83-8154-45B2F381DA9B}"/>
    <cellStyle name="Vírgula 2 2 4 2 3 8" xfId="48486" xr:uid="{924C0C48-1A47-4104-9EFE-2670140B65B8}"/>
    <cellStyle name="Vírgula 2 2 4 2 3 9" xfId="50156" xr:uid="{ED7ADBAA-1DCD-4546-93EA-C5D24F2B7B71}"/>
    <cellStyle name="Vírgula 2 2 4 2 4" xfId="774" xr:uid="{2B8A35D4-B69D-4928-AD5A-D077979DA166}"/>
    <cellStyle name="Vírgula 2 2 4 2 4 10" xfId="53452" xr:uid="{7916A876-0FF6-44BE-BA01-B3F7811A00EA}"/>
    <cellStyle name="Vírgula 2 2 4 2 4 11" xfId="7643" xr:uid="{5E29765B-C5A2-4D1E-A760-524702956BD2}"/>
    <cellStyle name="Vírgula 2 2 4 2 4 2" xfId="2490" xr:uid="{20407C73-1B05-4C00-A40D-1927801537D4}"/>
    <cellStyle name="Vírgula 2 2 4 2 4 2 2" xfId="38268" xr:uid="{EE64ADB6-CD5E-49C5-8C57-2180083029E2}"/>
    <cellStyle name="Vírgula 2 2 4 2 4 2 3" xfId="51789" xr:uid="{A90C8977-4105-4403-8B6F-25DC3F177607}"/>
    <cellStyle name="Vírgula 2 2 4 2 4 2 4" xfId="55083" xr:uid="{11DF4DEC-F757-4056-A142-DCCEA7AAFD8C}"/>
    <cellStyle name="Vírgula 2 2 4 2 4 2 5" xfId="17928" xr:uid="{13EE0D42-8404-4412-ABD1-B7DCAB2728FE}"/>
    <cellStyle name="Vírgula 2 2 4 2 4 3" xfId="21430" xr:uid="{2668F073-8AB6-4648-8B70-E33FD122F1E6}"/>
    <cellStyle name="Vírgula 2 2 4 2 4 3 2" xfId="41769" xr:uid="{B45E3922-D8BD-416F-9588-151D4A9EFAA2}"/>
    <cellStyle name="Vírgula 2 2 4 2 4 3 3" xfId="56645" xr:uid="{A50A8EEF-DC83-4AA1-9469-D8EEA5BB4466}"/>
    <cellStyle name="Vírgula 2 2 4 2 4 4" xfId="24685" xr:uid="{C3776BA2-20A1-4F5F-B7E5-D88FB7286344}"/>
    <cellStyle name="Vírgula 2 2 4 2 4 4 2" xfId="45020" xr:uid="{69B5CB84-5026-4E72-809F-AE15EA618306}"/>
    <cellStyle name="Vírgula 2 2 4 2 4 5" xfId="15020" xr:uid="{E25E245A-9732-4D04-9253-C7565D85099A}"/>
    <cellStyle name="Vírgula 2 2 4 2 4 5 2" xfId="35360" xr:uid="{1B32B450-FB57-402F-8F02-8742DD356C47}"/>
    <cellStyle name="Vírgula 2 2 4 2 4 6" xfId="11141" xr:uid="{CA3FDAD1-9E53-4D10-9FA5-2AA0D9B4CE72}"/>
    <cellStyle name="Vírgula 2 2 4 2 4 6 2" xfId="31484" xr:uid="{6348CD96-B8BF-427E-B89F-77CE12F432AF}"/>
    <cellStyle name="Vírgula 2 2 4 2 4 7" xfId="27990" xr:uid="{AFA6EADC-2038-4C68-A86C-04889378518D}"/>
    <cellStyle name="Vírgula 2 2 4 2 4 8" xfId="48487" xr:uid="{21D7E996-3391-4476-9AE3-341BA6E974E8}"/>
    <cellStyle name="Vírgula 2 2 4 2 4 9" xfId="50157" xr:uid="{2B2AA53E-D9DE-463D-9516-0B3794F100D3}"/>
    <cellStyle name="Vírgula 2 2 4 2 5" xfId="3654" xr:uid="{6114259C-95FA-4467-ADAE-2F01F394755E}"/>
    <cellStyle name="Vírgula 2 2 4 2 5 2" xfId="22032" xr:uid="{07F45BBD-FD34-4EC1-A469-A07939657837}"/>
    <cellStyle name="Vírgula 2 2 4 2 5 2 2" xfId="42368" xr:uid="{D0DEE5C9-AE18-4B2B-8671-6356D471CF52}"/>
    <cellStyle name="Vírgula 2 2 4 2 5 3" xfId="25284" xr:uid="{5FBBA380-C736-4211-AA86-D2EFCC96686B}"/>
    <cellStyle name="Vírgula 2 2 4 2 5 3 2" xfId="45619" xr:uid="{38E20FB6-23A9-4983-998E-51CF33E67C06}"/>
    <cellStyle name="Vírgula 2 2 4 2 5 4" xfId="12712" xr:uid="{C901DF69-B127-48C9-B1AC-4A09A24D1407}"/>
    <cellStyle name="Vírgula 2 2 4 2 5 4 2" xfId="33053" xr:uid="{B29C1BC5-E6BB-467E-8030-B647C3C91B6B}"/>
    <cellStyle name="Vírgula 2 2 4 2 5 5" xfId="11741" xr:uid="{644DC59E-97F3-47E3-8B1D-29E0FB0DCA2D}"/>
    <cellStyle name="Vírgula 2 2 4 2 5 5 2" xfId="32083" xr:uid="{694CD487-4C79-44B7-8F3B-678DFA6A604A}"/>
    <cellStyle name="Vírgula 2 2 4 2 5 6" xfId="28589" xr:uid="{8A9B475A-F44A-41A9-B1C1-92554F120D1B}"/>
    <cellStyle name="Vírgula 2 2 4 2 5 7" xfId="51786" xr:uid="{19746D54-40D9-46DA-B96D-2C67A0EA9E8F}"/>
    <cellStyle name="Vírgula 2 2 4 2 5 8" xfId="55080" xr:uid="{A87DAA31-B821-44F5-8A0A-CF5009F94DCB}"/>
    <cellStyle name="Vírgula 2 2 4 2 5 9" xfId="8245" xr:uid="{52E3950F-FEA9-4706-B2F0-D982C924D59E}"/>
    <cellStyle name="Vírgula 2 2 4 2 6" xfId="3960" xr:uid="{238F9A9D-DC13-46BA-887D-222A051B9CE7}"/>
    <cellStyle name="Vírgula 2 2 4 2 6 2" xfId="15607" xr:uid="{E2B063A3-1BB4-4EF8-AF17-355FA6091981}"/>
    <cellStyle name="Vírgula 2 2 4 2 6 2 2" xfId="35947" xr:uid="{709922D3-EC60-46B7-A715-184570C39D47}"/>
    <cellStyle name="Vírgula 2 2 4 2 6 3" xfId="28957" xr:uid="{7D28EFC4-B903-4E18-ACFF-3AB28167E652}"/>
    <cellStyle name="Vírgula 2 2 4 2 6 4" xfId="56236" xr:uid="{F8C4E6E6-7165-4373-B033-FDBAB29B7160}"/>
    <cellStyle name="Vírgula 2 2 4 2 6 5" xfId="8614" xr:uid="{2A41EB71-2EDB-4032-A4A9-6FD3632F3D9A}"/>
    <cellStyle name="Vírgula 2 2 4 2 7" xfId="2003" xr:uid="{5B30B75D-EC97-4B28-99D0-3AECC8190774}"/>
    <cellStyle name="Vírgula 2 2 4 2 7 2" xfId="38861" xr:uid="{9C5AF0B5-07EA-48A9-B35A-61D2288AA189}"/>
    <cellStyle name="Vírgula 2 2 4 2 7 3" xfId="18521" xr:uid="{57797A96-C2A5-487A-9CFD-59D322566BAB}"/>
    <cellStyle name="Vírgula 2 2 4 2 8" xfId="19109" xr:uid="{BD50A3A1-9B32-4B8A-A8DF-0D50D69A2E7C}"/>
    <cellStyle name="Vírgula 2 2 4 2 8 2" xfId="39448" xr:uid="{F00379BF-85E6-4A4C-B8BE-81316FFA9778}"/>
    <cellStyle name="Vírgula 2 2 4 2 9" xfId="22364" xr:uid="{88655CED-B5A5-4557-88FD-EC6E62DECA41}"/>
    <cellStyle name="Vírgula 2 2 4 2 9 2" xfId="42699" xr:uid="{6B819052-C7B7-48C5-A57D-5B73720EA83C}"/>
    <cellStyle name="Vírgula 2 2 4 20" xfId="47494" xr:uid="{27577C58-6B29-4760-A53D-B080D9FD3A50}"/>
    <cellStyle name="Vírgula 2 2 4 21" xfId="47620" xr:uid="{24FD8BE7-6969-4F04-932E-60496F3784D6}"/>
    <cellStyle name="Vírgula 2 2 4 22" xfId="48483" xr:uid="{AEE2B84F-B89C-43F3-89A9-975934BD0794}"/>
    <cellStyle name="Vírgula 2 2 4 23" xfId="50153" xr:uid="{B475A531-2CCD-455E-AA49-45E19B368042}"/>
    <cellStyle name="Vírgula 2 2 4 24" xfId="53448" xr:uid="{8A07115C-526B-4EB8-B8BF-EFC22518E195}"/>
    <cellStyle name="Vírgula 2 2 4 25" xfId="5226" xr:uid="{7E7914E6-4C8F-46AF-86A9-2CF1FACABB1F}"/>
    <cellStyle name="Vírgula 2 2 4 26" xfId="4457" xr:uid="{E781EBEB-A745-4EBD-8544-F91017CDF665}"/>
    <cellStyle name="Vírgula 2 2 4 3" xfId="992" xr:uid="{129CB0E7-3A13-44D7-A7D2-74CAEB30628A}"/>
    <cellStyle name="Vírgula 2 2 4 3 10" xfId="12310" xr:uid="{006F41C7-B389-4745-9715-2677BB41693F}"/>
    <cellStyle name="Vírgula 2 2 4 3 10 2" xfId="32651" xr:uid="{F4C4938E-7DEE-443C-8C44-456272EF2862}"/>
    <cellStyle name="Vírgula 2 2 4 3 11" xfId="9049" xr:uid="{341464CA-BDDF-4853-AB8F-2FB3E5DF15CD}"/>
    <cellStyle name="Vírgula 2 2 4 3 11 2" xfId="29392" xr:uid="{5E469BFA-6BAD-4371-B518-34007FB6F7CE}"/>
    <cellStyle name="Vírgula 2 2 4 3 12" xfId="25898" xr:uid="{2FE5C98B-395C-4416-A4F6-8586307D7D1A}"/>
    <cellStyle name="Vírgula 2 2 4 3 13" xfId="46121" xr:uid="{7D6A410C-5FF4-4F3B-876B-4CDD9ECA1B17}"/>
    <cellStyle name="Vírgula 2 2 4 3 14" xfId="46607" xr:uid="{B87E9CC0-62FD-4963-83C2-9F4A291A8DBE}"/>
    <cellStyle name="Vírgula 2 2 4 3 15" xfId="47099" xr:uid="{3C53FD07-2735-4456-8EE9-6416A4C2C281}"/>
    <cellStyle name="Vírgula 2 2 4 3 16" xfId="48488" xr:uid="{F4A1F481-FA91-4F03-890F-ABC55B4F2B99}"/>
    <cellStyle name="Vírgula 2 2 4 3 17" xfId="50158" xr:uid="{88BE560D-DB8A-4CF0-BFD3-85C386CD940C}"/>
    <cellStyle name="Vírgula 2 2 4 3 18" xfId="53453" xr:uid="{E8644422-AA59-4B71-895C-813A97CE0182}"/>
    <cellStyle name="Vírgula 2 2 4 3 19" xfId="5559" xr:uid="{21F0C848-74BB-4FEB-9076-E7921DFE74B8}"/>
    <cellStyle name="Vírgula 2 2 4 3 2" xfId="3545" xr:uid="{AB99A42D-6860-4FFE-AB8F-3168CB20465F}"/>
    <cellStyle name="Vírgula 2 2 4 3 2 10" xfId="55084" xr:uid="{4A6D43A7-CBC4-4BF9-BBBB-D103F15083D8}"/>
    <cellStyle name="Vírgula 2 2 4 3 2 11" xfId="6131" xr:uid="{891B7414-E1B6-469C-9702-E5594AA6911C}"/>
    <cellStyle name="Vírgula 2 2 4 3 2 2" xfId="7289" xr:uid="{B5E020DA-4DBB-4190-91D9-D6169A8B5250}"/>
    <cellStyle name="Vírgula 2 2 4 3 2 2 2" xfId="17575" xr:uid="{8FCC31FA-688A-463A-A34B-A220157ECD69}"/>
    <cellStyle name="Vírgula 2 2 4 3 2 2 2 2" xfId="37915" xr:uid="{8C70CA5B-6568-4D05-BA33-7E66D0BDC75A}"/>
    <cellStyle name="Vírgula 2 2 4 3 2 2 3" xfId="21077" xr:uid="{5EAB944D-C41A-46A3-86FF-88236FA51F90}"/>
    <cellStyle name="Vírgula 2 2 4 3 2 2 3 2" xfId="41416" xr:uid="{553DB0BA-8208-43AA-B231-7D40AD7C8199}"/>
    <cellStyle name="Vírgula 2 2 4 3 2 2 4" xfId="24332" xr:uid="{5253C13C-F4BE-49C4-B841-06082CE27298}"/>
    <cellStyle name="Vírgula 2 2 4 3 2 2 4 2" xfId="44667" xr:uid="{670AEA6D-DC95-4B82-BA2C-FBE744FBA089}"/>
    <cellStyle name="Vírgula 2 2 4 3 2 2 5" xfId="14666" xr:uid="{5493FAB6-EA07-4BE6-941E-0510725ADD3E}"/>
    <cellStyle name="Vírgula 2 2 4 3 2 2 5 2" xfId="35007" xr:uid="{32A09CD5-A30C-42BF-8BE8-E187DCE2BDBD}"/>
    <cellStyle name="Vírgula 2 2 4 3 2 2 6" xfId="10788" xr:uid="{08A96C6B-86DF-43E0-B290-F2C579D564B7}"/>
    <cellStyle name="Vírgula 2 2 4 3 2 2 6 2" xfId="31131" xr:uid="{453ABFE1-C2E5-4541-A5AA-092A73881AEC}"/>
    <cellStyle name="Vírgula 2 2 4 3 2 2 7" xfId="27637" xr:uid="{3A12CD53-2809-43D3-9A40-6837D1DC9161}"/>
    <cellStyle name="Vírgula 2 2 4 3 2 3" xfId="16417" xr:uid="{E780917B-C019-4F90-8CF8-3E789C770F69}"/>
    <cellStyle name="Vírgula 2 2 4 3 2 3 2" xfId="36757" xr:uid="{79344A52-C102-473F-B3B0-FEA96302B2DF}"/>
    <cellStyle name="Vírgula 2 2 4 3 2 4" xfId="19919" xr:uid="{69DE7C55-A0A2-4ADB-B313-7C13B55AF0B2}"/>
    <cellStyle name="Vírgula 2 2 4 3 2 4 2" xfId="40258" xr:uid="{057E547B-B864-41F0-B4D6-5C2E0349865D}"/>
    <cellStyle name="Vírgula 2 2 4 3 2 5" xfId="23174" xr:uid="{42AA2EEC-619B-43C9-9B39-D235C77600F7}"/>
    <cellStyle name="Vírgula 2 2 4 3 2 5 2" xfId="43509" xr:uid="{9E837FE1-70A8-4C41-93AE-A0B068930CC8}"/>
    <cellStyle name="Vírgula 2 2 4 3 2 6" xfId="13508" xr:uid="{1BF0B724-AC1B-4115-B636-7EC0E939FB8F}"/>
    <cellStyle name="Vírgula 2 2 4 3 2 6 2" xfId="33849" xr:uid="{81A59861-7E2F-4F56-AC90-4F4B7135085D}"/>
    <cellStyle name="Vírgula 2 2 4 3 2 7" xfId="9630" xr:uid="{1F8A2752-8B92-4BAE-8364-7AB4395C21B8}"/>
    <cellStyle name="Vírgula 2 2 4 3 2 7 2" xfId="29973" xr:uid="{3F756678-931B-43DC-8E64-8EC8F3C84D27}"/>
    <cellStyle name="Vírgula 2 2 4 3 2 8" xfId="26479" xr:uid="{6F3F31E8-CA13-4DCB-AF90-D4281C6F51D1}"/>
    <cellStyle name="Vírgula 2 2 4 3 2 9" xfId="51790" xr:uid="{9805DD09-446D-4221-8EA6-B2CDB0CEBD94}"/>
    <cellStyle name="Vírgula 2 2 4 3 20" xfId="5007" xr:uid="{E116A40B-E4D3-4EC4-AC0A-BF70DEF3BF50}"/>
    <cellStyle name="Vírgula 2 2 4 3 3" xfId="4019" xr:uid="{650977A5-2A73-411C-934B-17C98C903C6D}"/>
    <cellStyle name="Vírgula 2 2 4 3 3 2" xfId="16994" xr:uid="{54AE9424-382F-4FA6-AEEB-689C1E70940F}"/>
    <cellStyle name="Vírgula 2 2 4 3 3 2 2" xfId="37334" xr:uid="{A0C68E85-9D20-41A9-8231-6461F6E87BAC}"/>
    <cellStyle name="Vírgula 2 2 4 3 3 3" xfId="20496" xr:uid="{67695C2C-C62E-4800-A191-E9AD77B773EF}"/>
    <cellStyle name="Vírgula 2 2 4 3 3 3 2" xfId="40835" xr:uid="{9AB8E23E-1A08-4B54-A367-0709BAAA578A}"/>
    <cellStyle name="Vírgula 2 2 4 3 3 4" xfId="23751" xr:uid="{346214BB-505B-4DEC-BED1-F6DDA004E198}"/>
    <cellStyle name="Vírgula 2 2 4 3 3 4 2" xfId="44086" xr:uid="{696EA147-4D4A-4EC6-B9A8-FE34BA0A7998}"/>
    <cellStyle name="Vírgula 2 2 4 3 3 5" xfId="14085" xr:uid="{DE51BAF3-0021-4064-945B-948A30394369}"/>
    <cellStyle name="Vírgula 2 2 4 3 3 5 2" xfId="34426" xr:uid="{69358C14-6175-4A5C-8D81-1D724DC8E093}"/>
    <cellStyle name="Vírgula 2 2 4 3 3 6" xfId="10207" xr:uid="{78ABE96B-1BF5-4DB5-BF2B-D0CC34159F0A}"/>
    <cellStyle name="Vírgula 2 2 4 3 3 6 2" xfId="30550" xr:uid="{2E8AEDC1-714E-47D1-BB80-B1D5214A6C26}"/>
    <cellStyle name="Vírgula 2 2 4 3 3 7" xfId="27056" xr:uid="{49B381C8-A7E2-4601-80F0-0FB30E1251C1}"/>
    <cellStyle name="Vírgula 2 2 4 3 3 8" xfId="56863" xr:uid="{7B40D02E-BD14-43F0-A723-77912B33F562}"/>
    <cellStyle name="Vírgula 2 2 4 3 3 9" xfId="6708" xr:uid="{86AB14A6-301D-4D3E-8CE4-7539E9122F7D}"/>
    <cellStyle name="Vírgula 2 2 4 3 4" xfId="1894" xr:uid="{2B101850-6EB1-4EA6-880A-F4732F27F165}"/>
    <cellStyle name="Vírgula 2 2 4 3 4 2" xfId="18157" xr:uid="{2C582D8E-6119-4CAF-ADD2-7BDD927F4C63}"/>
    <cellStyle name="Vírgula 2 2 4 3 4 2 2" xfId="38497" xr:uid="{8B3B7A0B-B3D2-4C90-B498-762501DAE4EA}"/>
    <cellStyle name="Vírgula 2 2 4 3 4 3" xfId="21659" xr:uid="{52F2461A-F9F9-49CA-A5E7-C098AC1E98E9}"/>
    <cellStyle name="Vírgula 2 2 4 3 4 3 2" xfId="41998" xr:uid="{BDB098AB-5176-4463-8509-2CA0A11C918B}"/>
    <cellStyle name="Vírgula 2 2 4 3 4 4" xfId="24914" xr:uid="{BFDC1C4D-F273-4AAD-9794-DA7BD33265BE}"/>
    <cellStyle name="Vírgula 2 2 4 3 4 4 2" xfId="45249" xr:uid="{9AE12F4E-184F-42BE-B61E-B6376AA0F632}"/>
    <cellStyle name="Vírgula 2 2 4 3 4 5" xfId="15249" xr:uid="{43E63372-1DB2-4BA7-96AC-FF3F59A5910A}"/>
    <cellStyle name="Vírgula 2 2 4 3 4 5 2" xfId="35589" xr:uid="{D264AF0C-8D53-4589-A377-591816C04F45}"/>
    <cellStyle name="Vírgula 2 2 4 3 4 6" xfId="11370" xr:uid="{69243269-C798-4EEA-8A7D-CE6705C15A5A}"/>
    <cellStyle name="Vírgula 2 2 4 3 4 6 2" xfId="31713" xr:uid="{625D929A-BE5F-4B57-8410-F21B013DEF20}"/>
    <cellStyle name="Vírgula 2 2 4 3 4 7" xfId="28219" xr:uid="{94BF546A-5EF9-409D-AC59-2227F7985516}"/>
    <cellStyle name="Vírgula 2 2 4 3 4 8" xfId="7872" xr:uid="{CDBE4053-9FCA-44CD-8F90-BD7713BA0AB4}"/>
    <cellStyle name="Vírgula 2 2 4 3 5" xfId="8246" xr:uid="{51099391-7132-4CEE-A6CB-B0062FCED3BF}"/>
    <cellStyle name="Vírgula 2 2 4 3 5 2" xfId="22033" xr:uid="{C967CCCB-B1C4-4FFF-8855-C30E933AE32D}"/>
    <cellStyle name="Vírgula 2 2 4 3 5 2 2" xfId="42369" xr:uid="{D90FA5D5-A9FF-49E5-AC5F-90996D5FFEB2}"/>
    <cellStyle name="Vírgula 2 2 4 3 5 3" xfId="25285" xr:uid="{808A4C2B-96B0-4C86-8E1D-0400FAC7C0E5}"/>
    <cellStyle name="Vírgula 2 2 4 3 5 3 2" xfId="45620" xr:uid="{170AB422-5B8B-43D9-A7F1-B8D73D05CC56}"/>
    <cellStyle name="Vírgula 2 2 4 3 5 4" xfId="12939" xr:uid="{E76B6947-2DC7-4148-8F81-3838E2D66B9A}"/>
    <cellStyle name="Vírgula 2 2 4 3 5 4 2" xfId="33280" xr:uid="{C683A074-F6F9-4A1F-A21B-D0E26E69DBCB}"/>
    <cellStyle name="Vírgula 2 2 4 3 5 5" xfId="11742" xr:uid="{BDC0C08C-7701-4E80-8237-9C75144D5FF9}"/>
    <cellStyle name="Vírgula 2 2 4 3 5 5 2" xfId="32084" xr:uid="{7D913ABC-0C13-498A-A8EF-2434CD39A899}"/>
    <cellStyle name="Vírgula 2 2 4 3 5 6" xfId="28590" xr:uid="{698B2E72-7754-4E7C-AB21-D36004542488}"/>
    <cellStyle name="Vírgula 2 2 4 3 6" xfId="15836" xr:uid="{71505447-D9E4-4304-A7D6-3C76BA5596BA}"/>
    <cellStyle name="Vírgula 2 2 4 3 6 2" xfId="36176" xr:uid="{6D45CB18-8C48-4156-BE33-A112D6C04743}"/>
    <cellStyle name="Vírgula 2 2 4 3 7" xfId="18750" xr:uid="{3AA3F059-9F49-42EF-BA0E-3971B0E2C795}"/>
    <cellStyle name="Vírgula 2 2 4 3 7 2" xfId="39090" xr:uid="{212C1F39-203A-44E8-8DD4-2929D6234590}"/>
    <cellStyle name="Vírgula 2 2 4 3 8" xfId="19338" xr:uid="{5525169D-7B4B-421C-A446-1150352DAFF6}"/>
    <cellStyle name="Vírgula 2 2 4 3 8 2" xfId="39677" xr:uid="{A2985167-168B-4E15-A9ED-124958D85C2F}"/>
    <cellStyle name="Vírgula 2 2 4 3 9" xfId="22593" xr:uid="{89B1EF71-4993-4E2A-A89D-4ACB228BD538}"/>
    <cellStyle name="Vírgula 2 2 4 3 9 2" xfId="42928" xr:uid="{C1E644AA-64C2-4AB0-96FE-C366D32AD122}"/>
    <cellStyle name="Vírgula 2 2 4 4" xfId="1398" xr:uid="{A6BF122C-BD61-4001-9675-FDB92DED7683}"/>
    <cellStyle name="Vírgula 2 2 4 4 10" xfId="12468" xr:uid="{9B64A983-F18D-4C9F-AB38-E04C11649E11}"/>
    <cellStyle name="Vírgula 2 2 4 4 10 2" xfId="32809" xr:uid="{6B6446E1-AAF8-4858-BD4B-73412FB2B655}"/>
    <cellStyle name="Vírgula 2 2 4 4 11" xfId="9207" xr:uid="{81FD5D82-EBA3-495A-863D-CF6C113F8F00}"/>
    <cellStyle name="Vírgula 2 2 4 4 11 2" xfId="29550" xr:uid="{320CE5D2-B53E-438E-92CC-45E7AE277845}"/>
    <cellStyle name="Vírgula 2 2 4 4 12" xfId="26056" xr:uid="{AAA34B48-9AA6-4BA4-BDCD-B31355F64766}"/>
    <cellStyle name="Vírgula 2 2 4 4 13" xfId="48489" xr:uid="{D663E796-23DF-466D-B925-6320BF26BD06}"/>
    <cellStyle name="Vírgula 2 2 4 4 14" xfId="50159" xr:uid="{4E37FB25-EB26-4E03-909F-520FF2FF3208}"/>
    <cellStyle name="Vírgula 2 2 4 4 15" xfId="53454" xr:uid="{CA61A68C-468D-4138-969A-D6484B51A335}"/>
    <cellStyle name="Vírgula 2 2 4 4 16" xfId="5717" xr:uid="{9A2818AE-8748-4025-9421-CCD1F8575AA1}"/>
    <cellStyle name="Vírgula 2 2 4 4 17" xfId="4888" xr:uid="{0415AD57-2AFA-4DC1-84BA-5E57747053CC}"/>
    <cellStyle name="Vírgula 2 2 4 4 2" xfId="3763" xr:uid="{C6D23A64-99CF-48B9-881C-D0A55E38BA4A}"/>
    <cellStyle name="Vírgula 2 2 4 4 2 10" xfId="55085" xr:uid="{6EB51F5D-D822-4544-8A0E-5AA41D5905EE}"/>
    <cellStyle name="Vírgula 2 2 4 4 2 11" xfId="6289" xr:uid="{5B473D2F-45A3-4891-B21D-D59EE72B145B}"/>
    <cellStyle name="Vírgula 2 2 4 4 2 2" xfId="7447" xr:uid="{A9F222D8-9445-4FD2-B20A-094E88B32B99}"/>
    <cellStyle name="Vírgula 2 2 4 4 2 2 2" xfId="17733" xr:uid="{1E51AC81-06EF-4105-A211-450169EEB78D}"/>
    <cellStyle name="Vírgula 2 2 4 4 2 2 2 2" xfId="38073" xr:uid="{EFFE2FBD-082B-411C-AA98-4E726F08810D}"/>
    <cellStyle name="Vírgula 2 2 4 4 2 2 3" xfId="21235" xr:uid="{12B896F1-9636-47F3-8C75-E3126B1E5301}"/>
    <cellStyle name="Vírgula 2 2 4 4 2 2 3 2" xfId="41574" xr:uid="{6A5E5DEB-E9BF-4099-9752-3B8D9EB7B570}"/>
    <cellStyle name="Vírgula 2 2 4 4 2 2 4" xfId="24490" xr:uid="{CE96536C-8420-4393-8649-86957BD26BE3}"/>
    <cellStyle name="Vírgula 2 2 4 4 2 2 4 2" xfId="44825" xr:uid="{AFB3577A-3855-4BEC-AFF1-682B145FD4A8}"/>
    <cellStyle name="Vírgula 2 2 4 4 2 2 5" xfId="14824" xr:uid="{53466A4D-5966-4A58-BEA5-E6E3B4BD57C4}"/>
    <cellStyle name="Vírgula 2 2 4 4 2 2 5 2" xfId="35165" xr:uid="{C0BED5C8-BFCA-4536-AE68-FBFB813DA8F6}"/>
    <cellStyle name="Vírgula 2 2 4 4 2 2 6" xfId="10946" xr:uid="{E64BAABA-D1C2-4D5E-951F-0BB812898209}"/>
    <cellStyle name="Vírgula 2 2 4 4 2 2 6 2" xfId="31289" xr:uid="{7B351125-9BAD-4E9D-A3E4-B39A8C50A250}"/>
    <cellStyle name="Vírgula 2 2 4 4 2 2 7" xfId="27795" xr:uid="{6AB52761-4823-4CED-A7C2-4F865B2C70EF}"/>
    <cellStyle name="Vírgula 2 2 4 4 2 3" xfId="16575" xr:uid="{E40F54A6-0A45-48E9-BB28-E18A6AA64741}"/>
    <cellStyle name="Vírgula 2 2 4 4 2 3 2" xfId="36915" xr:uid="{10D38C2C-A178-4AB4-BE1C-866293CB2726}"/>
    <cellStyle name="Vírgula 2 2 4 4 2 4" xfId="20077" xr:uid="{F56F033C-3EF3-4599-BB18-5D1C81A7D591}"/>
    <cellStyle name="Vírgula 2 2 4 4 2 4 2" xfId="40416" xr:uid="{9162E5A4-0039-45B3-A55F-41078BDB2EF6}"/>
    <cellStyle name="Vírgula 2 2 4 4 2 5" xfId="23332" xr:uid="{C1D3842F-CF68-4B19-9E95-77A1B9F47D64}"/>
    <cellStyle name="Vírgula 2 2 4 4 2 5 2" xfId="43667" xr:uid="{E203E779-5AA2-4B60-B12F-DC8938B81792}"/>
    <cellStyle name="Vírgula 2 2 4 4 2 6" xfId="13666" xr:uid="{F679C603-C96D-4C9F-BB63-1F0AC55391E5}"/>
    <cellStyle name="Vírgula 2 2 4 4 2 6 2" xfId="34007" xr:uid="{C9DE3358-DD37-4F35-83C4-61E552C18B79}"/>
    <cellStyle name="Vírgula 2 2 4 4 2 7" xfId="9788" xr:uid="{AF73CDD3-7FA9-46C9-868A-C1C1FC7FCAB4}"/>
    <cellStyle name="Vírgula 2 2 4 4 2 7 2" xfId="30131" xr:uid="{EC09CC0F-545D-4E3E-A9B3-07084D1AB066}"/>
    <cellStyle name="Vírgula 2 2 4 4 2 8" xfId="26637" xr:uid="{7C390CF1-DCFC-4B8A-9ED1-CA6E2A870740}"/>
    <cellStyle name="Vírgula 2 2 4 4 2 9" xfId="51791" xr:uid="{03AE41C0-A393-4361-9BD5-159AFB298147}"/>
    <cellStyle name="Vírgula 2 2 4 4 3" xfId="4191" xr:uid="{8753693E-7992-474C-8456-1C66C62FA17E}"/>
    <cellStyle name="Vírgula 2 2 4 4 3 2" xfId="17152" xr:uid="{87942026-3442-4FA7-9E17-1BC60A40A961}"/>
    <cellStyle name="Vírgula 2 2 4 4 3 2 2" xfId="37492" xr:uid="{9E184744-7EBE-41DE-AD2C-2F70B8C82409}"/>
    <cellStyle name="Vírgula 2 2 4 4 3 3" xfId="20654" xr:uid="{89C6F73E-3360-45BD-8AE8-9686D7AEC0C3}"/>
    <cellStyle name="Vírgula 2 2 4 4 3 3 2" xfId="40993" xr:uid="{7A91ED50-7CC5-44D8-8FFD-4092DE459228}"/>
    <cellStyle name="Vírgula 2 2 4 4 3 4" xfId="23909" xr:uid="{197A9606-78CC-452E-9E08-A1E1249510D8}"/>
    <cellStyle name="Vírgula 2 2 4 4 3 4 2" xfId="44244" xr:uid="{8A875111-E236-4AFA-9A34-8AAD4F957D96}"/>
    <cellStyle name="Vírgula 2 2 4 4 3 5" xfId="14243" xr:uid="{9F965B67-84A1-4B3F-B421-C110E93B0C98}"/>
    <cellStyle name="Vírgula 2 2 4 4 3 5 2" xfId="34584" xr:uid="{C1323D03-A891-4FA8-8E68-D9921501A864}"/>
    <cellStyle name="Vírgula 2 2 4 4 3 6" xfId="10365" xr:uid="{B717B80E-CB55-48AA-8615-A22237077AD5}"/>
    <cellStyle name="Vírgula 2 2 4 4 3 6 2" xfId="30708" xr:uid="{C62415A0-2FD8-4598-AF8A-26C9E8951083}"/>
    <cellStyle name="Vírgula 2 2 4 4 3 7" xfId="27214" xr:uid="{D56C9C96-6A5E-4C1E-A2D0-66E552425360}"/>
    <cellStyle name="Vírgula 2 2 4 4 3 8" xfId="57269" xr:uid="{47469B4B-672F-4C4F-A73F-E72BCD71A556}"/>
    <cellStyle name="Vírgula 2 2 4 4 3 9" xfId="6866" xr:uid="{CD93D3B9-1754-4CAE-A8C6-AADA3F4B8E50}"/>
    <cellStyle name="Vírgula 2 2 4 4 4" xfId="3059" xr:uid="{059A4C47-7B7C-43B2-8E96-9AF07149C364}"/>
    <cellStyle name="Vírgula 2 2 4 4 4 2" xfId="18315" xr:uid="{B800C731-DA20-4F3F-8C9B-B45FADEAE2B4}"/>
    <cellStyle name="Vírgula 2 2 4 4 4 2 2" xfId="38655" xr:uid="{075C6E62-EEF9-4132-86B7-05CC8CCBF70C}"/>
    <cellStyle name="Vírgula 2 2 4 4 4 3" xfId="21817" xr:uid="{A9C6A2D8-C326-4622-B911-D6C9CB16D4F3}"/>
    <cellStyle name="Vírgula 2 2 4 4 4 3 2" xfId="42156" xr:uid="{CAAF57D8-0DF4-416F-9A53-962DA4E57721}"/>
    <cellStyle name="Vírgula 2 2 4 4 4 4" xfId="25072" xr:uid="{DDC1D3A5-7AA2-4C90-B48B-A22A5EB1DDC9}"/>
    <cellStyle name="Vírgula 2 2 4 4 4 4 2" xfId="45407" xr:uid="{1C4F6515-2FBC-4FE1-92DD-013A1BF7FF76}"/>
    <cellStyle name="Vírgula 2 2 4 4 4 5" xfId="15407" xr:uid="{C1C2C7EB-3198-453B-BCA3-26D69DDC8A56}"/>
    <cellStyle name="Vírgula 2 2 4 4 4 5 2" xfId="35747" xr:uid="{74090CF9-D996-4BCF-83F9-22F9357AF632}"/>
    <cellStyle name="Vírgula 2 2 4 4 4 6" xfId="11528" xr:uid="{8DDB570B-CC5B-493E-BC38-168EC609FE90}"/>
    <cellStyle name="Vírgula 2 2 4 4 4 6 2" xfId="31871" xr:uid="{4E0F9EE2-1287-4A89-8A61-B450A43162C8}"/>
    <cellStyle name="Vírgula 2 2 4 4 4 7" xfId="28377" xr:uid="{65342C69-21D8-4D49-8B0E-ADAC67DE6423}"/>
    <cellStyle name="Vírgula 2 2 4 4 4 8" xfId="8030" xr:uid="{D3C160A7-2284-4DE2-BBEE-96BE82052118}"/>
    <cellStyle name="Vírgula 2 2 4 4 5" xfId="13097" xr:uid="{6055C619-9C42-4AA9-BA4A-2B98461E1893}"/>
    <cellStyle name="Vírgula 2 2 4 4 5 2" xfId="33438" xr:uid="{72F8CB41-00D5-416A-8F2D-9BA6C1AA6C4D}"/>
    <cellStyle name="Vírgula 2 2 4 4 6" xfId="15994" xr:uid="{F19C8409-FFF8-4639-974E-46D075111FC3}"/>
    <cellStyle name="Vírgula 2 2 4 4 6 2" xfId="36334" xr:uid="{03D1A293-C02B-4D31-BCA6-37DD9078A7CE}"/>
    <cellStyle name="Vírgula 2 2 4 4 7" xfId="18908" xr:uid="{754280F7-5F9A-49E9-B58C-1AEF82CDD1A9}"/>
    <cellStyle name="Vírgula 2 2 4 4 7 2" xfId="39248" xr:uid="{D7BC7DCA-6975-49AA-9C23-5653A3812779}"/>
    <cellStyle name="Vírgula 2 2 4 4 8" xfId="19496" xr:uid="{BD195382-E59E-46B1-9C50-58A31C0ACE37}"/>
    <cellStyle name="Vírgula 2 2 4 4 8 2" xfId="39835" xr:uid="{0EF53B44-E95B-4C15-B868-E159AD9E6622}"/>
    <cellStyle name="Vírgula 2 2 4 4 9" xfId="22751" xr:uid="{B01170D6-4C3F-438D-B2AF-B9D514C2A7AF}"/>
    <cellStyle name="Vírgula 2 2 4 4 9 2" xfId="43086" xr:uid="{79192964-8104-4D63-9FBB-EBB124AC280F}"/>
    <cellStyle name="Vírgula 2 2 4 5" xfId="585" xr:uid="{89C6ED8E-26EC-49CB-B23E-C5892DB8BEA4}"/>
    <cellStyle name="Vírgula 2 2 4 5 10" xfId="50160" xr:uid="{3D269666-A40B-4F68-8999-AF477D6FDE30}"/>
    <cellStyle name="Vírgula 2 2 4 5 11" xfId="53455" xr:uid="{03302987-073A-4477-9625-4C44EA5155FF}"/>
    <cellStyle name="Vírgula 2 2 4 5 12" xfId="5787" xr:uid="{9CB8CE4B-1B5A-4635-82E2-BE4DBB8EAD2D}"/>
    <cellStyle name="Vírgula 2 2 4 5 2" xfId="2301" xr:uid="{73688C06-BD1A-47CE-82EC-3C02518A9F65}"/>
    <cellStyle name="Vírgula 2 2 4 5 2 10" xfId="6945" xr:uid="{79642425-AB88-421D-AC5D-CD1C2DA45FC2}"/>
    <cellStyle name="Vírgula 2 2 4 5 2 2" xfId="17231" xr:uid="{4F2AC1A6-E3EE-4648-BBDD-98E4769F9780}"/>
    <cellStyle name="Vírgula 2 2 4 5 2 2 2" xfId="37571" xr:uid="{45A9C16E-5656-412C-BA46-58151259F136}"/>
    <cellStyle name="Vírgula 2 2 4 5 2 3" xfId="20733" xr:uid="{943474B8-9059-498A-833B-71B6FBDBFAD4}"/>
    <cellStyle name="Vírgula 2 2 4 5 2 3 2" xfId="41072" xr:uid="{86A590B0-8DB7-49EB-9A99-C85D8B0B0063}"/>
    <cellStyle name="Vírgula 2 2 4 5 2 4" xfId="23988" xr:uid="{FB7B745E-60FB-421C-A691-82EECBBA80A8}"/>
    <cellStyle name="Vírgula 2 2 4 5 2 4 2" xfId="44323" xr:uid="{FBF89637-8569-4B6C-B4AA-7B9F4F55B6A3}"/>
    <cellStyle name="Vírgula 2 2 4 5 2 5" xfId="14322" xr:uid="{D0B2F4E1-FF7E-49AF-ACFE-F1922DF4855B}"/>
    <cellStyle name="Vírgula 2 2 4 5 2 5 2" xfId="34663" xr:uid="{C4A9C328-E8D7-4D81-B954-056874983192}"/>
    <cellStyle name="Vírgula 2 2 4 5 2 6" xfId="10444" xr:uid="{2F78C349-7587-4980-87D7-CDF2DEE74B67}"/>
    <cellStyle name="Vírgula 2 2 4 5 2 6 2" xfId="30787" xr:uid="{8979CEF0-8D6B-4CBE-8627-13EFA2BDFC26}"/>
    <cellStyle name="Vírgula 2 2 4 5 2 7" xfId="27293" xr:uid="{4D04ABDC-0043-4763-8566-FE3F17696C9B}"/>
    <cellStyle name="Vírgula 2 2 4 5 2 8" xfId="51792" xr:uid="{2BF3066E-DEF9-418B-A65F-DD028CC9564C}"/>
    <cellStyle name="Vírgula 2 2 4 5 2 9" xfId="55086" xr:uid="{DDE813DC-0C13-41A2-A9D9-9E394A10333F}"/>
    <cellStyle name="Vírgula 2 2 4 5 3" xfId="16073" xr:uid="{678973BE-EF9E-4C94-8D46-AAC62E5923F5}"/>
    <cellStyle name="Vírgula 2 2 4 5 3 2" xfId="36413" xr:uid="{6E503B9F-9895-4780-95B9-1948B9819F23}"/>
    <cellStyle name="Vírgula 2 2 4 5 3 3" xfId="56456" xr:uid="{2AE3F5F8-BE4D-4C9C-93B6-A5FEB01683F1}"/>
    <cellStyle name="Vírgula 2 2 4 5 4" xfId="19575" xr:uid="{A92A1180-9EBF-4067-BE62-35EFE71FE481}"/>
    <cellStyle name="Vírgula 2 2 4 5 4 2" xfId="39914" xr:uid="{40FC727A-647E-4C95-95BF-A60C1DC76256}"/>
    <cellStyle name="Vírgula 2 2 4 5 5" xfId="22830" xr:uid="{6BC11719-70FA-4FB6-B356-7335B7BFFB13}"/>
    <cellStyle name="Vírgula 2 2 4 5 5 2" xfId="43165" xr:uid="{45FDC5E0-2061-4934-99B5-5758670E51A1}"/>
    <cellStyle name="Vírgula 2 2 4 5 6" xfId="13173" xr:uid="{62CA30D8-4519-4012-B0C0-A3F0F320CF73}"/>
    <cellStyle name="Vírgula 2 2 4 5 6 2" xfId="33514" xr:uid="{1ABA8CEB-FCA5-4AEC-BAA4-FA604F60B56D}"/>
    <cellStyle name="Vírgula 2 2 4 5 7" xfId="9286" xr:uid="{CDD28BA8-105B-43E7-94BC-CE57CD84BB6F}"/>
    <cellStyle name="Vírgula 2 2 4 5 7 2" xfId="29629" xr:uid="{FF273641-1048-4BA3-BDAB-28561B588318}"/>
    <cellStyle name="Vírgula 2 2 4 5 8" xfId="26135" xr:uid="{57F009D1-9522-4BB5-B414-12BE99306292}"/>
    <cellStyle name="Vírgula 2 2 4 5 9" xfId="48490" xr:uid="{9B8A2674-75A7-4E56-8603-F7253EC996AF}"/>
    <cellStyle name="Vírgula 2 2 4 6" xfId="3435" xr:uid="{1448FD17-23D4-4043-A589-6834C7BB51ED}"/>
    <cellStyle name="Vírgula 2 2 4 6 10" xfId="6364" xr:uid="{B7929E4A-E177-48B8-904E-F5BFE91D5746}"/>
    <cellStyle name="Vírgula 2 2 4 6 2" xfId="16650" xr:uid="{95DDD740-915C-49E8-A599-03980301A3C7}"/>
    <cellStyle name="Vírgula 2 2 4 6 2 2" xfId="36990" xr:uid="{6E7A1BA5-1D1F-46BA-AC3C-00081F097C40}"/>
    <cellStyle name="Vírgula 2 2 4 6 3" xfId="20152" xr:uid="{515B4027-C9DF-4935-A748-B932A6ACDD5B}"/>
    <cellStyle name="Vírgula 2 2 4 6 3 2" xfId="40491" xr:uid="{ED399916-085D-415E-B36D-14621D30D315}"/>
    <cellStyle name="Vírgula 2 2 4 6 4" xfId="23407" xr:uid="{1817D277-8244-480C-BA8A-4DACD608F42E}"/>
    <cellStyle name="Vírgula 2 2 4 6 4 2" xfId="43742" xr:uid="{EB02683A-0C0C-4005-B9C4-7130210D197A}"/>
    <cellStyle name="Vírgula 2 2 4 6 5" xfId="13741" xr:uid="{BD434689-130C-450B-9DED-3C5001823873}"/>
    <cellStyle name="Vírgula 2 2 4 6 5 2" xfId="34082" xr:uid="{E8B992D2-C53C-4F18-B180-118F0C850A8C}"/>
    <cellStyle name="Vírgula 2 2 4 6 6" xfId="9863" xr:uid="{3D463A46-6E61-4FFB-9567-9CB0031C7F4D}"/>
    <cellStyle name="Vírgula 2 2 4 6 6 2" xfId="30206" xr:uid="{3B87725B-B648-4C16-853E-B33775E6F02E}"/>
    <cellStyle name="Vírgula 2 2 4 6 7" xfId="26712" xr:uid="{BC85367C-DDA7-49FE-AF14-372164B142F5}"/>
    <cellStyle name="Vírgula 2 2 4 6 8" xfId="51785" xr:uid="{58B58B17-42D4-4EA5-8E17-94DD773A152F}"/>
    <cellStyle name="Vírgula 2 2 4 6 9" xfId="55079" xr:uid="{4E071BD6-F2E1-4D08-99C0-6B3CB5382377}"/>
    <cellStyle name="Vírgula 2 2 4 7" xfId="3848" xr:uid="{490A582F-7829-41A8-B736-06FD063FB687}"/>
    <cellStyle name="Vírgula 2 2 4 7 2" xfId="17813" xr:uid="{CCFF961D-7800-4188-A3D4-75054E4F201B}"/>
    <cellStyle name="Vírgula 2 2 4 7 2 2" xfId="38153" xr:uid="{68D7569D-ACDC-4E94-926C-EB8C77652F48}"/>
    <cellStyle name="Vírgula 2 2 4 7 3" xfId="21315" xr:uid="{A40AE6B3-F692-4E7C-BBF9-1D7ABB2A9B5A}"/>
    <cellStyle name="Vírgula 2 2 4 7 3 2" xfId="41654" xr:uid="{EEACDFE8-9DEE-4D2D-9AE1-F8245BEB092A}"/>
    <cellStyle name="Vírgula 2 2 4 7 4" xfId="24570" xr:uid="{F47EA04A-6A3E-4D56-934A-4FC595374D6B}"/>
    <cellStyle name="Vírgula 2 2 4 7 4 2" xfId="44905" xr:uid="{30B596E2-D41C-484C-A609-602F7242A463}"/>
    <cellStyle name="Vírgula 2 2 4 7 5" xfId="14905" xr:uid="{88E1E1BF-D607-4ACE-B6B7-29429591AA37}"/>
    <cellStyle name="Vírgula 2 2 4 7 5 2" xfId="35245" xr:uid="{FB6D9124-719A-4B0C-AA7C-525ADA8C84F3}"/>
    <cellStyle name="Vírgula 2 2 4 7 6" xfId="11026" xr:uid="{30ACB2CC-A449-4D0A-A496-209913B3C249}"/>
    <cellStyle name="Vírgula 2 2 4 7 6 2" xfId="31369" xr:uid="{DA4CB306-E649-4F4E-A052-CB75005F739E}"/>
    <cellStyle name="Vírgula 2 2 4 7 7" xfId="27875" xr:uid="{CE048EA4-F858-40A0-8B76-23C6378DA9F4}"/>
    <cellStyle name="Vírgula 2 2 4 7 8" xfId="56047" xr:uid="{3DE07543-126C-489A-92EC-8D778C370321}"/>
    <cellStyle name="Vírgula 2 2 4 7 9" xfId="7528" xr:uid="{A7814D37-4167-4726-866B-6C8A5EA91197}"/>
    <cellStyle name="Vírgula 2 2 4 8" xfId="1784" xr:uid="{AA64B27A-3E70-4319-9B6F-21A48F3D2F4C}"/>
    <cellStyle name="Vírgula 2 2 4 8 2" xfId="22031" xr:uid="{44DC6FBC-6415-460E-9175-8EE943BA8C7A}"/>
    <cellStyle name="Vírgula 2 2 4 8 2 2" xfId="42367" xr:uid="{0C227F17-B5C3-4DBC-AE51-8ED35360CF12}"/>
    <cellStyle name="Vírgula 2 2 4 8 3" xfId="25283" xr:uid="{ED536E4D-58AD-44EF-BE68-01117F0DDFFD}"/>
    <cellStyle name="Vírgula 2 2 4 8 3 2" xfId="45618" xr:uid="{452BB782-AE3E-46C0-8C4A-5C93F25859B6}"/>
    <cellStyle name="Vírgula 2 2 4 8 4" xfId="12604" xr:uid="{032F8929-4D1C-48AA-AC92-1E7D4FF5F66F}"/>
    <cellStyle name="Vírgula 2 2 4 8 4 2" xfId="32945" xr:uid="{74DA502A-83E6-4806-990D-AFDF67905A0F}"/>
    <cellStyle name="Vírgula 2 2 4 8 5" xfId="11740" xr:uid="{35F56370-0A00-4AF1-B543-01C4D9D17977}"/>
    <cellStyle name="Vírgula 2 2 4 8 5 2" xfId="32082" xr:uid="{7DBFBCCB-0C2F-420C-A9E8-F830CDBA1E0F}"/>
    <cellStyle name="Vírgula 2 2 4 8 6" xfId="28588" xr:uid="{844342DC-BB54-49A0-A1A5-6B951E23D8C6}"/>
    <cellStyle name="Vírgula 2 2 4 8 7" xfId="8244" xr:uid="{4D8E82EA-551B-49BB-BED2-F5A7F1D72ED4}"/>
    <cellStyle name="Vírgula 2 2 4 9" xfId="8503" xr:uid="{FE4C081B-F8F1-48ED-9964-DD8C4036FA29}"/>
    <cellStyle name="Vírgula 2 2 4 9 2" xfId="15492" xr:uid="{6066A3BD-CDF4-4391-AA44-564F7062D6B8}"/>
    <cellStyle name="Vírgula 2 2 4 9 2 2" xfId="35832" xr:uid="{9594AE55-AFE6-4FAE-86B7-1813A2180712}"/>
    <cellStyle name="Vírgula 2 2 4 9 3" xfId="28846" xr:uid="{3EDF4103-D876-4804-8341-8C1BF8CD009C}"/>
    <cellStyle name="Vírgula 2 2 5" xfId="202" xr:uid="{093C5831-E223-41CE-AEDD-B0C8354849BF}"/>
    <cellStyle name="Vírgula 2 2 5 10" xfId="19043" xr:uid="{64CB353B-C548-4673-8ECC-8B0E709C8356}"/>
    <cellStyle name="Vírgula 2 2 5 10 2" xfId="39382" xr:uid="{FBF38DC8-C2EF-4FA3-9360-004ABF3BAD54}"/>
    <cellStyle name="Vírgula 2 2 5 11" xfId="22298" xr:uid="{BADBE5E6-D2FF-4576-AC24-D44C34093E3D}"/>
    <cellStyle name="Vírgula 2 2 5 11 2" xfId="42633" xr:uid="{ED9E15BB-3E86-4A7E-8BE4-0B1211AE322F}"/>
    <cellStyle name="Vírgula 2 2 5 12" xfId="12015" xr:uid="{94447804-9171-4AA3-A180-AA5D95B01590}"/>
    <cellStyle name="Vírgula 2 2 5 12 2" xfId="32356" xr:uid="{D8D0DAC9-961E-496B-8170-49310C552378}"/>
    <cellStyle name="Vírgula 2 2 5 13" xfId="8754" xr:uid="{DCBEF2B2-F48E-43ED-8689-CEA2694562B9}"/>
    <cellStyle name="Vírgula 2 2 5 13 2" xfId="29097" xr:uid="{A0FBB4E0-9D50-4689-966E-0200DBA1F0E3}"/>
    <cellStyle name="Vírgula 2 2 5 14" xfId="25599" xr:uid="{A6D201BD-B8D4-4334-A42C-BDAE1781C37E}"/>
    <cellStyle name="Vírgula 2 2 5 15" xfId="45990" xr:uid="{4D6ADC87-FCF8-4925-BA03-F4916AA2AD4B}"/>
    <cellStyle name="Vírgula 2 2 5 16" xfId="46476" xr:uid="{03E5977A-6B60-453E-92A5-C884DB888360}"/>
    <cellStyle name="Vírgula 2 2 5 17" xfId="46968" xr:uid="{ED6B772F-6503-4766-9491-C4B1794F1543}"/>
    <cellStyle name="Vírgula 2 2 5 18" xfId="48491" xr:uid="{7F068D19-C412-4370-B0D7-F0EEF4E3D0E3}"/>
    <cellStyle name="Vírgula 2 2 5 19" xfId="50161" xr:uid="{F21AA720-D52F-43F7-A162-6668D7F4D49E}"/>
    <cellStyle name="Vírgula 2 2 5 2" xfId="391" xr:uid="{5C4F6A23-35A2-4A4D-893E-62C4E2EA3A1A}"/>
    <cellStyle name="Vírgula 2 2 5 2 10" xfId="12130" xr:uid="{B334BA0E-CF09-4CF0-99D5-B83B3770646D}"/>
    <cellStyle name="Vírgula 2 2 5 2 10 2" xfId="32471" xr:uid="{2436E5FB-1F91-4E24-921E-BBF8AFDB92ED}"/>
    <cellStyle name="Vírgula 2 2 5 2 11" xfId="8869" xr:uid="{164F992E-7A82-4354-9952-467AD280E56E}"/>
    <cellStyle name="Vírgula 2 2 5 2 11 2" xfId="29212" xr:uid="{1242E8F7-B972-4ABF-981A-901C558C6DC6}"/>
    <cellStyle name="Vírgula 2 2 5 2 12" xfId="25718" xr:uid="{A2A8E2D1-1112-4B49-AA8D-6777D5181DD2}"/>
    <cellStyle name="Vírgula 2 2 5 2 13" xfId="46233" xr:uid="{9873B2AC-42F5-48EF-BA84-6D1A7852CFDA}"/>
    <cellStyle name="Vírgula 2 2 5 2 14" xfId="46719" xr:uid="{A39F6FDC-17D9-4FAA-9FF8-9BA75313A4A3}"/>
    <cellStyle name="Vírgula 2 2 5 2 15" xfId="47211" xr:uid="{42927B32-F2A4-4ABC-B6B8-6CF3F9A13EB8}"/>
    <cellStyle name="Vírgula 2 2 5 2 16" xfId="48492" xr:uid="{284CB0DA-8160-431D-A707-B4D4758BA83B}"/>
    <cellStyle name="Vírgula 2 2 5 2 17" xfId="50162" xr:uid="{3354BBC1-6E15-4DBA-8A01-82CC6EFD062C}"/>
    <cellStyle name="Vírgula 2 2 5 2 18" xfId="53457" xr:uid="{69E3150F-4FFD-4139-9E73-FC57455867CB}"/>
    <cellStyle name="Vírgula 2 2 5 2 19" xfId="5387" xr:uid="{D2DD431F-9645-4C18-9AE8-478FF63985E3}"/>
    <cellStyle name="Vírgula 2 2 5 2 2" xfId="1207" xr:uid="{1BF222BE-D9B7-452E-B0B2-B7239814FDD3}"/>
    <cellStyle name="Vírgula 2 2 5 2 2 10" xfId="50163" xr:uid="{897B214F-D838-4AFC-8237-13D5B14DF444}"/>
    <cellStyle name="Vírgula 2 2 5 2 2 11" xfId="53458" xr:uid="{DA5E3D56-B0C0-447A-8AA8-8FB532050FBF}"/>
    <cellStyle name="Vírgula 2 2 5 2 2 12" xfId="5951" xr:uid="{6E651512-BD57-4B6F-8639-AF6C24B03D1E}"/>
    <cellStyle name="Vírgula 2 2 5 2 2 13" xfId="5108" xr:uid="{705E2FBA-272B-457A-BE97-34013C095DAE}"/>
    <cellStyle name="Vírgula 2 2 5 2 2 2" xfId="2868" xr:uid="{B1546AA1-0770-409E-B0F9-DD7E0DCAEB3D}"/>
    <cellStyle name="Vírgula 2 2 5 2 2 2 10" xfId="7109" xr:uid="{075BCA5B-2FEF-43C9-AE37-B710EAAA7D26}"/>
    <cellStyle name="Vírgula 2 2 5 2 2 2 2" xfId="17395" xr:uid="{36AAED14-5C0A-40DF-A5C7-A7431DC480A9}"/>
    <cellStyle name="Vírgula 2 2 5 2 2 2 2 2" xfId="37735" xr:uid="{1E33F8DB-262B-45EF-9E70-A40F8278C01A}"/>
    <cellStyle name="Vírgula 2 2 5 2 2 2 3" xfId="20897" xr:uid="{96711221-346D-49A5-AF99-A887B240EA21}"/>
    <cellStyle name="Vírgula 2 2 5 2 2 2 3 2" xfId="41236" xr:uid="{BFA24F02-9CA8-4F5B-A1CD-819DF2DF5CB9}"/>
    <cellStyle name="Vírgula 2 2 5 2 2 2 4" xfId="24152" xr:uid="{FF107EE8-FDE6-492A-A0AB-6ED5333007FD}"/>
    <cellStyle name="Vírgula 2 2 5 2 2 2 4 2" xfId="44487" xr:uid="{69209DD3-53BF-43F5-AE2B-84475808FC1E}"/>
    <cellStyle name="Vírgula 2 2 5 2 2 2 5" xfId="14486" xr:uid="{3134DC37-B8E5-4BE8-9F33-A3CB698F456D}"/>
    <cellStyle name="Vírgula 2 2 5 2 2 2 5 2" xfId="34827" xr:uid="{BDFDF640-49B5-48ED-8315-F6BAD7FA6A46}"/>
    <cellStyle name="Vírgula 2 2 5 2 2 2 6" xfId="10608" xr:uid="{73C9AE40-4F3D-41EC-ACAF-3BB36A74041E}"/>
    <cellStyle name="Vírgula 2 2 5 2 2 2 6 2" xfId="30951" xr:uid="{69322D53-02BA-4559-BE6F-4549CC69DCE7}"/>
    <cellStyle name="Vírgula 2 2 5 2 2 2 7" xfId="27457" xr:uid="{602982CA-157A-4D88-B696-803921916AF0}"/>
    <cellStyle name="Vírgula 2 2 5 2 2 2 8" xfId="51795" xr:uid="{BB2B4657-6EFF-4EC8-9CC4-96DE4820DAC5}"/>
    <cellStyle name="Vírgula 2 2 5 2 2 2 9" xfId="55089" xr:uid="{CB4B8DAD-8B87-4350-BABF-29EA923A419C}"/>
    <cellStyle name="Vírgula 2 2 5 2 2 3" xfId="16237" xr:uid="{7255DCEF-E372-49D8-A364-18E164AC51F9}"/>
    <cellStyle name="Vírgula 2 2 5 2 2 3 2" xfId="36577" xr:uid="{66033E04-ECB5-4B77-9923-7235D524D5EC}"/>
    <cellStyle name="Vírgula 2 2 5 2 2 3 3" xfId="57078" xr:uid="{59C7CE4A-62E4-4975-9A30-30D62D53FAAE}"/>
    <cellStyle name="Vírgula 2 2 5 2 2 4" xfId="19739" xr:uid="{F3EA35A1-664F-47D9-87A5-29C8B9F04C5D}"/>
    <cellStyle name="Vírgula 2 2 5 2 2 4 2" xfId="40078" xr:uid="{698CC1B1-A162-4FC6-ADA7-ABA69B245B68}"/>
    <cellStyle name="Vírgula 2 2 5 2 2 5" xfId="22994" xr:uid="{C276B22F-7D8C-492A-9513-8418F5859F38}"/>
    <cellStyle name="Vírgula 2 2 5 2 2 5 2" xfId="43329" xr:uid="{5C6D251E-1DB7-4A3F-853E-A1561ADE4A81}"/>
    <cellStyle name="Vírgula 2 2 5 2 2 6" xfId="13328" xr:uid="{8EAF1C87-5795-4EBB-A4CA-D96AE20A5776}"/>
    <cellStyle name="Vírgula 2 2 5 2 2 6 2" xfId="33669" xr:uid="{28B907FB-5047-49DA-A781-A82973B8118E}"/>
    <cellStyle name="Vírgula 2 2 5 2 2 7" xfId="9450" xr:uid="{D9742A4A-A20C-4010-8070-9D70AFE48095}"/>
    <cellStyle name="Vírgula 2 2 5 2 2 7 2" xfId="29793" xr:uid="{9DF6D7DA-379B-44BF-828F-E6FB2A81A236}"/>
    <cellStyle name="Vírgula 2 2 5 2 2 8" xfId="26299" xr:uid="{26649F46-87C4-40C2-A440-E31E7B2FF323}"/>
    <cellStyle name="Vírgula 2 2 5 2 2 9" xfId="48493" xr:uid="{E5F1992A-EC94-44C5-BB59-CD61CF50CED8}"/>
    <cellStyle name="Vírgula 2 2 5 2 20" xfId="4672" xr:uid="{5A4063C4-1737-4CB0-B4CA-03C77DB9EABA}"/>
    <cellStyle name="Vírgula 2 2 5 2 3" xfId="1613" xr:uid="{808B5354-CB13-49D6-B07E-BDCCBFF7B809}"/>
    <cellStyle name="Vírgula 2 2 5 2 3 10" xfId="53459" xr:uid="{B7432B26-2F3E-4316-8311-03FDFB734149}"/>
    <cellStyle name="Vírgula 2 2 5 2 3 11" xfId="6528" xr:uid="{94B29FD8-C9AA-4DC9-954B-8844EAF7BB8A}"/>
    <cellStyle name="Vírgula 2 2 5 2 3 2" xfId="3273" xr:uid="{0736DD3F-780A-4F3A-940B-73D0A74A46D4}"/>
    <cellStyle name="Vírgula 2 2 5 2 3 2 2" xfId="37154" xr:uid="{24A2F564-371F-44C3-9670-843BF2EC560F}"/>
    <cellStyle name="Vírgula 2 2 5 2 3 2 3" xfId="51796" xr:uid="{9F5A846B-CEC7-4F7F-958F-E5E082FB6816}"/>
    <cellStyle name="Vírgula 2 2 5 2 3 2 4" xfId="55090" xr:uid="{D2CD95F0-BA43-4AE4-B717-C44CB96D24CD}"/>
    <cellStyle name="Vírgula 2 2 5 2 3 2 5" xfId="16814" xr:uid="{2C922A10-F491-4E26-924B-765786C461D5}"/>
    <cellStyle name="Vírgula 2 2 5 2 3 3" xfId="20316" xr:uid="{7E01BCFA-B692-485A-993C-56BA21BB1B10}"/>
    <cellStyle name="Vírgula 2 2 5 2 3 3 2" xfId="40655" xr:uid="{52C29442-8460-4B91-BD2A-BD066610D5D5}"/>
    <cellStyle name="Vírgula 2 2 5 2 3 3 3" xfId="57484" xr:uid="{720D54EF-816C-4120-9FA5-6EE950B1D0DE}"/>
    <cellStyle name="Vírgula 2 2 5 2 3 4" xfId="23571" xr:uid="{5024D33D-76C9-4B67-BD5B-750A1DAB3CEC}"/>
    <cellStyle name="Vírgula 2 2 5 2 3 4 2" xfId="43906" xr:uid="{20D6C2CC-3D35-46D0-9244-86279EFC1566}"/>
    <cellStyle name="Vírgula 2 2 5 2 3 5" xfId="13905" xr:uid="{12D53F75-076F-4A22-A043-F8FB0B66B9C8}"/>
    <cellStyle name="Vírgula 2 2 5 2 3 5 2" xfId="34246" xr:uid="{4CD8D458-FAAC-4A11-990F-07F32C3673F5}"/>
    <cellStyle name="Vírgula 2 2 5 2 3 6" xfId="10027" xr:uid="{09103620-F2E3-4E28-8C9F-F426584824A8}"/>
    <cellStyle name="Vírgula 2 2 5 2 3 6 2" xfId="30370" xr:uid="{2BAD5A2F-C6F1-4D3D-830C-F12683AFEF2D}"/>
    <cellStyle name="Vírgula 2 2 5 2 3 7" xfId="26876" xr:uid="{BC5AF816-1C80-43C5-B5CF-4C2E5DE5A174}"/>
    <cellStyle name="Vírgula 2 2 5 2 3 8" xfId="48494" xr:uid="{3C1AF985-972F-4FB7-84E5-DA7A38A8DE4A}"/>
    <cellStyle name="Vírgula 2 2 5 2 3 9" xfId="50164" xr:uid="{AF7EC902-59D1-47DE-974B-895E86BE0B85}"/>
    <cellStyle name="Vírgula 2 2 5 2 4" xfId="800" xr:uid="{695C420E-314B-48AD-A882-E99E03E22E09}"/>
    <cellStyle name="Vírgula 2 2 5 2 4 10" xfId="53460" xr:uid="{5A3B7D48-F265-49B0-9317-F5880BD40E97}"/>
    <cellStyle name="Vírgula 2 2 5 2 4 11" xfId="7692" xr:uid="{96B0864B-CA74-41A9-86EA-01E0CB9C2D98}"/>
    <cellStyle name="Vírgula 2 2 5 2 4 2" xfId="2516" xr:uid="{FCA48946-58D2-438D-BF9B-D88A333380C0}"/>
    <cellStyle name="Vírgula 2 2 5 2 4 2 2" xfId="38317" xr:uid="{934BB70F-00DA-4CBF-B2A3-C51DCEACB9E5}"/>
    <cellStyle name="Vírgula 2 2 5 2 4 2 3" xfId="51797" xr:uid="{81FC3141-C59F-4E68-B18C-EC21CAC24FCB}"/>
    <cellStyle name="Vírgula 2 2 5 2 4 2 4" xfId="55091" xr:uid="{30DBB251-6E72-493C-9078-B7A9C4D7B7C7}"/>
    <cellStyle name="Vírgula 2 2 5 2 4 2 5" xfId="17977" xr:uid="{9BB17DC8-3F24-4442-960C-F1BCF6CE8A34}"/>
    <cellStyle name="Vírgula 2 2 5 2 4 3" xfId="21479" xr:uid="{752FD72B-1EDB-4BEC-80AC-6C834B4CB5B1}"/>
    <cellStyle name="Vírgula 2 2 5 2 4 3 2" xfId="41818" xr:uid="{80007A5F-0D1F-44D5-89DD-6B31897EC4DC}"/>
    <cellStyle name="Vírgula 2 2 5 2 4 3 3" xfId="56671" xr:uid="{22396B05-8948-43FC-9E11-C16C78E19B45}"/>
    <cellStyle name="Vírgula 2 2 5 2 4 4" xfId="24734" xr:uid="{E8BE8F01-507C-4978-8C76-AE4D969B6961}"/>
    <cellStyle name="Vírgula 2 2 5 2 4 4 2" xfId="45069" xr:uid="{69CDD8E9-B044-41E6-94FA-CC43834BA5BC}"/>
    <cellStyle name="Vírgula 2 2 5 2 4 5" xfId="15069" xr:uid="{94FB5E6F-132C-464F-82E8-C21E48D9F947}"/>
    <cellStyle name="Vírgula 2 2 5 2 4 5 2" xfId="35409" xr:uid="{887DDC83-44A6-4FB4-9653-B6DCCA766256}"/>
    <cellStyle name="Vírgula 2 2 5 2 4 6" xfId="11190" xr:uid="{22735CD3-3360-4F17-AAFE-ABC88B717917}"/>
    <cellStyle name="Vírgula 2 2 5 2 4 6 2" xfId="31533" xr:uid="{B987B34E-35C7-4991-A7B3-EFE93C9BC18E}"/>
    <cellStyle name="Vírgula 2 2 5 2 4 7" xfId="28039" xr:uid="{D0D608B5-1B48-40D1-9A8B-31A64D498E0D}"/>
    <cellStyle name="Vírgula 2 2 5 2 4 8" xfId="48495" xr:uid="{77E7BF5C-B195-4D31-A888-C9F373B0D97F}"/>
    <cellStyle name="Vírgula 2 2 5 2 4 9" xfId="50165" xr:uid="{CB674499-B1F9-489D-8AAE-1C084F94F1B1}"/>
    <cellStyle name="Vírgula 2 2 5 2 5" xfId="4059" xr:uid="{356B16E0-843C-435B-888B-09AF742211E0}"/>
    <cellStyle name="Vírgula 2 2 5 2 5 2" xfId="22035" xr:uid="{B363AB23-D187-41F5-850B-B52F956F01CC}"/>
    <cellStyle name="Vírgula 2 2 5 2 5 2 2" xfId="42371" xr:uid="{40B1D55E-CB20-4C12-A6EE-E6A5C43B8CCD}"/>
    <cellStyle name="Vírgula 2 2 5 2 5 3" xfId="25287" xr:uid="{C17B3E62-F6F7-4DFC-A065-005980AEBCCF}"/>
    <cellStyle name="Vírgula 2 2 5 2 5 3 2" xfId="45622" xr:uid="{3698FE8F-D7DD-4B8D-8917-07CFEA1CDA5F}"/>
    <cellStyle name="Vírgula 2 2 5 2 5 4" xfId="12759" xr:uid="{C7020E47-577F-431A-9C2D-3E1F257CA373}"/>
    <cellStyle name="Vírgula 2 2 5 2 5 4 2" xfId="33100" xr:uid="{C2AF54BC-BF2C-4656-A8D3-91D5FA2537A2}"/>
    <cellStyle name="Vírgula 2 2 5 2 5 5" xfId="11744" xr:uid="{3A7CF4DB-A34D-4FDE-936E-96E04BCC38E1}"/>
    <cellStyle name="Vírgula 2 2 5 2 5 5 2" xfId="32086" xr:uid="{928201CD-78C4-40AF-A872-027482A50182}"/>
    <cellStyle name="Vírgula 2 2 5 2 5 6" xfId="28592" xr:uid="{E058AA84-0776-49D2-BAD5-4644173E0EB0}"/>
    <cellStyle name="Vírgula 2 2 5 2 5 7" xfId="51794" xr:uid="{F352AC6F-8C1B-4990-A501-DEE2680C8EF2}"/>
    <cellStyle name="Vírgula 2 2 5 2 5 8" xfId="55088" xr:uid="{AE3834BD-C2B1-4298-827C-ACDBA8AFE778}"/>
    <cellStyle name="Vírgula 2 2 5 2 5 9" xfId="8248" xr:uid="{6F704849-26D4-4D9F-95B7-7452EDAACDBB}"/>
    <cellStyle name="Vírgula 2 2 5 2 6" xfId="2135" xr:uid="{6C3D0608-717B-48BA-B59A-CA5A28A3021F}"/>
    <cellStyle name="Vírgula 2 2 5 2 6 2" xfId="35996" xr:uid="{CD955345-3DA5-47DF-8A67-1407CDA0D37B}"/>
    <cellStyle name="Vírgula 2 2 5 2 6 3" xfId="56262" xr:uid="{5DF0E75D-2C7E-408E-AA63-EA4C42748FF7}"/>
    <cellStyle name="Vírgula 2 2 5 2 6 4" xfId="15656" xr:uid="{C6E6A880-43B4-4D81-A734-02B9DDFEF1EF}"/>
    <cellStyle name="Vírgula 2 2 5 2 7" xfId="18570" xr:uid="{BD0347A2-C92E-49DC-8732-F0BD81B266C9}"/>
    <cellStyle name="Vírgula 2 2 5 2 7 2" xfId="38910" xr:uid="{8779D584-7926-40BD-A861-F93BA5929B40}"/>
    <cellStyle name="Vírgula 2 2 5 2 8" xfId="19158" xr:uid="{157E15D7-AF1D-4B9B-9316-E35A4E1625D2}"/>
    <cellStyle name="Vírgula 2 2 5 2 8 2" xfId="39497" xr:uid="{19BB8223-E9A0-422B-90BC-96B47D0B3DE7}"/>
    <cellStyle name="Vírgula 2 2 5 2 9" xfId="22413" xr:uid="{CE73BA6B-0E2B-4792-B2EF-56E94A627492}"/>
    <cellStyle name="Vírgula 2 2 5 2 9 2" xfId="42748" xr:uid="{B1A53AC6-A472-4994-98D6-5A40F222000E}"/>
    <cellStyle name="Vírgula 2 2 5 20" xfId="53456" xr:uid="{C712756A-A325-4790-B146-0CFC860FF926}"/>
    <cellStyle name="Vírgula 2 2 5 21" xfId="5268" xr:uid="{B17499F7-38F2-4CCF-A8DD-1DCAAB0BB623}"/>
    <cellStyle name="Vírgula 2 2 5 22" xfId="4483" xr:uid="{D2472EA6-59FB-44DD-BD56-70B7FD52F2D3}"/>
    <cellStyle name="Vírgula 2 2 5 3" xfId="1018" xr:uid="{FF4EC4E9-07D8-4806-B209-535958F60AED}"/>
    <cellStyle name="Vírgula 2 2 5 3 10" xfId="12359" xr:uid="{E3074B0F-B980-4D7E-8DCF-FC89208496FB}"/>
    <cellStyle name="Vírgula 2 2 5 3 10 2" xfId="32700" xr:uid="{4D5C064C-7243-459C-9975-9D1A1B414844}"/>
    <cellStyle name="Vírgula 2 2 5 3 11" xfId="9098" xr:uid="{6643D69F-7F80-4D8F-9A1E-26079DE6D702}"/>
    <cellStyle name="Vírgula 2 2 5 3 11 2" xfId="29441" xr:uid="{5A10934F-A884-4144-828C-DEA18F39D2FA}"/>
    <cellStyle name="Vírgula 2 2 5 3 12" xfId="25947" xr:uid="{C97FEC4A-F10A-4908-9400-58237DC0E5DB}"/>
    <cellStyle name="Vírgula 2 2 5 3 13" xfId="48496" xr:uid="{C755691F-EECD-42C8-BB6D-406E9EC37D0B}"/>
    <cellStyle name="Vírgula 2 2 5 3 14" xfId="50166" xr:uid="{C65E085B-4535-471A-B28B-E276A61B18AB}"/>
    <cellStyle name="Vírgula 2 2 5 3 15" xfId="53461" xr:uid="{4F83E2E0-A74F-4B54-B6F9-08D83AB9DE41}"/>
    <cellStyle name="Vírgula 2 2 5 3 16" xfId="5608" xr:uid="{64694101-29F4-4AAB-AF41-A8AB6F6CD755}"/>
    <cellStyle name="Vírgula 2 2 5 3 17" xfId="4889" xr:uid="{9DAE1A2E-38A6-44F5-9AFB-EEACA019D40A}"/>
    <cellStyle name="Vírgula 2 2 5 3 2" xfId="4231" xr:uid="{3A930854-9414-4CF2-ACF2-3C480F4CFE7D}"/>
    <cellStyle name="Vírgula 2 2 5 3 2 10" xfId="55092" xr:uid="{9EB09EFD-21F2-4CC9-8BED-183C7FE195A2}"/>
    <cellStyle name="Vírgula 2 2 5 3 2 11" xfId="6180" xr:uid="{8F8B4DED-9E6E-4A22-A2A8-05F72F314D21}"/>
    <cellStyle name="Vírgula 2 2 5 3 2 2" xfId="7338" xr:uid="{D6F0CFEA-6458-4AF3-9193-CED449790318}"/>
    <cellStyle name="Vírgula 2 2 5 3 2 2 2" xfId="17624" xr:uid="{A532D7DE-DEE0-4FBB-999F-41CAE55A794A}"/>
    <cellStyle name="Vírgula 2 2 5 3 2 2 2 2" xfId="37964" xr:uid="{C7681C16-9ADC-4995-AE6F-474E5BCF1DFF}"/>
    <cellStyle name="Vírgula 2 2 5 3 2 2 3" xfId="21126" xr:uid="{7F33A4E9-5A65-4D5F-93CA-80A5B975BB81}"/>
    <cellStyle name="Vírgula 2 2 5 3 2 2 3 2" xfId="41465" xr:uid="{B0D76B98-D481-4002-A505-6B5B29FF5EBE}"/>
    <cellStyle name="Vírgula 2 2 5 3 2 2 4" xfId="24381" xr:uid="{228426A1-651F-4E97-9C69-DC803D66AFF6}"/>
    <cellStyle name="Vírgula 2 2 5 3 2 2 4 2" xfId="44716" xr:uid="{09B17ABA-CC1E-4614-AE3C-FA75353354CE}"/>
    <cellStyle name="Vírgula 2 2 5 3 2 2 5" xfId="14715" xr:uid="{70518D41-753E-4BCC-8745-F3B0F99DB165}"/>
    <cellStyle name="Vírgula 2 2 5 3 2 2 5 2" xfId="35056" xr:uid="{0C2F1648-C434-45A3-AB36-EF2CB4D7775E}"/>
    <cellStyle name="Vírgula 2 2 5 3 2 2 6" xfId="10837" xr:uid="{DE5DFCCB-880A-44AF-91FA-98ABED200402}"/>
    <cellStyle name="Vírgula 2 2 5 3 2 2 6 2" xfId="31180" xr:uid="{7984F8FC-5CD5-4C45-96AA-8547037A3367}"/>
    <cellStyle name="Vírgula 2 2 5 3 2 2 7" xfId="27686" xr:uid="{5CF550DB-7258-4DC6-B7BF-866A8FB31DD2}"/>
    <cellStyle name="Vírgula 2 2 5 3 2 3" xfId="16466" xr:uid="{89C810BD-BD32-454C-B29E-3BA2312B6417}"/>
    <cellStyle name="Vírgula 2 2 5 3 2 3 2" xfId="36806" xr:uid="{78861B0B-4B53-4536-B843-93BED067589B}"/>
    <cellStyle name="Vírgula 2 2 5 3 2 4" xfId="19968" xr:uid="{41A0B085-B8BB-42EF-9768-57794BE3C6FC}"/>
    <cellStyle name="Vírgula 2 2 5 3 2 4 2" xfId="40307" xr:uid="{ADF48453-C4C8-47EC-9E88-AF2C3B14916D}"/>
    <cellStyle name="Vírgula 2 2 5 3 2 5" xfId="23223" xr:uid="{FAF70D8D-85BE-405D-9D9D-A4C7F7CEDC46}"/>
    <cellStyle name="Vírgula 2 2 5 3 2 5 2" xfId="43558" xr:uid="{CB26E00D-6A38-4186-BE86-B3D30044DC86}"/>
    <cellStyle name="Vírgula 2 2 5 3 2 6" xfId="13557" xr:uid="{53E76812-3EB6-4F4D-812D-40225B6DF482}"/>
    <cellStyle name="Vírgula 2 2 5 3 2 6 2" xfId="33898" xr:uid="{68DCB598-9074-4456-9CA9-4E304702F4F4}"/>
    <cellStyle name="Vírgula 2 2 5 3 2 7" xfId="9679" xr:uid="{6F6245C5-2A06-4A87-875C-253EF8B677DC}"/>
    <cellStyle name="Vírgula 2 2 5 3 2 7 2" xfId="30022" xr:uid="{FAF8F11A-F929-4BE4-BB7F-30BF970C315B}"/>
    <cellStyle name="Vírgula 2 2 5 3 2 8" xfId="26528" xr:uid="{A8755619-9558-47D6-97D3-84DF0970B1C1}"/>
    <cellStyle name="Vírgula 2 2 5 3 2 9" xfId="51798" xr:uid="{CA991E13-4CAA-4235-BF1B-423FC5F23A8B}"/>
    <cellStyle name="Vírgula 2 2 5 3 3" xfId="2707" xr:uid="{E6C6CCCA-59E3-48B6-BEDD-4AA598F2A1C5}"/>
    <cellStyle name="Vírgula 2 2 5 3 3 2" xfId="17043" xr:uid="{1DCDF8C3-E6EE-47F3-9AD7-51FF2703F51D}"/>
    <cellStyle name="Vírgula 2 2 5 3 3 2 2" xfId="37383" xr:uid="{44B99E19-E85E-4E3D-8CC5-EEB4677D052C}"/>
    <cellStyle name="Vírgula 2 2 5 3 3 3" xfId="20545" xr:uid="{510FBF29-1CDA-4F89-87E3-5CC865BF7FE3}"/>
    <cellStyle name="Vírgula 2 2 5 3 3 3 2" xfId="40884" xr:uid="{A2D4A286-3F41-42F1-AE1E-D1D2F6DF81FD}"/>
    <cellStyle name="Vírgula 2 2 5 3 3 4" xfId="23800" xr:uid="{659741C8-8F48-4A63-8F33-466D8C445468}"/>
    <cellStyle name="Vírgula 2 2 5 3 3 4 2" xfId="44135" xr:uid="{307C10A2-82BB-4FA2-81EC-7155C7D7DCEC}"/>
    <cellStyle name="Vírgula 2 2 5 3 3 5" xfId="14134" xr:uid="{19D42F6B-038F-48B6-B067-75953EC43B3A}"/>
    <cellStyle name="Vírgula 2 2 5 3 3 5 2" xfId="34475" xr:uid="{4F765EB1-56E5-4436-81E4-F78B64D54D5C}"/>
    <cellStyle name="Vírgula 2 2 5 3 3 6" xfId="10256" xr:uid="{B83FB628-1DB5-4CB8-9EB9-C9B71970AED5}"/>
    <cellStyle name="Vírgula 2 2 5 3 3 6 2" xfId="30599" xr:uid="{447787AD-0D79-4FE8-A88B-8A06EE49F0CE}"/>
    <cellStyle name="Vírgula 2 2 5 3 3 7" xfId="27105" xr:uid="{8DDA981E-1CB6-41DC-9DCD-572D484A3EC5}"/>
    <cellStyle name="Vírgula 2 2 5 3 3 8" xfId="56889" xr:uid="{2A9E1496-A9D6-41D2-B762-5A1BB89C03E2}"/>
    <cellStyle name="Vírgula 2 2 5 3 3 9" xfId="6757" xr:uid="{B8A5D81B-DDB5-4CF0-B742-22F7477E31BC}"/>
    <cellStyle name="Vírgula 2 2 5 3 4" xfId="7921" xr:uid="{D2CA74D5-CDCF-4724-B4FE-4A0CF3C7F857}"/>
    <cellStyle name="Vírgula 2 2 5 3 4 2" xfId="18206" xr:uid="{02286142-F684-4B25-B22E-70601E82765B}"/>
    <cellStyle name="Vírgula 2 2 5 3 4 2 2" xfId="38546" xr:uid="{3EAA6FE3-8555-4F74-BEC7-04AD370F997A}"/>
    <cellStyle name="Vírgula 2 2 5 3 4 3" xfId="21708" xr:uid="{72515B8F-D5ED-4C53-87F8-9079B78D279A}"/>
    <cellStyle name="Vírgula 2 2 5 3 4 3 2" xfId="42047" xr:uid="{184D0368-0649-4448-8963-19D5F371EE9F}"/>
    <cellStyle name="Vírgula 2 2 5 3 4 4" xfId="24963" xr:uid="{D915E24C-B2BF-40FA-B2E6-C9520AD9A548}"/>
    <cellStyle name="Vírgula 2 2 5 3 4 4 2" xfId="45298" xr:uid="{28ACE48B-544F-47CA-B33D-DAA08ACF44F6}"/>
    <cellStyle name="Vírgula 2 2 5 3 4 5" xfId="15298" xr:uid="{01706C54-BC94-430E-B6AC-35EE48688D03}"/>
    <cellStyle name="Vírgula 2 2 5 3 4 5 2" xfId="35638" xr:uid="{60B10D23-A827-4211-9335-A7BE2A60DDBA}"/>
    <cellStyle name="Vírgula 2 2 5 3 4 6" xfId="11419" xr:uid="{CA1F6287-7003-4A44-BD20-D42DD42B2823}"/>
    <cellStyle name="Vírgula 2 2 5 3 4 6 2" xfId="31762" xr:uid="{A730CA74-4715-4D8A-83C4-F323D4EB6537}"/>
    <cellStyle name="Vírgula 2 2 5 3 4 7" xfId="28268" xr:uid="{A5E75A76-8B53-4875-B061-E24450E11E22}"/>
    <cellStyle name="Vírgula 2 2 5 3 5" xfId="12988" xr:uid="{58373AD6-5463-41C0-9DC7-CD43D1727B27}"/>
    <cellStyle name="Vírgula 2 2 5 3 5 2" xfId="33329" xr:uid="{CF66CFF5-5DC0-4D39-8890-A52E0E0E5B71}"/>
    <cellStyle name="Vírgula 2 2 5 3 6" xfId="15885" xr:uid="{46AB0CCD-0577-41F5-9B69-3FF314913D00}"/>
    <cellStyle name="Vírgula 2 2 5 3 6 2" xfId="36225" xr:uid="{A9743D50-C935-4062-8D48-E606FECF5734}"/>
    <cellStyle name="Vírgula 2 2 5 3 7" xfId="18799" xr:uid="{C7595FED-5927-41E3-85FC-A77441368053}"/>
    <cellStyle name="Vírgula 2 2 5 3 7 2" xfId="39139" xr:uid="{CEA0BA73-7562-4012-9977-CD1007D35FF4}"/>
    <cellStyle name="Vírgula 2 2 5 3 8" xfId="19387" xr:uid="{3A45EDDE-23F5-405E-951B-D4AA4C24B6B9}"/>
    <cellStyle name="Vírgula 2 2 5 3 8 2" xfId="39726" xr:uid="{2E33723B-B766-4589-B384-04DE255FE722}"/>
    <cellStyle name="Vírgula 2 2 5 3 9" xfId="22642" xr:uid="{9745D269-6720-4821-A323-5EB6D9F0CB47}"/>
    <cellStyle name="Vírgula 2 2 5 3 9 2" xfId="42977" xr:uid="{15E914DB-FF1C-4046-9D90-4258CABA7744}"/>
    <cellStyle name="Vírgula 2 2 5 4" xfId="1424" xr:uid="{A88DF4C5-3C94-40B7-A830-52AA3A41C582}"/>
    <cellStyle name="Vírgula 2 2 5 4 10" xfId="50167" xr:uid="{A33A4909-0331-4B3A-A297-E098B07592BF}"/>
    <cellStyle name="Vírgula 2 2 5 4 11" xfId="53462" xr:uid="{8B76CD46-EDE0-4ACF-9687-F1F6E66DA897}"/>
    <cellStyle name="Vírgula 2 2 5 4 12" xfId="5836" xr:uid="{E362465D-00F2-4EFF-BE1B-8AEE4C57F611}"/>
    <cellStyle name="Vírgula 2 2 5 4 2" xfId="3085" xr:uid="{EF372602-1349-4B2D-A926-4B77E47E60C2}"/>
    <cellStyle name="Vírgula 2 2 5 4 2 10" xfId="6994" xr:uid="{0FEB45F1-764D-4725-8A49-BCC2431B27C0}"/>
    <cellStyle name="Vírgula 2 2 5 4 2 2" xfId="17280" xr:uid="{EF1ABB38-3F91-45F5-B9E4-3E5F766CCB8C}"/>
    <cellStyle name="Vírgula 2 2 5 4 2 2 2" xfId="37620" xr:uid="{D7130A80-B7A4-4795-89FC-2CE7ABF28932}"/>
    <cellStyle name="Vírgula 2 2 5 4 2 3" xfId="20782" xr:uid="{5F928CD1-0C1A-45DE-9C82-733290276229}"/>
    <cellStyle name="Vírgula 2 2 5 4 2 3 2" xfId="41121" xr:uid="{AF1D16B2-76B5-497F-9B1A-5CAA78DF5C49}"/>
    <cellStyle name="Vírgula 2 2 5 4 2 4" xfId="24037" xr:uid="{2EAEAD7F-9A24-4185-817C-55BC6CDA33C2}"/>
    <cellStyle name="Vírgula 2 2 5 4 2 4 2" xfId="44372" xr:uid="{5F535CAE-734F-4484-A342-B1716FE3472C}"/>
    <cellStyle name="Vírgula 2 2 5 4 2 5" xfId="14371" xr:uid="{84F4B249-AA5B-492E-A7AE-6EC34283BCF0}"/>
    <cellStyle name="Vírgula 2 2 5 4 2 5 2" xfId="34712" xr:uid="{30FC2F2A-030C-4487-8914-40E8FF9414A8}"/>
    <cellStyle name="Vírgula 2 2 5 4 2 6" xfId="10493" xr:uid="{34D873A4-B2DF-4811-8D05-1EFB83FEFC56}"/>
    <cellStyle name="Vírgula 2 2 5 4 2 6 2" xfId="30836" xr:uid="{4C97F20D-B7E0-41FD-9872-CC1000441575}"/>
    <cellStyle name="Vírgula 2 2 5 4 2 7" xfId="27342" xr:uid="{F4B34CFD-E149-41D8-9949-5D3D2CC8655F}"/>
    <cellStyle name="Vírgula 2 2 5 4 2 8" xfId="51799" xr:uid="{5B54CE06-41F2-4401-A391-49383FDB0D76}"/>
    <cellStyle name="Vírgula 2 2 5 4 2 9" xfId="55093" xr:uid="{03FBF018-F0AA-4B6D-8CB3-4264D5F18A47}"/>
    <cellStyle name="Vírgula 2 2 5 4 3" xfId="16122" xr:uid="{36DD6109-16C4-4BEC-864F-045B4D62D1B9}"/>
    <cellStyle name="Vírgula 2 2 5 4 3 2" xfId="36462" xr:uid="{2D2E1F11-C2C2-46DB-954F-9464107BDFFF}"/>
    <cellStyle name="Vírgula 2 2 5 4 3 3" xfId="57295" xr:uid="{1C491982-CF77-48C2-81FF-CF3BAACC605B}"/>
    <cellStyle name="Vírgula 2 2 5 4 4" xfId="19624" xr:uid="{A0FEA4FB-FB11-4283-AFF8-F528715E7202}"/>
    <cellStyle name="Vírgula 2 2 5 4 4 2" xfId="39963" xr:uid="{2C0E7798-3943-46BD-B91F-3E72F62224FA}"/>
    <cellStyle name="Vírgula 2 2 5 4 5" xfId="22879" xr:uid="{3AA25123-EFB9-4A36-B368-C3ACCC75D4BF}"/>
    <cellStyle name="Vírgula 2 2 5 4 5 2" xfId="43214" xr:uid="{6C560B3B-062E-42EA-A48D-333D61504143}"/>
    <cellStyle name="Vírgula 2 2 5 4 6" xfId="13215" xr:uid="{13D19A04-21FC-4905-A8E3-669B823D7EEF}"/>
    <cellStyle name="Vírgula 2 2 5 4 6 2" xfId="33556" xr:uid="{D26AB3A9-6F56-4731-ACC4-FBA8625D2632}"/>
    <cellStyle name="Vírgula 2 2 5 4 7" xfId="9335" xr:uid="{186DDB11-AB12-4ABA-B59F-7A1F18C0E3FF}"/>
    <cellStyle name="Vírgula 2 2 5 4 7 2" xfId="29678" xr:uid="{60D2C36A-A37C-47BC-91BC-BCAA12756C86}"/>
    <cellStyle name="Vírgula 2 2 5 4 8" xfId="26184" xr:uid="{C10CCFA6-8FA4-401B-840E-472A7ECDB081}"/>
    <cellStyle name="Vírgula 2 2 5 4 9" xfId="48497" xr:uid="{39366404-2E60-405C-B224-5EA4FD405195}"/>
    <cellStyle name="Vírgula 2 2 5 5" xfId="611" xr:uid="{C7AF2A52-B849-43F7-BEB6-04F1C4EC5C32}"/>
    <cellStyle name="Vírgula 2 2 5 5 10" xfId="53463" xr:uid="{D98A5C14-A8BC-479C-9763-36D1DB53ACA6}"/>
    <cellStyle name="Vírgula 2 2 5 5 11" xfId="6413" xr:uid="{069DC3AC-4333-4070-BF61-301E23ABFC6D}"/>
    <cellStyle name="Vírgula 2 2 5 5 2" xfId="2327" xr:uid="{5A6A90D0-09D1-473D-99E1-EE9A2D78020C}"/>
    <cellStyle name="Vírgula 2 2 5 5 2 2" xfId="37039" xr:uid="{F4EBE78E-F5FA-4976-B4DE-EE5C3A42BF5A}"/>
    <cellStyle name="Vírgula 2 2 5 5 2 3" xfId="51800" xr:uid="{68999E3F-E863-4E16-B855-0C09F85ACD68}"/>
    <cellStyle name="Vírgula 2 2 5 5 2 4" xfId="55094" xr:uid="{4143343D-8CF6-4338-A22C-00E46B5C3EB3}"/>
    <cellStyle name="Vírgula 2 2 5 5 2 5" xfId="16699" xr:uid="{6BD61577-0C1A-46B3-BE70-00DFADC23935}"/>
    <cellStyle name="Vírgula 2 2 5 5 3" xfId="20201" xr:uid="{FFC04894-4584-4AB3-8DF6-C41CE9D7A025}"/>
    <cellStyle name="Vírgula 2 2 5 5 3 2" xfId="40540" xr:uid="{9E224D77-D726-4A59-9C1F-B72AB76B0301}"/>
    <cellStyle name="Vírgula 2 2 5 5 3 3" xfId="56482" xr:uid="{5100055A-CB8D-4D35-BAD1-E13DED3DDE62}"/>
    <cellStyle name="Vírgula 2 2 5 5 4" xfId="23456" xr:uid="{2D524F74-3E90-4D9E-B451-B8C403FAB9D1}"/>
    <cellStyle name="Vírgula 2 2 5 5 4 2" xfId="43791" xr:uid="{DB464B4C-E7AA-4B40-AAC9-8236FA9D274D}"/>
    <cellStyle name="Vírgula 2 2 5 5 5" xfId="13790" xr:uid="{1AEF0B0A-6CAE-4765-905B-8B2282FC0375}"/>
    <cellStyle name="Vírgula 2 2 5 5 5 2" xfId="34131" xr:uid="{39A8E73D-E3FB-46BB-A272-067CEE96CB1D}"/>
    <cellStyle name="Vírgula 2 2 5 5 6" xfId="9912" xr:uid="{1DFFE5AC-AFFE-412F-996E-5A2CA15950D9}"/>
    <cellStyle name="Vírgula 2 2 5 5 6 2" xfId="30255" xr:uid="{B0120A3A-3106-4B19-BEFC-29C3ACB48FF7}"/>
    <cellStyle name="Vírgula 2 2 5 5 7" xfId="26761" xr:uid="{BD3F2006-F353-43DF-8324-B628F4BB661F}"/>
    <cellStyle name="Vírgula 2 2 5 5 8" xfId="48498" xr:uid="{06F8863C-2ECD-4E1E-B013-1A3EA1531522}"/>
    <cellStyle name="Vírgula 2 2 5 5 9" xfId="50168" xr:uid="{35C07939-9BB4-47A1-A866-9C5D18712C3F}"/>
    <cellStyle name="Vírgula 2 2 5 6" xfId="3600" xr:uid="{3C7E935A-15E6-433A-80A8-E0E092D6995F}"/>
    <cellStyle name="Vírgula 2 2 5 6 10" xfId="7577" xr:uid="{0C727B0C-F428-4445-BB67-5E251BE062A0}"/>
    <cellStyle name="Vírgula 2 2 5 6 2" xfId="17862" xr:uid="{983FA343-4C92-4C4F-9852-42736755339A}"/>
    <cellStyle name="Vírgula 2 2 5 6 2 2" xfId="38202" xr:uid="{C06D4395-2887-4F7C-946A-0020A66CCE74}"/>
    <cellStyle name="Vírgula 2 2 5 6 3" xfId="21364" xr:uid="{4D85EDA6-187F-4C14-8684-7828D89A4624}"/>
    <cellStyle name="Vírgula 2 2 5 6 3 2" xfId="41703" xr:uid="{6154A8C3-9F31-4957-A73F-A0A4B85591EE}"/>
    <cellStyle name="Vírgula 2 2 5 6 4" xfId="24619" xr:uid="{12D36DA3-2D15-41C0-B152-35BF2DE39628}"/>
    <cellStyle name="Vírgula 2 2 5 6 4 2" xfId="44954" xr:uid="{E81522B1-B2D2-4E7D-878C-EECD971913AB}"/>
    <cellStyle name="Vírgula 2 2 5 6 5" xfId="14954" xr:uid="{FB472456-D4FC-453A-BF74-B4AC9082F24B}"/>
    <cellStyle name="Vírgula 2 2 5 6 5 2" xfId="35294" xr:uid="{EF33BBE5-5505-4333-9CB7-B28622B35F44}"/>
    <cellStyle name="Vírgula 2 2 5 6 6" xfId="11075" xr:uid="{62E14AE7-154E-48AB-88FA-ABF7C7C36C7C}"/>
    <cellStyle name="Vírgula 2 2 5 6 6 2" xfId="31418" xr:uid="{1316A33B-1EB0-477D-9375-97882DAB63F7}"/>
    <cellStyle name="Vírgula 2 2 5 6 7" xfId="27924" xr:uid="{5029F956-1175-421C-A56E-011E5233045D}"/>
    <cellStyle name="Vírgula 2 2 5 6 8" xfId="51793" xr:uid="{D33E6D68-AC19-4398-9D5C-698326CF8115}"/>
    <cellStyle name="Vírgula 2 2 5 6 9" xfId="55087" xr:uid="{58A0163E-AF4E-4071-B4EB-01E7B45B5366}"/>
    <cellStyle name="Vírgula 2 2 5 7" xfId="3888" xr:uid="{F698A75C-3D6D-49F3-A211-A9DAFA8FA074}"/>
    <cellStyle name="Vírgula 2 2 5 7 2" xfId="22034" xr:uid="{B3D0F4ED-9F55-4E3F-9CA9-0EC4C57AFD37}"/>
    <cellStyle name="Vírgula 2 2 5 7 2 2" xfId="42370" xr:uid="{CBFD47D2-6ADE-4B6E-9DCF-547997EA77AA}"/>
    <cellStyle name="Vírgula 2 2 5 7 3" xfId="25286" xr:uid="{21FDD280-70F5-44EC-B043-68148EE82839}"/>
    <cellStyle name="Vírgula 2 2 5 7 3 2" xfId="45621" xr:uid="{20367202-AE14-4BFE-BCAC-7FA5243C6625}"/>
    <cellStyle name="Vírgula 2 2 5 7 4" xfId="12646" xr:uid="{F8476203-83C9-41B8-A19B-BA01BF393A1B}"/>
    <cellStyle name="Vírgula 2 2 5 7 4 2" xfId="32987" xr:uid="{112E83C7-B0F1-4C30-BE58-FE46E46B849B}"/>
    <cellStyle name="Vírgula 2 2 5 7 5" xfId="11743" xr:uid="{E6146DB7-1565-4D77-8C8E-1EAFF039711A}"/>
    <cellStyle name="Vírgula 2 2 5 7 5 2" xfId="32085" xr:uid="{B69B112F-856E-497E-A0F2-C665AEE10D0C}"/>
    <cellStyle name="Vírgula 2 2 5 7 6" xfId="28591" xr:uid="{4CFDAB81-0FB9-4B58-B69F-DA2330611C57}"/>
    <cellStyle name="Vírgula 2 2 5 7 7" xfId="56073" xr:uid="{71429230-D5E8-4A15-9132-A22D98DD5F37}"/>
    <cellStyle name="Vírgula 2 2 5 7 8" xfId="8247" xr:uid="{E037F4B5-8FAD-40B6-ACC8-A66DFA189BA9}"/>
    <cellStyle name="Vírgula 2 2 5 8" xfId="1949" xr:uid="{84002018-E3A2-43A1-AED7-C59ABAEAF200}"/>
    <cellStyle name="Vírgula 2 2 5 8 2" xfId="15541" xr:uid="{B3CB4E73-1CAC-4FE4-8E4F-DA92CE07BD7F}"/>
    <cellStyle name="Vírgula 2 2 5 8 2 2" xfId="35881" xr:uid="{74E554F4-CEF6-4FC9-A6B5-18E9A9050CA9}"/>
    <cellStyle name="Vírgula 2 2 5 8 3" xfId="28958" xr:uid="{F766E3C2-5793-46E8-AD79-55DD2F514465}"/>
    <cellStyle name="Vírgula 2 2 5 8 4" xfId="8615" xr:uid="{6C38FFA9-532A-4731-899F-D635F5D8F85C}"/>
    <cellStyle name="Vírgula 2 2 5 9" xfId="18455" xr:uid="{263689AF-9328-4A9D-9C0D-6CD9D2D2DC7E}"/>
    <cellStyle name="Vírgula 2 2 5 9 2" xfId="38795" xr:uid="{D72F76EA-529C-402B-83E4-3C69EE3341AB}"/>
    <cellStyle name="Vírgula 2 2 6" xfId="254" xr:uid="{90873EFB-F344-474B-9A24-6D642931EBD6}"/>
    <cellStyle name="Vírgula 2 2 6 10" xfId="12057" xr:uid="{860B118A-A0A8-4AAE-9C9C-7821219427AF}"/>
    <cellStyle name="Vírgula 2 2 6 10 2" xfId="32398" xr:uid="{F73E6855-3C9B-491D-959B-FD3C6E90C007}"/>
    <cellStyle name="Vírgula 2 2 6 11" xfId="8796" xr:uid="{D291C988-E197-4AF9-BB2D-BB1A95A4E733}"/>
    <cellStyle name="Vírgula 2 2 6 11 2" xfId="29139" xr:uid="{7F97175F-63B6-4FC2-8482-0401DE36E2D1}"/>
    <cellStyle name="Vírgula 2 2 6 12" xfId="25645" xr:uid="{BE5FBF9C-143E-4FF3-90DA-8EFF0C1AB4D6}"/>
    <cellStyle name="Vírgula 2 2 6 13" xfId="45981" xr:uid="{219DAB84-D168-43F5-B407-61B3BD1FFB6B}"/>
    <cellStyle name="Vírgula 2 2 6 14" xfId="46467" xr:uid="{9F14471E-E4B8-4652-9D7C-450786B4283C}"/>
    <cellStyle name="Vírgula 2 2 6 15" xfId="46959" xr:uid="{947E4815-1503-41E4-AD80-E22DD9B0136D}"/>
    <cellStyle name="Vírgula 2 2 6 16" xfId="48499" xr:uid="{F40BFA35-9A27-4327-9723-023F6D10FFCF}"/>
    <cellStyle name="Vírgula 2 2 6 17" xfId="50169" xr:uid="{36C9B5E1-EC66-4ACC-9186-8A4DEFA6A976}"/>
    <cellStyle name="Vírgula 2 2 6 18" xfId="53464" xr:uid="{84F691B0-1A76-49E3-9F95-FAA7D2E3FF74}"/>
    <cellStyle name="Vírgula 2 2 6 19" xfId="5327" xr:uid="{1B3B2B95-992B-4BDF-B2DF-9796CE558D77}"/>
    <cellStyle name="Vírgula 2 2 6 2" xfId="443" xr:uid="{C5950E50-C3FF-48D0-88C8-226DD894A7BA}"/>
    <cellStyle name="Vírgula 2 2 6 2 10" xfId="46710" xr:uid="{04C47BEF-AB7F-4F3E-B46F-29063FD40290}"/>
    <cellStyle name="Vírgula 2 2 6 2 11" xfId="47202" xr:uid="{41207E8C-E26D-4602-8A24-DD735CDF9A66}"/>
    <cellStyle name="Vírgula 2 2 6 2 12" xfId="48500" xr:uid="{57332304-DE18-431B-9E28-E63B67006B11}"/>
    <cellStyle name="Vírgula 2 2 6 2 13" xfId="50170" xr:uid="{1F0EB12F-6AAC-4ABD-9EE4-4B613B6B13BC}"/>
    <cellStyle name="Vírgula 2 2 6 2 14" xfId="53465" xr:uid="{900F3A04-AC7D-4994-9E2D-602976BEE77F}"/>
    <cellStyle name="Vírgula 2 2 6 2 15" xfId="5878" xr:uid="{71D1C95C-8F97-452B-A7B8-C7C5447B5B94}"/>
    <cellStyle name="Vírgula 2 2 6 2 16" xfId="4724" xr:uid="{B6A441D3-1567-480C-9DF6-170569E038AE}"/>
    <cellStyle name="Vírgula 2 2 6 2 2" xfId="1259" xr:uid="{1CA8016E-973F-4133-B80F-6DD5AC3D052E}"/>
    <cellStyle name="Vírgula 2 2 6 2 2 10" xfId="53466" xr:uid="{EADAD86B-173E-464B-B3F6-1958E87E67FB}"/>
    <cellStyle name="Vírgula 2 2 6 2 2 11" xfId="7036" xr:uid="{3E647BCE-9C67-407E-BAA4-ED09C1C720AE}"/>
    <cellStyle name="Vírgula 2 2 6 2 2 12" xfId="5099" xr:uid="{759CB9FB-B48F-428E-A0E6-7D5C5558D993}"/>
    <cellStyle name="Vírgula 2 2 6 2 2 2" xfId="2920" xr:uid="{AEF6871E-F9F4-4885-AD2B-09246D72FFEE}"/>
    <cellStyle name="Vírgula 2 2 6 2 2 2 2" xfId="37662" xr:uid="{98B39C6F-BB08-4127-9660-3135FC49D484}"/>
    <cellStyle name="Vírgula 2 2 6 2 2 2 3" xfId="51803" xr:uid="{BED8E4E0-EB39-4E5B-B6F5-808764360128}"/>
    <cellStyle name="Vírgula 2 2 6 2 2 2 4" xfId="55097" xr:uid="{D3951DD8-DEDB-43B4-B7A4-7177332157BB}"/>
    <cellStyle name="Vírgula 2 2 6 2 2 2 5" xfId="17322" xr:uid="{9BC15A3F-D039-4CC1-BA04-C4D67BEB944F}"/>
    <cellStyle name="Vírgula 2 2 6 2 2 3" xfId="20824" xr:uid="{60933A73-8AD1-4DF7-A5AF-B013BC111B01}"/>
    <cellStyle name="Vírgula 2 2 6 2 2 3 2" xfId="41163" xr:uid="{AA3F3BC1-9BDF-4780-859E-F80CD5D81389}"/>
    <cellStyle name="Vírgula 2 2 6 2 2 3 3" xfId="57130" xr:uid="{8BADD00B-7D4A-42C8-B52B-2C5C2680979F}"/>
    <cellStyle name="Vírgula 2 2 6 2 2 4" xfId="24079" xr:uid="{E8A2E55A-2A53-4501-9045-E829CFF4D1A6}"/>
    <cellStyle name="Vírgula 2 2 6 2 2 4 2" xfId="44414" xr:uid="{2D18E76B-44B6-41F7-98E1-473E2B21AC53}"/>
    <cellStyle name="Vírgula 2 2 6 2 2 5" xfId="14413" xr:uid="{EF03AE71-B187-46CB-AA1E-8256374BA734}"/>
    <cellStyle name="Vírgula 2 2 6 2 2 5 2" xfId="34754" xr:uid="{CD4AE698-5D33-4EF5-A40D-D7125A9A0707}"/>
    <cellStyle name="Vírgula 2 2 6 2 2 6" xfId="10535" xr:uid="{2F8F5C51-7C81-4FF1-87FC-B5CCC94026FE}"/>
    <cellStyle name="Vírgula 2 2 6 2 2 6 2" xfId="30878" xr:uid="{30EF1955-CD20-4999-BB6D-E8777AE83C3A}"/>
    <cellStyle name="Vírgula 2 2 6 2 2 7" xfId="27384" xr:uid="{E95478DC-4FF6-470E-ADB4-064127ECD9C0}"/>
    <cellStyle name="Vírgula 2 2 6 2 2 8" xfId="48501" xr:uid="{C9495BD6-CCB9-4E79-AE4E-C12068200071}"/>
    <cellStyle name="Vírgula 2 2 6 2 2 9" xfId="50171" xr:uid="{3B51DBAB-7930-4924-863B-548EA8FA89EF}"/>
    <cellStyle name="Vírgula 2 2 6 2 3" xfId="1665" xr:uid="{A28A2CEB-C727-4090-B6B7-B8AC9ACE1B22}"/>
    <cellStyle name="Vírgula 2 2 6 2 3 2" xfId="3325" xr:uid="{2B83F45A-68C2-42A2-AB3A-539109C16F27}"/>
    <cellStyle name="Vírgula 2 2 6 2 3 2 2" xfId="51804" xr:uid="{44260D93-DF7E-4AEE-AD1F-0F404AA095CE}"/>
    <cellStyle name="Vírgula 2 2 6 2 3 2 3" xfId="55098" xr:uid="{730E2A55-A966-4C01-83A0-E76A0B613C66}"/>
    <cellStyle name="Vírgula 2 2 6 2 3 2 4" xfId="36504" xr:uid="{7F51AB05-05DC-4FD0-A1C5-A10889E416D2}"/>
    <cellStyle name="Vírgula 2 2 6 2 3 3" xfId="48502" xr:uid="{CE6AC833-B064-4F24-9024-327E461BBBDD}"/>
    <cellStyle name="Vírgula 2 2 6 2 3 3 2" xfId="57536" xr:uid="{28A24CC0-7FB5-4563-AD33-1300542EFF41}"/>
    <cellStyle name="Vírgula 2 2 6 2 3 4" xfId="50172" xr:uid="{4F4B4DD1-897E-45D1-BEE3-B95CA6BE6CC9}"/>
    <cellStyle name="Vírgula 2 2 6 2 3 5" xfId="53467" xr:uid="{BE3EC2DD-8BD3-4C52-9C29-DFA54E9492CD}"/>
    <cellStyle name="Vírgula 2 2 6 2 3 6" xfId="16164" xr:uid="{47C14824-BAA2-41A8-A279-845D3918465E}"/>
    <cellStyle name="Vírgula 2 2 6 2 4" xfId="852" xr:uid="{63CB70BF-212C-499D-AB1F-49BF4BB4D090}"/>
    <cellStyle name="Vírgula 2 2 6 2 4 2" xfId="2568" xr:uid="{8DD037B4-E639-456D-82CE-62F312103658}"/>
    <cellStyle name="Vírgula 2 2 6 2 4 2 2" xfId="51805" xr:uid="{A35A943E-83AA-494F-9FDB-5D7CAD7C165F}"/>
    <cellStyle name="Vírgula 2 2 6 2 4 2 3" xfId="55099" xr:uid="{39018B41-0BC2-4F8F-BF77-B4FB1B3CA88F}"/>
    <cellStyle name="Vírgula 2 2 6 2 4 2 4" xfId="40005" xr:uid="{719AF485-CE7B-4DB3-ABDC-1B966D0C33D1}"/>
    <cellStyle name="Vírgula 2 2 6 2 4 3" xfId="48503" xr:uid="{C5049A03-7CAA-4D94-881F-4FA8AB50EFCC}"/>
    <cellStyle name="Vírgula 2 2 6 2 4 3 2" xfId="56723" xr:uid="{EDA229F3-40CB-48B9-BC54-8922CDAB57E6}"/>
    <cellStyle name="Vírgula 2 2 6 2 4 4" xfId="50173" xr:uid="{96C22038-5012-4252-8879-AE26DEAB89EA}"/>
    <cellStyle name="Vírgula 2 2 6 2 4 5" xfId="53468" xr:uid="{01863B26-FD42-4FFD-AB6B-D030D099F3A4}"/>
    <cellStyle name="Vírgula 2 2 6 2 4 6" xfId="19666" xr:uid="{01670D7E-07B6-46D4-839D-46DDEFBAEC06}"/>
    <cellStyle name="Vírgula 2 2 6 2 5" xfId="4102" xr:uid="{5D71B9E5-3F51-4ED1-9B1E-0C0A731E2907}"/>
    <cellStyle name="Vírgula 2 2 6 2 5 2" xfId="43256" xr:uid="{A972C346-8E0F-4D75-BB2C-D87628D1D274}"/>
    <cellStyle name="Vírgula 2 2 6 2 5 3" xfId="51802" xr:uid="{AE0FE63C-0A76-443E-867B-FE78EDEE1FE7}"/>
    <cellStyle name="Vírgula 2 2 6 2 5 4" xfId="55096" xr:uid="{1D70A5A1-EA2E-4D31-88E6-9988228029D1}"/>
    <cellStyle name="Vírgula 2 2 6 2 5 5" xfId="22921" xr:uid="{1D82A558-F1A3-4824-9EE2-4E83FE4033AC}"/>
    <cellStyle name="Vírgula 2 2 6 2 6" xfId="2161" xr:uid="{16FF3B55-AE58-4C90-B8E1-1C060633BD72}"/>
    <cellStyle name="Vírgula 2 2 6 2 6 2" xfId="33598" xr:uid="{39A08100-166E-44F5-A97E-8B5AF073F48B}"/>
    <cellStyle name="Vírgula 2 2 6 2 6 3" xfId="56314" xr:uid="{DAAD1A32-E6AE-4702-B987-F76F6A221CDB}"/>
    <cellStyle name="Vírgula 2 2 6 2 6 4" xfId="13257" xr:uid="{D58F867D-A606-4647-9D39-B71FA4CA80B0}"/>
    <cellStyle name="Vírgula 2 2 6 2 7" xfId="9377" xr:uid="{C1D385B6-514E-44E7-9539-1A29DC9B6388}"/>
    <cellStyle name="Vírgula 2 2 6 2 7 2" xfId="29720" xr:uid="{6040337A-E794-42AA-81B3-A1A765C33CE2}"/>
    <cellStyle name="Vírgula 2 2 6 2 8" xfId="26226" xr:uid="{EB46015C-0CB8-4E4D-A3C2-71CDAD89551E}"/>
    <cellStyle name="Vírgula 2 2 6 2 9" xfId="46224" xr:uid="{48E532DD-C3C4-41DD-9C45-0CAC31E287A0}"/>
    <cellStyle name="Vírgula 2 2 6 20" xfId="4535" xr:uid="{9D42C777-78CD-47E5-BA83-7EDCD893AEFE}"/>
    <cellStyle name="Vírgula 2 2 6 3" xfId="1070" xr:uid="{CC5A2F92-031D-4C7A-BCC5-6C41801C56EF}"/>
    <cellStyle name="Vírgula 2 2 6 3 10" xfId="53469" xr:uid="{994546CA-B03A-4463-8B4D-84D12AE8C443}"/>
    <cellStyle name="Vírgula 2 2 6 3 11" xfId="6455" xr:uid="{AAFABEB0-399A-4221-8401-94C9339E3826}"/>
    <cellStyle name="Vírgula 2 2 6 3 12" xfId="4880" xr:uid="{F7C92E80-54C1-41A3-854A-919398218E93}"/>
    <cellStyle name="Vírgula 2 2 6 3 2" xfId="4274" xr:uid="{099C1556-80B1-400D-850E-AF0DE5387429}"/>
    <cellStyle name="Vírgula 2 2 6 3 2 2" xfId="37081" xr:uid="{F009B236-1113-4909-976E-9F4E52567A18}"/>
    <cellStyle name="Vírgula 2 2 6 3 2 3" xfId="51806" xr:uid="{4FEE4098-4B46-45A8-9F76-2106E9DE81E8}"/>
    <cellStyle name="Vírgula 2 2 6 3 2 4" xfId="55100" xr:uid="{D4325DDC-D6FB-461C-96C3-E1CCCA587BAA}"/>
    <cellStyle name="Vírgula 2 2 6 3 2 5" xfId="16741" xr:uid="{3BA9930B-DCCA-4C7E-94FC-5E5004C0B54E}"/>
    <cellStyle name="Vírgula 2 2 6 3 3" xfId="2734" xr:uid="{FBC3503C-6834-43D2-BD6F-1068A3C7244E}"/>
    <cellStyle name="Vírgula 2 2 6 3 3 2" xfId="40582" xr:uid="{9EA0037E-0264-4B3D-AAEA-13EC3FB590F9}"/>
    <cellStyle name="Vírgula 2 2 6 3 3 3" xfId="56941" xr:uid="{832786FB-F9A6-4F47-BB0C-6994AA0321BC}"/>
    <cellStyle name="Vírgula 2 2 6 3 3 4" xfId="20243" xr:uid="{3B642839-8929-4E45-9FE4-23D8D0A79354}"/>
    <cellStyle name="Vírgula 2 2 6 3 4" xfId="23498" xr:uid="{EF8126FD-4C81-471F-97C8-2E33EB905E30}"/>
    <cellStyle name="Vírgula 2 2 6 3 4 2" xfId="43833" xr:uid="{1572E071-7284-4832-8A18-EC24BCBD1CE6}"/>
    <cellStyle name="Vírgula 2 2 6 3 5" xfId="13832" xr:uid="{5C652E6E-8408-43CB-874D-AD8281498413}"/>
    <cellStyle name="Vírgula 2 2 6 3 5 2" xfId="34173" xr:uid="{FA9DA7BC-A2E8-47F1-9773-20F2EE9B3FB3}"/>
    <cellStyle name="Vírgula 2 2 6 3 6" xfId="9954" xr:uid="{FD3B09B2-7A14-4897-A101-A0341E9295F2}"/>
    <cellStyle name="Vírgula 2 2 6 3 6 2" xfId="30297" xr:uid="{BA7FFD56-A388-4029-80A9-4DE814F2F37B}"/>
    <cellStyle name="Vírgula 2 2 6 3 7" xfId="26803" xr:uid="{06746FA1-9097-41AE-99DA-EB84E712715E}"/>
    <cellStyle name="Vírgula 2 2 6 3 8" xfId="48504" xr:uid="{913ED867-43DE-4C02-BAF0-D3E821E04D92}"/>
    <cellStyle name="Vírgula 2 2 6 3 9" xfId="50174" xr:uid="{2BA5262A-0751-4218-A63A-01A74B485E81}"/>
    <cellStyle name="Vírgula 2 2 6 4" xfId="1476" xr:uid="{EF3CCE60-98CD-473F-91A4-D1D1A8221E0D}"/>
    <cellStyle name="Vírgula 2 2 6 4 10" xfId="53470" xr:uid="{A0AFF1B5-E63F-482F-8A64-B068BEF547CA}"/>
    <cellStyle name="Vírgula 2 2 6 4 11" xfId="7619" xr:uid="{49737A1C-6037-48B6-A0AB-C9057EB72A1E}"/>
    <cellStyle name="Vírgula 2 2 6 4 2" xfId="3137" xr:uid="{87922043-E050-441D-B782-03EF9E963BA9}"/>
    <cellStyle name="Vírgula 2 2 6 4 2 2" xfId="38244" xr:uid="{CAD481B3-5AC5-4D91-907D-563252498C5E}"/>
    <cellStyle name="Vírgula 2 2 6 4 2 3" xfId="51807" xr:uid="{AFC9349C-2C6F-4267-848C-93AEE7C83B3A}"/>
    <cellStyle name="Vírgula 2 2 6 4 2 4" xfId="55101" xr:uid="{28D5B89B-D326-4CB9-A089-1BDF5062D988}"/>
    <cellStyle name="Vírgula 2 2 6 4 2 5" xfId="17904" xr:uid="{A9E3CE82-7B39-4FE9-80A0-70EFD7D53AEF}"/>
    <cellStyle name="Vírgula 2 2 6 4 3" xfId="21406" xr:uid="{F4E774ED-90AA-47FC-AA64-9B4BCEB47718}"/>
    <cellStyle name="Vírgula 2 2 6 4 3 2" xfId="41745" xr:uid="{ED225E17-28BE-4B23-A167-B5FB208ACF03}"/>
    <cellStyle name="Vírgula 2 2 6 4 3 3" xfId="57347" xr:uid="{57423521-CAD2-4F52-8818-F0B7F7787EAC}"/>
    <cellStyle name="Vírgula 2 2 6 4 4" xfId="24661" xr:uid="{B61902EA-F986-4DC4-A87D-EA763D91C55E}"/>
    <cellStyle name="Vírgula 2 2 6 4 4 2" xfId="44996" xr:uid="{5C0EAFBE-34C5-4F2E-B20B-52FE19169E4B}"/>
    <cellStyle name="Vírgula 2 2 6 4 5" xfId="14996" xr:uid="{E0DE2FFC-E04E-4EFC-8E71-E94E30A007E2}"/>
    <cellStyle name="Vírgula 2 2 6 4 5 2" xfId="35336" xr:uid="{11E2B2AA-160B-4EA2-905B-A7D3FF594027}"/>
    <cellStyle name="Vírgula 2 2 6 4 6" xfId="11117" xr:uid="{7BD5BF19-5381-4D63-808E-71CF935F6073}"/>
    <cellStyle name="Vírgula 2 2 6 4 6 2" xfId="31460" xr:uid="{75B7A55F-89C3-4208-BF5C-CBD9A344F49F}"/>
    <cellStyle name="Vírgula 2 2 6 4 7" xfId="27966" xr:uid="{145A379C-6BDA-4C91-B5E9-8DE768F81523}"/>
    <cellStyle name="Vírgula 2 2 6 4 8" xfId="48505" xr:uid="{ADE6AC79-4CC7-4DC3-9080-209293173FC9}"/>
    <cellStyle name="Vírgula 2 2 6 4 9" xfId="50175" xr:uid="{172F23AF-7FCE-4690-98E2-FB2EE103C102}"/>
    <cellStyle name="Vírgula 2 2 6 5" xfId="663" xr:uid="{20E4C12B-5348-4196-9B9F-0FD3091258F1}"/>
    <cellStyle name="Vírgula 2 2 6 5 10" xfId="8249" xr:uid="{438C60AD-A070-48E3-BD3E-66B99601F0A4}"/>
    <cellStyle name="Vírgula 2 2 6 5 2" xfId="2379" xr:uid="{9360AAE6-2473-4604-8B75-71C5B42B0168}"/>
    <cellStyle name="Vírgula 2 2 6 5 2 2" xfId="42372" xr:uid="{7A544DD5-50CC-437E-B8B6-8AFFE0784689}"/>
    <cellStyle name="Vírgula 2 2 6 5 2 3" xfId="51808" xr:uid="{EAC2A686-4099-426A-8247-04D4AADBEDBA}"/>
    <cellStyle name="Vírgula 2 2 6 5 2 4" xfId="55102" xr:uid="{FA2F91A0-3E1C-4579-9D5E-4840B2B03421}"/>
    <cellStyle name="Vírgula 2 2 6 5 2 5" xfId="22036" xr:uid="{BA6F4A54-0549-457B-87F6-DF7EC22F96B4}"/>
    <cellStyle name="Vírgula 2 2 6 5 3" xfId="25288" xr:uid="{2D3F31D3-E563-419F-9558-DF7620A774A0}"/>
    <cellStyle name="Vírgula 2 2 6 5 3 2" xfId="45623" xr:uid="{0A6E6955-BC49-40C6-9BE5-2FB47C85602A}"/>
    <cellStyle name="Vírgula 2 2 6 5 3 3" xfId="56534" xr:uid="{B951BF5A-6609-4FF7-AA03-4213600395F6}"/>
    <cellStyle name="Vírgula 2 2 6 5 4" xfId="12688" xr:uid="{BF0B17A0-53A6-47C1-92DC-CBC51A365819}"/>
    <cellStyle name="Vírgula 2 2 6 5 4 2" xfId="33029" xr:uid="{B250D512-686B-476F-B9F0-BF1AD14DA74C}"/>
    <cellStyle name="Vírgula 2 2 6 5 5" xfId="11745" xr:uid="{D0D6F80F-9647-473A-9AEC-9212602A5B93}"/>
    <cellStyle name="Vírgula 2 2 6 5 5 2" xfId="32087" xr:uid="{43C53F7C-D00D-429C-AC37-1C4956D1F67F}"/>
    <cellStyle name="Vírgula 2 2 6 5 6" xfId="28593" xr:uid="{793EB240-5373-4CEC-A8BC-6844AB35B2DB}"/>
    <cellStyle name="Vírgula 2 2 6 5 7" xfId="48506" xr:uid="{D60F448B-851F-4982-876E-00C2507BF823}"/>
    <cellStyle name="Vírgula 2 2 6 5 8" xfId="50176" xr:uid="{FA0950C3-B062-4B9A-B9DD-3E2C3EED7BC1}"/>
    <cellStyle name="Vírgula 2 2 6 5 9" xfId="53471" xr:uid="{32DE4AF0-EF20-4D74-9393-D706F40A6660}"/>
    <cellStyle name="Vírgula 2 2 6 6" xfId="3490" xr:uid="{8A4E62A2-70A1-4D2E-8B06-9C446A08AC46}"/>
    <cellStyle name="Vírgula 2 2 6 6 2" xfId="15583" xr:uid="{2DBA0ABE-2A18-4293-BB98-F1DCCCD10638}"/>
    <cellStyle name="Vírgula 2 2 6 6 2 2" xfId="35923" xr:uid="{C0FBE5EE-77D9-4F3C-9A04-17EE9E6913FE}"/>
    <cellStyle name="Vírgula 2 2 6 6 3" xfId="28949" xr:uid="{8677E148-9073-43CF-B74E-CCF20F8B1954}"/>
    <cellStyle name="Vírgula 2 2 6 6 4" xfId="51801" xr:uid="{CA2C8D46-0058-42DE-9530-8E8F30B6A621}"/>
    <cellStyle name="Vírgula 2 2 6 6 5" xfId="55095" xr:uid="{BC990AE2-2785-464E-9531-DAF32861D576}"/>
    <cellStyle name="Vírgula 2 2 6 6 6" xfId="8606" xr:uid="{B07995EB-D6D9-4140-963F-90B1FEC0CFA6}"/>
    <cellStyle name="Vírgula 2 2 6 7" xfId="3930" xr:uid="{06CA623B-92D4-4B98-87CE-E6EC4BFE4F5E}"/>
    <cellStyle name="Vírgula 2 2 6 7 2" xfId="38837" xr:uid="{819DFC2D-93C8-4AD0-877E-58D93F54F9D5}"/>
    <cellStyle name="Vírgula 2 2 6 7 3" xfId="56125" xr:uid="{9DBB2C47-F82F-451C-8A9A-15C41FB8CEAE}"/>
    <cellStyle name="Vírgula 2 2 6 7 4" xfId="18497" xr:uid="{43B12278-36BD-4E5A-AFF9-0449A39A6059}"/>
    <cellStyle name="Vírgula 2 2 6 8" xfId="1839" xr:uid="{3F782068-A8DD-4026-BBE7-17BBA7413695}"/>
    <cellStyle name="Vírgula 2 2 6 8 2" xfId="39424" xr:uid="{F7A2439E-921B-4A37-8052-D227B6A7B8DC}"/>
    <cellStyle name="Vírgula 2 2 6 8 3" xfId="19085" xr:uid="{2907298B-3322-4BA9-8BCD-E0DC111E4AD2}"/>
    <cellStyle name="Vírgula 2 2 6 9" xfId="22340" xr:uid="{AD2B6DF4-4B5F-4CDE-B394-20BE984EC1A6}"/>
    <cellStyle name="Vírgula 2 2 6 9 2" xfId="42675" xr:uid="{768F8845-DA6F-45BC-A237-B1E7E2761199}"/>
    <cellStyle name="Vírgula 2 2 7" xfId="309" xr:uid="{398FD190-1264-440F-AA19-8CF5AE3EB14F}"/>
    <cellStyle name="Vírgula 2 2 7 10" xfId="12177" xr:uid="{A5A41FC5-9A58-4C02-B762-1939A455BBE4}"/>
    <cellStyle name="Vírgula 2 2 7 10 2" xfId="32518" xr:uid="{3D3BFAC5-D010-49F3-80BF-2203BDFC4D27}"/>
    <cellStyle name="Vírgula 2 2 7 11" xfId="8916" xr:uid="{35ECCBA3-D113-45C4-B469-F21A717CBD38}"/>
    <cellStyle name="Vírgula 2 2 7 11 2" xfId="29259" xr:uid="{404DC6B3-7010-458E-BA3A-9296B9F88D72}"/>
    <cellStyle name="Vírgula 2 2 7 12" xfId="25765" xr:uid="{13FB6E04-8AB0-4228-A5E7-87A4F8683C88}"/>
    <cellStyle name="Vírgula 2 2 7 13" xfId="46061" xr:uid="{0E3F4C43-77F0-4382-84C7-CC9CA1377BE1}"/>
    <cellStyle name="Vírgula 2 2 7 14" xfId="46547" xr:uid="{E3F75BAF-12C3-49F0-BC67-5B18A7462426}"/>
    <cellStyle name="Vírgula 2 2 7 15" xfId="47039" xr:uid="{83FC8EA7-6549-4C2C-95EC-8C8FCF18F101}"/>
    <cellStyle name="Vírgula 2 2 7 16" xfId="48507" xr:uid="{4175D711-B0CF-4AC0-9313-6BFD9C347584}"/>
    <cellStyle name="Vírgula 2 2 7 17" xfId="50177" xr:uid="{0ED59698-6342-4052-85D1-6DFEFE891C23}"/>
    <cellStyle name="Vírgula 2 2 7 18" xfId="53472" xr:uid="{EA6A101A-8ED6-42E1-A001-070E510FE4C4}"/>
    <cellStyle name="Vírgula 2 2 7 19" xfId="5433" xr:uid="{4B0CF3EE-41A5-4F67-899A-0C2CFC41D7E9}"/>
    <cellStyle name="Vírgula 2 2 7 2" xfId="1125" xr:uid="{B4FD1ADA-F9BD-4ABE-956E-F2A4780B7FC4}"/>
    <cellStyle name="Vírgula 2 2 7 2 10" xfId="50178" xr:uid="{E81FEF2A-B3C6-4DD0-9FCE-B50A8706F310}"/>
    <cellStyle name="Vírgula 2 2 7 2 11" xfId="53473" xr:uid="{94C7B23A-59BF-426A-BF1D-E1C107510A49}"/>
    <cellStyle name="Vírgula 2 2 7 2 12" xfId="5998" xr:uid="{22246FF8-8D5D-441C-9828-33636E26FDA5}"/>
    <cellStyle name="Vírgula 2 2 7 2 13" xfId="4962" xr:uid="{C7F04C17-7036-43D2-B288-8A33F8D0DB91}"/>
    <cellStyle name="Vírgula 2 2 7 2 2" xfId="2787" xr:uid="{35F8819E-2A8E-42EC-85DA-57CEA622A9E7}"/>
    <cellStyle name="Vírgula 2 2 7 2 2 10" xfId="7156" xr:uid="{2CF704CA-4CC8-40EC-897C-4C30DDD3E5F3}"/>
    <cellStyle name="Vírgula 2 2 7 2 2 2" xfId="17442" xr:uid="{9670A476-AE3B-44B8-9E47-59AC362E7DD0}"/>
    <cellStyle name="Vírgula 2 2 7 2 2 2 2" xfId="37782" xr:uid="{230AD729-BB12-4AE1-B3EA-3FA76DD3B5E3}"/>
    <cellStyle name="Vírgula 2 2 7 2 2 3" xfId="20944" xr:uid="{58D28E03-580A-4993-8E23-52F8AECAAEEE}"/>
    <cellStyle name="Vírgula 2 2 7 2 2 3 2" xfId="41283" xr:uid="{1055DDCF-DB9B-4302-B80F-4BF03FC28425}"/>
    <cellStyle name="Vírgula 2 2 7 2 2 4" xfId="24199" xr:uid="{A958CB83-45BF-4098-BD21-DE9334492CE3}"/>
    <cellStyle name="Vírgula 2 2 7 2 2 4 2" xfId="44534" xr:uid="{137D3908-B533-43B5-AC53-4FC5C3925D0C}"/>
    <cellStyle name="Vírgula 2 2 7 2 2 5" xfId="14533" xr:uid="{793F677D-F7A7-43DC-BCDF-D964B939D2DA}"/>
    <cellStyle name="Vírgula 2 2 7 2 2 5 2" xfId="34874" xr:uid="{0205EE72-2BCD-49A9-AFE0-49D8BF7029A2}"/>
    <cellStyle name="Vírgula 2 2 7 2 2 6" xfId="10655" xr:uid="{748034FE-FABA-431B-959B-99F71441E8E4}"/>
    <cellStyle name="Vírgula 2 2 7 2 2 6 2" xfId="30998" xr:uid="{60666FDB-7D61-4F05-A2E8-10FF2A5929E7}"/>
    <cellStyle name="Vírgula 2 2 7 2 2 7" xfId="27504" xr:uid="{AFF731C9-B876-4E1F-B057-69E774BCCB47}"/>
    <cellStyle name="Vírgula 2 2 7 2 2 8" xfId="51810" xr:uid="{04D4C9FB-1D17-4AC8-9F1D-561573B63963}"/>
    <cellStyle name="Vírgula 2 2 7 2 2 9" xfId="55104" xr:uid="{418A935F-E777-4FF4-86A9-2A40A1EED818}"/>
    <cellStyle name="Vírgula 2 2 7 2 3" xfId="16284" xr:uid="{C7C558C2-BE93-4EFF-AA5B-644DAA64A0C0}"/>
    <cellStyle name="Vírgula 2 2 7 2 3 2" xfId="36624" xr:uid="{0596536C-8988-4EC2-9500-A348A5427168}"/>
    <cellStyle name="Vírgula 2 2 7 2 3 3" xfId="56996" xr:uid="{1B983510-A016-4F79-BE51-224B933C71CD}"/>
    <cellStyle name="Vírgula 2 2 7 2 4" xfId="19786" xr:uid="{A51AD1A6-71F1-44B9-B932-C24F0019BA7C}"/>
    <cellStyle name="Vírgula 2 2 7 2 4 2" xfId="40125" xr:uid="{3BAB0B50-D680-4FAE-B3B0-AE2D5C52848F}"/>
    <cellStyle name="Vírgula 2 2 7 2 5" xfId="23041" xr:uid="{D85D1918-C66D-4550-AB4A-D02856624E0E}"/>
    <cellStyle name="Vírgula 2 2 7 2 5 2" xfId="43376" xr:uid="{C25CA65A-87DA-4B74-A1DC-4BAE95D00D6E}"/>
    <cellStyle name="Vírgula 2 2 7 2 6" xfId="13375" xr:uid="{4E036D69-9F99-4142-99C9-3F99AD0F10A0}"/>
    <cellStyle name="Vírgula 2 2 7 2 6 2" xfId="33716" xr:uid="{23E5BA98-3D92-48BF-9149-69127880DEA8}"/>
    <cellStyle name="Vírgula 2 2 7 2 7" xfId="9497" xr:uid="{33AF182E-6C31-43B7-ACD9-1E19DD47DCFA}"/>
    <cellStyle name="Vírgula 2 2 7 2 7 2" xfId="29840" xr:uid="{6764AA5C-94DC-4E5B-AF12-A10BADDC79C2}"/>
    <cellStyle name="Vírgula 2 2 7 2 8" xfId="26346" xr:uid="{814E1A21-38B9-4D58-98D7-5755F9C6407C}"/>
    <cellStyle name="Vírgula 2 2 7 2 9" xfId="48508" xr:uid="{469752C5-E662-43E0-AFFE-6FB80716BDA5}"/>
    <cellStyle name="Vírgula 2 2 7 20" xfId="4590" xr:uid="{79F28750-FA76-4173-94BB-AE2F30E35FB4}"/>
    <cellStyle name="Vírgula 2 2 7 3" xfId="1531" xr:uid="{D410EF48-4606-4455-A7E7-3CAA6D9A3075}"/>
    <cellStyle name="Vírgula 2 2 7 3 10" xfId="53474" xr:uid="{44F404B2-B301-476E-A67F-5CA625947633}"/>
    <cellStyle name="Vírgula 2 2 7 3 11" xfId="6575" xr:uid="{B2352898-000B-4F98-8A44-42AC5F457FBD}"/>
    <cellStyle name="Vírgula 2 2 7 3 2" xfId="3192" xr:uid="{F03CB2D1-8976-4E8F-87F3-47D84DA29066}"/>
    <cellStyle name="Vírgula 2 2 7 3 2 2" xfId="37201" xr:uid="{09A010B8-0BB3-4DFD-B501-928FF260179D}"/>
    <cellStyle name="Vírgula 2 2 7 3 2 3" xfId="51811" xr:uid="{D7F1304A-F154-48BB-8F69-57A7D55D234E}"/>
    <cellStyle name="Vírgula 2 2 7 3 2 4" xfId="55105" xr:uid="{DD54CA00-1375-4CB2-AC18-BCB16CC41C6E}"/>
    <cellStyle name="Vírgula 2 2 7 3 2 5" xfId="16861" xr:uid="{DAE73232-C1A3-414E-939C-408031996D53}"/>
    <cellStyle name="Vírgula 2 2 7 3 3" xfId="20363" xr:uid="{AD616388-4B63-431B-8AFD-E946D5E26B92}"/>
    <cellStyle name="Vírgula 2 2 7 3 3 2" xfId="40702" xr:uid="{B00115F2-C770-4C43-A838-B94C128AD1E1}"/>
    <cellStyle name="Vírgula 2 2 7 3 3 3" xfId="57402" xr:uid="{1CCF92F9-1380-4B0B-ADEB-EFF285DA7282}"/>
    <cellStyle name="Vírgula 2 2 7 3 4" xfId="23618" xr:uid="{364FE854-0302-41C4-9DC4-C3874CA08FC7}"/>
    <cellStyle name="Vírgula 2 2 7 3 4 2" xfId="43953" xr:uid="{1FE233FD-D3D6-41E2-B7F4-79E040C0BB9C}"/>
    <cellStyle name="Vírgula 2 2 7 3 5" xfId="13952" xr:uid="{CD2C1A40-1412-4ACA-90F2-FCD06EBB5C70}"/>
    <cellStyle name="Vírgula 2 2 7 3 5 2" xfId="34293" xr:uid="{66021E5E-A87B-4EE1-AB3B-8227241E965E}"/>
    <cellStyle name="Vírgula 2 2 7 3 6" xfId="10074" xr:uid="{012A5642-BF21-4F4C-9401-74C086730DDB}"/>
    <cellStyle name="Vírgula 2 2 7 3 6 2" xfId="30417" xr:uid="{C1A336AF-E814-4969-AFCC-912A2C07DE43}"/>
    <cellStyle name="Vírgula 2 2 7 3 7" xfId="26923" xr:uid="{FD7B8034-19C9-4591-9E5A-23AFFA3FAEF5}"/>
    <cellStyle name="Vírgula 2 2 7 3 8" xfId="48509" xr:uid="{C637E78E-5FE8-4EB5-B571-22BDC5A8B578}"/>
    <cellStyle name="Vírgula 2 2 7 3 9" xfId="50179" xr:uid="{AF3D59D4-B699-4460-9B1F-F9129CF2D212}"/>
    <cellStyle name="Vírgula 2 2 7 4" xfId="718" xr:uid="{4CD83B25-F87A-41A8-9D50-841DBDD5BE8A}"/>
    <cellStyle name="Vírgula 2 2 7 4 10" xfId="53475" xr:uid="{C98EC290-06FA-4C39-A239-CD261FA86F7F}"/>
    <cellStyle name="Vírgula 2 2 7 4 11" xfId="7739" xr:uid="{6C83685D-5F2A-4FDF-A799-70880F4F515A}"/>
    <cellStyle name="Vírgula 2 2 7 4 2" xfId="2434" xr:uid="{93CACDBE-8B34-4B69-A09A-96CDB0AF03AD}"/>
    <cellStyle name="Vírgula 2 2 7 4 2 2" xfId="38364" xr:uid="{79182564-DC2B-44BB-B421-F31282797999}"/>
    <cellStyle name="Vírgula 2 2 7 4 2 3" xfId="51812" xr:uid="{879FF42B-C4C8-436E-B123-C344BA8F981E}"/>
    <cellStyle name="Vírgula 2 2 7 4 2 4" xfId="55106" xr:uid="{79A97988-A51A-4DAE-ABF1-479F5A008371}"/>
    <cellStyle name="Vírgula 2 2 7 4 2 5" xfId="18024" xr:uid="{D49860CF-362D-4221-A2D1-03D71CA54662}"/>
    <cellStyle name="Vírgula 2 2 7 4 3" xfId="21526" xr:uid="{324CB438-3741-4786-942A-7AEC0357279F}"/>
    <cellStyle name="Vírgula 2 2 7 4 3 2" xfId="41865" xr:uid="{48716064-584A-471C-9E39-DEB1C228CA48}"/>
    <cellStyle name="Vírgula 2 2 7 4 3 3" xfId="56589" xr:uid="{576B7214-A6FB-4925-AB7B-8C15653D5A4C}"/>
    <cellStyle name="Vírgula 2 2 7 4 4" xfId="24781" xr:uid="{3215236F-BC26-4593-92AF-5A8F0EE69107}"/>
    <cellStyle name="Vírgula 2 2 7 4 4 2" xfId="45116" xr:uid="{A2DE9484-1948-43DD-81FD-B0E40C72721D}"/>
    <cellStyle name="Vírgula 2 2 7 4 5" xfId="15116" xr:uid="{37E56FEE-39BF-452D-9153-5B35CBAFCE35}"/>
    <cellStyle name="Vírgula 2 2 7 4 5 2" xfId="35456" xr:uid="{C41D7ABD-64A6-4699-95BD-2A2F5DD6869B}"/>
    <cellStyle name="Vírgula 2 2 7 4 6" xfId="11237" xr:uid="{3EE8BC99-DF62-4224-B29F-01AF2B7F2050}"/>
    <cellStyle name="Vírgula 2 2 7 4 6 2" xfId="31580" xr:uid="{7A24CECC-F03F-435B-B2C4-FF10A37DD9E5}"/>
    <cellStyle name="Vírgula 2 2 7 4 7" xfId="28086" xr:uid="{1008EAC3-4E19-47B6-B4B0-8DF70FEFCBE4}"/>
    <cellStyle name="Vírgula 2 2 7 4 8" xfId="48510" xr:uid="{0CBA2710-5646-4460-A680-7DED09034810}"/>
    <cellStyle name="Vírgula 2 2 7 4 9" xfId="50180" xr:uid="{5327CEC8-CD8E-4191-8ECD-ECEF9A2FDAD7}"/>
    <cellStyle name="Vírgula 2 2 7 5" xfId="3709" xr:uid="{D4E798EB-0EC3-459E-8F2C-F3940D089C7E}"/>
    <cellStyle name="Vírgula 2 2 7 5 2" xfId="22037" xr:uid="{351248CE-1C8E-48DC-B0AB-5E9556879796}"/>
    <cellStyle name="Vírgula 2 2 7 5 2 2" xfId="42373" xr:uid="{439569FC-631D-4E77-B27E-66B454FF28BE}"/>
    <cellStyle name="Vírgula 2 2 7 5 3" xfId="25289" xr:uid="{2FBFA028-1E07-43FD-9AFF-C1D89006E896}"/>
    <cellStyle name="Vírgula 2 2 7 5 3 2" xfId="45624" xr:uid="{368EC48A-1636-4CBA-9786-A9276E561024}"/>
    <cellStyle name="Vírgula 2 2 7 5 4" xfId="12806" xr:uid="{486342F7-4AAF-43C1-B010-2B4B71B8F765}"/>
    <cellStyle name="Vírgula 2 2 7 5 4 2" xfId="33147" xr:uid="{95DDB5F3-B386-4F3B-B061-9004005AA714}"/>
    <cellStyle name="Vírgula 2 2 7 5 5" xfId="11746" xr:uid="{E77B6503-1E54-401F-AE5B-F6B0B9B680D0}"/>
    <cellStyle name="Vírgula 2 2 7 5 5 2" xfId="32088" xr:uid="{D2A3CE6A-A640-4038-8721-28F52C235110}"/>
    <cellStyle name="Vírgula 2 2 7 5 6" xfId="28594" xr:uid="{A4547DF4-8C03-4664-9E96-97C976DA0606}"/>
    <cellStyle name="Vírgula 2 2 7 5 7" xfId="51809" xr:uid="{E09D335A-4D0F-493E-8263-BDD0DC1CB504}"/>
    <cellStyle name="Vírgula 2 2 7 5 8" xfId="55103" xr:uid="{B18EE4AD-2219-4FB2-88BB-5DC42271FC09}"/>
    <cellStyle name="Vírgula 2 2 7 5 9" xfId="8250" xr:uid="{1128ACD4-E956-4F1A-8717-95FCBE5E7833}"/>
    <cellStyle name="Vírgula 2 2 7 6" xfId="3988" xr:uid="{5C0780BD-829B-46B4-989C-A935B762BA62}"/>
    <cellStyle name="Vírgula 2 2 7 6 2" xfId="36043" xr:uid="{EC68B757-3E1D-4344-AF44-3764BBF12452}"/>
    <cellStyle name="Vírgula 2 2 7 6 3" xfId="56180" xr:uid="{A5D76641-A53F-48A9-A80A-2693F954DE1D}"/>
    <cellStyle name="Vírgula 2 2 7 6 4" xfId="15703" xr:uid="{79E17FE7-B592-4251-AC0C-C6B0BC21F585}"/>
    <cellStyle name="Vírgula 2 2 7 7" xfId="2110" xr:uid="{B060B84F-AB91-4842-A4F5-84D2F560B8A6}"/>
    <cellStyle name="Vírgula 2 2 7 7 2" xfId="38957" xr:uid="{26BBC042-13E8-479C-9CEB-EEE6B20BF61B}"/>
    <cellStyle name="Vírgula 2 2 7 7 3" xfId="18617" xr:uid="{79A3756A-082C-46BB-B844-51212E8A7DFB}"/>
    <cellStyle name="Vírgula 2 2 7 8" xfId="19205" xr:uid="{3BE1546C-6346-4161-82E0-BCD10FAD804F}"/>
    <cellStyle name="Vírgula 2 2 7 8 2" xfId="39544" xr:uid="{53AA3AC4-3CC2-4CC9-9DE3-FFF621FC971F}"/>
    <cellStyle name="Vírgula 2 2 7 9" xfId="22460" xr:uid="{E06E704F-02D8-4C1D-ABD7-454C6820DE91}"/>
    <cellStyle name="Vírgula 2 2 7 9 2" xfId="42795" xr:uid="{E374E782-D6EA-45DA-B6CF-8E1BE512B206}"/>
    <cellStyle name="Vírgula 2 2 8" xfId="120" xr:uid="{DB06C5C3-1C2D-47E0-936A-BEA120D2A6AD}"/>
    <cellStyle name="Vírgula 2 2 8 10" xfId="12235" xr:uid="{0C2C2D0F-261E-448C-B815-A26DC418BDF8}"/>
    <cellStyle name="Vírgula 2 2 8 10 2" xfId="32576" xr:uid="{D2546E74-A903-47E3-A795-371930C3779D}"/>
    <cellStyle name="Vírgula 2 2 8 11" xfId="8974" xr:uid="{7EAFF5A0-2C77-4946-A51D-0D55A6F5A211}"/>
    <cellStyle name="Vírgula 2 2 8 11 2" xfId="29317" xr:uid="{5FD3279A-5668-45EB-BAA1-BB88D989EA17}"/>
    <cellStyle name="Vírgula 2 2 8 12" xfId="25823" xr:uid="{0B83820B-572D-478F-A20F-FD68F6CBB94B}"/>
    <cellStyle name="Vírgula 2 2 8 13" xfId="48511" xr:uid="{51A7749F-79E6-4200-9F1E-71B0D6BF92F4}"/>
    <cellStyle name="Vírgula 2 2 8 14" xfId="50181" xr:uid="{26D5706F-AFA5-49ED-A8AC-E9ECA185F181}"/>
    <cellStyle name="Vírgula 2 2 8 15" xfId="53476" xr:uid="{E26B6AA9-84AE-48FB-9687-BF65DF7F044D}"/>
    <cellStyle name="Vírgula 2 2 8 16" xfId="5484" xr:uid="{A29ED603-F06B-4243-B1EC-218D9AD591AB}"/>
    <cellStyle name="Vírgula 2 2 8 17" xfId="4401" xr:uid="{982E04EC-8455-4165-9B30-6B4E760F0686}"/>
    <cellStyle name="Vírgula 2 2 8 2" xfId="936" xr:uid="{ADDE4B0C-C709-4EBC-9F3D-020E609FE8CF}"/>
    <cellStyle name="Vírgula 2 2 8 2 10" xfId="50182" xr:uid="{C562EB30-6945-4AE0-9ED8-A10DC0693C68}"/>
    <cellStyle name="Vírgula 2 2 8 2 11" xfId="53477" xr:uid="{1AF1855B-CF1C-4526-97D4-1259AF2C015E}"/>
    <cellStyle name="Vírgula 2 2 8 2 12" xfId="6056" xr:uid="{BE8FDFD6-B0B6-4AE1-AB31-1A5CC41B0250}"/>
    <cellStyle name="Vírgula 2 2 8 2 2" xfId="2651" xr:uid="{8A7705D1-A7BF-4634-93C9-C140159FD419}"/>
    <cellStyle name="Vírgula 2 2 8 2 2 10" xfId="7214" xr:uid="{66DE207C-8A05-467B-A77A-FED5F0ED3E40}"/>
    <cellStyle name="Vírgula 2 2 8 2 2 2" xfId="17500" xr:uid="{BFDDB7D1-93F5-4C74-A17C-DDAE37D0C3A7}"/>
    <cellStyle name="Vírgula 2 2 8 2 2 2 2" xfId="37840" xr:uid="{0623AB00-9EDD-44C0-869C-88BE5B1817A1}"/>
    <cellStyle name="Vírgula 2 2 8 2 2 3" xfId="21002" xr:uid="{81268F87-2C22-415A-86AB-9C71453B5AB9}"/>
    <cellStyle name="Vírgula 2 2 8 2 2 3 2" xfId="41341" xr:uid="{E50E145D-A312-47C1-9196-5A85EC679977}"/>
    <cellStyle name="Vírgula 2 2 8 2 2 4" xfId="24257" xr:uid="{B1453A63-CDD6-4833-959C-BDDBFE190CBD}"/>
    <cellStyle name="Vírgula 2 2 8 2 2 4 2" xfId="44592" xr:uid="{3DFB5604-D7E2-44A0-BBCC-348B0D02F652}"/>
    <cellStyle name="Vírgula 2 2 8 2 2 5" xfId="14591" xr:uid="{EDA8526E-4865-424C-B62E-11222CC63091}"/>
    <cellStyle name="Vírgula 2 2 8 2 2 5 2" xfId="34932" xr:uid="{B9FDFF60-F6F8-44BA-91A2-F2D7207DEE2A}"/>
    <cellStyle name="Vírgula 2 2 8 2 2 6" xfId="10713" xr:uid="{E80FB4FC-BB31-4EFF-9B3F-AA4CA2FD55A6}"/>
    <cellStyle name="Vírgula 2 2 8 2 2 6 2" xfId="31056" xr:uid="{B3779C2E-207C-4853-86CE-C171C61A7EB3}"/>
    <cellStyle name="Vírgula 2 2 8 2 2 7" xfId="27562" xr:uid="{58B6FA5A-C66E-4A95-8C4A-14AD29A05E6F}"/>
    <cellStyle name="Vírgula 2 2 8 2 2 8" xfId="51814" xr:uid="{D83A0882-EC6A-41BE-958F-F81923C25E5E}"/>
    <cellStyle name="Vírgula 2 2 8 2 2 9" xfId="55108" xr:uid="{8D99C174-2C60-4808-861F-01EC6F043FF5}"/>
    <cellStyle name="Vírgula 2 2 8 2 3" xfId="16342" xr:uid="{B3C60CB9-39BE-4D7F-AD07-1E198298F4BD}"/>
    <cellStyle name="Vírgula 2 2 8 2 3 2" xfId="36682" xr:uid="{A70C0F1C-30F2-470B-8B6C-C1A14F3EB861}"/>
    <cellStyle name="Vírgula 2 2 8 2 3 3" xfId="56807" xr:uid="{566E9EEE-AE0E-4493-A18A-B984147E2FB1}"/>
    <cellStyle name="Vírgula 2 2 8 2 4" xfId="19844" xr:uid="{48DACAE3-725F-4136-A771-73792530F1E1}"/>
    <cellStyle name="Vírgula 2 2 8 2 4 2" xfId="40183" xr:uid="{770EB161-97FC-404F-8E34-201CB2423D6C}"/>
    <cellStyle name="Vírgula 2 2 8 2 5" xfId="23099" xr:uid="{FBBED4E0-A69C-46E3-A84B-2E13D4B802B8}"/>
    <cellStyle name="Vírgula 2 2 8 2 5 2" xfId="43434" xr:uid="{B3906B83-7933-4354-846F-DC8C47D24E5D}"/>
    <cellStyle name="Vírgula 2 2 8 2 6" xfId="13433" xr:uid="{09B82154-4D21-4913-AB90-6B1E348F2A76}"/>
    <cellStyle name="Vírgula 2 2 8 2 6 2" xfId="33774" xr:uid="{5FDFAC69-A54D-41F5-99B8-13A6A4314D69}"/>
    <cellStyle name="Vírgula 2 2 8 2 7" xfId="9555" xr:uid="{82D9FC58-3963-47DA-ACE6-1FEEA41BE32A}"/>
    <cellStyle name="Vírgula 2 2 8 2 7 2" xfId="29898" xr:uid="{8D2B639E-85AA-45DF-992F-18587B66A0C4}"/>
    <cellStyle name="Vírgula 2 2 8 2 8" xfId="26404" xr:uid="{C057DDA2-D707-45BD-9743-AB443C12D6FE}"/>
    <cellStyle name="Vírgula 2 2 8 2 9" xfId="48512" xr:uid="{8311B5A0-C34C-4940-B017-0C759B290414}"/>
    <cellStyle name="Vírgula 2 2 8 3" xfId="1342" xr:uid="{E8ACA9A5-31C9-44F2-BFA0-E1215FADBFEB}"/>
    <cellStyle name="Vírgula 2 2 8 3 10" xfId="53478" xr:uid="{E9F145B2-EE2A-4D7C-914B-C8F169859924}"/>
    <cellStyle name="Vírgula 2 2 8 3 11" xfId="6633" xr:uid="{3B155B4E-6BE5-4F3A-8D53-8A81944CED8D}"/>
    <cellStyle name="Vírgula 2 2 8 3 2" xfId="3003" xr:uid="{CC89C873-377F-4BD4-AF99-7241198774A2}"/>
    <cellStyle name="Vírgula 2 2 8 3 2 2" xfId="37259" xr:uid="{7ECDC6A6-5D89-499B-A7EE-7CE9C2E7404E}"/>
    <cellStyle name="Vírgula 2 2 8 3 2 3" xfId="51815" xr:uid="{3B4A6D04-2D3F-48BB-B261-6B481C3F7EC8}"/>
    <cellStyle name="Vírgula 2 2 8 3 2 4" xfId="55109" xr:uid="{C230E76E-4CB4-4871-8801-399FDEC73677}"/>
    <cellStyle name="Vírgula 2 2 8 3 2 5" xfId="16919" xr:uid="{A5187E52-0E35-4D13-9851-BE97999E0B61}"/>
    <cellStyle name="Vírgula 2 2 8 3 3" xfId="20421" xr:uid="{3F1EA6B0-FC81-4AFC-B0FE-3C1203861846}"/>
    <cellStyle name="Vírgula 2 2 8 3 3 2" xfId="40760" xr:uid="{BC8539F0-E4A0-4D23-ACBF-A814A3A7CF9F}"/>
    <cellStyle name="Vírgula 2 2 8 3 3 3" xfId="57213" xr:uid="{7BA933A8-A9B9-4B97-B3C1-EA12906CF570}"/>
    <cellStyle name="Vírgula 2 2 8 3 4" xfId="23676" xr:uid="{EE3D762D-A111-4C17-BC4F-7F248293E0F4}"/>
    <cellStyle name="Vírgula 2 2 8 3 4 2" xfId="44011" xr:uid="{9D617172-E57D-4E0E-84D7-8531AFD2054E}"/>
    <cellStyle name="Vírgula 2 2 8 3 5" xfId="14010" xr:uid="{456AA3B3-483C-4DA6-93DE-13CD18882BDE}"/>
    <cellStyle name="Vírgula 2 2 8 3 5 2" xfId="34351" xr:uid="{774D5137-2702-4C34-B88F-1BA482DE6BD2}"/>
    <cellStyle name="Vírgula 2 2 8 3 6" xfId="10132" xr:uid="{A3086A54-9C11-4CEB-BDA0-7F841707297A}"/>
    <cellStyle name="Vírgula 2 2 8 3 6 2" xfId="30475" xr:uid="{024C367E-E462-421E-9943-D8B6F1E81D34}"/>
    <cellStyle name="Vírgula 2 2 8 3 7" xfId="26981" xr:uid="{E2A320E8-AE89-4EAA-849B-201A4678BCFB}"/>
    <cellStyle name="Vírgula 2 2 8 3 8" xfId="48513" xr:uid="{456477FE-68C1-4A7B-BFD3-E26FFE0DC9AA}"/>
    <cellStyle name="Vírgula 2 2 8 3 9" xfId="50183" xr:uid="{F760A5D6-829C-46F0-A505-EF29B246D462}"/>
    <cellStyle name="Vírgula 2 2 8 4" xfId="529" xr:uid="{224480EB-9C06-47C5-8CD8-40539614C96B}"/>
    <cellStyle name="Vírgula 2 2 8 4 10" xfId="53479" xr:uid="{8715D197-4797-417A-9DA5-CCFC6900D459}"/>
    <cellStyle name="Vírgula 2 2 8 4 11" xfId="7797" xr:uid="{C729D69A-881C-4D2B-8184-D784CE3893E5}"/>
    <cellStyle name="Vírgula 2 2 8 4 2" xfId="2245" xr:uid="{2BE1F579-31DB-4CF1-AF12-2469451B8651}"/>
    <cellStyle name="Vírgula 2 2 8 4 2 2" xfId="38422" xr:uid="{961B0C79-8B37-4F4D-802C-96FB8A8A460F}"/>
    <cellStyle name="Vírgula 2 2 8 4 2 3" xfId="51816" xr:uid="{989CF57E-5A81-439D-9AEB-B379B3E22C3D}"/>
    <cellStyle name="Vírgula 2 2 8 4 2 4" xfId="55110" xr:uid="{60A2E2FE-D6DF-4105-95DA-BBD97DE22387}"/>
    <cellStyle name="Vírgula 2 2 8 4 2 5" xfId="18082" xr:uid="{7EF32E6A-A117-44F1-BACC-526AE45F0A88}"/>
    <cellStyle name="Vírgula 2 2 8 4 3" xfId="21584" xr:uid="{4EB54036-0BA7-4488-A4E1-5B2B481DDDEC}"/>
    <cellStyle name="Vírgula 2 2 8 4 3 2" xfId="41923" xr:uid="{363A3B0C-C945-4A2B-9497-B6D722E82253}"/>
    <cellStyle name="Vírgula 2 2 8 4 3 3" xfId="56400" xr:uid="{D579AF49-714D-4959-88E0-DE54889A0214}"/>
    <cellStyle name="Vírgula 2 2 8 4 4" xfId="24839" xr:uid="{E11997EE-C706-4D7A-A8FC-F5FAEA9E5216}"/>
    <cellStyle name="Vírgula 2 2 8 4 4 2" xfId="45174" xr:uid="{C13F4257-C982-4835-90C0-E0387CEC448E}"/>
    <cellStyle name="Vírgula 2 2 8 4 5" xfId="15174" xr:uid="{D20D0874-062F-4854-9353-530FC65820BA}"/>
    <cellStyle name="Vírgula 2 2 8 4 5 2" xfId="35514" xr:uid="{618DF0BC-4606-4091-811D-53D9336BD543}"/>
    <cellStyle name="Vírgula 2 2 8 4 6" xfId="11295" xr:uid="{DFDBF4A3-E019-4EDD-897E-D0E31E05F9D5}"/>
    <cellStyle name="Vírgula 2 2 8 4 6 2" xfId="31638" xr:uid="{4B0CECA0-2B7B-4E3B-9E0C-968C2420AA56}"/>
    <cellStyle name="Vírgula 2 2 8 4 7" xfId="28144" xr:uid="{44AB86BA-BC2D-41B9-A610-722E58909C9F}"/>
    <cellStyle name="Vírgula 2 2 8 4 8" xfId="48514" xr:uid="{0462284A-D5AE-4BFA-8974-4910EDF199A8}"/>
    <cellStyle name="Vírgula 2 2 8 4 9" xfId="50184" xr:uid="{FB0EFBE6-A87E-442A-82FA-CAE80F52D392}"/>
    <cellStyle name="Vírgula 2 2 8 5" xfId="4160" xr:uid="{D2C9354A-71B6-46CE-A2EF-B6DB4F9A5F08}"/>
    <cellStyle name="Vírgula 2 2 8 5 2" xfId="33205" xr:uid="{E91CD81C-67B7-4D4C-AB76-5AADBD826E34}"/>
    <cellStyle name="Vírgula 2 2 8 5 3" xfId="51813" xr:uid="{0855C49C-9578-493E-B588-E51A8CE84B3D}"/>
    <cellStyle name="Vírgula 2 2 8 5 4" xfId="55107" xr:uid="{6738563C-2A90-45D0-9505-DE050CCE3752}"/>
    <cellStyle name="Vírgula 2 2 8 5 5" xfId="12864" xr:uid="{5AF70614-347C-4E39-864B-3A03B1B64E80}"/>
    <cellStyle name="Vírgula 2 2 8 6" xfId="2053" xr:uid="{6F0D200F-6132-40A5-8F96-C693C2CEA4C2}"/>
    <cellStyle name="Vírgula 2 2 8 6 2" xfId="36101" xr:uid="{A6D5FD42-F61C-4BB7-9BB0-9A466F4D5567}"/>
    <cellStyle name="Vírgula 2 2 8 6 3" xfId="55991" xr:uid="{FADA5CCD-513C-427A-B950-1FF8ECA4F9C4}"/>
    <cellStyle name="Vírgula 2 2 8 6 4" xfId="15761" xr:uid="{A3A97371-5262-47D6-B237-142DDBCD9B8E}"/>
    <cellStyle name="Vírgula 2 2 8 7" xfId="18675" xr:uid="{3857FC73-6670-4D0F-ABA3-0555671693B1}"/>
    <cellStyle name="Vírgula 2 2 8 7 2" xfId="39015" xr:uid="{FDF114B9-0644-41D0-840E-27E836E82F5C}"/>
    <cellStyle name="Vírgula 2 2 8 8" xfId="19263" xr:uid="{C13850E3-3C31-4550-A2C0-2667090A4903}"/>
    <cellStyle name="Vírgula 2 2 8 8 2" xfId="39602" xr:uid="{200B4329-4EC1-4D79-A158-843E0B66D542}"/>
    <cellStyle name="Vírgula 2 2 8 9" xfId="22518" xr:uid="{B0D19C02-4A26-46E1-8005-2580B58418B0}"/>
    <cellStyle name="Vírgula 2 2 8 9 2" xfId="42853" xr:uid="{CE580E0E-F36B-4051-AE56-B97FFA22DA0D}"/>
    <cellStyle name="Vírgula 2 2 9" xfId="904" xr:uid="{DBD3E346-BA1D-407B-A603-56AE4ED76A7D}"/>
    <cellStyle name="Vírgula 2 2 9 10" xfId="12286" xr:uid="{8B45ED19-4978-405F-BDB2-92ECCE193B1D}"/>
    <cellStyle name="Vírgula 2 2 9 10 2" xfId="32627" xr:uid="{DFEFD930-1A45-456B-BB23-D9B4E994563E}"/>
    <cellStyle name="Vírgula 2 2 9 11" xfId="9025" xr:uid="{FE89A075-8463-4DF5-AB80-CB910F277E70}"/>
    <cellStyle name="Vírgula 2 2 9 11 2" xfId="29368" xr:uid="{C8E70488-67A8-4C87-808A-3B1ABA29A6A8}"/>
    <cellStyle name="Vírgula 2 2 9 12" xfId="25874" xr:uid="{DA86EB7D-7632-4449-8AAC-A010A4176833}"/>
    <cellStyle name="Vírgula 2 2 9 13" xfId="48515" xr:uid="{C1E5A7FF-10EB-42B4-AD24-3808DFB5EA8B}"/>
    <cellStyle name="Vírgula 2 2 9 14" xfId="50185" xr:uid="{5C01DDF6-F774-4B0B-A75B-D4B0FD9057AB}"/>
    <cellStyle name="Vírgula 2 2 9 15" xfId="53480" xr:uid="{BE84F221-0444-4566-A224-75674D9F11AF}"/>
    <cellStyle name="Vírgula 2 2 9 16" xfId="5535" xr:uid="{36601810-66EE-48A5-9A6A-B53A93DA976E}"/>
    <cellStyle name="Vírgula 2 2 9 17" xfId="4792" xr:uid="{B8012D22-0894-422F-9E12-FE8893CDF165}"/>
    <cellStyle name="Vírgula 2 2 9 2" xfId="2620" xr:uid="{C0C15ACA-0718-4F51-B24F-6599A26DE2EE}"/>
    <cellStyle name="Vírgula 2 2 9 2 10" xfId="55111" xr:uid="{B8C1E3D0-E6D8-4B9D-B233-DE41239FFA11}"/>
    <cellStyle name="Vírgula 2 2 9 2 11" xfId="6107" xr:uid="{1DB150D3-990C-4C76-AE3F-EC1A0C714195}"/>
    <cellStyle name="Vírgula 2 2 9 2 2" xfId="7265" xr:uid="{44B0E9E3-E5B2-4A83-920A-8C2959C9B634}"/>
    <cellStyle name="Vírgula 2 2 9 2 2 2" xfId="17551" xr:uid="{748AA362-230E-430F-AE31-948D0914B34A}"/>
    <cellStyle name="Vírgula 2 2 9 2 2 2 2" xfId="37891" xr:uid="{29AD5030-162C-4856-AA81-B25CE689C883}"/>
    <cellStyle name="Vírgula 2 2 9 2 2 3" xfId="21053" xr:uid="{AF9D6894-0664-4C6F-9377-729252E7DDB0}"/>
    <cellStyle name="Vírgula 2 2 9 2 2 3 2" xfId="41392" xr:uid="{2D9B0170-430C-43A7-96E5-881EA1D9862E}"/>
    <cellStyle name="Vírgula 2 2 9 2 2 4" xfId="24308" xr:uid="{32FF4BC1-7D35-4A91-AA16-AD03AC8335D8}"/>
    <cellStyle name="Vírgula 2 2 9 2 2 4 2" xfId="44643" xr:uid="{A8607B78-D9D3-4E04-8585-FB743149FD15}"/>
    <cellStyle name="Vírgula 2 2 9 2 2 5" xfId="14642" xr:uid="{DE7BD7EC-398F-4C8C-A0E1-CB5C6FB60E21}"/>
    <cellStyle name="Vírgula 2 2 9 2 2 5 2" xfId="34983" xr:uid="{1017CBAA-C59B-4D11-86D8-26B87083A8A2}"/>
    <cellStyle name="Vírgula 2 2 9 2 2 6" xfId="10764" xr:uid="{740267B4-5E9E-4CC2-AC09-F64FFBD065AC}"/>
    <cellStyle name="Vírgula 2 2 9 2 2 6 2" xfId="31107" xr:uid="{4AF871B6-9053-477E-9074-F9944A63F584}"/>
    <cellStyle name="Vírgula 2 2 9 2 2 7" xfId="27613" xr:uid="{C0BEB444-1BD1-4A03-A3C6-D787E6EB664B}"/>
    <cellStyle name="Vírgula 2 2 9 2 3" xfId="16393" xr:uid="{19367B63-7872-4BFF-BEC1-F1FB56CCAAE2}"/>
    <cellStyle name="Vírgula 2 2 9 2 3 2" xfId="36733" xr:uid="{2BA210B1-398C-4A3D-9F06-18FFB51F6B85}"/>
    <cellStyle name="Vírgula 2 2 9 2 4" xfId="19895" xr:uid="{122292C3-CD46-4B35-AF2E-B480187D32CA}"/>
    <cellStyle name="Vírgula 2 2 9 2 4 2" xfId="40234" xr:uid="{EDCE3A1B-2674-4689-8CF0-2C5A91643B7E}"/>
    <cellStyle name="Vírgula 2 2 9 2 5" xfId="23150" xr:uid="{E5CD4C30-0E9E-40CB-81C6-2C8899FE81A6}"/>
    <cellStyle name="Vírgula 2 2 9 2 5 2" xfId="43485" xr:uid="{1AF60D3D-7BBA-40B7-8ADF-5EECD1B35B78}"/>
    <cellStyle name="Vírgula 2 2 9 2 6" xfId="13484" xr:uid="{7A858F11-0CC3-4F86-9E22-64EF1908A398}"/>
    <cellStyle name="Vírgula 2 2 9 2 6 2" xfId="33825" xr:uid="{63DBBC0F-FDCD-4B18-8D01-62A4E2C3D049}"/>
    <cellStyle name="Vírgula 2 2 9 2 7" xfId="9606" xr:uid="{4E1F11A2-2476-41E2-9F33-E33DE9A5D054}"/>
    <cellStyle name="Vírgula 2 2 9 2 7 2" xfId="29949" xr:uid="{0B018D50-6899-4899-9EA2-05FD3E5274D8}"/>
    <cellStyle name="Vírgula 2 2 9 2 8" xfId="26455" xr:uid="{6CCC0E4C-6B2A-4216-B7BF-302BB9882724}"/>
    <cellStyle name="Vírgula 2 2 9 2 9" xfId="51817" xr:uid="{83963821-3887-48BF-BEB5-59D02F848851}"/>
    <cellStyle name="Vírgula 2 2 9 3" xfId="6684" xr:uid="{393748B9-A8DE-41A6-A684-E9156B291FD8}"/>
    <cellStyle name="Vírgula 2 2 9 3 2" xfId="16970" xr:uid="{15C3D75F-D3D3-42F8-B01E-F23BF50C082A}"/>
    <cellStyle name="Vírgula 2 2 9 3 2 2" xfId="37310" xr:uid="{91FEB367-B281-48DC-ABCA-DD07F7BA513D}"/>
    <cellStyle name="Vírgula 2 2 9 3 3" xfId="20472" xr:uid="{429F45E0-64B9-4B5D-B846-2571F96DF62C}"/>
    <cellStyle name="Vírgula 2 2 9 3 3 2" xfId="40811" xr:uid="{4B51DE81-0D10-4BC8-8338-50DFC2C2CF56}"/>
    <cellStyle name="Vírgula 2 2 9 3 4" xfId="23727" xr:uid="{6E7AD052-DDED-4690-8C60-2ACB8B9A5C16}"/>
    <cellStyle name="Vírgula 2 2 9 3 4 2" xfId="44062" xr:uid="{841FB5D8-0701-4305-9DB5-A16EAB386C8C}"/>
    <cellStyle name="Vírgula 2 2 9 3 5" xfId="14061" xr:uid="{ADD8784C-395B-46BC-AF0B-DB7D6C84BA31}"/>
    <cellStyle name="Vírgula 2 2 9 3 5 2" xfId="34402" xr:uid="{119DD48D-EE14-4198-951A-054467AACB83}"/>
    <cellStyle name="Vírgula 2 2 9 3 6" xfId="10183" xr:uid="{9B612F0E-50B8-4578-8435-F67F02B0E8B1}"/>
    <cellStyle name="Vírgula 2 2 9 3 6 2" xfId="30526" xr:uid="{E2FAD097-646E-4F98-B4FC-BFAE4325E9C4}"/>
    <cellStyle name="Vírgula 2 2 9 3 7" xfId="27032" xr:uid="{CD24680A-4957-4F42-A2C5-96700962002A}"/>
    <cellStyle name="Vírgula 2 2 9 3 8" xfId="56775" xr:uid="{BFD38A0F-A3D4-415D-9499-61CC9846FCBA}"/>
    <cellStyle name="Vírgula 2 2 9 4" xfId="7848" xr:uid="{57B77D59-39CC-4D62-88EA-3C44F1F58262}"/>
    <cellStyle name="Vírgula 2 2 9 4 2" xfId="18133" xr:uid="{386486FC-FC4E-47D9-87B2-B51F9E12BFD4}"/>
    <cellStyle name="Vírgula 2 2 9 4 2 2" xfId="38473" xr:uid="{18929923-7D3A-41DD-B37C-A17BF03F9F66}"/>
    <cellStyle name="Vírgula 2 2 9 4 3" xfId="21635" xr:uid="{F2D90471-5935-4063-8315-6358660AB39D}"/>
    <cellStyle name="Vírgula 2 2 9 4 3 2" xfId="41974" xr:uid="{85AE13A0-4D63-4ECB-8F67-309C1825FB4F}"/>
    <cellStyle name="Vírgula 2 2 9 4 4" xfId="24890" xr:uid="{386694AF-DD30-44A7-8108-1E154EE1A979}"/>
    <cellStyle name="Vírgula 2 2 9 4 4 2" xfId="45225" xr:uid="{088B4682-2BB9-402B-9F75-CB289CD3A237}"/>
    <cellStyle name="Vírgula 2 2 9 4 5" xfId="15225" xr:uid="{4342B112-F2B7-4830-9101-4D9BB6EE2BAA}"/>
    <cellStyle name="Vírgula 2 2 9 4 5 2" xfId="35565" xr:uid="{E64C431B-7542-4907-97CC-012893B3513E}"/>
    <cellStyle name="Vírgula 2 2 9 4 6" xfId="11346" xr:uid="{05C40C73-F370-4BAB-A3D2-08AF9603B063}"/>
    <cellStyle name="Vírgula 2 2 9 4 6 2" xfId="31689" xr:uid="{13D5D9A7-8155-465D-87DA-8EC8484509C5}"/>
    <cellStyle name="Vírgula 2 2 9 4 7" xfId="28195" xr:uid="{9C858EAB-2723-4A6E-A270-426AF4E936FB}"/>
    <cellStyle name="Vírgula 2 2 9 5" xfId="12915" xr:uid="{53735E48-2E3A-4DD3-8A6C-86660885C970}"/>
    <cellStyle name="Vírgula 2 2 9 5 2" xfId="33256" xr:uid="{FD479225-D8C6-442F-AC16-F866B838DF9B}"/>
    <cellStyle name="Vírgula 2 2 9 6" xfId="15812" xr:uid="{E9178764-96A6-4095-8368-696D57FC4A54}"/>
    <cellStyle name="Vírgula 2 2 9 6 2" xfId="36152" xr:uid="{793B7D22-A78F-43EE-8C42-CCA9E8E8981D}"/>
    <cellStyle name="Vírgula 2 2 9 7" xfId="18726" xr:uid="{68D40A2A-F1A5-4FCD-9B00-8CC078C53F89}"/>
    <cellStyle name="Vírgula 2 2 9 7 2" xfId="39066" xr:uid="{9D7B6B51-F4E6-4CFC-B193-A391296099EF}"/>
    <cellStyle name="Vírgula 2 2 9 8" xfId="19314" xr:uid="{4BBCA965-1A74-4ECD-9AF8-3B4636C65A73}"/>
    <cellStyle name="Vírgula 2 2 9 8 2" xfId="39653" xr:uid="{2BD28BFA-4C89-489E-9F5E-3934A8648666}"/>
    <cellStyle name="Vírgula 2 2 9 9" xfId="22569" xr:uid="{FC45914B-B01B-4293-A2BE-3F5976FADA3E}"/>
    <cellStyle name="Vírgula 2 2 9 9 2" xfId="42904" xr:uid="{71EB442D-B612-460F-BE28-FF50CE7261A7}"/>
    <cellStyle name="Vírgula 2 20" xfId="4363" xr:uid="{0FF65B42-D630-40CE-9D95-3CF3EF2FE445}"/>
    <cellStyle name="Vírgula 2 21" xfId="57595" xr:uid="{01D4BFB2-7F2B-4E88-BBF6-3ACAC918646F}"/>
    <cellStyle name="Vírgula 2 3" xfId="13" xr:uid="{5A9B8E84-83AE-410B-8BA7-BC7E5CBDC148}"/>
    <cellStyle name="Vírgula 2 3 10" xfId="499" xr:uid="{3E9ACD22-2FBC-4AA5-ADB5-0B87E08F8535}"/>
    <cellStyle name="Vírgula 2 3 10 2" xfId="2215" xr:uid="{78933BED-5E24-4FE0-9BDB-54082926D125}"/>
    <cellStyle name="Vírgula 2 3 10 2 2" xfId="51819" xr:uid="{16921EDF-E89C-48B3-A95F-5F83BB0F3F41}"/>
    <cellStyle name="Vírgula 2 3 10 2 3" xfId="55113" xr:uid="{095C2D35-4B6D-46CB-856A-6B186AFF3543}"/>
    <cellStyle name="Vírgula 2 3 10 2 4" xfId="32798" xr:uid="{A6C182DE-6965-43A9-B33B-5BA188CB5D05}"/>
    <cellStyle name="Vírgula 2 3 10 3" xfId="48517" xr:uid="{1862603B-CD78-4DF5-B3FB-9E44504E0A26}"/>
    <cellStyle name="Vírgula 2 3 10 3 2" xfId="56370" xr:uid="{BAE0550C-9A39-4504-8CB0-A2EF5AC0D51D}"/>
    <cellStyle name="Vírgula 2 3 10 4" xfId="50187" xr:uid="{0784CC1B-FFDC-405A-9DA0-54B012F251E2}"/>
    <cellStyle name="Vírgula 2 3 10 5" xfId="53482" xr:uid="{E494AF58-2B40-49ED-A004-17B7A2CC7B29}"/>
    <cellStyle name="Vírgula 2 3 10 6" xfId="12457" xr:uid="{63833EA8-7044-4F7E-A80A-C4A926BFEA50}"/>
    <cellStyle name="Vírgula 2 3 11" xfId="2085" xr:uid="{B6BD6889-6B12-4592-92A8-114ECD067C3C}"/>
    <cellStyle name="Vírgula 2 3 11 2" xfId="29539" xr:uid="{2D528048-531B-4371-B160-9AA21BAC9D63}"/>
    <cellStyle name="Vírgula 2 3 11 3" xfId="51818" xr:uid="{EDC710F0-DC5A-48A7-955E-17CD38D192E0}"/>
    <cellStyle name="Vírgula 2 3 11 4" xfId="55112" xr:uid="{78E1D532-D460-4792-BAE7-B1944D328687}"/>
    <cellStyle name="Vírgula 2 3 11 5" xfId="9196" xr:uid="{FC05EA19-9B70-4ECD-BFA5-B00ACF090719}"/>
    <cellStyle name="Vírgula 2 3 12" xfId="3387" xr:uid="{15F345EB-7515-4543-B311-095F6F282A3E}"/>
    <cellStyle name="Vírgula 2 3 12 2" xfId="55961" xr:uid="{31C911F0-23DC-4CF7-8A25-512C04D5548B}"/>
    <cellStyle name="Vírgula 2 3 12 3" xfId="26045" xr:uid="{4EE54B04-1807-482D-91B9-8BCF4A8918FD}"/>
    <cellStyle name="Vírgula 2 3 13" xfId="3819" xr:uid="{97D74E25-3393-44EE-9669-A8211C449A63}"/>
    <cellStyle name="Vírgula 2 3 13 2" xfId="45867" xr:uid="{475A414C-4282-4F3D-BBE9-CCC8442B9964}"/>
    <cellStyle name="Vírgula 2 3 14" xfId="1735" xr:uid="{B4BD5891-A1D8-44CA-95F3-4F89884966D1}"/>
    <cellStyle name="Vírgula 2 3 14 2" xfId="46353" xr:uid="{3632FC8A-5C7C-4DCE-B94D-169DE3C4CEAB}"/>
    <cellStyle name="Vírgula 2 3 15" xfId="37" xr:uid="{B5F9BB8E-E50A-4618-9425-EBBBD2082377}"/>
    <cellStyle name="Vírgula 2 3 15 2" xfId="46845" xr:uid="{5D8CD1F8-D12A-4565-94A2-88DE0053FEEE}"/>
    <cellStyle name="Vírgula 2 3 16" xfId="47319" xr:uid="{4DF648B8-2589-4D20-8B6D-AEE3D68603BE}"/>
    <cellStyle name="Vírgula 2 3 17" xfId="47445" xr:uid="{9F7122F5-57AE-4610-9DA9-9612B036008C}"/>
    <cellStyle name="Vírgula 2 3 18" xfId="47571" xr:uid="{16D02C20-3E28-4C07-BED2-149CD551E18E}"/>
    <cellStyle name="Vírgula 2 3 19" xfId="48516" xr:uid="{51E5A587-7745-4E2D-9BD4-00A50E938919}"/>
    <cellStyle name="Vírgula 2 3 2" xfId="47" xr:uid="{712798CD-AD8B-4DEA-8FD3-19FC556715FF}"/>
    <cellStyle name="Vírgula 2 3 2 10" xfId="3413" xr:uid="{868DB11A-FE0D-4411-825C-B6BA916C1B36}"/>
    <cellStyle name="Vírgula 2 3 2 10 2" xfId="55971" xr:uid="{64A5359F-5418-4720-A7FF-054AEE6BAA51}"/>
    <cellStyle name="Vírgula 2 3 2 10 3" xfId="25490" xr:uid="{F9DA7C9E-7EAE-4DF6-A341-572AE0AE15C1}"/>
    <cellStyle name="Vírgula 2 3 2 11" xfId="3829" xr:uid="{77F5BD6B-30CF-41C3-999C-B3AC2ED630D7}"/>
    <cellStyle name="Vírgula 2 3 2 11 2" xfId="45991" xr:uid="{9410A24A-8084-4F0F-A993-DDD478762D6A}"/>
    <cellStyle name="Vírgula 2 3 2 12" xfId="1761" xr:uid="{EC3FEBD5-C40E-4026-AC5C-A167F9428B07}"/>
    <cellStyle name="Vírgula 2 3 2 12 2" xfId="46477" xr:uid="{736D795A-B85D-4D6B-9032-9899EE66CBF1}"/>
    <cellStyle name="Vírgula 2 3 2 13" xfId="46969" xr:uid="{BC0BB0BD-1C12-468A-9615-DB2B9E7DADEF}"/>
    <cellStyle name="Vírgula 2 3 2 14" xfId="47345" xr:uid="{7384514A-13A5-41DC-8F41-87B1FCD132C6}"/>
    <cellStyle name="Vírgula 2 3 2 15" xfId="47471" xr:uid="{0236DFFE-2F9D-43EC-BE4F-3E3178C1960C}"/>
    <cellStyle name="Vírgula 2 3 2 16" xfId="47597" xr:uid="{270F666C-D4F7-4E44-9B99-F9EB09DEB146}"/>
    <cellStyle name="Vírgula 2 3 2 17" xfId="48518" xr:uid="{C02B68EE-6770-4029-A209-2584717FA8DC}"/>
    <cellStyle name="Vírgula 2 3 2 18" xfId="50188" xr:uid="{820B94C9-D81E-407E-8CB9-F44508682B49}"/>
    <cellStyle name="Vírgula 2 3 2 19" xfId="53483" xr:uid="{BBEAE3A9-9CBC-4E1A-A38F-52DBB3DA7BDC}"/>
    <cellStyle name="Vírgula 2 3 2 2" xfId="235" xr:uid="{B75DA0E0-F683-42B6-8965-99CDCD68B251}"/>
    <cellStyle name="Vírgula 2 3 2 2 10" xfId="47212" xr:uid="{8730814A-74D3-42A9-8E95-114FCA92D44E}"/>
    <cellStyle name="Vírgula 2 3 2 2 11" xfId="47401" xr:uid="{78EE9013-4C76-4D7E-BBEE-E240D149BFBE}"/>
    <cellStyle name="Vírgula 2 3 2 2 12" xfId="47527" xr:uid="{D1257D31-17CA-4159-8063-A6CAEF4A3ACB}"/>
    <cellStyle name="Vírgula 2 3 2 2 13" xfId="47653" xr:uid="{8AF82511-01A6-47BE-A647-860D8371A286}"/>
    <cellStyle name="Vírgula 2 3 2 2 14" xfId="48519" xr:uid="{C974D53C-90A0-417D-8F10-550DEE1B8F95}"/>
    <cellStyle name="Vírgula 2 3 2 2 15" xfId="50189" xr:uid="{4C51A949-0574-45FB-B08F-1B7C91F96C21}"/>
    <cellStyle name="Vírgula 2 3 2 2 16" xfId="53484" xr:uid="{994BB350-721C-45E3-8316-A4F038FB7CD1}"/>
    <cellStyle name="Vírgula 2 3 2 2 17" xfId="7436" xr:uid="{541E2B4C-1B2A-454C-9678-72C159C5B785}"/>
    <cellStyle name="Vírgula 2 3 2 2 18" xfId="4516" xr:uid="{69D70CCE-6AD1-4E42-A4A4-8E698A74DEB3}"/>
    <cellStyle name="Vírgula 2 3 2 2 2" xfId="424" xr:uid="{F86AE639-DCB6-4B1B-BF32-E9FA0938D6BC}"/>
    <cellStyle name="Vírgula 2 3 2 2 2 2" xfId="1240" xr:uid="{CF4ED30B-896B-49AA-B071-87978D63684E}"/>
    <cellStyle name="Vírgula 2 3 2 2 2 2 2" xfId="2901" xr:uid="{6D6A3395-D176-495E-9A75-41253250BDD8}"/>
    <cellStyle name="Vírgula 2 3 2 2 2 2 2 2" xfId="51823" xr:uid="{CA0FCEA0-5628-40EF-A182-5AA5DF08621E}"/>
    <cellStyle name="Vírgula 2 3 2 2 2 2 2 3" xfId="55117" xr:uid="{EECD79AB-93DC-473F-A093-45585F41CA88}"/>
    <cellStyle name="Vírgula 2 3 2 2 2 2 2 4" xfId="48521" xr:uid="{5FC140C1-7E8D-4ABF-B68B-0FD9E5E78F08}"/>
    <cellStyle name="Vírgula 2 3 2 2 2 2 3" xfId="50191" xr:uid="{F831904B-39C5-4ED8-B426-991612C21533}"/>
    <cellStyle name="Vírgula 2 3 2 2 2 2 3 2" xfId="57111" xr:uid="{313B9AF2-6F74-4A1D-BC81-6F9CC65F931E}"/>
    <cellStyle name="Vírgula 2 3 2 2 2 2 4" xfId="53486" xr:uid="{3BCDB67E-2175-42DA-91D4-3B14AB1617ED}"/>
    <cellStyle name="Vírgula 2 3 2 2 2 2 5" xfId="38062" xr:uid="{76DD6A2E-FE5E-4434-B030-39C64DEFD0E7}"/>
    <cellStyle name="Vírgula 2 3 2 2 2 3" xfId="1646" xr:uid="{AFCF8076-A5B3-4984-8B1B-49A34C8754BA}"/>
    <cellStyle name="Vírgula 2 3 2 2 2 3 2" xfId="3306" xr:uid="{EB9547AC-6FA2-4E4F-BB33-B89C9ED17DB3}"/>
    <cellStyle name="Vírgula 2 3 2 2 2 3 2 2" xfId="55118" xr:uid="{CFD90D1E-A67F-4897-A0E1-85FBADD1AC2B}"/>
    <cellStyle name="Vírgula 2 3 2 2 2 3 2 3" xfId="51824" xr:uid="{CD44EB9E-E379-4BCB-BDF5-78D8047447E2}"/>
    <cellStyle name="Vírgula 2 3 2 2 2 3 3" xfId="50192" xr:uid="{07903598-3568-4859-9165-D85DA4F09AAE}"/>
    <cellStyle name="Vírgula 2 3 2 2 2 3 3 2" xfId="57517" xr:uid="{B0875406-EC63-46D0-92BE-394208A63A37}"/>
    <cellStyle name="Vírgula 2 3 2 2 2 3 4" xfId="53487" xr:uid="{2D84E67F-CA13-42AE-87E8-A1A22256B399}"/>
    <cellStyle name="Vírgula 2 3 2 2 2 3 5" xfId="48522" xr:uid="{029DD8D4-1277-45CD-BD05-37794372BBB3}"/>
    <cellStyle name="Vírgula 2 3 2 2 2 4" xfId="833" xr:uid="{97B69BC3-E885-4A61-B110-8BA3F9F50A66}"/>
    <cellStyle name="Vírgula 2 3 2 2 2 4 2" xfId="2549" xr:uid="{7E4885D0-76E7-4FEF-9298-FF84F343CB92}"/>
    <cellStyle name="Vírgula 2 3 2 2 2 4 2 2" xfId="55119" xr:uid="{E6DB95C3-C7CA-4756-B6CC-E29C5FE6D0AC}"/>
    <cellStyle name="Vírgula 2 3 2 2 2 4 2 3" xfId="51825" xr:uid="{6EA65A8A-869A-4D79-B78A-2A00AF878680}"/>
    <cellStyle name="Vírgula 2 3 2 2 2 4 3" xfId="50193" xr:uid="{6D2A4970-C7C9-45CE-BFDE-2C51F8DD0559}"/>
    <cellStyle name="Vírgula 2 3 2 2 2 4 3 2" xfId="56704" xr:uid="{8361B71C-F3AD-4366-8391-15B3F07DD51F}"/>
    <cellStyle name="Vírgula 2 3 2 2 2 4 4" xfId="53488" xr:uid="{B337144B-B2DA-4D8D-BA1F-FA40DDF7B21E}"/>
    <cellStyle name="Vírgula 2 3 2 2 2 4 5" xfId="48523" xr:uid="{BDC6CFC3-74A0-480B-B7F9-EE0146A09721}"/>
    <cellStyle name="Vírgula 2 3 2 2 2 5" xfId="3687" xr:uid="{42F30C60-EB2D-4305-B7A6-AE0B02B4B0B2}"/>
    <cellStyle name="Vírgula 2 3 2 2 2 5 2" xfId="51822" xr:uid="{393A336E-93A1-4168-88E1-F21CF0FAFEEF}"/>
    <cellStyle name="Vírgula 2 3 2 2 2 5 3" xfId="55116" xr:uid="{358082B8-09AD-4A77-9119-1A7DE5318D68}"/>
    <cellStyle name="Vírgula 2 3 2 2 2 5 4" xfId="48520" xr:uid="{569F9397-3C53-40D5-B735-BE1BD5332D22}"/>
    <cellStyle name="Vírgula 2 3 2 2 2 6" xfId="4113" xr:uid="{333D5ADD-47B2-41AD-BCBF-2092D905C326}"/>
    <cellStyle name="Vírgula 2 3 2 2 2 6 2" xfId="56295" xr:uid="{324B4235-893F-488C-B8B4-AE747F2C3EBB}"/>
    <cellStyle name="Vírgula 2 3 2 2 2 6 3" xfId="50190" xr:uid="{C1EE4D32-F1A3-4297-9DFF-9990BD75FF6A}"/>
    <cellStyle name="Vírgula 2 3 2 2 2 7" xfId="2036" xr:uid="{2C38378E-F1BF-4311-AD52-63FF35BC6C9A}"/>
    <cellStyle name="Vírgula 2 3 2 2 2 7 2" xfId="53485" xr:uid="{CAEC1CC0-D8B2-43BC-AC17-DF11F6EC141E}"/>
    <cellStyle name="Vírgula 2 3 2 2 2 8" xfId="17722" xr:uid="{9868F503-9B71-4AA7-961A-1EAFB4F325CC}"/>
    <cellStyle name="Vírgula 2 3 2 2 2 9" xfId="4705" xr:uid="{74073671-2CA2-48ED-A3C0-EDA2BF396236}"/>
    <cellStyle name="Vírgula 2 3 2 2 3" xfId="1051" xr:uid="{E464D47E-A527-4FBD-842A-1B99EC68D7F0}"/>
    <cellStyle name="Vírgula 2 3 2 2 3 2" xfId="3578" xr:uid="{2753FAB1-F358-4E6C-9024-7F798D31D847}"/>
    <cellStyle name="Vírgula 2 3 2 2 3 2 2" xfId="51826" xr:uid="{2D129F1A-3003-43E9-8928-EE8DA9DE8ACE}"/>
    <cellStyle name="Vírgula 2 3 2 2 3 2 3" xfId="55120" xr:uid="{9C84CD36-5E13-4693-8E0E-0D5E7771A8C0}"/>
    <cellStyle name="Vírgula 2 3 2 2 3 2 4" xfId="41563" xr:uid="{40BE3A5F-3122-44A4-8845-5CB8341F9AB7}"/>
    <cellStyle name="Vírgula 2 3 2 2 3 3" xfId="4285" xr:uid="{463DD0D6-DD37-4F81-A584-5B75661425A5}"/>
    <cellStyle name="Vírgula 2 3 2 2 3 3 2" xfId="56922" xr:uid="{3232062B-7DDC-488C-8032-D032559DBEFF}"/>
    <cellStyle name="Vírgula 2 3 2 2 3 3 3" xfId="48524" xr:uid="{730F8AE2-078F-4DF1-9EF8-3494104DC58B}"/>
    <cellStyle name="Vírgula 2 3 2 2 3 4" xfId="1927" xr:uid="{EB6AAD68-3B6A-475E-A748-B8632B06BF87}"/>
    <cellStyle name="Vírgula 2 3 2 2 3 4 2" xfId="50194" xr:uid="{FDFE23A9-A260-4516-B4B3-0A66C662369B}"/>
    <cellStyle name="Vírgula 2 3 2 2 3 5" xfId="53489" xr:uid="{8E34EE50-C30D-48C0-8BC2-0F2B2E142864}"/>
    <cellStyle name="Vírgula 2 3 2 2 3 6" xfId="21224" xr:uid="{26386FDA-C4D7-4CD0-924D-8705C61B2CBD}"/>
    <cellStyle name="Vírgula 2 3 2 2 3 7" xfId="5109" xr:uid="{4710AB0E-ADE1-4104-8C9D-4B46E2D134C5}"/>
    <cellStyle name="Vírgula 2 3 2 2 4" xfId="1457" xr:uid="{8DC15BF1-6543-4C33-9EB7-18DCFAD57826}"/>
    <cellStyle name="Vírgula 2 3 2 2 4 2" xfId="3796" xr:uid="{EA3FC1C6-D5B6-40BE-B487-42F13447CA9A}"/>
    <cellStyle name="Vírgula 2 3 2 2 4 2 2" xfId="51827" xr:uid="{9243BF1F-2001-44BE-9A2B-D1038750B32F}"/>
    <cellStyle name="Vírgula 2 3 2 2 4 2 3" xfId="55121" xr:uid="{0A52926B-D304-4A1B-BFE1-D8BCF199A686}"/>
    <cellStyle name="Vírgula 2 3 2 2 4 2 4" xfId="44814" xr:uid="{4B42B55A-B012-4651-BB2D-EC641F47F731}"/>
    <cellStyle name="Vírgula 2 3 2 2 4 3" xfId="3118" xr:uid="{3FFB3F6E-EA76-4879-B25E-4F9F52528C37}"/>
    <cellStyle name="Vírgula 2 3 2 2 4 3 2" xfId="57328" xr:uid="{9608863A-1B86-4377-985C-B3865AFFA636}"/>
    <cellStyle name="Vírgula 2 3 2 2 4 3 3" xfId="48525" xr:uid="{CA230E2A-841F-4E5C-A588-C57B1FBA8732}"/>
    <cellStyle name="Vírgula 2 3 2 2 4 4" xfId="50195" xr:uid="{8A0A31D4-8DD8-4464-B2FA-E9A99AE3C294}"/>
    <cellStyle name="Vírgula 2 3 2 2 4 5" xfId="53490" xr:uid="{F8E32647-28EA-4D30-9878-A1FD9904DD52}"/>
    <cellStyle name="Vírgula 2 3 2 2 4 6" xfId="24479" xr:uid="{2F8A0985-3C32-445F-864D-426A8ADDC9A9}"/>
    <cellStyle name="Vírgula 2 3 2 2 5" xfId="644" xr:uid="{4DDEADAC-0381-4371-A03C-005E5F320F27}"/>
    <cellStyle name="Vírgula 2 3 2 2 5 2" xfId="2360" xr:uid="{33F2FA8F-17C2-4DC2-BA48-8CA16D1E5A82}"/>
    <cellStyle name="Vírgula 2 3 2 2 5 2 2" xfId="51828" xr:uid="{92EACC01-844B-493F-AA19-0289AF1DB1D4}"/>
    <cellStyle name="Vírgula 2 3 2 2 5 2 3" xfId="55122" xr:uid="{B8DEC4E6-D42A-46A0-B1A8-B7CB4B241905}"/>
    <cellStyle name="Vírgula 2 3 2 2 5 2 4" xfId="35154" xr:uid="{0A2BF0CA-2F81-4B69-A4B1-79B1B6C16743}"/>
    <cellStyle name="Vírgula 2 3 2 2 5 3" xfId="48526" xr:uid="{EF74AEC2-2E40-4F5F-8056-F5E70BA44632}"/>
    <cellStyle name="Vírgula 2 3 2 2 5 3 2" xfId="56515" xr:uid="{0B1952B6-32ED-43CC-9D0D-20F62EE52F4E}"/>
    <cellStyle name="Vírgula 2 3 2 2 5 4" xfId="50196" xr:uid="{9AC9EDC4-F4AC-41FF-9D66-E91B022AE22F}"/>
    <cellStyle name="Vírgula 2 3 2 2 5 5" xfId="53491" xr:uid="{3B4A35B0-931E-458D-B3A3-E262C1DFFCE0}"/>
    <cellStyle name="Vírgula 2 3 2 2 5 6" xfId="14813" xr:uid="{8566CBE2-C16A-4F91-B555-4C8523785E14}"/>
    <cellStyle name="Vírgula 2 3 2 2 6" xfId="3468" xr:uid="{AE284D99-E3C7-4924-B390-022ACF452A82}"/>
    <cellStyle name="Vírgula 2 3 2 2 6 2" xfId="31278" xr:uid="{4F91A8CE-9CA1-44F8-B467-F88CB09667BD}"/>
    <cellStyle name="Vírgula 2 3 2 2 6 3" xfId="51821" xr:uid="{804EC66D-1929-401D-A6D5-42E862968930}"/>
    <cellStyle name="Vírgula 2 3 2 2 6 4" xfId="55115" xr:uid="{D99FC2AA-CB0E-467F-BC1E-69C0CF7A64F5}"/>
    <cellStyle name="Vírgula 2 3 2 2 6 5" xfId="10935" xr:uid="{AAC2E5A1-A722-49AE-AF56-6584A69207BC}"/>
    <cellStyle name="Vírgula 2 3 2 2 7" xfId="3941" xr:uid="{5905915A-417D-4F84-9817-53A6ADB96BDF}"/>
    <cellStyle name="Vírgula 2 3 2 2 7 2" xfId="56106" xr:uid="{A9A7A7B6-DD69-4A5A-BAD2-1D6716B4F29D}"/>
    <cellStyle name="Vírgula 2 3 2 2 7 3" xfId="27784" xr:uid="{2B475498-EA03-45B4-9943-39F078AC3AD3}"/>
    <cellStyle name="Vírgula 2 3 2 2 8" xfId="1817" xr:uid="{3F3898BC-C40B-47D0-AAE5-A613FC7E0A0B}"/>
    <cellStyle name="Vírgula 2 3 2 2 8 2" xfId="46234" xr:uid="{481AF9DB-C9C5-45D5-B581-9DB78F27A6CB}"/>
    <cellStyle name="Vírgula 2 3 2 2 9" xfId="46720" xr:uid="{B207A6C4-84B9-41E4-8649-780BF0445C31}"/>
    <cellStyle name="Vírgula 2 3 2 20" xfId="6278" xr:uid="{BB2259EE-20A7-45E5-B440-25B62DAD8E80}"/>
    <cellStyle name="Vírgula 2 3 2 21" xfId="4381" xr:uid="{39B5EAE7-6379-459A-A693-5F72EF8C5271}"/>
    <cellStyle name="Vírgula 2 3 2 3" xfId="287" xr:uid="{D7E1D5B7-ADAF-4DCE-9649-87AB62446D37}"/>
    <cellStyle name="Vírgula 2 3 2 3 10" xfId="8252" xr:uid="{37BAE7E4-A90A-42BB-BF99-A3B9FB840D5D}"/>
    <cellStyle name="Vírgula 2 3 2 3 11" xfId="4568" xr:uid="{BF1FAA92-D013-41F0-940F-F89FC979F9DE}"/>
    <cellStyle name="Vírgula 2 3 2 3 2" xfId="476" xr:uid="{267B4E26-7C74-4FAF-946E-A738D447AC54}"/>
    <cellStyle name="Vírgula 2 3 2 3 2 2" xfId="1292" xr:uid="{1807DE2B-BA4D-4128-A03D-859419F754ED}"/>
    <cellStyle name="Vírgula 2 3 2 3 2 2 2" xfId="2953" xr:uid="{4CC29D75-894E-4500-B017-872D64690B76}"/>
    <cellStyle name="Vírgula 2 3 2 3 2 2 2 2" xfId="51831" xr:uid="{E1B515B0-D62E-40A8-9E7B-2F5CFDA77CBB}"/>
    <cellStyle name="Vírgula 2 3 2 3 2 2 2 3" xfId="55125" xr:uid="{F0709F67-885E-40D9-AD5C-2CA586846EC7}"/>
    <cellStyle name="Vírgula 2 3 2 3 2 2 2 4" xfId="48529" xr:uid="{26092C82-B66A-4332-93C8-B08D3F8E1773}"/>
    <cellStyle name="Vírgula 2 3 2 3 2 2 3" xfId="50199" xr:uid="{9CF7F30C-AEAB-4BA8-BCD7-E74509D194A8}"/>
    <cellStyle name="Vírgula 2 3 2 3 2 2 3 2" xfId="57163" xr:uid="{9EABEB15-27F5-4D1B-8445-69336D848046}"/>
    <cellStyle name="Vírgula 2 3 2 3 2 2 4" xfId="53494" xr:uid="{3C8DCEE5-066D-4F76-8DF0-2AF1B56A44FE}"/>
    <cellStyle name="Vírgula 2 3 2 3 2 2 5" xfId="42375" xr:uid="{6F9A72EC-F67F-4E04-A4F0-9955A39D2282}"/>
    <cellStyle name="Vírgula 2 3 2 3 2 3" xfId="1698" xr:uid="{C6BB781E-09E6-4830-ACFB-A73F02AD0575}"/>
    <cellStyle name="Vírgula 2 3 2 3 2 3 2" xfId="3358" xr:uid="{23982589-5DE9-4FDE-AB82-1987B627D557}"/>
    <cellStyle name="Vírgula 2 3 2 3 2 3 2 2" xfId="55126" xr:uid="{C88AA061-3DAB-4FB0-A7B1-D065DA034A6E}"/>
    <cellStyle name="Vírgula 2 3 2 3 2 3 2 3" xfId="51832" xr:uid="{AA37E2D9-BDB7-4F53-A4A6-50E3FE003947}"/>
    <cellStyle name="Vírgula 2 3 2 3 2 3 3" xfId="50200" xr:uid="{EF4583CC-C9E8-427D-93F0-9DCAB383B916}"/>
    <cellStyle name="Vírgula 2 3 2 3 2 3 3 2" xfId="57569" xr:uid="{3F09CF68-BBDD-43D1-9646-EA90F4162A24}"/>
    <cellStyle name="Vírgula 2 3 2 3 2 3 4" xfId="53495" xr:uid="{9C96464D-23CB-4FC4-A4F8-2838A96F6AD3}"/>
    <cellStyle name="Vírgula 2 3 2 3 2 3 5" xfId="48530" xr:uid="{FE0D7DA6-C8AE-456F-A719-751E3A2B56C6}"/>
    <cellStyle name="Vírgula 2 3 2 3 2 4" xfId="885" xr:uid="{FD9142F2-A6D4-4BBA-AA84-27DB94FDAE95}"/>
    <cellStyle name="Vírgula 2 3 2 3 2 4 2" xfId="2601" xr:uid="{05E2B0FA-DA30-446C-9A1B-45218A39BBAA}"/>
    <cellStyle name="Vírgula 2 3 2 3 2 4 2 2" xfId="55127" xr:uid="{B6A8D3B9-D3A7-40D1-B2AB-A2B1F8E300B3}"/>
    <cellStyle name="Vírgula 2 3 2 3 2 4 2 3" xfId="51833" xr:uid="{1BAC2B35-56CB-408B-A11C-32F12B48287C}"/>
    <cellStyle name="Vírgula 2 3 2 3 2 4 3" xfId="50201" xr:uid="{4DD45F22-DEAA-4BD7-92D1-C45B1DF97D15}"/>
    <cellStyle name="Vírgula 2 3 2 3 2 4 3 2" xfId="56756" xr:uid="{18861CF9-0F24-4430-B734-CE49B5A54E6B}"/>
    <cellStyle name="Vírgula 2 3 2 3 2 4 4" xfId="53496" xr:uid="{0B168C4E-41E7-4819-AADB-D00856412155}"/>
    <cellStyle name="Vírgula 2 3 2 3 2 4 5" xfId="48531" xr:uid="{783E2DC4-FEAE-4237-B059-015E6D7C9C15}"/>
    <cellStyle name="Vírgula 2 3 2 3 2 5" xfId="2193" xr:uid="{FC40DD02-F08D-4150-9879-F35926CA2BE0}"/>
    <cellStyle name="Vírgula 2 3 2 3 2 5 2" xfId="51830" xr:uid="{FD135439-A044-43DF-A545-7AFE03E7E90A}"/>
    <cellStyle name="Vírgula 2 3 2 3 2 5 3" xfId="55124" xr:uid="{38C7566A-1F71-4F93-8EC3-070F80DFAE86}"/>
    <cellStyle name="Vírgula 2 3 2 3 2 5 4" xfId="48528" xr:uid="{544722BA-0C62-4C41-95D1-557176F009EA}"/>
    <cellStyle name="Vírgula 2 3 2 3 2 6" xfId="50198" xr:uid="{B2E7BD0C-C141-4069-9D5A-D7DD06A9D118}"/>
    <cellStyle name="Vírgula 2 3 2 3 2 6 2" xfId="56347" xr:uid="{E482C414-C75F-4BA9-B20B-3D75642D8BC6}"/>
    <cellStyle name="Vírgula 2 3 2 3 2 7" xfId="53493" xr:uid="{09AA91FA-7418-4906-A7E1-E6325579A60A}"/>
    <cellStyle name="Vírgula 2 3 2 3 2 8" xfId="22039" xr:uid="{3CCB4501-68CF-4192-A804-38842813A895}"/>
    <cellStyle name="Vírgula 2 3 2 3 2 9" xfId="4757" xr:uid="{98817D44-5D00-4474-B518-EFCD79CE78EF}"/>
    <cellStyle name="Vírgula 2 3 2 3 3" xfId="1103" xr:uid="{75D45EFE-4108-4015-98CA-39584D2C41EA}"/>
    <cellStyle name="Vírgula 2 3 2 3 3 2" xfId="2766" xr:uid="{0A29E7DF-32E1-458A-8A98-FF1353589B43}"/>
    <cellStyle name="Vírgula 2 3 2 3 3 2 2" xfId="51834" xr:uid="{B69D9752-343F-441C-8B01-6A39147B1A42}"/>
    <cellStyle name="Vírgula 2 3 2 3 3 2 3" xfId="55128" xr:uid="{40F76D48-25DB-4B8E-ACD7-FBB4B66A1B0A}"/>
    <cellStyle name="Vírgula 2 3 2 3 3 2 4" xfId="45626" xr:uid="{86121698-769A-42E7-BD64-010100580121}"/>
    <cellStyle name="Vírgula 2 3 2 3 3 3" xfId="48532" xr:uid="{F690F424-ECB7-4590-B156-D0222ABE7DFD}"/>
    <cellStyle name="Vírgula 2 3 2 3 3 3 2" xfId="56974" xr:uid="{F5CBA9E3-7DCE-45F3-BF93-953EEE7A5706}"/>
    <cellStyle name="Vírgula 2 3 2 3 3 4" xfId="50202" xr:uid="{E30503B2-A864-4F4F-B441-09A9CCAD91B7}"/>
    <cellStyle name="Vírgula 2 3 2 3 3 5" xfId="53497" xr:uid="{66D6BC15-4B9C-4594-A9C8-27E0AC83CE24}"/>
    <cellStyle name="Vírgula 2 3 2 3 3 6" xfId="25291" xr:uid="{BF3B083E-7656-4D9F-8BBF-566F664095A5}"/>
    <cellStyle name="Vírgula 2 3 2 3 4" xfId="1509" xr:uid="{023E1EF7-1188-40F0-9845-E463E9B923C5}"/>
    <cellStyle name="Vírgula 2 3 2 3 4 2" xfId="3170" xr:uid="{21D92553-4176-489C-9483-3CCC552E3E4C}"/>
    <cellStyle name="Vírgula 2 3 2 3 4 2 2" xfId="51835" xr:uid="{AB071F41-9C57-4072-A17B-24ACB9850E76}"/>
    <cellStyle name="Vírgula 2 3 2 3 4 2 3" xfId="55129" xr:uid="{803E7621-5103-4729-8726-D10FDD702BFC}"/>
    <cellStyle name="Vírgula 2 3 2 3 4 2 4" xfId="33996" xr:uid="{2483A279-4CAA-4030-BC2A-52A70445E7C0}"/>
    <cellStyle name="Vírgula 2 3 2 3 4 3" xfId="48533" xr:uid="{3B66C608-C274-4AF7-B404-17A30BC31049}"/>
    <cellStyle name="Vírgula 2 3 2 3 4 3 2" xfId="57380" xr:uid="{AB714B19-BE41-4449-9473-3746045CDB03}"/>
    <cellStyle name="Vírgula 2 3 2 3 4 4" xfId="50203" xr:uid="{E86A7AF0-C01C-495A-AA49-D3D6AA62124B}"/>
    <cellStyle name="Vírgula 2 3 2 3 4 5" xfId="53498" xr:uid="{3CF1648B-EC5F-462D-A84E-65015A23BF1B}"/>
    <cellStyle name="Vírgula 2 3 2 3 4 6" xfId="13655" xr:uid="{9A4AAC50-2607-48DD-AF99-03EA9B80D14A}"/>
    <cellStyle name="Vírgula 2 3 2 3 5" xfId="696" xr:uid="{8977D749-CE76-40A7-A542-B3DDCC4EA1BC}"/>
    <cellStyle name="Vírgula 2 3 2 3 5 2" xfId="2412" xr:uid="{27F0B83F-D8C6-4FF1-A3A3-EC1A52179467}"/>
    <cellStyle name="Vírgula 2 3 2 3 5 2 2" xfId="51836" xr:uid="{92C822E6-CB3E-419D-B43F-ED94DC0F2449}"/>
    <cellStyle name="Vírgula 2 3 2 3 5 2 3" xfId="55130" xr:uid="{9222D773-51BF-4BDE-9DE8-0FAF679ACFFE}"/>
    <cellStyle name="Vírgula 2 3 2 3 5 2 4" xfId="32090" xr:uid="{FD11491F-43CB-41FC-89B2-88FC1DA627BD}"/>
    <cellStyle name="Vírgula 2 3 2 3 5 3" xfId="48534" xr:uid="{4B8C5432-25E2-4FB7-8198-7851B9FC8949}"/>
    <cellStyle name="Vírgula 2 3 2 3 5 3 2" xfId="56567" xr:uid="{29D9DE44-0C63-4567-AC01-7ADB17EB9147}"/>
    <cellStyle name="Vírgula 2 3 2 3 5 4" xfId="50204" xr:uid="{755BA61E-D0CD-45CB-AC00-195013F42F03}"/>
    <cellStyle name="Vírgula 2 3 2 3 5 5" xfId="53499" xr:uid="{D8BA404B-0BA3-481B-AAF9-8AD329E28245}"/>
    <cellStyle name="Vírgula 2 3 2 3 5 6" xfId="11748" xr:uid="{437C7AB3-1EE9-4767-B16F-C2C42F025E85}"/>
    <cellStyle name="Vírgula 2 3 2 3 6" xfId="3632" xr:uid="{AE11B99D-C5CA-421D-BC98-1DC4D65CB7E1}"/>
    <cellStyle name="Vírgula 2 3 2 3 6 2" xfId="51829" xr:uid="{4992F5C9-EF14-453B-B86C-70BBE6A365FD}"/>
    <cellStyle name="Vírgula 2 3 2 3 6 3" xfId="55123" xr:uid="{FED97E6B-6FB4-4D75-B078-C46211590867}"/>
    <cellStyle name="Vírgula 2 3 2 3 6 4" xfId="28596" xr:uid="{2223A82A-46EC-4FBE-BA66-2D404EDCE135}"/>
    <cellStyle name="Vírgula 2 3 2 3 7" xfId="4000" xr:uid="{2412A4AE-13FA-4BA7-9F58-F3FEDA26DDB7}"/>
    <cellStyle name="Vírgula 2 3 2 3 7 2" xfId="56158" xr:uid="{1FD2FEA1-84D5-40CE-8AE8-F1EDBC788358}"/>
    <cellStyle name="Vírgula 2 3 2 3 7 3" xfId="48527" xr:uid="{F822CF6D-6C16-4588-A750-5405968D6605}"/>
    <cellStyle name="Vírgula 2 3 2 3 8" xfId="1981" xr:uid="{0D1140EF-C28D-49D7-BABE-CABE1C47A2CD}"/>
    <cellStyle name="Vírgula 2 3 2 3 8 2" xfId="50197" xr:uid="{9C71F875-92ED-4CE5-A3AA-77986C5DA9EB}"/>
    <cellStyle name="Vírgula 2 3 2 3 9" xfId="53492" xr:uid="{459B5677-2040-450C-853E-DA100F1B317F}"/>
    <cellStyle name="Vírgula 2 3 2 4" xfId="346" xr:uid="{A26C4B7B-CD47-4A86-9EE8-0F6EACCBAAC3}"/>
    <cellStyle name="Vírgula 2 3 2 4 2" xfId="1162" xr:uid="{7A918118-6CE8-498A-ADC3-9EC49CBA8259}"/>
    <cellStyle name="Vírgula 2 3 2 4 2 2" xfId="2823" xr:uid="{141B72E3-849D-40A6-B6CD-4B34BE0327A4}"/>
    <cellStyle name="Vírgula 2 3 2 4 2 2 2" xfId="51838" xr:uid="{4E828F63-934F-4E08-8182-3C0DA90D36D4}"/>
    <cellStyle name="Vírgula 2 3 2 4 2 2 3" xfId="55132" xr:uid="{08419794-2812-43F0-919D-D12D835BCDC2}"/>
    <cellStyle name="Vírgula 2 3 2 4 2 2 4" xfId="36904" xr:uid="{62546D54-D97C-44C3-995C-65682C9E000B}"/>
    <cellStyle name="Vírgula 2 3 2 4 2 3" xfId="48536" xr:uid="{F7365268-65AA-4528-94FE-C15A8B5B11A5}"/>
    <cellStyle name="Vírgula 2 3 2 4 2 3 2" xfId="57033" xr:uid="{3C13F30D-7C95-4782-80F0-B66235E9F470}"/>
    <cellStyle name="Vírgula 2 3 2 4 2 4" xfId="50206" xr:uid="{128329B5-227B-43C7-AF88-8A5A6E2A192D}"/>
    <cellStyle name="Vírgula 2 3 2 4 2 5" xfId="53501" xr:uid="{402EE289-F41E-4588-821D-A25F4CDE4650}"/>
    <cellStyle name="Vírgula 2 3 2 4 2 6" xfId="16564" xr:uid="{45D07B0A-7BE9-4695-B5E0-53D6345DA3AD}"/>
    <cellStyle name="Vírgula 2 3 2 4 3" xfId="1568" xr:uid="{0A8F931A-E925-4CF1-9E41-61707067519C}"/>
    <cellStyle name="Vírgula 2 3 2 4 3 2" xfId="3228" xr:uid="{636F233E-D775-4DA1-ABDD-11C576546BFD}"/>
    <cellStyle name="Vírgula 2 3 2 4 3 2 2" xfId="51839" xr:uid="{E3C32D4E-4DFA-4D61-880F-F6C644FA60F7}"/>
    <cellStyle name="Vírgula 2 3 2 4 3 2 3" xfId="55133" xr:uid="{882ED854-458F-4791-9AC5-F706F3B967C1}"/>
    <cellStyle name="Vírgula 2 3 2 4 3 2 4" xfId="48537" xr:uid="{EC02CF09-2B44-4DDE-9650-BCC8A791D9C0}"/>
    <cellStyle name="Vírgula 2 3 2 4 3 3" xfId="50207" xr:uid="{00C2D425-E088-4948-A5BD-DD7842EEED60}"/>
    <cellStyle name="Vírgula 2 3 2 4 3 3 2" xfId="57439" xr:uid="{5EEB88D1-8A96-4DAF-A471-87C2ED385783}"/>
    <cellStyle name="Vírgula 2 3 2 4 3 4" xfId="53502" xr:uid="{A90F28F6-1A1A-47BA-9DC7-C907CF917F79}"/>
    <cellStyle name="Vírgula 2 3 2 4 3 5" xfId="28959" xr:uid="{DD40C15D-F603-4768-A749-7F26F55B29F3}"/>
    <cellStyle name="Vírgula 2 3 2 4 4" xfId="755" xr:uid="{596FD70E-8805-42CC-BB58-0824038113FE}"/>
    <cellStyle name="Vírgula 2 3 2 4 4 2" xfId="2471" xr:uid="{2703FEAF-09FD-4497-BB97-52BE0162EC09}"/>
    <cellStyle name="Vírgula 2 3 2 4 4 2 2" xfId="55134" xr:uid="{A0E3AD17-E96A-41A7-9F5D-51A8A72AE0C6}"/>
    <cellStyle name="Vírgula 2 3 2 4 4 2 3" xfId="51840" xr:uid="{A5B5742E-3E3A-41DF-8262-AEECCDE1F351}"/>
    <cellStyle name="Vírgula 2 3 2 4 4 3" xfId="50208" xr:uid="{FB546544-0986-4788-A2E7-CFC9D51E2F75}"/>
    <cellStyle name="Vírgula 2 3 2 4 4 3 2" xfId="56626" xr:uid="{898DB536-00F8-4681-9789-51E910365B8D}"/>
    <cellStyle name="Vírgula 2 3 2 4 4 4" xfId="53503" xr:uid="{0CC66F9A-9D42-423D-B677-9B3A21270B42}"/>
    <cellStyle name="Vírgula 2 3 2 4 4 5" xfId="48538" xr:uid="{102DE51D-611B-43F7-9207-82F7CD056458}"/>
    <cellStyle name="Vírgula 2 3 2 4 5" xfId="3523" xr:uid="{73D34ED1-0648-4049-8310-E1AE7BE2DACF}"/>
    <cellStyle name="Vírgula 2 3 2 4 5 2" xfId="51837" xr:uid="{C2830383-ABD5-4AD1-960F-5A0F23C54F55}"/>
    <cellStyle name="Vírgula 2 3 2 4 5 3" xfId="55131" xr:uid="{5C830E56-9259-4ED2-8979-39DADF690BB1}"/>
    <cellStyle name="Vírgula 2 3 2 4 5 4" xfId="48535" xr:uid="{F64CA517-8644-4699-B745-D1CAD34EB25F}"/>
    <cellStyle name="Vírgula 2 3 2 4 6" xfId="4172" xr:uid="{07B1F706-78C6-4D67-B2BF-07A69089064C}"/>
    <cellStyle name="Vírgula 2 3 2 4 6 2" xfId="56217" xr:uid="{AA058E20-4776-4498-86DF-3D6C2C6ED9B7}"/>
    <cellStyle name="Vírgula 2 3 2 4 6 3" xfId="50205" xr:uid="{AA51A387-670A-403E-BEC9-736B863A1049}"/>
    <cellStyle name="Vírgula 2 3 2 4 7" xfId="1872" xr:uid="{76341081-2B57-4CA0-BA3C-20CB50CD540A}"/>
    <cellStyle name="Vírgula 2 3 2 4 7 2" xfId="53500" xr:uid="{F166A75D-A06B-4A08-9D59-3115AB59EE27}"/>
    <cellStyle name="Vírgula 2 3 2 4 8" xfId="8616" xr:uid="{C2D4D6FF-6026-4C34-8350-AEF0FE2AC2F9}"/>
    <cellStyle name="Vírgula 2 3 2 4 9" xfId="4627" xr:uid="{4E1A5FAF-BE2A-410F-8F2A-A6277F22896D}"/>
    <cellStyle name="Vírgula 2 3 2 5" xfId="157" xr:uid="{AD07E8E2-584C-431B-BF2D-559CE1DCA1B7}"/>
    <cellStyle name="Vírgula 2 3 2 5 2" xfId="973" xr:uid="{557B2DAF-1189-4265-BD37-6B7DEEABD506}"/>
    <cellStyle name="Vírgula 2 3 2 5 2 2" xfId="2687" xr:uid="{4976796A-3DFF-4347-A107-FDD067DD441C}"/>
    <cellStyle name="Vírgula 2 3 2 5 2 2 2" xfId="51842" xr:uid="{F18A8C94-CB69-4521-A432-69E0C5C9A63B}"/>
    <cellStyle name="Vírgula 2 3 2 5 2 2 3" xfId="55136" xr:uid="{18924195-7F94-456A-B134-BF33C7C954B9}"/>
    <cellStyle name="Vírgula 2 3 2 5 2 2 4" xfId="48540" xr:uid="{A84179AD-D4B2-4D4E-AC61-EC906AE057EB}"/>
    <cellStyle name="Vírgula 2 3 2 5 2 3" xfId="50210" xr:uid="{FFF75857-BA19-4CAC-8F1A-32091BAD4DB3}"/>
    <cellStyle name="Vírgula 2 3 2 5 2 3 2" xfId="56844" xr:uid="{2BCE1E4C-B7F6-4B05-AB52-E15E4F742CA7}"/>
    <cellStyle name="Vírgula 2 3 2 5 2 4" xfId="53505" xr:uid="{AD8E703E-1FE6-4E00-961E-4D852423A7B2}"/>
    <cellStyle name="Vírgula 2 3 2 5 2 5" xfId="40405" xr:uid="{AE1E894D-CCC5-453D-8BC6-578466BD3E64}"/>
    <cellStyle name="Vírgula 2 3 2 5 3" xfId="1379" xr:uid="{4DE0880E-C6B6-41E7-8A8B-C22A62914098}"/>
    <cellStyle name="Vírgula 2 3 2 5 3 2" xfId="3040" xr:uid="{3A2A4BF2-D15A-4279-B0C9-AF8618BCD35A}"/>
    <cellStyle name="Vírgula 2 3 2 5 3 2 2" xfId="55137" xr:uid="{DCD0583F-2BE9-40AA-8706-7B841F88C604}"/>
    <cellStyle name="Vírgula 2 3 2 5 3 2 3" xfId="51843" xr:uid="{7E2378C0-F138-4C0A-A8B4-D0AF7A1D6EFC}"/>
    <cellStyle name="Vírgula 2 3 2 5 3 3" xfId="50211" xr:uid="{D6F458C5-A3B7-46E4-B5F7-34C884347CDE}"/>
    <cellStyle name="Vírgula 2 3 2 5 3 3 2" xfId="57250" xr:uid="{60F6E0F4-0F28-455B-88DA-AE1A613EE034}"/>
    <cellStyle name="Vírgula 2 3 2 5 3 4" xfId="53506" xr:uid="{4B0F4D70-7D4C-497C-8B17-E087FE4341D7}"/>
    <cellStyle name="Vírgula 2 3 2 5 3 5" xfId="48541" xr:uid="{5DBF0680-A6D4-4E66-B667-D2C84F171C35}"/>
    <cellStyle name="Vírgula 2 3 2 5 4" xfId="566" xr:uid="{6CDD0F7F-ED9A-411C-987A-7020CFDA31D4}"/>
    <cellStyle name="Vírgula 2 3 2 5 4 2" xfId="2282" xr:uid="{07F2AE3F-BE38-4609-ACBC-80DCFC3EDDA7}"/>
    <cellStyle name="Vírgula 2 3 2 5 4 2 2" xfId="55138" xr:uid="{72E3BF47-C889-46C6-A098-1C60BBCBD8A4}"/>
    <cellStyle name="Vírgula 2 3 2 5 4 2 3" xfId="51844" xr:uid="{8F1B6637-E48F-4017-B85A-F96EE2548515}"/>
    <cellStyle name="Vírgula 2 3 2 5 4 3" xfId="50212" xr:uid="{4044B74E-82C7-41AA-A7CC-AD478C64D97E}"/>
    <cellStyle name="Vírgula 2 3 2 5 4 3 2" xfId="56437" xr:uid="{E60BFE72-89EC-4E1E-95BD-025535BD3F8D}"/>
    <cellStyle name="Vírgula 2 3 2 5 4 4" xfId="53507" xr:uid="{0E5F1564-07BF-4BDD-B81F-699434F15552}"/>
    <cellStyle name="Vírgula 2 3 2 5 4 5" xfId="48542" xr:uid="{E14F7946-6839-418A-9219-A71C6CE6BA23}"/>
    <cellStyle name="Vírgula 2 3 2 5 5" xfId="3741" xr:uid="{9F52ED7E-43BE-442C-A236-E56B960184AC}"/>
    <cellStyle name="Vírgula 2 3 2 5 5 2" xfId="51841" xr:uid="{0B26EC30-D1EF-41BC-880A-63BD5B7916A5}"/>
    <cellStyle name="Vírgula 2 3 2 5 5 3" xfId="55135" xr:uid="{9AE7ECC4-63F5-49B9-90E7-6F9F8FA3E7FB}"/>
    <cellStyle name="Vírgula 2 3 2 5 5 4" xfId="48539" xr:uid="{478DDFDA-6D27-49BF-A335-55FADA8BC93F}"/>
    <cellStyle name="Vírgula 2 3 2 5 6" xfId="2094" xr:uid="{97EF5DAE-A68C-49AB-8569-93EBBF7D7136}"/>
    <cellStyle name="Vírgula 2 3 2 5 6 2" xfId="56028" xr:uid="{453CAE1A-9221-4948-98FF-CFB985C43584}"/>
    <cellStyle name="Vírgula 2 3 2 5 6 3" xfId="50209" xr:uid="{B7537D8F-E302-4AA2-8F4F-177232F891D4}"/>
    <cellStyle name="Vírgula 2 3 2 5 7" xfId="53504" xr:uid="{45F59584-6410-40BE-B04E-719546D48B0F}"/>
    <cellStyle name="Vírgula 2 3 2 5 8" xfId="20066" xr:uid="{BB5797D7-1676-4291-8EDA-EFCEAEB7AA14}"/>
    <cellStyle name="Vírgula 2 3 2 5 9" xfId="4438" xr:uid="{3C36EB32-B2E0-4555-BF33-CD02727F7715}"/>
    <cellStyle name="Vírgula 2 3 2 6" xfId="916" xr:uid="{8E98CACB-4218-4B10-80CF-CC9B8D9A14D2}"/>
    <cellStyle name="Vírgula 2 3 2 6 2" xfId="2632" xr:uid="{64EE3A7E-EC5C-4DC6-B141-39A32EF076F7}"/>
    <cellStyle name="Vírgula 2 3 2 6 2 2" xfId="51845" xr:uid="{107E9583-A041-469F-AC01-DDD70365BBC4}"/>
    <cellStyle name="Vírgula 2 3 2 6 2 3" xfId="55139" xr:uid="{4EB08784-BC2E-413A-9745-B7E602E74406}"/>
    <cellStyle name="Vírgula 2 3 2 6 2 4" xfId="43656" xr:uid="{B84F1B10-E2EA-4E78-8F43-6D24F2148805}"/>
    <cellStyle name="Vírgula 2 3 2 6 3" xfId="48543" xr:uid="{05EBC71C-4426-49FD-9482-496C0B0E461F}"/>
    <cellStyle name="Vírgula 2 3 2 6 3 2" xfId="56787" xr:uid="{C15AFCA4-5F05-4033-9B4B-CD2B113C0D34}"/>
    <cellStyle name="Vírgula 2 3 2 6 4" xfId="50213" xr:uid="{8B7EB7ED-6876-4597-BC78-73F983303DB2}"/>
    <cellStyle name="Vírgula 2 3 2 6 5" xfId="53508" xr:uid="{6808DB52-A23B-489E-A306-421A0B5B13EF}"/>
    <cellStyle name="Vírgula 2 3 2 6 6" xfId="23321" xr:uid="{46A5B8A4-1D35-413A-9F4E-D156CA5FB86B}"/>
    <cellStyle name="Vírgula 2 3 2 6 7" xfId="4890" xr:uid="{FB4D9A9C-C907-4BD4-A9A8-A95C16E70359}"/>
    <cellStyle name="Vírgula 2 3 2 7" xfId="1322" xr:uid="{AE17F405-5EB3-488F-A674-4A07B9497913}"/>
    <cellStyle name="Vírgula 2 3 2 7 2" xfId="2983" xr:uid="{A39AB0EB-E316-4089-9941-20CEF830ADEB}"/>
    <cellStyle name="Vírgula 2 3 2 7 2 2" xfId="51846" xr:uid="{0EF7C3CC-4A83-49E2-8346-79E0373B66B7}"/>
    <cellStyle name="Vírgula 2 3 2 7 2 3" xfId="55140" xr:uid="{143FC0D5-4083-4FD6-8FDE-64B44520AEF4}"/>
    <cellStyle name="Vírgula 2 3 2 7 2 4" xfId="32907" xr:uid="{18F2FB4C-192C-4405-98BE-F2074128E538}"/>
    <cellStyle name="Vírgula 2 3 2 7 3" xfId="48544" xr:uid="{605BB89B-CB59-49E0-9D9B-3860B1A688FE}"/>
    <cellStyle name="Vírgula 2 3 2 7 3 2" xfId="57193" xr:uid="{29A24DAF-1BF3-4803-985D-39C3B3FA3B7D}"/>
    <cellStyle name="Vírgula 2 3 2 7 4" xfId="50214" xr:uid="{64B04FCA-FFE1-4F77-9A05-23E7A90283CF}"/>
    <cellStyle name="Vírgula 2 3 2 7 5" xfId="53509" xr:uid="{DD8A9DBB-06D1-4C6A-9247-B8012EFFF4A7}"/>
    <cellStyle name="Vírgula 2 3 2 7 6" xfId="12566" xr:uid="{5E278237-01EF-45C5-A4CD-560B092423A7}"/>
    <cellStyle name="Vírgula 2 3 2 8" xfId="509" xr:uid="{CDA48553-10B7-4861-8528-75657C7EE53A}"/>
    <cellStyle name="Vírgula 2 3 2 8 2" xfId="2225" xr:uid="{46F95DD8-E2BA-40F6-AC9B-64719AF7667F}"/>
    <cellStyle name="Vírgula 2 3 2 8 2 2" xfId="51847" xr:uid="{CC8187B9-47E7-4F78-8063-353515BE41E6}"/>
    <cellStyle name="Vírgula 2 3 2 8 2 3" xfId="55141" xr:uid="{A435CAC0-7B1F-4725-BD53-C03FC7CF47CC}"/>
    <cellStyle name="Vírgula 2 3 2 8 2 4" xfId="30120" xr:uid="{FAD79109-7D95-4801-9056-BECCFF268281}"/>
    <cellStyle name="Vírgula 2 3 2 8 3" xfId="48545" xr:uid="{FE24EE8D-80A5-4085-B049-EAB5FD002437}"/>
    <cellStyle name="Vírgula 2 3 2 8 3 2" xfId="56380" xr:uid="{4A4630FA-E04D-4541-BB60-113D3816111D}"/>
    <cellStyle name="Vírgula 2 3 2 8 4" xfId="50215" xr:uid="{B3815B9B-722D-4192-8780-36D41C2189B4}"/>
    <cellStyle name="Vírgula 2 3 2 8 5" xfId="53510" xr:uid="{5E2A33F0-4C54-44F1-9537-2F5623DABD8F}"/>
    <cellStyle name="Vírgula 2 3 2 8 6" xfId="9777" xr:uid="{582F8855-E5D3-421A-A3D9-63EB799E409E}"/>
    <cellStyle name="Vírgula 2 3 2 9" xfId="2101" xr:uid="{37AAFBA5-8844-4025-8CB0-DDC70728753E}"/>
    <cellStyle name="Vírgula 2 3 2 9 2" xfId="51820" xr:uid="{80007030-50EC-45F8-8BBA-B88AA3905C9D}"/>
    <cellStyle name="Vírgula 2 3 2 9 3" xfId="55114" xr:uid="{299AB935-6BCE-4C44-939C-8D9B0969DF91}"/>
    <cellStyle name="Vírgula 2 3 2 9 4" xfId="26626" xr:uid="{16E88576-6E30-46A9-A464-C6E6F5542C22}"/>
    <cellStyle name="Vírgula 2 3 20" xfId="50186" xr:uid="{D272F4BD-0B16-458F-96DF-5EBDFB306CE4}"/>
    <cellStyle name="Vírgula 2 3 21" xfId="53481" xr:uid="{7AB445F5-5BE5-42FE-BFA5-BE3EE5C8E65E}"/>
    <cellStyle name="Vírgula 2 3 22" xfId="5706" xr:uid="{B2B508D4-4FC2-4921-AA39-3F75D3A575E3}"/>
    <cellStyle name="Vírgula 2 3 23" xfId="57603" xr:uid="{5DEA61C1-41A0-497D-885B-263945FBC6C2}"/>
    <cellStyle name="Vírgula 2 3 3" xfId="42" xr:uid="{EB10A25C-61E1-4246-848F-0CEF5E8961BA}"/>
    <cellStyle name="Vírgula 2 3 3 10" xfId="1791" xr:uid="{330BA7F6-662B-4FA9-B4B6-126AA53E89A3}"/>
    <cellStyle name="Vírgula 2 3 3 10 2" xfId="46110" xr:uid="{2BF42933-DF5C-416E-8BAA-7745F5DAC650}"/>
    <cellStyle name="Vírgula 2 3 3 11" xfId="46596" xr:uid="{A4C81076-FB04-4C09-B275-CBF1CDD2E352}"/>
    <cellStyle name="Vírgula 2 3 3 12" xfId="47088" xr:uid="{436267E0-BAF6-4B0E-8D25-8EBBB3E5EFEF}"/>
    <cellStyle name="Vírgula 2 3 3 13" xfId="47375" xr:uid="{60530B0C-4FC4-44EC-AECB-2B924BAEDB9F}"/>
    <cellStyle name="Vírgula 2 3 3 14" xfId="47501" xr:uid="{4DB4A324-BBC3-466A-AFE1-DCDCD6C94AB3}"/>
    <cellStyle name="Vírgula 2 3 3 15" xfId="47627" xr:uid="{FE7D542F-9A6F-44E3-92FB-DDB08CE8AC76}"/>
    <cellStyle name="Vírgula 2 3 3 16" xfId="48546" xr:uid="{F960F784-EF18-4654-9A8B-70F06BCE62EC}"/>
    <cellStyle name="Vírgula 2 3 3 17" xfId="50216" xr:uid="{826661F1-6BEF-4556-B2D7-2E50E289A1ED}"/>
    <cellStyle name="Vírgula 2 3 3 18" xfId="53511" xr:uid="{9827F081-02C9-467A-9EAF-0C1C0C59990D}"/>
    <cellStyle name="Vírgula 2 3 3 19" xfId="6855" xr:uid="{E06FA93D-13B9-4B2F-85D4-34E09B120C74}"/>
    <cellStyle name="Vírgula 2 3 3 2" xfId="372" xr:uid="{FF8E1624-D100-49FC-B0D7-15774A9328E3}"/>
    <cellStyle name="Vírgula 2 3 3 2 10" xfId="8253" xr:uid="{B0912096-BE8C-4253-A662-CBB086D52A1D}"/>
    <cellStyle name="Vírgula 2 3 3 2 11" xfId="4653" xr:uid="{EB0B2D2D-AB46-4307-902B-596C726B0E97}"/>
    <cellStyle name="Vírgula 2 3 3 2 2" xfId="1188" xr:uid="{E0AF0329-D972-4C75-BAC9-A6D1D58C7B32}"/>
    <cellStyle name="Vírgula 2 3 3 2 2 2" xfId="4146" xr:uid="{6B2D259D-7F90-41B9-BF77-EDA6B8577734}"/>
    <cellStyle name="Vírgula 2 3 3 2 2 2 2" xfId="51850" xr:uid="{A5B85D8D-9650-4E6F-83F6-58973322DCFC}"/>
    <cellStyle name="Vírgula 2 3 3 2 2 2 3" xfId="55144" xr:uid="{0ACD939C-316C-4172-981E-5EBB3BE82458}"/>
    <cellStyle name="Vírgula 2 3 3 2 2 2 4" xfId="42376" xr:uid="{AE7A3119-0E8B-448A-B0F2-817A537D36EF}"/>
    <cellStyle name="Vírgula 2 3 3 2 2 3" xfId="2849" xr:uid="{0EF4B18A-84A2-4AB5-84FA-8DFC47CF4A08}"/>
    <cellStyle name="Vírgula 2 3 3 2 2 3 2" xfId="57059" xr:uid="{BE58FF8C-9410-4F77-A9A8-5A6EA745A62D}"/>
    <cellStyle name="Vírgula 2 3 3 2 2 3 3" xfId="48548" xr:uid="{B8E8A398-8FEB-4F01-8DA5-8C915542E072}"/>
    <cellStyle name="Vírgula 2 3 3 2 2 4" xfId="50218" xr:uid="{22DB33AF-6175-4F8D-8865-1171178879A8}"/>
    <cellStyle name="Vírgula 2 3 3 2 2 5" xfId="53513" xr:uid="{92A0C807-3667-41D5-8C10-CAE5A6F6E72A}"/>
    <cellStyle name="Vírgula 2 3 3 2 2 6" xfId="22040" xr:uid="{47115C58-FF09-440D-8C5F-6E469702C30C}"/>
    <cellStyle name="Vírgula 2 3 3 2 3" xfId="1594" xr:uid="{07C75D8D-D316-4B5C-A465-E429B6DB28D0}"/>
    <cellStyle name="Vírgula 2 3 3 2 3 2" xfId="4318" xr:uid="{F5F4C07D-473F-4C6E-83FF-C8C924C15D9D}"/>
    <cellStyle name="Vírgula 2 3 3 2 3 2 2" xfId="51851" xr:uid="{2A1A6E24-2460-45BC-B7A6-15294FB1D7EC}"/>
    <cellStyle name="Vírgula 2 3 3 2 3 2 3" xfId="55145" xr:uid="{2C601D2B-F289-49A9-8F1A-9C39CC83CACB}"/>
    <cellStyle name="Vírgula 2 3 3 2 3 2 4" xfId="45627" xr:uid="{97589706-FBB9-465E-B6DC-16F458A503BE}"/>
    <cellStyle name="Vírgula 2 3 3 2 3 3" xfId="3254" xr:uid="{B453AB68-47D2-4D0E-A3AE-4A58939C0446}"/>
    <cellStyle name="Vírgula 2 3 3 2 3 3 2" xfId="57465" xr:uid="{3F62CD03-4DCD-423A-942E-E7B06D48AECF}"/>
    <cellStyle name="Vírgula 2 3 3 2 3 3 3" xfId="48549" xr:uid="{A0758267-CA9A-4549-AADB-BFEDF96095F8}"/>
    <cellStyle name="Vírgula 2 3 3 2 3 4" xfId="50219" xr:uid="{D94E667F-5BE9-4A1E-865A-D9C876D34DEF}"/>
    <cellStyle name="Vírgula 2 3 3 2 3 5" xfId="53514" xr:uid="{315EDF44-9EA3-498D-B39A-0A8D40B23DA4}"/>
    <cellStyle name="Vírgula 2 3 3 2 3 6" xfId="25292" xr:uid="{66EA970C-7C7A-435B-ABFE-5E74DFB148C2}"/>
    <cellStyle name="Vírgula 2 3 3 2 4" xfId="781" xr:uid="{70FD1649-887F-4303-BA1C-5F43B311898C}"/>
    <cellStyle name="Vírgula 2 3 3 2 4 2" xfId="2497" xr:uid="{86978997-F838-4FBE-9EEE-E1E49D00F189}"/>
    <cellStyle name="Vírgula 2 3 3 2 4 2 2" xfId="51852" xr:uid="{82F0AEBA-F5DC-4F65-A88E-BDE76AB1F519}"/>
    <cellStyle name="Vírgula 2 3 3 2 4 2 3" xfId="55146" xr:uid="{E839D08B-99D0-468F-B836-A3A7891572AF}"/>
    <cellStyle name="Vírgula 2 3 3 2 4 2 4" xfId="34573" xr:uid="{1C713E74-8421-4AE6-9B9A-39A8AA34664F}"/>
    <cellStyle name="Vírgula 2 3 3 2 4 3" xfId="48550" xr:uid="{CA4AABEC-8F01-4AA7-AA30-97A09F0DDE76}"/>
    <cellStyle name="Vírgula 2 3 3 2 4 3 2" xfId="56652" xr:uid="{7B4C2835-B073-4C6C-A78B-67FE13111EE1}"/>
    <cellStyle name="Vírgula 2 3 3 2 4 4" xfId="50220" xr:uid="{DB0B77C4-EEB0-4D0B-8E42-17B314DEFABF}"/>
    <cellStyle name="Vírgula 2 3 3 2 4 5" xfId="53515" xr:uid="{1A7D3115-16A6-431F-8AF2-33F16307D32C}"/>
    <cellStyle name="Vírgula 2 3 3 2 4 6" xfId="14232" xr:uid="{A68D9811-5D62-46D2-802A-F9E6BAC50B69}"/>
    <cellStyle name="Vírgula 2 3 3 2 5" xfId="3661" xr:uid="{0C4129C7-ABBC-4A44-B44E-9A5B9856D000}"/>
    <cellStyle name="Vírgula 2 3 3 2 5 2" xfId="32091" xr:uid="{9A8FB19A-EDED-4490-935E-117B3318A575}"/>
    <cellStyle name="Vírgula 2 3 3 2 5 3" xfId="51849" xr:uid="{CF7B732E-23C6-483B-B61E-18A829AADC14}"/>
    <cellStyle name="Vírgula 2 3 3 2 5 4" xfId="55143" xr:uid="{7235B1CC-87B6-4F81-B6C4-8180E5723729}"/>
    <cellStyle name="Vírgula 2 3 3 2 5 5" xfId="11749" xr:uid="{5B8AE81B-47D9-404D-BC5D-BD6F498CF831}"/>
    <cellStyle name="Vírgula 2 3 3 2 6" xfId="3974" xr:uid="{A427B503-D2B0-4FF9-9953-0918822B603F}"/>
    <cellStyle name="Vírgula 2 3 3 2 6 2" xfId="56243" xr:uid="{5C3A62D9-63B3-426C-97D4-16CCC9A59B4E}"/>
    <cellStyle name="Vírgula 2 3 3 2 6 3" xfId="28597" xr:uid="{E42AC098-9211-4AAE-AC4A-93E0EA801CC2}"/>
    <cellStyle name="Vírgula 2 3 3 2 7" xfId="2010" xr:uid="{1225CC0D-E2FF-44B8-AB19-13084C5D8E2C}"/>
    <cellStyle name="Vírgula 2 3 3 2 7 2" xfId="48547" xr:uid="{375BD3BA-1741-4D18-A355-FBCF88F60B4E}"/>
    <cellStyle name="Vírgula 2 3 3 2 8" xfId="50217" xr:uid="{4F790DD7-EAFD-49E4-BBCD-FE1BFA3F4837}"/>
    <cellStyle name="Vírgula 2 3 3 2 9" xfId="53512" xr:uid="{916EA805-11B2-4E33-B6C6-40812B00D58D}"/>
    <cellStyle name="Vírgula 2 3 3 20" xfId="4376" xr:uid="{B7E3D612-FA26-4933-B4FF-1F21413EE456}"/>
    <cellStyle name="Vírgula 2 3 3 3" xfId="183" xr:uid="{EDAB95C8-B77A-418C-9DCA-9104C75B818C}"/>
    <cellStyle name="Vírgula 2 3 3 3 2" xfId="999" xr:uid="{7FDB2174-B48F-4C13-908B-D88CF1C880CB}"/>
    <cellStyle name="Vírgula 2 3 3 3 2 2" xfId="2699" xr:uid="{0090AA82-8C85-4DD9-AAF7-D7A688E97F24}"/>
    <cellStyle name="Vírgula 2 3 3 3 2 2 2" xfId="51854" xr:uid="{2DD3764E-DF19-47D0-9257-812E49E5C290}"/>
    <cellStyle name="Vírgula 2 3 3 3 2 2 3" xfId="55148" xr:uid="{CE048B81-5393-4AC2-B28E-2F7ED9E5E6D0}"/>
    <cellStyle name="Vírgula 2 3 3 3 2 2 4" xfId="48552" xr:uid="{97CE72C4-020C-44C3-B557-6A216ABE4AD0}"/>
    <cellStyle name="Vírgula 2 3 3 3 2 3" xfId="50222" xr:uid="{2CD5E5DC-4974-4840-8D0E-307AEEDCDAEA}"/>
    <cellStyle name="Vírgula 2 3 3 3 2 3 2" xfId="56870" xr:uid="{8EC69593-2122-46A2-95CA-F12EA99EF6DC}"/>
    <cellStyle name="Vírgula 2 3 3 3 2 4" xfId="53517" xr:uid="{DE7B0F11-60E7-49FE-A6B6-B088215E0364}"/>
    <cellStyle name="Vírgula 2 3 3 3 2 5" xfId="37481" xr:uid="{14F8B960-B78C-4D32-923D-319DEC8A8CD0}"/>
    <cellStyle name="Vírgula 2 3 3 3 3" xfId="1405" xr:uid="{5B3A8110-DB60-440A-941D-A6D42F84C85B}"/>
    <cellStyle name="Vírgula 2 3 3 3 3 2" xfId="3066" xr:uid="{E020900A-260F-46FC-9350-602AD581FA8C}"/>
    <cellStyle name="Vírgula 2 3 3 3 3 2 2" xfId="55149" xr:uid="{794BF7BA-0689-4B0B-B457-87C37CB78DEA}"/>
    <cellStyle name="Vírgula 2 3 3 3 3 2 3" xfId="51855" xr:uid="{454193FB-CDD0-44A1-A156-2BE1B3F41BAA}"/>
    <cellStyle name="Vírgula 2 3 3 3 3 3" xfId="50223" xr:uid="{4880A8D5-D22A-4DD6-9E1B-23CA252D25DB}"/>
    <cellStyle name="Vírgula 2 3 3 3 3 3 2" xfId="57276" xr:uid="{C7DAD252-66FA-4588-AE21-F02897553316}"/>
    <cellStyle name="Vírgula 2 3 3 3 3 4" xfId="53518" xr:uid="{762EBB36-1FA7-4AD6-A795-6CDFD634AA70}"/>
    <cellStyle name="Vírgula 2 3 3 3 3 5" xfId="48553" xr:uid="{237D60AD-01B6-4C8D-9C1E-8421C6C7388A}"/>
    <cellStyle name="Vírgula 2 3 3 3 4" xfId="592" xr:uid="{9DE48860-AAC1-4548-B0BA-5D06D27E25D0}"/>
    <cellStyle name="Vírgula 2 3 3 3 4 2" xfId="2308" xr:uid="{C3A809A4-9925-4BFB-9C9F-0FCFAE8CA93D}"/>
    <cellStyle name="Vírgula 2 3 3 3 4 2 2" xfId="55150" xr:uid="{FD6E9656-B6AD-4279-82E3-75235D8B7CEC}"/>
    <cellStyle name="Vírgula 2 3 3 3 4 2 3" xfId="51856" xr:uid="{79A75C20-4157-4FC3-A598-21CCA6DE5CB3}"/>
    <cellStyle name="Vírgula 2 3 3 3 4 3" xfId="50224" xr:uid="{34F18F94-BDC9-474C-9B11-8DB7FB35272B}"/>
    <cellStyle name="Vírgula 2 3 3 3 4 3 2" xfId="56463" xr:uid="{C30D5FEE-11EA-4D7E-BD8D-97A6C6C719C0}"/>
    <cellStyle name="Vírgula 2 3 3 3 4 4" xfId="53519" xr:uid="{2DEAF277-EE83-46D1-AAC2-0E6D83149C89}"/>
    <cellStyle name="Vírgula 2 3 3 3 4 5" xfId="48554" xr:uid="{3B4EC4DF-D7DF-40A7-B7F5-AB639844B5CE}"/>
    <cellStyle name="Vírgula 2 3 3 3 5" xfId="3552" xr:uid="{37C28028-9AF5-492E-A30D-D538EEB3E0F9}"/>
    <cellStyle name="Vírgula 2 3 3 3 5 2" xfId="51853" xr:uid="{1D36AD58-8C2E-4BFB-833E-C530A87D0661}"/>
    <cellStyle name="Vírgula 2 3 3 3 5 3" xfId="55147" xr:uid="{17755842-0725-4D62-8AAF-2F2091997C91}"/>
    <cellStyle name="Vírgula 2 3 3 3 5 4" xfId="48551" xr:uid="{99DAF90C-3BA4-4745-B349-7A1553F64BFB}"/>
    <cellStyle name="Vírgula 2 3 3 3 6" xfId="4033" xr:uid="{CC0E7BF2-CCA6-4230-8817-CEF79DB4BE3A}"/>
    <cellStyle name="Vírgula 2 3 3 3 6 2" xfId="56054" xr:uid="{D87AE9E8-276F-4873-869E-450F458B4AEF}"/>
    <cellStyle name="Vírgula 2 3 3 3 6 3" xfId="50221" xr:uid="{D4FAF752-7644-41EB-817C-7142CCA5DFCA}"/>
    <cellStyle name="Vírgula 2 3 3 3 7" xfId="1901" xr:uid="{0AE96FB4-2A4D-4314-B5BC-FEEB34253C7E}"/>
    <cellStyle name="Vírgula 2 3 3 3 7 2" xfId="53516" xr:uid="{C0EB3027-9E28-48E5-8D74-00CDC7F33439}"/>
    <cellStyle name="Vírgula 2 3 3 3 8" xfId="17141" xr:uid="{66A5E53D-8ADE-47A0-A393-A61E4DF63A88}"/>
    <cellStyle name="Vírgula 2 3 3 3 9" xfId="4464" xr:uid="{A3856E33-352A-43DA-9F8B-A18701D6ED10}"/>
    <cellStyle name="Vírgula 2 3 3 4" xfId="911" xr:uid="{4667E51A-B17A-4EB1-A6F6-A90D9C78C864}"/>
    <cellStyle name="Vírgula 2 3 3 4 2" xfId="3770" xr:uid="{55F0636B-D14A-4822-A06B-6DDA86863DE2}"/>
    <cellStyle name="Vírgula 2 3 3 4 2 2" xfId="51857" xr:uid="{BAD922DE-584C-4151-ABD0-CD70EB98932C}"/>
    <cellStyle name="Vírgula 2 3 3 4 2 3" xfId="55151" xr:uid="{ACAEF21D-0921-4683-8C50-DD6BA0970047}"/>
    <cellStyle name="Vírgula 2 3 3 4 2 4" xfId="40982" xr:uid="{E38DF7BE-79D2-4F3D-B33D-C1D5FE91DECA}"/>
    <cellStyle name="Vírgula 2 3 3 4 3" xfId="4205" xr:uid="{5C5674DF-AA14-46E5-BFCF-B97C900A382C}"/>
    <cellStyle name="Vírgula 2 3 3 4 3 2" xfId="56782" xr:uid="{C8948876-8E42-492C-B5B1-65FE748A1CB5}"/>
    <cellStyle name="Vírgula 2 3 3 4 3 3" xfId="48555" xr:uid="{5896EFC9-5FC7-4DE3-921F-B3B145671147}"/>
    <cellStyle name="Vírgula 2 3 3 4 4" xfId="2627" xr:uid="{9AD346F4-AA9D-4ABA-97CC-69C18676AA1B}"/>
    <cellStyle name="Vírgula 2 3 3 4 4 2" xfId="50225" xr:uid="{C8438BC6-1639-495B-A815-2A500745471E}"/>
    <cellStyle name="Vírgula 2 3 3 4 5" xfId="53520" xr:uid="{E58C8F9A-3FAB-4B8E-BE17-88A4A5BEE95D}"/>
    <cellStyle name="Vírgula 2 3 3 4 6" xfId="20643" xr:uid="{8B4E0569-962C-49C1-AE35-F862F3B2D67B}"/>
    <cellStyle name="Vírgula 2 3 3 4 7" xfId="4999" xr:uid="{784E9D79-A10B-4F47-A905-BB0EA2D90012}"/>
    <cellStyle name="Vírgula 2 3 3 5" xfId="1317" xr:uid="{6F2DF64A-5AFB-41D4-875B-799F7A6D82D0}"/>
    <cellStyle name="Vírgula 2 3 3 5 2" xfId="2978" xr:uid="{6F0E64D0-8814-4624-A0A5-379A9C41C5D6}"/>
    <cellStyle name="Vírgula 2 3 3 5 2 2" xfId="51858" xr:uid="{85FC717A-AB7F-42B9-9ED3-FED3D27755EE}"/>
    <cellStyle name="Vírgula 2 3 3 5 2 3" xfId="55152" xr:uid="{498EB784-E73A-46C9-8F2F-9D7066590E89}"/>
    <cellStyle name="Vírgula 2 3 3 5 2 4" xfId="44233" xr:uid="{4D9EEF5B-D386-453D-9B5C-42F31C8D7186}"/>
    <cellStyle name="Vírgula 2 3 3 5 3" xfId="48556" xr:uid="{06E33376-B906-4E68-A531-02FB47AC8C22}"/>
    <cellStyle name="Vírgula 2 3 3 5 3 2" xfId="57188" xr:uid="{8E6CE9C9-EF61-4C11-90FF-85CB21C8EDB8}"/>
    <cellStyle name="Vírgula 2 3 3 5 4" xfId="50226" xr:uid="{C20F7C7D-8E05-4A7E-9DE7-916D66DE9AE7}"/>
    <cellStyle name="Vírgula 2 3 3 5 5" xfId="53521" xr:uid="{3B2EE7B2-D478-4B10-A1B5-3710BF8735E4}"/>
    <cellStyle name="Vírgula 2 3 3 5 6" xfId="23898" xr:uid="{DCC0F98A-DBD9-4280-98ED-7C9F4A4D35EF}"/>
    <cellStyle name="Vírgula 2 3 3 6" xfId="504" xr:uid="{CB6948DD-4FE1-408E-807A-394214F5C1FD}"/>
    <cellStyle name="Vírgula 2 3 3 6 2" xfId="2220" xr:uid="{3F7B8FFE-CE34-4E97-BD1A-3F18E3915EA9}"/>
    <cellStyle name="Vírgula 2 3 3 6 2 2" xfId="51859" xr:uid="{F4041AC7-CD78-457F-A7CB-1EC9CD505A93}"/>
    <cellStyle name="Vírgula 2 3 3 6 2 3" xfId="55153" xr:uid="{30C09A9E-D3BD-4C23-AC07-D9165100B7B3}"/>
    <cellStyle name="Vírgula 2 3 3 6 2 4" xfId="32881" xr:uid="{0B97E4D3-C715-4F06-B685-522CEBC951FA}"/>
    <cellStyle name="Vírgula 2 3 3 6 3" xfId="48557" xr:uid="{F3DB20CD-A260-4AF8-8E04-5C7BF78D46E2}"/>
    <cellStyle name="Vírgula 2 3 3 6 3 2" xfId="56375" xr:uid="{8DDBAEDE-AD84-4E4A-AA59-B62F6809FC7B}"/>
    <cellStyle name="Vírgula 2 3 3 6 4" xfId="50227" xr:uid="{CF2ACE5D-5B33-4293-AF38-1FECD92F708C}"/>
    <cellStyle name="Vírgula 2 3 3 6 5" xfId="53522" xr:uid="{754BC6F1-DC88-4859-A2DC-6929CD3BD940}"/>
    <cellStyle name="Vírgula 2 3 3 6 6" xfId="12540" xr:uid="{AEE1575D-A4FF-4013-ACE2-A98FC18455B7}"/>
    <cellStyle name="Vírgula 2 3 3 7" xfId="2058" xr:uid="{B955DAB5-DE2B-46FE-A8BF-41C4EC2BA9A2}"/>
    <cellStyle name="Vírgula 2 3 3 7 2" xfId="30697" xr:uid="{B8596058-DCBB-4FB2-A613-A58D37E0FA7D}"/>
    <cellStyle name="Vírgula 2 3 3 7 3" xfId="51848" xr:uid="{8990DA4B-96CE-4C95-A3E0-A2EB230F4F9D}"/>
    <cellStyle name="Vírgula 2 3 3 7 4" xfId="55142" xr:uid="{4E2342A0-F67F-4AFD-9C29-57CB866D3EDD}"/>
    <cellStyle name="Vírgula 2 3 3 7 5" xfId="10354" xr:uid="{385E54AB-5BAB-4060-B877-D29F51D59D02}"/>
    <cellStyle name="Vírgula 2 3 3 8" xfId="3442" xr:uid="{69B729DD-D9ED-4636-9A05-BDA8F3D558E4}"/>
    <cellStyle name="Vírgula 2 3 3 8 2" xfId="55966" xr:uid="{D690FD64-2CAE-4F8D-94C2-760EE20FA388}"/>
    <cellStyle name="Vírgula 2 3 3 8 3" xfId="27203" xr:uid="{9CAEE682-5E40-41B1-8F5D-336C2851E0AC}"/>
    <cellStyle name="Vírgula 2 3 3 9" xfId="3862" xr:uid="{7E8ED075-7A7B-4535-8A63-0836124818BE}"/>
    <cellStyle name="Vírgula 2 3 3 9 2" xfId="25485" xr:uid="{03036462-7F9A-441B-BB40-AEB57C3B10F3}"/>
    <cellStyle name="Vírgula 2 3 4" xfId="209" xr:uid="{3C546246-8EE7-4DEF-9C2C-6787E769F7D4}"/>
    <cellStyle name="Vírgula 2 3 4 10" xfId="53523" xr:uid="{0D86878C-F986-4A71-BC62-F4A77B421DF8}"/>
    <cellStyle name="Vírgula 2 3 4 11" xfId="8019" xr:uid="{00A78505-B83E-46FB-9C07-34FD63D4E40B}"/>
    <cellStyle name="Vírgula 2 3 4 12" xfId="4490" xr:uid="{1F65A615-DA2B-4CBE-8009-C83D42265C0D}"/>
    <cellStyle name="Vírgula 2 3 4 2" xfId="398" xr:uid="{3AD493C3-3853-40A1-8443-0B39AC47EDB3}"/>
    <cellStyle name="Vírgula 2 3 4 2 2" xfId="1214" xr:uid="{B2314107-3902-4B93-97B6-4286B2067FDB}"/>
    <cellStyle name="Vírgula 2 3 4 2 2 2" xfId="2875" xr:uid="{9C9C3ECE-6BA1-4F8F-999D-F26E2F301CE5}"/>
    <cellStyle name="Vírgula 2 3 4 2 2 2 2" xfId="51862" xr:uid="{AA85A955-3925-4189-92D9-CAFAC5D1D2EA}"/>
    <cellStyle name="Vírgula 2 3 4 2 2 2 3" xfId="55156" xr:uid="{3FE462C8-AE35-4156-B3AE-53AEA11B393B}"/>
    <cellStyle name="Vírgula 2 3 4 2 2 2 4" xfId="48560" xr:uid="{A5A0E4AC-68A7-43B6-80EF-26AD4C264C22}"/>
    <cellStyle name="Vírgula 2 3 4 2 2 3" xfId="50230" xr:uid="{AAD8EEB6-39D1-4238-AFE3-1AFD79F47622}"/>
    <cellStyle name="Vírgula 2 3 4 2 2 3 2" xfId="57085" xr:uid="{F780AA5A-4279-4CC2-95C0-093F9136F831}"/>
    <cellStyle name="Vírgula 2 3 4 2 2 4" xfId="53525" xr:uid="{ED506AC5-821F-4859-B39A-F06903C16190}"/>
    <cellStyle name="Vírgula 2 3 4 2 2 5" xfId="38644" xr:uid="{0EF91E14-99F9-48B7-97CC-47A5C1EC17E7}"/>
    <cellStyle name="Vírgula 2 3 4 2 3" xfId="1620" xr:uid="{FCFB9A98-8877-4B58-8C82-5A58A404A7F2}"/>
    <cellStyle name="Vírgula 2 3 4 2 3 2" xfId="3280" xr:uid="{FE3E068D-4454-4815-AE1E-AC5436BCD4AF}"/>
    <cellStyle name="Vírgula 2 3 4 2 3 2 2" xfId="55157" xr:uid="{D104643F-325F-42C6-ABD0-E6C22560CCC8}"/>
    <cellStyle name="Vírgula 2 3 4 2 3 2 3" xfId="51863" xr:uid="{4A05874E-C50C-4BE2-AB37-65C341A88500}"/>
    <cellStyle name="Vírgula 2 3 4 2 3 3" xfId="50231" xr:uid="{424499B4-692F-4DB8-A79B-49959DC46B0D}"/>
    <cellStyle name="Vírgula 2 3 4 2 3 3 2" xfId="57491" xr:uid="{EC6B9FA3-E6A3-4D34-8166-0DD8DCEBE052}"/>
    <cellStyle name="Vírgula 2 3 4 2 3 4" xfId="53526" xr:uid="{3EFDC7BF-B5EF-4A37-99FF-AC2113C16452}"/>
    <cellStyle name="Vírgula 2 3 4 2 3 5" xfId="48561" xr:uid="{7841DC3A-47DA-45B2-84A9-82A4FFF342E3}"/>
    <cellStyle name="Vírgula 2 3 4 2 4" xfId="807" xr:uid="{A62A40C0-ABF9-4F63-9FED-4B562FD3998A}"/>
    <cellStyle name="Vírgula 2 3 4 2 4 2" xfId="2523" xr:uid="{EDDBFDB4-E2AF-4FD4-B8C3-5F635D3D62AA}"/>
    <cellStyle name="Vírgula 2 3 4 2 4 2 2" xfId="55158" xr:uid="{A3A5445A-78D9-4556-AF3D-AC4B4C2E71F9}"/>
    <cellStyle name="Vírgula 2 3 4 2 4 2 3" xfId="51864" xr:uid="{BC8793E4-2940-4D54-A233-EBE7C4694C28}"/>
    <cellStyle name="Vírgula 2 3 4 2 4 3" xfId="50232" xr:uid="{18368331-6806-4587-B965-684FF98C0585}"/>
    <cellStyle name="Vírgula 2 3 4 2 4 3 2" xfId="56678" xr:uid="{32CA54B2-1A77-4114-85FE-33F41A7D4B68}"/>
    <cellStyle name="Vírgula 2 3 4 2 4 4" xfId="53527" xr:uid="{1355AE7D-0626-43E8-9C03-906DAB995867}"/>
    <cellStyle name="Vírgula 2 3 4 2 4 5" xfId="48562" xr:uid="{6C64EAA6-57D9-44AE-A775-7CE3237AC4BF}"/>
    <cellStyle name="Vírgula 2 3 4 2 5" xfId="4073" xr:uid="{A86B9E7E-222D-4857-A586-91C4F7E359A9}"/>
    <cellStyle name="Vírgula 2 3 4 2 5 2" xfId="51861" xr:uid="{6E2FD7BF-7C17-413D-8B92-049F31C71B3B}"/>
    <cellStyle name="Vírgula 2 3 4 2 5 3" xfId="55155" xr:uid="{64EE5603-09B1-4DC3-85C2-9D2343906E5B}"/>
    <cellStyle name="Vírgula 2 3 4 2 5 4" xfId="48559" xr:uid="{B224A551-159E-4C28-B573-4733572D4897}"/>
    <cellStyle name="Vírgula 2 3 4 2 6" xfId="2141" xr:uid="{B142BD62-DBA2-4074-A3AB-7DC38B061949}"/>
    <cellStyle name="Vírgula 2 3 4 2 6 2" xfId="56269" xr:uid="{DEE4F3EA-ABFD-43DF-8512-E5B3993745AE}"/>
    <cellStyle name="Vírgula 2 3 4 2 6 3" xfId="50229" xr:uid="{48FFA3F9-58DE-416A-B709-5CEE167271CE}"/>
    <cellStyle name="Vírgula 2 3 4 2 7" xfId="53524" xr:uid="{B42AFFE2-1549-46A8-B1AE-5FDB8E902AD9}"/>
    <cellStyle name="Vírgula 2 3 4 2 8" xfId="18304" xr:uid="{BB821901-2859-4D12-BF07-05576CB6977F}"/>
    <cellStyle name="Vírgula 2 3 4 2 9" xfId="4679" xr:uid="{FE20C9A6-FBCF-4EAB-854F-B3FC2D6C88F8}"/>
    <cellStyle name="Vírgula 2 3 4 3" xfId="1025" xr:uid="{8AFA6743-5F1C-4A04-94B7-BD03F1A02686}"/>
    <cellStyle name="Vírgula 2 3 4 3 2" xfId="4245" xr:uid="{C6144F5C-A5B1-4F8A-B591-09FE239259A2}"/>
    <cellStyle name="Vírgula 2 3 4 3 2 2" xfId="51865" xr:uid="{B8C580F2-D0C7-4375-9572-958ECB926538}"/>
    <cellStyle name="Vírgula 2 3 4 3 2 3" xfId="55159" xr:uid="{E00E029C-C5FC-4D73-A83E-8A7DFA7D5651}"/>
    <cellStyle name="Vírgula 2 3 4 3 2 4" xfId="42145" xr:uid="{536191F7-BC1A-48DA-BC36-49DEC7A0F1E8}"/>
    <cellStyle name="Vírgula 2 3 4 3 3" xfId="2713" xr:uid="{9E530E9D-581B-4D73-8D6D-DDABEDF4AB73}"/>
    <cellStyle name="Vírgula 2 3 4 3 3 2" xfId="56896" xr:uid="{87AD06DA-612F-4C87-B531-87035E37011A}"/>
    <cellStyle name="Vírgula 2 3 4 3 3 3" xfId="48563" xr:uid="{DB9C6DAB-A7C8-4F01-A7F6-640E30D4A54A}"/>
    <cellStyle name="Vírgula 2 3 4 3 4" xfId="50233" xr:uid="{87716321-F65F-4468-9A54-F667C9CB8404}"/>
    <cellStyle name="Vírgula 2 3 4 3 5" xfId="53528" xr:uid="{046D8402-E2F7-42AE-8ED0-0F2716C47ADE}"/>
    <cellStyle name="Vírgula 2 3 4 3 6" xfId="21806" xr:uid="{4F8A6009-1837-4143-8FE5-E7F8AE1BFD3B}"/>
    <cellStyle name="Vírgula 2 3 4 4" xfId="1431" xr:uid="{C95B4DB6-C6FD-4ADF-AD2D-418BCE71B655}"/>
    <cellStyle name="Vírgula 2 3 4 4 2" xfId="3092" xr:uid="{79BF1A61-90B4-4C59-8CFE-82E21EF05653}"/>
    <cellStyle name="Vírgula 2 3 4 4 2 2" xfId="51866" xr:uid="{EEC5A494-D3BE-4D2F-AD6F-B8DEEE8F1F3C}"/>
    <cellStyle name="Vírgula 2 3 4 4 2 3" xfId="55160" xr:uid="{0AB38085-B6A0-4C7A-8502-90CB49F7B6CD}"/>
    <cellStyle name="Vírgula 2 3 4 4 2 4" xfId="45396" xr:uid="{AF45CCDD-E1B2-41BA-8CD8-121A0E70F2F4}"/>
    <cellStyle name="Vírgula 2 3 4 4 3" xfId="48564" xr:uid="{1E3719BE-E502-4F6F-9B2D-40FD93B9DB16}"/>
    <cellStyle name="Vírgula 2 3 4 4 3 2" xfId="57302" xr:uid="{46A83DC9-C3E7-466F-958C-6E5EB9882488}"/>
    <cellStyle name="Vírgula 2 3 4 4 4" xfId="50234" xr:uid="{8033F2D4-4C37-40DC-AD4A-72DB67013F35}"/>
    <cellStyle name="Vírgula 2 3 4 4 5" xfId="53529" xr:uid="{6F0CEEF0-6ED5-4E22-A8B5-17E1E32DF200}"/>
    <cellStyle name="Vírgula 2 3 4 4 6" xfId="25061" xr:uid="{834256E2-AF68-4ED5-83F3-19362946FD48}"/>
    <cellStyle name="Vírgula 2 3 4 5" xfId="618" xr:uid="{9280FF89-870C-4F9A-9CAD-EEFF775C5E65}"/>
    <cellStyle name="Vírgula 2 3 4 5 2" xfId="2334" xr:uid="{B710C23D-80C6-4419-8C63-FC73CC08B447}"/>
    <cellStyle name="Vírgula 2 3 4 5 2 2" xfId="51867" xr:uid="{58E5739D-A642-42E6-9D85-B882ECC17920}"/>
    <cellStyle name="Vírgula 2 3 4 5 2 3" xfId="55161" xr:uid="{BBEE3629-6176-49A1-BA42-D84D19331CC1}"/>
    <cellStyle name="Vírgula 2 3 4 5 2 4" xfId="35736" xr:uid="{77FA591D-5863-45B0-A5A4-0F1C8BC21D67}"/>
    <cellStyle name="Vírgula 2 3 4 5 3" xfId="48565" xr:uid="{947DEA04-268E-4BB7-83B5-429B06C70438}"/>
    <cellStyle name="Vírgula 2 3 4 5 3 2" xfId="56489" xr:uid="{DFF3C16E-BFC2-46D6-9D03-1E40B41090FE}"/>
    <cellStyle name="Vírgula 2 3 4 5 4" xfId="50235" xr:uid="{F9ECFAD9-EF77-4429-AB66-C51B57F8CD2D}"/>
    <cellStyle name="Vírgula 2 3 4 5 5" xfId="53530" xr:uid="{BE9E8B80-3122-4565-8454-F99E5D368D21}"/>
    <cellStyle name="Vírgula 2 3 4 5 6" xfId="15396" xr:uid="{CF6D7455-9AAF-4C90-A004-629C43B5CF8A}"/>
    <cellStyle name="Vírgula 2 3 4 6" xfId="3606" xr:uid="{25828B29-99AF-4017-8824-8DE9A280A5DA}"/>
    <cellStyle name="Vírgula 2 3 4 6 2" xfId="31860" xr:uid="{A647153C-9A54-40FE-BD3A-C43B3B2ECD8A}"/>
    <cellStyle name="Vírgula 2 3 4 6 3" xfId="51860" xr:uid="{1FE37DFB-9506-4CB7-A775-793FBE2F0871}"/>
    <cellStyle name="Vírgula 2 3 4 6 4" xfId="55154" xr:uid="{DEA6549C-3483-4720-B3FE-95A048E1641C}"/>
    <cellStyle name="Vírgula 2 3 4 6 5" xfId="11517" xr:uid="{088AA84F-C9DF-4A41-9CBE-7E0ACAA16866}"/>
    <cellStyle name="Vírgula 2 3 4 7" xfId="3902" xr:uid="{B0F09101-32A5-44AC-BFF1-0D07FAD6B78E}"/>
    <cellStyle name="Vírgula 2 3 4 7 2" xfId="56080" xr:uid="{3956C12A-EB14-4590-A0BD-79D40747998D}"/>
    <cellStyle name="Vírgula 2 3 4 7 3" xfId="28366" xr:uid="{D38C9939-DA48-400F-8E13-BE6AFEFF0569}"/>
    <cellStyle name="Vírgula 2 3 4 8" xfId="1955" xr:uid="{F3B25CBC-9702-46C1-9914-78E644C54D3E}"/>
    <cellStyle name="Vírgula 2 3 4 8 2" xfId="48558" xr:uid="{BACD5937-6917-40C8-BFEA-495DBE7B0D34}"/>
    <cellStyle name="Vírgula 2 3 4 9" xfId="50228" xr:uid="{8C302677-E2D6-469B-BC2A-8E79A41D55BE}"/>
    <cellStyle name="Vírgula 2 3 5" xfId="261" xr:uid="{CC502B17-A461-4751-BDB6-0DD63B3A86DE}"/>
    <cellStyle name="Vírgula 2 3 5 10" xfId="8251" xr:uid="{0450289C-9A24-43C9-BD8C-A566F748CBB0}"/>
    <cellStyle name="Vírgula 2 3 5 11" xfId="4542" xr:uid="{9B6432CC-A664-46C2-848C-57A5A804607E}"/>
    <cellStyle name="Vírgula 2 3 5 2" xfId="450" xr:uid="{A9EE1735-C7B0-4F3C-BDFB-9A3D82971F86}"/>
    <cellStyle name="Vírgula 2 3 5 2 2" xfId="1266" xr:uid="{61909175-1A93-49CC-A73B-5566733D5CD3}"/>
    <cellStyle name="Vírgula 2 3 5 2 2 2" xfId="2927" xr:uid="{2B8B16F3-FAEA-4F73-B616-187C69425439}"/>
    <cellStyle name="Vírgula 2 3 5 2 2 2 2" xfId="51870" xr:uid="{B3C265A7-5D17-4312-936B-E362D9BA8375}"/>
    <cellStyle name="Vírgula 2 3 5 2 2 2 3" xfId="55164" xr:uid="{0BCEECEF-0008-4883-9EE8-2BBA7FB56DB6}"/>
    <cellStyle name="Vírgula 2 3 5 2 2 2 4" xfId="48568" xr:uid="{86220FF8-CE58-41B3-B232-1FCC20974D57}"/>
    <cellStyle name="Vírgula 2 3 5 2 2 3" xfId="50238" xr:uid="{6737FCE7-4993-401D-97EA-1F6EA2687B20}"/>
    <cellStyle name="Vírgula 2 3 5 2 2 3 2" xfId="57137" xr:uid="{191BB3E8-A8FF-4FAB-A8EA-70A3C3C2E695}"/>
    <cellStyle name="Vírgula 2 3 5 2 2 4" xfId="53533" xr:uid="{AC5F2D6F-80A6-42AF-B03F-34D2366B54D8}"/>
    <cellStyle name="Vírgula 2 3 5 2 2 5" xfId="42374" xr:uid="{926931FB-BB79-4596-B19F-61E368AC8008}"/>
    <cellStyle name="Vírgula 2 3 5 2 3" xfId="1672" xr:uid="{98A39FAD-58F0-4F2B-B77E-4F0C0FF9E254}"/>
    <cellStyle name="Vírgula 2 3 5 2 3 2" xfId="3332" xr:uid="{78104E2D-FF3D-41D1-82B1-B3F1FFBD46F3}"/>
    <cellStyle name="Vírgula 2 3 5 2 3 2 2" xfId="55165" xr:uid="{6300E04B-7CD0-44AF-86FE-AA58348FC00D}"/>
    <cellStyle name="Vírgula 2 3 5 2 3 2 3" xfId="51871" xr:uid="{E07392B2-154F-4988-90F0-89B00219B426}"/>
    <cellStyle name="Vírgula 2 3 5 2 3 3" xfId="50239" xr:uid="{C473AB63-BAFA-41DA-BCC6-F20AEB71792E}"/>
    <cellStyle name="Vírgula 2 3 5 2 3 3 2" xfId="57543" xr:uid="{7BC1C8BA-9F04-4DFF-A5EF-1150BA922190}"/>
    <cellStyle name="Vírgula 2 3 5 2 3 4" xfId="53534" xr:uid="{D118CC76-7CE8-4CC3-BF46-605A917EE3F4}"/>
    <cellStyle name="Vírgula 2 3 5 2 3 5" xfId="48569" xr:uid="{52630DBA-E327-411C-8419-BAF4BC48C98E}"/>
    <cellStyle name="Vírgula 2 3 5 2 4" xfId="859" xr:uid="{3DAD558D-7B6F-445B-87B5-421ACF135F0D}"/>
    <cellStyle name="Vírgula 2 3 5 2 4 2" xfId="2575" xr:uid="{5CAAB6A1-8347-473F-AE06-3263605E0F32}"/>
    <cellStyle name="Vírgula 2 3 5 2 4 2 2" xfId="55166" xr:uid="{952F86CD-2106-404D-853F-8A9A97C4B4AB}"/>
    <cellStyle name="Vírgula 2 3 5 2 4 2 3" xfId="51872" xr:uid="{EFCDDA00-0371-4146-A1B8-EC56C8C81743}"/>
    <cellStyle name="Vírgula 2 3 5 2 4 3" xfId="50240" xr:uid="{E72F4FD0-55E2-43D5-AE52-25342125C59D}"/>
    <cellStyle name="Vírgula 2 3 5 2 4 3 2" xfId="56730" xr:uid="{87B0D6B8-3312-4D53-8CE9-4BE8D949F2EE}"/>
    <cellStyle name="Vírgula 2 3 5 2 4 4" xfId="53535" xr:uid="{D3F3FF05-BFFF-4EA3-A61D-748B86F1F06B}"/>
    <cellStyle name="Vírgula 2 3 5 2 4 5" xfId="48570" xr:uid="{5C1BC36B-FAF9-4E54-BF9D-53217A9FE6AE}"/>
    <cellStyle name="Vírgula 2 3 5 2 5" xfId="4103" xr:uid="{59578FEC-1DCF-4D1D-9835-45C61B697BD4}"/>
    <cellStyle name="Vírgula 2 3 5 2 5 2" xfId="51869" xr:uid="{1D6C58A1-B63B-4A62-8504-836389C370D9}"/>
    <cellStyle name="Vírgula 2 3 5 2 5 3" xfId="55163" xr:uid="{F7B98B29-AB4F-452D-B3A5-DF38DF376C86}"/>
    <cellStyle name="Vírgula 2 3 5 2 5 4" xfId="48567" xr:uid="{5AC91209-CF2F-431B-9A59-2F6E9F9F4809}"/>
    <cellStyle name="Vírgula 2 3 5 2 6" xfId="2167" xr:uid="{6B40DD44-684B-418B-BC60-6A78CD860559}"/>
    <cellStyle name="Vírgula 2 3 5 2 6 2" xfId="56321" xr:uid="{49A0D434-4224-4FC6-8273-0868AAB65854}"/>
    <cellStyle name="Vírgula 2 3 5 2 6 3" xfId="50237" xr:uid="{FB73E6CC-493F-4FBC-A09F-2CBC747FD091}"/>
    <cellStyle name="Vírgula 2 3 5 2 7" xfId="53532" xr:uid="{B35528DE-15CB-4086-B147-A6A593A7CC39}"/>
    <cellStyle name="Vírgula 2 3 5 2 8" xfId="22038" xr:uid="{D6203C5E-51B9-4727-817F-D36527FF5EE8}"/>
    <cellStyle name="Vírgula 2 3 5 2 9" xfId="4731" xr:uid="{BB728285-EF5B-44F7-9906-DB8A90AA6AD2}"/>
    <cellStyle name="Vírgula 2 3 5 3" xfId="1077" xr:uid="{95260A42-B5EA-404F-8B77-57E022F5493C}"/>
    <cellStyle name="Vírgula 2 3 5 3 2" xfId="4275" xr:uid="{A65EB0AB-CBE0-4887-A51B-5A017C3124E6}"/>
    <cellStyle name="Vírgula 2 3 5 3 2 2" xfId="51873" xr:uid="{CEA2E949-911C-4BAA-823B-F5F13E621A99}"/>
    <cellStyle name="Vírgula 2 3 5 3 2 3" xfId="55167" xr:uid="{D2B6770F-C5AA-488B-A763-39D4592F29B1}"/>
    <cellStyle name="Vírgula 2 3 5 3 2 4" xfId="45625" xr:uid="{B9205FA1-6E63-44E6-AE51-9750C2C8D57F}"/>
    <cellStyle name="Vírgula 2 3 5 3 3" xfId="2740" xr:uid="{66685CAA-D0F5-4607-8993-EE943B27A597}"/>
    <cellStyle name="Vírgula 2 3 5 3 3 2" xfId="56948" xr:uid="{5E084362-69A9-46E3-830D-84DD9A0F2059}"/>
    <cellStyle name="Vírgula 2 3 5 3 3 3" xfId="48571" xr:uid="{92F0AC72-E034-40C6-B7D0-4D10CD38632E}"/>
    <cellStyle name="Vírgula 2 3 5 3 4" xfId="50241" xr:uid="{60796CAF-5527-4F3F-856D-31D23E9253EB}"/>
    <cellStyle name="Vírgula 2 3 5 3 5" xfId="53536" xr:uid="{AD660D45-7842-4277-AD68-A38BBAA1289C}"/>
    <cellStyle name="Vírgula 2 3 5 3 6" xfId="25290" xr:uid="{C88EDD17-78EE-4FFE-ACA0-373B3617B370}"/>
    <cellStyle name="Vírgula 2 3 5 4" xfId="1483" xr:uid="{89E13832-1BC7-4E3F-A147-99C223B89366}"/>
    <cellStyle name="Vírgula 2 3 5 4 2" xfId="3144" xr:uid="{EFF22EAB-E7DC-4858-944B-A83C3828F4C1}"/>
    <cellStyle name="Vírgula 2 3 5 4 2 2" xfId="51874" xr:uid="{B51C1B8E-C3C2-4AFF-B8BA-45DCF3C33A06}"/>
    <cellStyle name="Vírgula 2 3 5 4 2 3" xfId="55168" xr:uid="{A77BDC39-0F55-46BC-B437-5757EAF45D11}"/>
    <cellStyle name="Vírgula 2 3 5 4 2 4" xfId="33427" xr:uid="{3994DF23-15F9-4BC9-810C-310DBAE8BFB2}"/>
    <cellStyle name="Vírgula 2 3 5 4 3" xfId="48572" xr:uid="{D0261F90-9369-4821-A20D-EBF55B9552D1}"/>
    <cellStyle name="Vírgula 2 3 5 4 3 2" xfId="57354" xr:uid="{F7A511D9-C6CB-4778-90C1-C61A5C9ACDDA}"/>
    <cellStyle name="Vírgula 2 3 5 4 4" xfId="50242" xr:uid="{0B8AF664-60E9-49A5-8D8F-10DA8EBFB31E}"/>
    <cellStyle name="Vírgula 2 3 5 4 5" xfId="53537" xr:uid="{E66758BE-C9D5-4B6F-B61F-CDDE1770811D}"/>
    <cellStyle name="Vírgula 2 3 5 4 6" xfId="13086" xr:uid="{66FF28FD-62B9-42F4-8CDE-1BAD870E2592}"/>
    <cellStyle name="Vírgula 2 3 5 5" xfId="670" xr:uid="{6D374B49-BA95-4167-872C-7C6AD09D3419}"/>
    <cellStyle name="Vírgula 2 3 5 5 2" xfId="2386" xr:uid="{EB067E7E-C5AE-4990-A41F-A8F795483F72}"/>
    <cellStyle name="Vírgula 2 3 5 5 2 2" xfId="51875" xr:uid="{075C695B-514D-491C-9620-C956E28EDA6A}"/>
    <cellStyle name="Vírgula 2 3 5 5 2 3" xfId="55169" xr:uid="{8F138215-5D93-4AAD-AD81-CFD94EA7F7E4}"/>
    <cellStyle name="Vírgula 2 3 5 5 2 4" xfId="32089" xr:uid="{004B7486-0E71-492E-8B0B-CB616AE8E358}"/>
    <cellStyle name="Vírgula 2 3 5 5 3" xfId="48573" xr:uid="{4796C3EF-1C53-44A1-A77D-7BC210D1969A}"/>
    <cellStyle name="Vírgula 2 3 5 5 3 2" xfId="56541" xr:uid="{B5ADC3EB-7C90-4BA3-936F-B6327378107C}"/>
    <cellStyle name="Vírgula 2 3 5 5 4" xfId="50243" xr:uid="{C252F8BD-BF32-46F9-8A2B-211541B0CFE2}"/>
    <cellStyle name="Vírgula 2 3 5 5 5" xfId="53538" xr:uid="{EDAF4366-6ADB-499F-AA76-67AFA797731B}"/>
    <cellStyle name="Vírgula 2 3 5 5 6" xfId="11747" xr:uid="{522B032D-7C22-46E6-BADD-1C43390B3F44}"/>
    <cellStyle name="Vírgula 2 3 5 6" xfId="3497" xr:uid="{49CF3FCD-96D5-4D7B-A679-4BE96FE9E625}"/>
    <cellStyle name="Vírgula 2 3 5 6 2" xfId="51868" xr:uid="{2F9539B1-9201-4C30-A627-8BD4EEA58224}"/>
    <cellStyle name="Vírgula 2 3 5 6 3" xfId="55162" xr:uid="{350DF92A-D255-48CD-8B48-7A820AF7F417}"/>
    <cellStyle name="Vírgula 2 3 5 6 4" xfId="28595" xr:uid="{1CC42E5E-46AF-49EB-B06C-4CBAA7EF8631}"/>
    <cellStyle name="Vírgula 2 3 5 7" xfId="3931" xr:uid="{1B5494F0-F2F3-4BF3-A0DA-799C9595E18B}"/>
    <cellStyle name="Vírgula 2 3 5 7 2" xfId="56132" xr:uid="{03E0E3DE-BD07-47B5-A916-12093B28D11A}"/>
    <cellStyle name="Vírgula 2 3 5 7 3" xfId="48566" xr:uid="{38E40F10-1B7A-4A95-B162-8DC07DA0E9E4}"/>
    <cellStyle name="Vírgula 2 3 5 8" xfId="1846" xr:uid="{C69EF6FF-D6B0-4F52-89CA-FA98402AEC99}"/>
    <cellStyle name="Vírgula 2 3 5 8 2" xfId="50236" xr:uid="{F018D210-0F82-4410-A003-48A8D574D8C8}"/>
    <cellStyle name="Vírgula 2 3 5 9" xfId="53531" xr:uid="{F3CC47B1-41AE-472F-8F76-FAD26F744576}"/>
    <cellStyle name="Vírgula 2 3 6" xfId="317" xr:uid="{ABECA1CD-A752-44C5-8661-358411713C0C}"/>
    <cellStyle name="Vírgula 2 3 6 2" xfId="1133" xr:uid="{B510E686-9900-4449-B4E6-D15D8D3E1BC1}"/>
    <cellStyle name="Vírgula 2 3 6 2 2" xfId="2795" xr:uid="{362F3532-D4AE-4771-83F0-0E3106F743EA}"/>
    <cellStyle name="Vírgula 2 3 6 2 2 2" xfId="51877" xr:uid="{5E7AC7AE-B616-4F24-8AA8-235057A9E433}"/>
    <cellStyle name="Vírgula 2 3 6 2 2 3" xfId="55171" xr:uid="{870DD268-78C4-4097-9309-E413CEC047E8}"/>
    <cellStyle name="Vírgula 2 3 6 2 2 4" xfId="36323" xr:uid="{6EE990E2-3D02-488A-A471-81CEC94B12E0}"/>
    <cellStyle name="Vírgula 2 3 6 2 3" xfId="48575" xr:uid="{A15EAF87-B8D8-463B-B7A8-E4920363356F}"/>
    <cellStyle name="Vírgula 2 3 6 2 3 2" xfId="57004" xr:uid="{E5634CA7-D2DC-4C77-8B3B-66D5D6794027}"/>
    <cellStyle name="Vírgula 2 3 6 2 4" xfId="50245" xr:uid="{13D90EB6-0EE9-49E2-A466-62509B1C17F7}"/>
    <cellStyle name="Vírgula 2 3 6 2 5" xfId="53540" xr:uid="{CB3D36FF-126C-4C7F-AC61-AD0FE57C37E6}"/>
    <cellStyle name="Vírgula 2 3 6 2 6" xfId="15983" xr:uid="{7021BDB0-84F3-41CA-91E1-5250EE510D14}"/>
    <cellStyle name="Vírgula 2 3 6 3" xfId="1539" xr:uid="{9C26028A-4860-45B7-B891-B793EEB8CBAE}"/>
    <cellStyle name="Vírgula 2 3 6 3 2" xfId="3200" xr:uid="{D8391B5D-2961-4677-948A-9F2F2CE37451}"/>
    <cellStyle name="Vírgula 2 3 6 3 2 2" xfId="51878" xr:uid="{9428BE3D-3CD6-4994-AFFC-6B8A550BD1EF}"/>
    <cellStyle name="Vírgula 2 3 6 3 2 3" xfId="55172" xr:uid="{9C352630-B65A-4AAA-A5B7-16DDECF33985}"/>
    <cellStyle name="Vírgula 2 3 6 3 2 4" xfId="48576" xr:uid="{7D50E0B4-1341-4DB7-9317-22704E0B7302}"/>
    <cellStyle name="Vírgula 2 3 6 3 3" xfId="50246" xr:uid="{B38AB8BA-180C-469D-946E-ECCD6B127D07}"/>
    <cellStyle name="Vírgula 2 3 6 3 3 2" xfId="57410" xr:uid="{B57E0234-4011-4878-8742-383F1D5E321C}"/>
    <cellStyle name="Vírgula 2 3 6 3 4" xfId="53541" xr:uid="{618A1B2E-1AB1-4395-A275-C75500E03950}"/>
    <cellStyle name="Vírgula 2 3 6 3 5" xfId="28835" xr:uid="{543DD079-8426-4890-B8F5-09D82EECD1FD}"/>
    <cellStyle name="Vírgula 2 3 6 4" xfId="726" xr:uid="{8E10447F-318E-47A7-A2BE-EDDF5ED10764}"/>
    <cellStyle name="Vírgula 2 3 6 4 2" xfId="2442" xr:uid="{CC4FC2C9-D149-4B2A-9D2E-B3EAD6CC34E1}"/>
    <cellStyle name="Vírgula 2 3 6 4 2 2" xfId="55173" xr:uid="{2E302135-4891-41F3-AE3A-AE3C5645951E}"/>
    <cellStyle name="Vírgula 2 3 6 4 2 3" xfId="51879" xr:uid="{69B7F86C-B300-4B96-94C8-AEE25129CB87}"/>
    <cellStyle name="Vírgula 2 3 6 4 3" xfId="50247" xr:uid="{3BFC165C-E084-408A-B8D5-F27078FF39F2}"/>
    <cellStyle name="Vírgula 2 3 6 4 3 2" xfId="56597" xr:uid="{36B09D8C-4F76-4BD9-AF7C-3688AB7FECB9}"/>
    <cellStyle name="Vírgula 2 3 6 4 4" xfId="53542" xr:uid="{8ED47691-1238-4561-8C42-D478508CDB05}"/>
    <cellStyle name="Vírgula 2 3 6 4 5" xfId="48577" xr:uid="{F89EE669-89DB-4EF9-A073-52FCE41C3343}"/>
    <cellStyle name="Vírgula 2 3 6 5" xfId="3715" xr:uid="{B23FEC00-0F97-4AA9-A5B0-83820447A964}"/>
    <cellStyle name="Vírgula 2 3 6 5 2" xfId="51876" xr:uid="{CB25D667-F79C-454B-8D3B-8C5BCCCF29EC}"/>
    <cellStyle name="Vírgula 2 3 6 5 3" xfId="55170" xr:uid="{064F6BAF-9C0C-4EDF-8C92-F917905FE97E}"/>
    <cellStyle name="Vírgula 2 3 6 5 4" xfId="48574" xr:uid="{007FC16F-FF97-4A96-B798-EA583307476C}"/>
    <cellStyle name="Vírgula 2 3 6 6" xfId="3990" xr:uid="{577212A9-9E06-4AA5-93D2-98333D96697F}"/>
    <cellStyle name="Vírgula 2 3 6 6 2" xfId="56188" xr:uid="{31BBE182-34A4-4C02-9F01-B0CC224807B2}"/>
    <cellStyle name="Vírgula 2 3 6 6 3" xfId="50244" xr:uid="{5762F5B7-EA99-4895-9A18-540F6689B7AD}"/>
    <cellStyle name="Vírgula 2 3 6 7" xfId="2118" xr:uid="{034DB5E4-BDCE-4A27-899B-98261997B542}"/>
    <cellStyle name="Vírgula 2 3 6 7 2" xfId="53539" xr:uid="{0196DD70-2026-4CC9-8478-48E42E0FCAA5}"/>
    <cellStyle name="Vírgula 2 3 6 8" xfId="8492" xr:uid="{3BDB0A56-BE70-4998-A96E-137D2A7D54AE}"/>
    <cellStyle name="Vírgula 2 3 6 9" xfId="4598" xr:uid="{E4101B14-B97D-49FE-939D-755CB3095D60}"/>
    <cellStyle name="Vírgula 2 3 7" xfId="128" xr:uid="{85071089-554E-4E9D-9FCB-18C15A9B8FDB}"/>
    <cellStyle name="Vírgula 2 3 7 2" xfId="944" xr:uid="{7E041AE2-27B5-4BB5-858B-5AB0DB7E87ED}"/>
    <cellStyle name="Vírgula 2 3 7 2 2" xfId="2659" xr:uid="{BF507E6F-8889-46EE-98CE-D3FC64A81F99}"/>
    <cellStyle name="Vírgula 2 3 7 2 2 2" xfId="51881" xr:uid="{5A7D5E77-CF2C-4D99-9D46-0B04235C25F0}"/>
    <cellStyle name="Vírgula 2 3 7 2 2 3" xfId="55175" xr:uid="{60EF8F91-AE81-4172-9FFC-1F5D3A4078D8}"/>
    <cellStyle name="Vírgula 2 3 7 2 2 4" xfId="48579" xr:uid="{FAFCE237-B55F-468C-AAA8-6BCF123D3879}"/>
    <cellStyle name="Vírgula 2 3 7 2 3" xfId="50249" xr:uid="{606B821A-0E33-433C-A45D-C1DDE1A923AA}"/>
    <cellStyle name="Vírgula 2 3 7 2 3 2" xfId="56815" xr:uid="{5DF32F48-B4D1-4BAC-BB5F-1596D06856B6}"/>
    <cellStyle name="Vírgula 2 3 7 2 4" xfId="53544" xr:uid="{FEB83186-56ED-46A6-91F9-2E89223543FA}"/>
    <cellStyle name="Vírgula 2 3 7 2 5" xfId="39237" xr:uid="{BDC1CA04-9213-46E0-A87B-20DB1268CE00}"/>
    <cellStyle name="Vírgula 2 3 7 3" xfId="1350" xr:uid="{1B7BF008-F9F1-4688-9693-F70373E96B9D}"/>
    <cellStyle name="Vírgula 2 3 7 3 2" xfId="3011" xr:uid="{66AF506C-05B6-4F69-80ED-0FEE91D8DEDF}"/>
    <cellStyle name="Vírgula 2 3 7 3 2 2" xfId="55176" xr:uid="{AB6FA7E9-2D95-4829-8643-A752EC177D51}"/>
    <cellStyle name="Vírgula 2 3 7 3 2 3" xfId="51882" xr:uid="{E3EFBEC0-748D-4D02-BC55-53418E773849}"/>
    <cellStyle name="Vírgula 2 3 7 3 3" xfId="50250" xr:uid="{C0CAA5ED-7FA5-435C-9D95-2F76085735EB}"/>
    <cellStyle name="Vírgula 2 3 7 3 3 2" xfId="57221" xr:uid="{0B251EB8-5151-4432-8889-499E29723D13}"/>
    <cellStyle name="Vírgula 2 3 7 3 4" xfId="53545" xr:uid="{FE9CD177-4A8F-4B2F-9D1B-96E38E7F25A8}"/>
    <cellStyle name="Vírgula 2 3 7 3 5" xfId="48580" xr:uid="{2AE9C875-0165-43EC-B944-87F35239D0A3}"/>
    <cellStyle name="Vírgula 2 3 7 4" xfId="537" xr:uid="{07FA58BF-FCE4-4CF5-83CC-42CE2850FC5D}"/>
    <cellStyle name="Vírgula 2 3 7 4 2" xfId="2253" xr:uid="{94F19886-7AEE-4DC0-8F73-0C2D036B9BCC}"/>
    <cellStyle name="Vírgula 2 3 7 4 2 2" xfId="55177" xr:uid="{16A7738E-F8BB-4F74-8D23-A422634A9456}"/>
    <cellStyle name="Vírgula 2 3 7 4 2 3" xfId="51883" xr:uid="{078F2746-127E-41EA-86E2-A798A6BFB4C9}"/>
    <cellStyle name="Vírgula 2 3 7 4 3" xfId="50251" xr:uid="{581CF85A-356A-4179-A317-2170CE61A8C8}"/>
    <cellStyle name="Vírgula 2 3 7 4 3 2" xfId="56408" xr:uid="{C23B6498-C8DF-46F8-9AB8-BAE0F616B7DB}"/>
    <cellStyle name="Vírgula 2 3 7 4 4" xfId="53546" xr:uid="{BD049711-DEEC-4EEC-9D84-A9E986650C4D}"/>
    <cellStyle name="Vírgula 2 3 7 4 5" xfId="48581" xr:uid="{84C64388-88A5-4E37-BEC5-956A52DA5496}"/>
    <cellStyle name="Vírgula 2 3 7 5" xfId="4162" xr:uid="{A0409BFD-339F-4CBB-9853-7981E4E0D334}"/>
    <cellStyle name="Vírgula 2 3 7 5 2" xfId="51880" xr:uid="{A0909FD5-099A-4EAC-B040-B12FC04D3F7F}"/>
    <cellStyle name="Vírgula 2 3 7 5 3" xfId="55174" xr:uid="{58C4E2BB-A35B-4F0B-8C44-BFFA5CF0640D}"/>
    <cellStyle name="Vírgula 2 3 7 5 4" xfId="48578" xr:uid="{4229DC8B-E285-4F66-B403-B2382536E8FD}"/>
    <cellStyle name="Vírgula 2 3 7 6" xfId="2075" xr:uid="{3108C5B9-682D-4EFE-BE44-564899783DD3}"/>
    <cellStyle name="Vírgula 2 3 7 6 2" xfId="55999" xr:uid="{40C4EDD1-6864-4DBE-ADD4-EE22498B1A01}"/>
    <cellStyle name="Vírgula 2 3 7 6 3" xfId="50248" xr:uid="{B38BE284-53C5-449A-8ADD-3BA1982EAC2B}"/>
    <cellStyle name="Vírgula 2 3 7 7" xfId="53543" xr:uid="{E062962F-D8AA-49CA-B887-4B04940BB8F1}"/>
    <cellStyle name="Vírgula 2 3 7 8" xfId="18897" xr:uid="{76EC2BB0-784E-4C53-854A-6D9D53FEB3D6}"/>
    <cellStyle name="Vírgula 2 3 7 9" xfId="4409" xr:uid="{846E949E-99C2-4DA8-8371-686AA0360F3C}"/>
    <cellStyle name="Vírgula 2 3 8" xfId="906" xr:uid="{5F601F23-22FA-49EA-AA48-060CA92E9E59}"/>
    <cellStyle name="Vírgula 2 3 8 2" xfId="2622" xr:uid="{EEDFEFCE-A1A1-48AC-A3D2-AD83EBE997AC}"/>
    <cellStyle name="Vírgula 2 3 8 2 2" xfId="51884" xr:uid="{344DDB0C-1F79-4E13-BC54-D054E73F1377}"/>
    <cellStyle name="Vírgula 2 3 8 2 3" xfId="55178" xr:uid="{FE6A7F79-1E8C-41D6-B436-DC1F437D6741}"/>
    <cellStyle name="Vírgula 2 3 8 2 4" xfId="39824" xr:uid="{F4864F3C-574B-4038-B354-8B9421C472B2}"/>
    <cellStyle name="Vírgula 2 3 8 3" xfId="48582" xr:uid="{F87EB729-84DC-4409-95B7-FADE0350FB1A}"/>
    <cellStyle name="Vírgula 2 3 8 3 2" xfId="56777" xr:uid="{CD1DE899-8EBF-4A60-935B-7CFCB01E0C5C}"/>
    <cellStyle name="Vírgula 2 3 8 4" xfId="50252" xr:uid="{6293992B-3433-4313-A31C-83F5FB419007}"/>
    <cellStyle name="Vírgula 2 3 8 5" xfId="53547" xr:uid="{D067A67C-3442-481A-9159-E435B82495FE}"/>
    <cellStyle name="Vírgula 2 3 8 6" xfId="19485" xr:uid="{78DA5FC0-F366-4C48-9A85-40097EBEC77C}"/>
    <cellStyle name="Vírgula 2 3 8 7" xfId="4784" xr:uid="{3896BE96-6EFC-4C47-8CC2-7DCDF45FA8A6}"/>
    <cellStyle name="Vírgula 2 3 9" xfId="1312" xr:uid="{5EFE9608-3C87-4CE1-AD8D-3F03CDDB6BD2}"/>
    <cellStyle name="Vírgula 2 3 9 2" xfId="2973" xr:uid="{740FADFB-E3D8-483E-B2A8-1668E8BEA6FD}"/>
    <cellStyle name="Vírgula 2 3 9 2 2" xfId="51885" xr:uid="{F727841F-AFC0-448B-B919-495EAF52D7AF}"/>
    <cellStyle name="Vírgula 2 3 9 2 3" xfId="55179" xr:uid="{5C6755BA-CC13-48F8-B0D1-160A27A813A9}"/>
    <cellStyle name="Vírgula 2 3 9 2 4" xfId="43075" xr:uid="{484753D5-F5B8-4381-9AFD-D4E10E2F56EB}"/>
    <cellStyle name="Vírgula 2 3 9 3" xfId="48583" xr:uid="{5983F326-B0DF-4025-BA40-CE56DA7EF13C}"/>
    <cellStyle name="Vírgula 2 3 9 3 2" xfId="57183" xr:uid="{D78EB885-8331-485D-B38F-24913291B46A}"/>
    <cellStyle name="Vírgula 2 3 9 4" xfId="50253" xr:uid="{5BD11000-3489-41B4-A456-2EAC7FB075DA}"/>
    <cellStyle name="Vírgula 2 3 9 5" xfId="53548" xr:uid="{A1A1ACCC-BF56-4E07-8F5F-949CDB106678}"/>
    <cellStyle name="Vírgula 2 3 9 6" xfId="22740" xr:uid="{EBC22467-A755-492D-A88C-19D36CC5A244}"/>
    <cellStyle name="Vírgula 2 4" xfId="143" xr:uid="{6BB40211-5E6D-4177-9395-B2B7C39780A2}"/>
    <cellStyle name="Vírgula 2 4 10" xfId="1748" xr:uid="{434086A3-867D-4A4C-B91A-053182FAF116}"/>
    <cellStyle name="Vírgula 2 4 10 2" xfId="27844" xr:uid="{DF727C42-D7DC-4BF7-BD46-EAFCFA5AA6AE}"/>
    <cellStyle name="Vírgula 2 4 11" xfId="47332" xr:uid="{8BCA7870-A69A-4B1D-957D-945F06D5B862}"/>
    <cellStyle name="Vírgula 2 4 12" xfId="47458" xr:uid="{90E7EE5D-697D-4D41-8E42-96E470924995}"/>
    <cellStyle name="Vírgula 2 4 13" xfId="47584" xr:uid="{187B71B0-3708-4463-8CEE-1A63E5AFFF61}"/>
    <cellStyle name="Vírgula 2 4 14" xfId="48584" xr:uid="{B899E629-6B55-46A2-8E23-A4BA9635BE97}"/>
    <cellStyle name="Vírgula 2 4 15" xfId="50254" xr:uid="{E73A2710-2E71-4A24-9F48-D1EDD601F210}"/>
    <cellStyle name="Vírgula 2 4 16" xfId="53549" xr:uid="{D8EFFF4B-5FB3-4227-A615-92EC0FADB44A}"/>
    <cellStyle name="Vírgula 2 4 17" xfId="7497" xr:uid="{F793317C-97BD-41E8-AE0E-F12B38413462}"/>
    <cellStyle name="Vírgula 2 4 18" xfId="4424" xr:uid="{9D81184C-8B64-4DF5-80A3-6467B86B5B29}"/>
    <cellStyle name="Vírgula 2 4 2" xfId="222" xr:uid="{3578A7B5-F4BD-44D7-8B9B-1BADDA9EA052}"/>
    <cellStyle name="Vírgula 2 4 2 10" xfId="4503" xr:uid="{C69ACAAF-3D86-440D-8758-BCC1DF35898C}"/>
    <cellStyle name="Vírgula 2 4 2 2" xfId="411" xr:uid="{3BF7095A-1580-4E88-ADA4-CF1E2F3F28B5}"/>
    <cellStyle name="Vírgula 2 4 2 2 2" xfId="1227" xr:uid="{DE2BCA1B-C463-4A6B-9E29-3C6C4322DDA4}"/>
    <cellStyle name="Vírgula 2 4 2 2 2 2" xfId="2888" xr:uid="{D2B6CB45-0CC8-4959-A890-788C8946DBC3}"/>
    <cellStyle name="Vírgula 2 4 2 2 2 2 2" xfId="55183" xr:uid="{532A6AE3-69D5-436A-B2F0-3563930594A0}"/>
    <cellStyle name="Vírgula 2 4 2 2 2 2 3" xfId="51889" xr:uid="{654E7383-C64D-4864-A8F5-D77194483BC2}"/>
    <cellStyle name="Vírgula 2 4 2 2 2 3" xfId="50257" xr:uid="{A0471679-FF48-4630-AD38-4FDD6F7242EB}"/>
    <cellStyle name="Vírgula 2 4 2 2 2 3 2" xfId="57098" xr:uid="{27AFEF3E-F21D-4B0E-8746-A721D191CD7E}"/>
    <cellStyle name="Vírgula 2 4 2 2 2 4" xfId="53552" xr:uid="{816ECFEC-9BA3-48ED-9A18-5EE4C5043029}"/>
    <cellStyle name="Vírgula 2 4 2 2 2 5" xfId="48587" xr:uid="{B49D9A24-A7EE-43A0-BC8D-0BA76011EA55}"/>
    <cellStyle name="Vírgula 2 4 2 2 3" xfId="1633" xr:uid="{BC8BCAE6-73C5-42BD-B4FD-C2CD20B9BFA8}"/>
    <cellStyle name="Vírgula 2 4 2 2 3 2" xfId="3293" xr:uid="{D2F1B220-774B-40B7-BF81-BCD6109DB759}"/>
    <cellStyle name="Vírgula 2 4 2 2 3 2 2" xfId="55184" xr:uid="{82B3B88E-0B97-4569-BC4F-9D445866940F}"/>
    <cellStyle name="Vírgula 2 4 2 2 3 2 3" xfId="51890" xr:uid="{D5A688CB-7914-43C7-9188-EDE1901E71C2}"/>
    <cellStyle name="Vírgula 2 4 2 2 3 3" xfId="50258" xr:uid="{2B03E002-9172-4E63-905B-7035E92E61A0}"/>
    <cellStyle name="Vírgula 2 4 2 2 3 3 2" xfId="57504" xr:uid="{B70EB2DE-FA2C-4B5E-A3A9-3D889260929E}"/>
    <cellStyle name="Vírgula 2 4 2 2 3 4" xfId="53553" xr:uid="{1706B5AC-4088-49D9-B550-0FB88F63964C}"/>
    <cellStyle name="Vírgula 2 4 2 2 3 5" xfId="48588" xr:uid="{83617AD4-2527-406A-9158-E85EC0C3B473}"/>
    <cellStyle name="Vírgula 2 4 2 2 4" xfId="820" xr:uid="{EB68EC46-81C0-4BFD-ABE6-D595B8A5BAAC}"/>
    <cellStyle name="Vírgula 2 4 2 2 4 2" xfId="2536" xr:uid="{1C99FEFD-A99D-45D7-852F-47A8D5D890BB}"/>
    <cellStyle name="Vírgula 2 4 2 2 4 2 2" xfId="55185" xr:uid="{74B48DF8-9F1D-47C2-9651-FB2577E36B8F}"/>
    <cellStyle name="Vírgula 2 4 2 2 4 2 3" xfId="51891" xr:uid="{9F661CFB-E1CB-4FCA-BD42-7BD79BEE7A62}"/>
    <cellStyle name="Vírgula 2 4 2 2 4 3" xfId="50259" xr:uid="{4CEE9B73-CF07-4F02-B03B-DC05F5F8EB1E}"/>
    <cellStyle name="Vírgula 2 4 2 2 4 3 2" xfId="56691" xr:uid="{F9197F5A-0526-4ED6-B937-54CFB937C16B}"/>
    <cellStyle name="Vírgula 2 4 2 2 4 4" xfId="53554" xr:uid="{EF8478B0-1568-4C75-BF67-FB09F60BD851}"/>
    <cellStyle name="Vírgula 2 4 2 2 4 5" xfId="48589" xr:uid="{B988C2A8-CDFD-45A6-882A-9D14505C204E}"/>
    <cellStyle name="Vírgula 2 4 2 2 5" xfId="3674" xr:uid="{399E1BCC-3443-4A04-B764-14080DFC7DBB}"/>
    <cellStyle name="Vírgula 2 4 2 2 5 2" xfId="51888" xr:uid="{802FD25F-F332-4D3A-B5EE-D2200A084F26}"/>
    <cellStyle name="Vírgula 2 4 2 2 5 3" xfId="55182" xr:uid="{6D5F9827-54F2-4145-8582-2AE29FB4EAA4}"/>
    <cellStyle name="Vírgula 2 4 2 2 5 4" xfId="48586" xr:uid="{5267750B-6AD6-48CC-A25E-001ED664DD3F}"/>
    <cellStyle name="Vírgula 2 4 2 2 6" xfId="4108" xr:uid="{D96193F0-21A3-41AF-813F-9D6A4BFA005D}"/>
    <cellStyle name="Vírgula 2 4 2 2 6 2" xfId="56282" xr:uid="{B21C1EE3-7DB1-4A47-B242-9425FE3C9DFE}"/>
    <cellStyle name="Vírgula 2 4 2 2 6 3" xfId="50256" xr:uid="{E58008F3-13B2-4938-83DD-46FAF265F6C8}"/>
    <cellStyle name="Vírgula 2 4 2 2 7" xfId="2023" xr:uid="{5ED88A06-D08D-4179-80FE-B9F9E8464A88}"/>
    <cellStyle name="Vírgula 2 4 2 2 7 2" xfId="53551" xr:uid="{9288AAB9-C066-49F8-BA3E-4989161779C9}"/>
    <cellStyle name="Vírgula 2 4 2 2 8" xfId="32894" xr:uid="{E367DA0E-D655-484C-A10E-22BCC5D61DB6}"/>
    <cellStyle name="Vírgula 2 4 2 2 9" xfId="4692" xr:uid="{9FDF549E-CFCE-4777-A89A-EDFCFD443275}"/>
    <cellStyle name="Vírgula 2 4 2 3" xfId="1038" xr:uid="{98C8EC1E-85BE-4F4A-BFF9-28117AC3EC14}"/>
    <cellStyle name="Vírgula 2 4 2 3 2" xfId="3565" xr:uid="{6084368D-F86B-4BA7-A437-888917F7B4C7}"/>
    <cellStyle name="Vírgula 2 4 2 3 2 2" xfId="51892" xr:uid="{948FB447-953F-4D62-A005-98DE10C54315}"/>
    <cellStyle name="Vírgula 2 4 2 3 2 3" xfId="55186" xr:uid="{130009D2-3D39-41B8-8FB2-FF3E08589C6E}"/>
    <cellStyle name="Vírgula 2 4 2 3 2 4" xfId="48590" xr:uid="{9FE32080-9C4D-4499-9268-E679F7A0F760}"/>
    <cellStyle name="Vírgula 2 4 2 3 3" xfId="4280" xr:uid="{A6FBA6EE-D5EA-4426-AF99-F89C6FC1D572}"/>
    <cellStyle name="Vírgula 2 4 2 3 3 2" xfId="56909" xr:uid="{A23ECC28-F68A-4ED3-96DF-5FFD32BD023D}"/>
    <cellStyle name="Vírgula 2 4 2 3 3 3" xfId="50260" xr:uid="{6B801FA2-994B-414D-9DC7-787453FD5D25}"/>
    <cellStyle name="Vírgula 2 4 2 3 4" xfId="1914" xr:uid="{DD4FE64A-38A4-4B8F-8FD7-0AB9B583EDC0}"/>
    <cellStyle name="Vírgula 2 4 2 3 4 2" xfId="53555" xr:uid="{4674DD61-7A6F-485F-A9A8-461142BC1410}"/>
    <cellStyle name="Vírgula 2 4 2 3 5" xfId="47388" xr:uid="{BD127584-5576-4972-BBA9-8F52C9B3AD73}"/>
    <cellStyle name="Vírgula 2 4 2 4" xfId="1444" xr:uid="{BE6A5E98-A441-40D5-9332-F287612FD87C}"/>
    <cellStyle name="Vírgula 2 4 2 4 2" xfId="3783" xr:uid="{05599D5F-0FB1-4BB2-96D2-ADD3BB5082FF}"/>
    <cellStyle name="Vírgula 2 4 2 4 2 2" xfId="51893" xr:uid="{D3A4D70F-28B7-428F-8C65-0885C9B200C7}"/>
    <cellStyle name="Vírgula 2 4 2 4 2 3" xfId="55187" xr:uid="{03707390-DCE9-480A-AAD6-0AE54D995B0C}"/>
    <cellStyle name="Vírgula 2 4 2 4 2 4" xfId="48591" xr:uid="{9FA528FB-99EC-470D-8FF5-7AF1DA751B34}"/>
    <cellStyle name="Vírgula 2 4 2 4 3" xfId="3105" xr:uid="{32A89660-247B-4269-A13F-C69CE0763A10}"/>
    <cellStyle name="Vírgula 2 4 2 4 3 2" xfId="57315" xr:uid="{7BC8EF2B-7C30-4A09-B2DB-77B31F256FFB}"/>
    <cellStyle name="Vírgula 2 4 2 4 3 3" xfId="50261" xr:uid="{511BE29E-E086-4181-BC87-3DE5F4393F65}"/>
    <cellStyle name="Vírgula 2 4 2 4 4" xfId="53556" xr:uid="{D06A780A-2F57-4D83-AAF8-EA9B45B35F7D}"/>
    <cellStyle name="Vírgula 2 4 2 4 5" xfId="47514" xr:uid="{EB0834F0-E5EA-4B3E-8D1A-C92F7D469C22}"/>
    <cellStyle name="Vírgula 2 4 2 5" xfId="631" xr:uid="{DB5BDD10-0208-4230-99B0-E178E57EFEF2}"/>
    <cellStyle name="Vírgula 2 4 2 5 2" xfId="2347" xr:uid="{23A62802-1DB2-4070-8FBB-4712F8DF16FE}"/>
    <cellStyle name="Vírgula 2 4 2 5 2 2" xfId="51894" xr:uid="{7EBDB2F5-D43D-45DC-8444-C7F306CE1E73}"/>
    <cellStyle name="Vírgula 2 4 2 5 2 3" xfId="55188" xr:uid="{70259D60-C8DA-487F-9688-DE1E6133D84D}"/>
    <cellStyle name="Vírgula 2 4 2 5 2 4" xfId="48592" xr:uid="{B16019AB-462D-4A41-A85C-3269646175AC}"/>
    <cellStyle name="Vírgula 2 4 2 5 3" xfId="50262" xr:uid="{3964ABA9-CB75-47EA-B9D3-27D4732E8DF6}"/>
    <cellStyle name="Vírgula 2 4 2 5 3 2" xfId="56502" xr:uid="{D9B011FB-15FF-482E-8EE2-4C92A30513D5}"/>
    <cellStyle name="Vírgula 2 4 2 5 4" xfId="53557" xr:uid="{DCA15CC3-097C-4FC3-8530-A461ADA7B4EA}"/>
    <cellStyle name="Vírgula 2 4 2 5 5" xfId="47640" xr:uid="{2A3CC895-D184-4F39-B6DB-99A60DA52769}"/>
    <cellStyle name="Vírgula 2 4 2 6" xfId="3455" xr:uid="{139A9ECB-CA06-4098-A4CA-2A2E66FFEA82}"/>
    <cellStyle name="Vírgula 2 4 2 6 2" xfId="51887" xr:uid="{4086BF0E-F2A3-4E38-B928-C29B77A0717F}"/>
    <cellStyle name="Vírgula 2 4 2 6 3" xfId="55181" xr:uid="{081B52B0-E187-4BB1-812D-49C305161C38}"/>
    <cellStyle name="Vírgula 2 4 2 6 4" xfId="48585" xr:uid="{611A34B8-18D1-40C6-AA27-9CFA3D95762B}"/>
    <cellStyle name="Vírgula 2 4 2 7" xfId="3936" xr:uid="{1FBDA068-6714-4483-A8FC-7137FB9D7302}"/>
    <cellStyle name="Vírgula 2 4 2 7 2" xfId="56093" xr:uid="{F6CD658B-4998-42DA-8642-DC6618F3E20E}"/>
    <cellStyle name="Vírgula 2 4 2 7 3" xfId="50255" xr:uid="{F87A887B-0A51-42A4-802A-7F538093AAC9}"/>
    <cellStyle name="Vírgula 2 4 2 8" xfId="1804" xr:uid="{C9FCC019-0DD7-432C-A712-FB560D75840B}"/>
    <cellStyle name="Vírgula 2 4 2 8 2" xfId="53550" xr:uid="{BC276170-DE71-43B5-8D8E-3A3B3BBF70C0}"/>
    <cellStyle name="Vírgula 2 4 2 9" xfId="12553" xr:uid="{5DFD628E-4607-4816-922A-F02FA6FAC3A5}"/>
    <cellStyle name="Vírgula 2 4 3" xfId="274" xr:uid="{5469654B-A248-43CA-BE58-DC5F84621974}"/>
    <cellStyle name="Vírgula 2 4 3 10" xfId="4555" xr:uid="{0CCFE598-8B08-4A08-A53C-5A65BE73F65D}"/>
    <cellStyle name="Vírgula 2 4 3 2" xfId="463" xr:uid="{34763358-CD07-482D-958A-3FE579D59AB4}"/>
    <cellStyle name="Vírgula 2 4 3 2 2" xfId="1279" xr:uid="{9680A7AC-1CBA-447A-BABB-DD3EC505F15B}"/>
    <cellStyle name="Vírgula 2 4 3 2 2 2" xfId="2940" xr:uid="{9F42A009-CFB5-4D7C-95E5-7025BC054335}"/>
    <cellStyle name="Vírgula 2 4 3 2 2 2 2" xfId="55191" xr:uid="{AD1A5ACD-4C28-4542-84F8-327DEAB240F1}"/>
    <cellStyle name="Vírgula 2 4 3 2 2 2 3" xfId="51897" xr:uid="{63A5FCE0-09F8-4CD5-AC32-F2B42F0DF370}"/>
    <cellStyle name="Vírgula 2 4 3 2 2 3" xfId="50265" xr:uid="{07A3863C-D582-4053-AD04-4060EF86681B}"/>
    <cellStyle name="Vírgula 2 4 3 2 2 3 2" xfId="57150" xr:uid="{F42450F8-87C9-4723-9C96-DBCEBCD4F234}"/>
    <cellStyle name="Vírgula 2 4 3 2 2 4" xfId="53560" xr:uid="{31A2F8F8-1B84-4152-81F4-6DCF7641AEBD}"/>
    <cellStyle name="Vírgula 2 4 3 2 2 5" xfId="48595" xr:uid="{B92AF2DF-6AFE-4FE0-9834-CFE42742837D}"/>
    <cellStyle name="Vírgula 2 4 3 2 3" xfId="1685" xr:uid="{321296D2-701B-470A-BE2F-DC28CF47C998}"/>
    <cellStyle name="Vírgula 2 4 3 2 3 2" xfId="3345" xr:uid="{A4B3DDEB-D5CE-4223-9B54-84BDE33A7D65}"/>
    <cellStyle name="Vírgula 2 4 3 2 3 2 2" xfId="55192" xr:uid="{351B2C34-EE0E-42B7-AAC1-2FF44AAF7324}"/>
    <cellStyle name="Vírgula 2 4 3 2 3 2 3" xfId="51898" xr:uid="{5FD96A5E-9AE5-4E5C-B306-F6405CFDDDCD}"/>
    <cellStyle name="Vírgula 2 4 3 2 3 3" xfId="50266" xr:uid="{34872C81-A472-4705-A63D-DAABF81B3434}"/>
    <cellStyle name="Vírgula 2 4 3 2 3 3 2" xfId="57556" xr:uid="{A7E352C4-B960-41ED-8BD7-9D9E0EA80340}"/>
    <cellStyle name="Vírgula 2 4 3 2 3 4" xfId="53561" xr:uid="{9FCCC414-F3E2-436A-8706-DC930B10C119}"/>
    <cellStyle name="Vírgula 2 4 3 2 3 5" xfId="48596" xr:uid="{496CB935-3CF5-47EA-86BD-653DADC9B10F}"/>
    <cellStyle name="Vírgula 2 4 3 2 4" xfId="872" xr:uid="{534ED2EE-EBFA-4072-8171-D55398E7862F}"/>
    <cellStyle name="Vírgula 2 4 3 2 4 2" xfId="2588" xr:uid="{A25DC3BA-474A-42A3-9BD9-4EA3EEB52093}"/>
    <cellStyle name="Vírgula 2 4 3 2 4 2 2" xfId="55193" xr:uid="{12B7C20D-4029-4007-BB6C-2992A187D842}"/>
    <cellStyle name="Vírgula 2 4 3 2 4 2 3" xfId="51899" xr:uid="{51675794-C076-4B3C-86C9-73CDC22C4849}"/>
    <cellStyle name="Vírgula 2 4 3 2 4 3" xfId="50267" xr:uid="{D7DD6BDE-9370-4659-AE38-6716D1C50134}"/>
    <cellStyle name="Vírgula 2 4 3 2 4 3 2" xfId="56743" xr:uid="{F236F6D6-4F03-4ADC-B187-713182435A1A}"/>
    <cellStyle name="Vírgula 2 4 3 2 4 4" xfId="53562" xr:uid="{0E531538-E51E-4094-957E-6AE7EE09804E}"/>
    <cellStyle name="Vírgula 2 4 3 2 4 5" xfId="48597" xr:uid="{011522E3-10AF-4620-A657-E3AFD58B8898}"/>
    <cellStyle name="Vírgula 2 4 3 2 5" xfId="2180" xr:uid="{EAE87D35-AED1-4F2E-AC9E-B79BAE2BECD9}"/>
    <cellStyle name="Vírgula 2 4 3 2 5 2" xfId="51896" xr:uid="{85EAD546-B7D1-4798-B05C-5B5D544B27C3}"/>
    <cellStyle name="Vírgula 2 4 3 2 5 3" xfId="55190" xr:uid="{D48F4FF7-6F54-4DC1-A3BC-290F10DCCA71}"/>
    <cellStyle name="Vírgula 2 4 3 2 5 4" xfId="48594" xr:uid="{61BA1CF8-89AB-4FA4-BAE7-6D21CCFD8A75}"/>
    <cellStyle name="Vírgula 2 4 3 2 6" xfId="50264" xr:uid="{A51A3F0F-A1BB-4153-A37B-7E5C0E84C8ED}"/>
    <cellStyle name="Vírgula 2 4 3 2 6 2" xfId="56334" xr:uid="{FA1CFBA0-0EB4-414F-840D-53BDCB2B3D0B}"/>
    <cellStyle name="Vírgula 2 4 3 2 7" xfId="53559" xr:uid="{D9E85FA0-087C-4486-A69C-9E8912409FF4}"/>
    <cellStyle name="Vírgula 2 4 3 2 8" xfId="35214" xr:uid="{5D74C1B5-B291-48FE-AA5D-0E2AA2C01F72}"/>
    <cellStyle name="Vírgula 2 4 3 2 9" xfId="4744" xr:uid="{23390E79-08D0-406D-989E-AD1A12BBD300}"/>
    <cellStyle name="Vírgula 2 4 3 3" xfId="1090" xr:uid="{AA5757F6-9E12-4F4F-A235-D0CAC784303E}"/>
    <cellStyle name="Vírgula 2 4 3 3 2" xfId="2753" xr:uid="{42673271-1258-4BA5-BC62-7C88ABAF05EA}"/>
    <cellStyle name="Vírgula 2 4 3 3 2 2" xfId="55194" xr:uid="{A7423583-8B8F-43EC-A359-C830099CD0BF}"/>
    <cellStyle name="Vírgula 2 4 3 3 2 3" xfId="51900" xr:uid="{F8CD9592-D4B2-4083-8131-7AC7FC473D9A}"/>
    <cellStyle name="Vírgula 2 4 3 3 3" xfId="50268" xr:uid="{F5CB9ADC-2E21-4510-B5B7-92E08797F837}"/>
    <cellStyle name="Vírgula 2 4 3 3 3 2" xfId="56961" xr:uid="{02AA8989-A885-493E-9046-7091607778EA}"/>
    <cellStyle name="Vírgula 2 4 3 3 4" xfId="53563" xr:uid="{18688346-3FB1-49BF-9F4C-EC88829B9A06}"/>
    <cellStyle name="Vírgula 2 4 3 3 5" xfId="48598" xr:uid="{7D195696-B522-4FDB-B5C5-546B3C14B34D}"/>
    <cellStyle name="Vírgula 2 4 3 4" xfId="1496" xr:uid="{20B7C858-05E4-4C46-A064-10BFE105A3C7}"/>
    <cellStyle name="Vírgula 2 4 3 4 2" xfId="3157" xr:uid="{94C1437F-8C71-4635-B55A-543443758A63}"/>
    <cellStyle name="Vírgula 2 4 3 4 2 2" xfId="55195" xr:uid="{9C82B7CA-625E-407D-94EA-4EA4FEDDF67A}"/>
    <cellStyle name="Vírgula 2 4 3 4 2 3" xfId="51901" xr:uid="{A3B0B6C6-0B12-4FD0-8B44-CE0E7AC1DB9F}"/>
    <cellStyle name="Vírgula 2 4 3 4 3" xfId="50269" xr:uid="{E6F4117A-EC64-4317-84A8-7C62F9CCBF5B}"/>
    <cellStyle name="Vírgula 2 4 3 4 3 2" xfId="57367" xr:uid="{40B167CD-D4EB-48F4-B162-DA26F1479082}"/>
    <cellStyle name="Vírgula 2 4 3 4 4" xfId="53564" xr:uid="{CF29DCF7-8D80-4B4E-9CAA-263EA10D21D7}"/>
    <cellStyle name="Vírgula 2 4 3 4 5" xfId="48599" xr:uid="{90DABDA0-2EB7-4725-90FC-AD5B11D2F7C6}"/>
    <cellStyle name="Vírgula 2 4 3 5" xfId="683" xr:uid="{2430E39D-B519-4C2E-9F6E-4ABE29CF6C33}"/>
    <cellStyle name="Vírgula 2 4 3 5 2" xfId="2399" xr:uid="{D3D60DE0-C91E-41D1-A177-6BA2B58D279E}"/>
    <cellStyle name="Vírgula 2 4 3 5 2 2" xfId="55196" xr:uid="{2FF5FAD0-A389-4420-AE93-DE77D4CCED22}"/>
    <cellStyle name="Vírgula 2 4 3 5 2 3" xfId="51902" xr:uid="{3E4AC877-088B-4F2F-AE82-6EC5B5D3F54D}"/>
    <cellStyle name="Vírgula 2 4 3 5 3" xfId="50270" xr:uid="{157CA6C2-7AA7-4DD1-AB3F-2B2E1BDF5E2D}"/>
    <cellStyle name="Vírgula 2 4 3 5 3 2" xfId="56554" xr:uid="{B806B960-13A3-4342-A659-900FD83A1AB3}"/>
    <cellStyle name="Vírgula 2 4 3 5 4" xfId="53565" xr:uid="{4A90AF21-2922-4F83-BC4B-9FC385DE69A5}"/>
    <cellStyle name="Vírgula 2 4 3 5 5" xfId="48600" xr:uid="{0DA38D62-0F1A-4AF8-8244-589619736C1E}"/>
    <cellStyle name="Vírgula 2 4 3 6" xfId="3619" xr:uid="{36B7A52D-3F39-4CD3-82CD-F1AB591A085C}"/>
    <cellStyle name="Vírgula 2 4 3 6 2" xfId="51895" xr:uid="{2CE129E4-ABF4-4A3A-871F-D1ACB068BA9E}"/>
    <cellStyle name="Vírgula 2 4 3 6 3" xfId="55189" xr:uid="{371D6661-1FC8-42DA-883A-445353C069D5}"/>
    <cellStyle name="Vírgula 2 4 3 6 4" xfId="48593" xr:uid="{71F351D4-7AE9-43E5-B6A1-0E182CEA37BC}"/>
    <cellStyle name="Vírgula 2 4 3 7" xfId="3995" xr:uid="{42873733-2962-4B0F-A888-6741D019A3A0}"/>
    <cellStyle name="Vírgula 2 4 3 7 2" xfId="56145" xr:uid="{147FB8E7-30CF-4961-9CFB-22BE7D750D02}"/>
    <cellStyle name="Vírgula 2 4 3 7 3" xfId="50263" xr:uid="{225459F5-27F0-43DD-8253-36C832CE1C63}"/>
    <cellStyle name="Vírgula 2 4 3 8" xfId="1968" xr:uid="{FE449DDD-5F57-4471-9CC0-01DFD21AD4FA}"/>
    <cellStyle name="Vírgula 2 4 3 8 2" xfId="53558" xr:uid="{B40DAE0A-3A64-40FA-9FD7-27BB60ED574E}"/>
    <cellStyle name="Vírgula 2 4 3 9" xfId="14874" xr:uid="{27A27561-AB1C-4B42-8FC0-88699ACBD46E}"/>
    <cellStyle name="Vírgula 2 4 4" xfId="332" xr:uid="{D22A43CD-7FD4-4B95-ABA1-D75FC17A87A9}"/>
    <cellStyle name="Vírgula 2 4 4 2" xfId="1148" xr:uid="{894BDD00-98BF-495A-BBC5-2C57963A7F22}"/>
    <cellStyle name="Vírgula 2 4 4 2 2" xfId="2809" xr:uid="{DAFA389F-D817-4C5C-A48C-746EA1E946F8}"/>
    <cellStyle name="Vírgula 2 4 4 2 2 2" xfId="51904" xr:uid="{2B9BEB6A-81A7-4059-8B56-5126BF9EEA58}"/>
    <cellStyle name="Vírgula 2 4 4 2 2 3" xfId="55198" xr:uid="{818B58A1-FAAF-4053-AB7F-B6569272C798}"/>
    <cellStyle name="Vírgula 2 4 4 2 2 4" xfId="48602" xr:uid="{D8D9295F-3C70-4AAE-8CE3-C3503B47D918}"/>
    <cellStyle name="Vírgula 2 4 4 2 3" xfId="50272" xr:uid="{0F6DAE60-66FC-413E-9328-87FAF93C57F6}"/>
    <cellStyle name="Vírgula 2 4 4 2 3 2" xfId="57019" xr:uid="{4372556D-FC40-4E66-A647-90EC1B988505}"/>
    <cellStyle name="Vírgula 2 4 4 2 4" xfId="53567" xr:uid="{EF9DAEA6-A0F9-4BE1-AD56-DD44107EFD6D}"/>
    <cellStyle name="Vírgula 2 4 4 2 5" xfId="38122" xr:uid="{DF2118FC-28C0-4FE3-A9B4-ABA8F74CF2BF}"/>
    <cellStyle name="Vírgula 2 4 4 3" xfId="1554" xr:uid="{15256A82-4596-4B85-AFA3-5DEAB56864A9}"/>
    <cellStyle name="Vírgula 2 4 4 3 2" xfId="3214" xr:uid="{0C9C50BD-17F9-46B2-B2AF-9D2E53C4B828}"/>
    <cellStyle name="Vírgula 2 4 4 3 2 2" xfId="55199" xr:uid="{AECC7663-02ED-4B06-8B91-686EC9F1383E}"/>
    <cellStyle name="Vírgula 2 4 4 3 2 3" xfId="51905" xr:uid="{32B79A1E-63EB-4C7B-827B-1C12CAEEE845}"/>
    <cellStyle name="Vírgula 2 4 4 3 3" xfId="50273" xr:uid="{94FDA22D-DE34-41A7-9178-73DAE974E419}"/>
    <cellStyle name="Vírgula 2 4 4 3 3 2" xfId="57425" xr:uid="{0055E9FD-4D49-43F6-83F0-CACEDFA8D2A9}"/>
    <cellStyle name="Vírgula 2 4 4 3 4" xfId="53568" xr:uid="{D1BAD6A3-E2A0-499C-9D27-B9D08BC863AB}"/>
    <cellStyle name="Vírgula 2 4 4 3 5" xfId="48603" xr:uid="{CF59BE82-EC61-4530-9108-7CF9B1219117}"/>
    <cellStyle name="Vírgula 2 4 4 4" xfId="741" xr:uid="{B93E0DD4-FD6C-4121-81A0-BB8B0B643E5E}"/>
    <cellStyle name="Vírgula 2 4 4 4 2" xfId="2457" xr:uid="{2C2A429E-A108-4CC6-B15B-2BFB829C4F89}"/>
    <cellStyle name="Vírgula 2 4 4 4 2 2" xfId="55200" xr:uid="{E26BA205-A69D-4218-B578-5AD9B8406CB7}"/>
    <cellStyle name="Vírgula 2 4 4 4 2 3" xfId="51906" xr:uid="{95EBB9E7-2696-4575-8AE5-C074635F66FA}"/>
    <cellStyle name="Vírgula 2 4 4 4 3" xfId="50274" xr:uid="{B47EC2F3-F4E3-4EF4-AE3C-DFBD8C19677A}"/>
    <cellStyle name="Vírgula 2 4 4 4 3 2" xfId="56612" xr:uid="{FFAC4D49-B4C4-4D92-93E1-604E045E1889}"/>
    <cellStyle name="Vírgula 2 4 4 4 4" xfId="53569" xr:uid="{E0943B91-18F4-4FEC-B0D0-AAD6C7D81948}"/>
    <cellStyle name="Vírgula 2 4 4 4 5" xfId="48604" xr:uid="{AD820FA2-1B68-4934-9224-0AD0D415F7E1}"/>
    <cellStyle name="Vírgula 2 4 4 5" xfId="3510" xr:uid="{BB9FBCDD-B24B-4984-9DA3-9B454105498D}"/>
    <cellStyle name="Vírgula 2 4 4 5 2" xfId="51903" xr:uid="{4A11C64D-6617-4708-BFB7-4BA26565C0EB}"/>
    <cellStyle name="Vírgula 2 4 4 5 3" xfId="55197" xr:uid="{0D0B0659-D8E6-4715-8636-EE4780C4B514}"/>
    <cellStyle name="Vírgula 2 4 4 5 4" xfId="48601" xr:uid="{8CB29F89-42FD-44AB-B569-170E2E01830E}"/>
    <cellStyle name="Vírgula 2 4 4 6" xfId="4167" xr:uid="{680987D9-7A00-4A44-B492-AD659B800C23}"/>
    <cellStyle name="Vírgula 2 4 4 6 2" xfId="56203" xr:uid="{2777D6FC-4962-4E43-8247-90E73AE89E50}"/>
    <cellStyle name="Vírgula 2 4 4 6 3" xfId="50271" xr:uid="{BBCE2EC4-CF52-412D-B1BD-7E289AA6E0D2}"/>
    <cellStyle name="Vírgula 2 4 4 7" xfId="1859" xr:uid="{14AA8A62-3E64-44DE-A75C-18039412E79C}"/>
    <cellStyle name="Vírgula 2 4 4 7 2" xfId="53566" xr:uid="{652F7C1B-56F8-4082-93EF-770E88DECD22}"/>
    <cellStyle name="Vírgula 2 4 4 8" xfId="17782" xr:uid="{0B0B8964-12D7-4548-8DA9-E3EBBCC956A9}"/>
    <cellStyle name="Vírgula 2 4 4 9" xfId="4613" xr:uid="{56B936F6-AFD4-43E9-9EC7-FB65FE3BCCF2}"/>
    <cellStyle name="Vírgula 2 4 5" xfId="959" xr:uid="{D337A6A6-9245-4E90-AADB-F0149C1758D8}"/>
    <cellStyle name="Vírgula 2 4 5 2" xfId="3728" xr:uid="{9BCADA58-9DD8-4EE2-A531-BB6931B6A3D7}"/>
    <cellStyle name="Vírgula 2 4 5 2 2" xfId="51907" xr:uid="{B99A2119-8BA4-4A65-A9C7-509E71CDBC09}"/>
    <cellStyle name="Vírgula 2 4 5 2 3" xfId="55201" xr:uid="{170DF92B-0A9C-4097-AB47-06EE89FAE906}"/>
    <cellStyle name="Vírgula 2 4 5 2 4" xfId="38715" xr:uid="{4AB3DBB3-F337-4E7D-BAD8-179EAE632DA3}"/>
    <cellStyle name="Vírgula 2 4 5 3" xfId="2674" xr:uid="{F6A03D19-529E-46F7-8EE1-5600133CC134}"/>
    <cellStyle name="Vírgula 2 4 5 3 2" xfId="56830" xr:uid="{3F55F38A-21CF-44EA-A988-E6F29EFA59B2}"/>
    <cellStyle name="Vírgula 2 4 5 3 3" xfId="48605" xr:uid="{274EBE8C-CD45-48D7-B925-97504FB743EE}"/>
    <cellStyle name="Vírgula 2 4 5 4" xfId="50275" xr:uid="{F6E6DFA9-CB7F-4D4D-8AA4-2F7D9FC7B35B}"/>
    <cellStyle name="Vírgula 2 4 5 5" xfId="53570" xr:uid="{D5BE44F5-0FC8-48E2-A735-BD4D9D09BC4D}"/>
    <cellStyle name="Vírgula 2 4 5 6" xfId="18375" xr:uid="{4AF95970-7250-4C20-9FE0-AC5448FF3FBE}"/>
    <cellStyle name="Vírgula 2 4 5 7" xfId="4782" xr:uid="{C6F8E5D4-0DAD-4652-B839-902B2A91A0D6}"/>
    <cellStyle name="Vírgula 2 4 6" xfId="1365" xr:uid="{C819AC62-0E65-4099-A97E-936025EED09B}"/>
    <cellStyle name="Vírgula 2 4 6 2" xfId="3026" xr:uid="{91782454-09BC-40A1-9061-BB1703A43111}"/>
    <cellStyle name="Vírgula 2 4 6 2 2" xfId="51908" xr:uid="{A9CD3BEC-5D0D-4B46-839A-8083014502B4}"/>
    <cellStyle name="Vírgula 2 4 6 2 3" xfId="55202" xr:uid="{82C55247-0ED8-4BEE-9500-7B0221BEA571}"/>
    <cellStyle name="Vírgula 2 4 6 2 4" xfId="41623" xr:uid="{4290A738-9702-40CB-BB03-E23BE41B7669}"/>
    <cellStyle name="Vírgula 2 4 6 3" xfId="48606" xr:uid="{3911AC30-7622-4369-9D8B-13F4C0246C9B}"/>
    <cellStyle name="Vírgula 2 4 6 3 2" xfId="57236" xr:uid="{DE7C3793-C3CD-4A42-B5D7-247138061C7B}"/>
    <cellStyle name="Vírgula 2 4 6 4" xfId="50276" xr:uid="{8FFBC52E-9345-4FFE-890C-2042AF5C1F5F}"/>
    <cellStyle name="Vírgula 2 4 6 5" xfId="53571" xr:uid="{6FB220EA-7247-4B1A-803A-91E202710AC5}"/>
    <cellStyle name="Vírgula 2 4 6 6" xfId="21284" xr:uid="{880C11D7-C51A-49E0-92DF-5238846A3BD4}"/>
    <cellStyle name="Vírgula 2 4 7" xfId="552" xr:uid="{E0CB8229-6E67-48C2-A0AE-593D81E94A3C}"/>
    <cellStyle name="Vírgula 2 4 7 2" xfId="2268" xr:uid="{BAE01C9E-E002-496C-B6E8-AA13A9BC2A13}"/>
    <cellStyle name="Vírgula 2 4 7 2 2" xfId="51909" xr:uid="{3CCB2E4E-48FC-42DE-A3D1-A92C89651684}"/>
    <cellStyle name="Vírgula 2 4 7 2 3" xfId="55203" xr:uid="{55ACE3BF-32A4-4745-9CA1-DF77C3CD81D6}"/>
    <cellStyle name="Vírgula 2 4 7 2 4" xfId="44874" xr:uid="{EFB4DEDA-FA1F-448C-9C21-1E1F7CDA2E29}"/>
    <cellStyle name="Vírgula 2 4 7 3" xfId="48607" xr:uid="{378DD2E1-8147-4C0B-8987-48CEE786F92C}"/>
    <cellStyle name="Vírgula 2 4 7 3 2" xfId="56423" xr:uid="{55A3CD55-0913-46F6-A205-725F4F3069B0}"/>
    <cellStyle name="Vírgula 2 4 7 4" xfId="50277" xr:uid="{3CCA410A-7841-444C-A2B9-7E541D83B25F}"/>
    <cellStyle name="Vírgula 2 4 7 5" xfId="53572" xr:uid="{D7B3D4FE-AE4B-45C2-B54B-A004BDC23C8B}"/>
    <cellStyle name="Vírgula 2 4 7 6" xfId="24539" xr:uid="{68E263F0-6AF7-4CA5-BEE1-1BF432DD120C}"/>
    <cellStyle name="Vírgula 2 4 8" xfId="3400" xr:uid="{638E52B2-406D-469C-A6E4-E9B0E1F03249}"/>
    <cellStyle name="Vírgula 2 4 8 2" xfId="32276" xr:uid="{DEDDBA01-16D3-4415-A30C-66F2E8CCA2DB}"/>
    <cellStyle name="Vírgula 2 4 8 3" xfId="51886" xr:uid="{B47D709E-CE03-4E0B-857C-996F576E764E}"/>
    <cellStyle name="Vírgula 2 4 8 4" xfId="55180" xr:uid="{EFE18F28-8D4C-4536-B21B-EA313A49D44F}"/>
    <cellStyle name="Vírgula 2 4 8 5" xfId="11935" xr:uid="{FC7A381D-9ADF-4D5B-8D29-D24BB9B47CC9}"/>
    <cellStyle name="Vírgula 2 4 9" xfId="3824" xr:uid="{D5A71C2E-A904-4E76-B6DA-C2C0C5D61EF7}"/>
    <cellStyle name="Vírgula 2 4 9 2" xfId="31338" xr:uid="{D45C1B50-B9FB-46C2-8B95-DD749A746910}"/>
    <cellStyle name="Vírgula 2 4 9 3" xfId="56014" xr:uid="{760CDF67-4B7E-4E3E-93EE-4C6455E9294D}"/>
    <cellStyle name="Vírgula 2 4 9 4" xfId="10995" xr:uid="{2CAAA230-E8FC-4CFD-B821-802F94C72BFF}"/>
    <cellStyle name="Vírgula 2 5" xfId="170" xr:uid="{CFE7377F-D4D4-4A91-B68E-060A9C7D2043}"/>
    <cellStyle name="Vírgula 2 5 10" xfId="47361" xr:uid="{209976A8-A9F9-40D0-BA39-5724E3428C0A}"/>
    <cellStyle name="Vírgula 2 5 11" xfId="47487" xr:uid="{A7221F9F-8AE8-4A73-BD74-296A47C8CC19}"/>
    <cellStyle name="Vírgula 2 5 12" xfId="47613" xr:uid="{F7CE3035-2977-4411-8222-E7B2E6432B1E}"/>
    <cellStyle name="Vírgula 2 5 13" xfId="48608" xr:uid="{6C60F26D-BDC4-41A3-A861-AB817229BE10}"/>
    <cellStyle name="Vírgula 2 5 14" xfId="50278" xr:uid="{FAC09E8A-5DCF-44EF-9E6B-5DB4C7AEF482}"/>
    <cellStyle name="Vírgula 2 5 15" xfId="53573" xr:uid="{902E43FB-1066-4906-82F9-8B4E95E0051B}"/>
    <cellStyle name="Vírgula 2 5 16" xfId="8085" xr:uid="{E61DDE2A-F9A0-449A-ACE3-BFE8BD01F6A6}"/>
    <cellStyle name="Vírgula 2 5 17" xfId="4451" xr:uid="{2A1AE214-B281-4BDF-B482-840CCF1846F8}"/>
    <cellStyle name="Vírgula 2 5 2" xfId="359" xr:uid="{57067515-1A80-446E-840B-8E71D16F8AA1}"/>
    <cellStyle name="Vírgula 2 5 2 2" xfId="1175" xr:uid="{9C44B10B-93EE-4E52-AE00-81D7BD4A41ED}"/>
    <cellStyle name="Vírgula 2 5 2 2 2" xfId="4120" xr:uid="{7CC4B634-A2DC-4AF1-889C-F5201C767CE4}"/>
    <cellStyle name="Vírgula 2 5 2 2 2 2" xfId="51912" xr:uid="{6A8594FD-4AC1-4B30-8476-65CE34B06BB3}"/>
    <cellStyle name="Vírgula 2 5 2 2 2 3" xfId="55206" xr:uid="{1A518292-8E25-46DC-97AE-85B9032EE70D}"/>
    <cellStyle name="Vírgula 2 5 2 2 2 4" xfId="48610" xr:uid="{13AAEB77-6E19-41E8-848C-60F0A13519BE}"/>
    <cellStyle name="Vírgula 2 5 2 2 3" xfId="2836" xr:uid="{3E941BFF-D357-487E-9C06-4AD462E80AE8}"/>
    <cellStyle name="Vírgula 2 5 2 2 3 2" xfId="57046" xr:uid="{635DB531-B680-4B34-9681-EAB31384B178}"/>
    <cellStyle name="Vírgula 2 5 2 2 3 3" xfId="50280" xr:uid="{DAF8207C-D7BF-489D-8DE1-9E5E0E875FF7}"/>
    <cellStyle name="Vírgula 2 5 2 2 4" xfId="53575" xr:uid="{CC45378A-377C-4828-B63E-106DA8E2C8EC}"/>
    <cellStyle name="Vírgula 2 5 2 2 5" xfId="35802" xr:uid="{FCB03277-93F1-4834-B106-6B4D9584E49C}"/>
    <cellStyle name="Vírgula 2 5 2 3" xfId="1581" xr:uid="{9C9B6826-DE57-4FD2-A11B-089D938825C1}"/>
    <cellStyle name="Vírgula 2 5 2 3 2" xfId="4292" xr:uid="{82AEDB44-B1C8-4B31-BDF1-11D23623652D}"/>
    <cellStyle name="Vírgula 2 5 2 3 2 2" xfId="55207" xr:uid="{7C80C6BD-85C9-408E-8E61-30F50D80F247}"/>
    <cellStyle name="Vírgula 2 5 2 3 2 3" xfId="51913" xr:uid="{57A57B1C-E16C-4E8A-AD18-0ABFE755A97F}"/>
    <cellStyle name="Vírgula 2 5 2 3 3" xfId="3241" xr:uid="{330DB3B8-89B1-4061-9110-46CC88DDE8FF}"/>
    <cellStyle name="Vírgula 2 5 2 3 3 2" xfId="57452" xr:uid="{2B7999BD-F087-446D-A79F-5B406412F51B}"/>
    <cellStyle name="Vírgula 2 5 2 3 3 3" xfId="50281" xr:uid="{5109033A-FA06-4C13-A847-08AEEC2ED64D}"/>
    <cellStyle name="Vírgula 2 5 2 3 4" xfId="53576" xr:uid="{19BC7C43-1E98-4360-9023-579913CD5347}"/>
    <cellStyle name="Vírgula 2 5 2 3 5" xfId="48611" xr:uid="{23EC52C4-E19B-4E07-A214-6D953F56C243}"/>
    <cellStyle name="Vírgula 2 5 2 4" xfId="768" xr:uid="{3954D675-25B3-445F-8319-FDC63D36ADD5}"/>
    <cellStyle name="Vírgula 2 5 2 4 2" xfId="2484" xr:uid="{754EDAB6-0798-48B8-8245-DF4421374245}"/>
    <cellStyle name="Vírgula 2 5 2 4 2 2" xfId="55208" xr:uid="{8848D9A7-9E18-4BA0-A545-539AEF7A34B4}"/>
    <cellStyle name="Vírgula 2 5 2 4 2 3" xfId="51914" xr:uid="{700880AA-E236-42C7-A173-DB05BBD3847C}"/>
    <cellStyle name="Vírgula 2 5 2 4 3" xfId="50282" xr:uid="{0081D17A-1E18-4718-B571-8B0135D34D23}"/>
    <cellStyle name="Vírgula 2 5 2 4 3 2" xfId="56639" xr:uid="{9F8A3027-C6F5-4CD1-A8B7-694545C9E6E2}"/>
    <cellStyle name="Vírgula 2 5 2 4 4" xfId="53577" xr:uid="{30D536A2-C0D0-4EED-B0D5-CF7C9C58499A}"/>
    <cellStyle name="Vírgula 2 5 2 4 5" xfId="48612" xr:uid="{3290DD95-00B0-411A-BED3-7FC22F9C2C39}"/>
    <cellStyle name="Vírgula 2 5 2 5" xfId="3647" xr:uid="{8A603E09-9551-4BC2-96DE-BB3A5316DA35}"/>
    <cellStyle name="Vírgula 2 5 2 5 2" xfId="51911" xr:uid="{C080D7A4-2521-4D49-8375-AD090565BC30}"/>
    <cellStyle name="Vírgula 2 5 2 5 3" xfId="55205" xr:uid="{87BF308F-9798-411D-8D1F-F80DCA4BAB5E}"/>
    <cellStyle name="Vírgula 2 5 2 5 4" xfId="48609" xr:uid="{14DF67BB-3E26-4ED5-B3DA-5FB227A77BC7}"/>
    <cellStyle name="Vírgula 2 5 2 6" xfId="3948" xr:uid="{34CBB6A3-32CC-41A1-A162-49ABB741A431}"/>
    <cellStyle name="Vírgula 2 5 2 6 2" xfId="56230" xr:uid="{546768C2-951F-4E9E-91C6-EE9721331A6E}"/>
    <cellStyle name="Vírgula 2 5 2 6 3" xfId="50279" xr:uid="{FC709543-24F6-4851-8403-33CA2830BEE4}"/>
    <cellStyle name="Vírgula 2 5 2 7" xfId="1996" xr:uid="{B43C8CE9-067F-4ACE-9342-70782D1DF619}"/>
    <cellStyle name="Vírgula 2 5 2 7 2" xfId="53574" xr:uid="{2A9CD90F-BAF9-4C15-B73A-AA634ED3C530}"/>
    <cellStyle name="Vírgula 2 5 2 8" xfId="15462" xr:uid="{B34FBF3F-2783-4819-A4A5-80EEAFA2A80F}"/>
    <cellStyle name="Vírgula 2 5 2 9" xfId="4640" xr:uid="{DA888096-014B-4044-BA14-10CB17407C9E}"/>
    <cellStyle name="Vírgula 2 5 3" xfId="986" xr:uid="{3BF2751E-62E9-460F-94F0-EA41020FFA01}"/>
    <cellStyle name="Vírgula 2 5 3 2" xfId="3538" xr:uid="{7049CF1F-D4D5-45D6-BF78-537895B71129}"/>
    <cellStyle name="Vírgula 2 5 3 2 2" xfId="51915" xr:uid="{09BC10DB-8C85-489C-B115-FA8E219851C7}"/>
    <cellStyle name="Vírgula 2 5 3 2 3" xfId="55209" xr:uid="{C16D6DAB-5F11-4A8C-B2A8-A5BCED806592}"/>
    <cellStyle name="Vírgula 2 5 3 2 4" xfId="38710" xr:uid="{A553476F-5F79-4E37-8CDF-2D71283508A4}"/>
    <cellStyle name="Vírgula 2 5 3 3" xfId="4007" xr:uid="{6114E35B-C51E-4A45-AB91-194FDF4382F6}"/>
    <cellStyle name="Vírgula 2 5 3 3 2" xfId="56857" xr:uid="{1CCBC622-86FF-4138-AED5-DABDE25793EB}"/>
    <cellStyle name="Vírgula 2 5 3 3 3" xfId="48613" xr:uid="{1E6F1E6F-A72E-4164-A67C-46C000B8A8D7}"/>
    <cellStyle name="Vírgula 2 5 3 4" xfId="1887" xr:uid="{CAFEF8B1-EB6F-41DE-8CE5-51F27EE3B385}"/>
    <cellStyle name="Vírgula 2 5 3 4 2" xfId="50283" xr:uid="{578BF3A0-6072-4384-9C99-38747492DFDC}"/>
    <cellStyle name="Vírgula 2 5 3 5" xfId="53578" xr:uid="{81B851D8-0721-4E9B-A994-76680FCC54DD}"/>
    <cellStyle name="Vírgula 2 5 3 6" xfId="18370" xr:uid="{B8FC0CCE-7D81-42CD-B2A6-AE720636B5BF}"/>
    <cellStyle name="Vírgula 2 5 3 7" xfId="4953" xr:uid="{85B2BBD2-20F9-4339-8344-773D6B6CCFD2}"/>
    <cellStyle name="Vírgula 2 5 4" xfId="1392" xr:uid="{B695AAE3-618F-48B6-B4A3-E6523143AA55}"/>
    <cellStyle name="Vírgula 2 5 4 2" xfId="3756" xr:uid="{869F0AEA-20E9-4DA0-B4B0-2731BB026EFC}"/>
    <cellStyle name="Vírgula 2 5 4 2 2" xfId="51916" xr:uid="{165E6DFA-CDAC-4FFD-B11E-F9AE463EACD6}"/>
    <cellStyle name="Vírgula 2 5 4 2 3" xfId="55210" xr:uid="{454312DF-C0C3-4892-853F-546DD2073676}"/>
    <cellStyle name="Vírgula 2 5 4 2 4" xfId="39303" xr:uid="{35630D27-A14B-419D-8354-76C405638798}"/>
    <cellStyle name="Vírgula 2 5 4 3" xfId="4179" xr:uid="{43970D36-D59F-4ED4-9ED3-E99185C3672F}"/>
    <cellStyle name="Vírgula 2 5 4 3 2" xfId="57263" xr:uid="{04AF4A52-C48C-47EA-B13F-95A5364E26F9}"/>
    <cellStyle name="Vírgula 2 5 4 3 3" xfId="48614" xr:uid="{EE543581-C992-4F0B-B59F-42E80A853E2D}"/>
    <cellStyle name="Vírgula 2 5 4 4" xfId="3053" xr:uid="{7A67FA12-66AC-483D-B3B0-72FCB27D3E2F}"/>
    <cellStyle name="Vírgula 2 5 4 4 2" xfId="50284" xr:uid="{B20D5FB1-A245-4B08-A8B8-55BF3FA968F9}"/>
    <cellStyle name="Vírgula 2 5 4 5" xfId="53579" xr:uid="{2A06A12E-3AF8-44CB-A7EE-FE3B7F1C8F95}"/>
    <cellStyle name="Vírgula 2 5 4 6" xfId="18963" xr:uid="{7119A344-FC0A-4D5D-908A-568793337039}"/>
    <cellStyle name="Vírgula 2 5 5" xfId="579" xr:uid="{D5A5792B-4160-4C58-ACA8-4A5271E42D9B}"/>
    <cellStyle name="Vírgula 2 5 5 2" xfId="2295" xr:uid="{BBD33FC9-9847-416A-85E8-977897B96234}"/>
    <cellStyle name="Vírgula 2 5 5 2 2" xfId="51917" xr:uid="{E9218B2D-D0D4-4893-B598-AE2B7B52BDE9}"/>
    <cellStyle name="Vírgula 2 5 5 2 3" xfId="55211" xr:uid="{A737BA42-89FC-405D-AC2D-97AB96B2D785}"/>
    <cellStyle name="Vírgula 2 5 5 2 4" xfId="42211" xr:uid="{ADAF204A-19F5-4032-86E1-6E952F873911}"/>
    <cellStyle name="Vírgula 2 5 5 3" xfId="48615" xr:uid="{A7589F28-04FC-4C16-A058-FE0EDC0E7020}"/>
    <cellStyle name="Vírgula 2 5 5 3 2" xfId="56450" xr:uid="{207098EC-3EB6-44D4-BD7A-6C6E48EEA6FE}"/>
    <cellStyle name="Vírgula 2 5 5 4" xfId="50285" xr:uid="{A1B241FC-8D05-4A32-A09F-7CB958848776}"/>
    <cellStyle name="Vírgula 2 5 5 5" xfId="53580" xr:uid="{FD353D73-042F-4541-BCA0-CF23A01EFD93}"/>
    <cellStyle name="Vírgula 2 5 5 6" xfId="21872" xr:uid="{A249FF75-7D69-4FE4-B12A-74A185E74CA8}"/>
    <cellStyle name="Vírgula 2 5 6" xfId="3428" xr:uid="{3D6CFDC7-F10D-42B9-A062-2D0BBCE71890}"/>
    <cellStyle name="Vírgula 2 5 6 2" xfId="45462" xr:uid="{D64B9B57-25EF-4D46-B225-C71315F96403}"/>
    <cellStyle name="Vírgula 2 5 6 3" xfId="51910" xr:uid="{FFC2E0C9-F317-439B-8762-D5E5953CC80A}"/>
    <cellStyle name="Vírgula 2 5 6 4" xfId="55204" xr:uid="{A731E582-9C7A-413B-8E13-E4CF938A556C}"/>
    <cellStyle name="Vírgula 2 5 6 5" xfId="25127" xr:uid="{3FDC0E7A-E430-4768-9674-61281B6275A6}"/>
    <cellStyle name="Vírgula 2 5 7" xfId="3836" xr:uid="{DC2C671C-BA87-458E-A51D-87A4F9B76C0C}"/>
    <cellStyle name="Vírgula 2 5 7 2" xfId="32863" xr:uid="{A7122E43-3868-4693-9E46-125475F56B7E}"/>
    <cellStyle name="Vírgula 2 5 7 3" xfId="56041" xr:uid="{8F199A56-C594-46BE-931F-6119AD88DAF6}"/>
    <cellStyle name="Vírgula 2 5 7 4" xfId="12522" xr:uid="{6434FC06-5714-4E9C-8938-C1E139EE9E99}"/>
    <cellStyle name="Vírgula 2 5 8" xfId="1777" xr:uid="{2B7F5CD0-51B5-4CE7-8940-B0EA245911DC}"/>
    <cellStyle name="Vírgula 2 5 8 2" xfId="31926" xr:uid="{39B0161E-7040-49C0-A973-21C3B9E454DA}"/>
    <cellStyle name="Vírgula 2 5 8 3" xfId="11583" xr:uid="{4E02ACA0-94B7-4AFA-9789-8128425D7DAE}"/>
    <cellStyle name="Vírgula 2 5 9" xfId="28432" xr:uid="{29E0658E-F92E-4580-AA28-4C47D9E4972D}"/>
    <cellStyle name="Vírgula 2 6" xfId="196" xr:uid="{C177F1A8-4089-4DB5-AA44-FBF798732532}"/>
    <cellStyle name="Vírgula 2 6 10" xfId="4477" xr:uid="{3DE434DE-8E2D-4E22-A61E-05D60E840636}"/>
    <cellStyle name="Vírgula 2 6 2" xfId="385" xr:uid="{1BDBB9F2-E180-4815-99A2-DB72C2C21176}"/>
    <cellStyle name="Vírgula 2 6 2 2" xfId="1201" xr:uid="{069ACF2F-E69E-4829-B2A4-4B4B677B0AD1}"/>
    <cellStyle name="Vírgula 2 6 2 2 2" xfId="2862" xr:uid="{CA70F2BB-2909-4D5E-B7F0-845ED3CA210A}"/>
    <cellStyle name="Vírgula 2 6 2 2 2 2" xfId="55214" xr:uid="{A7A55156-B29D-43B8-A40B-65CC571DF164}"/>
    <cellStyle name="Vírgula 2 6 2 2 2 3" xfId="51920" xr:uid="{D0AE780C-9751-4940-BF63-933400C58714}"/>
    <cellStyle name="Vírgula 2 6 2 2 3" xfId="50288" xr:uid="{26E8FA89-810F-44FB-A19B-05A99DA5DCA4}"/>
    <cellStyle name="Vírgula 2 6 2 2 3 2" xfId="57072" xr:uid="{92492E60-8C44-4229-9087-98A083B8A3F8}"/>
    <cellStyle name="Vírgula 2 6 2 2 4" xfId="53583" xr:uid="{109C91B9-95D6-4094-91DC-E4C7CA1E8465}"/>
    <cellStyle name="Vírgula 2 6 2 2 5" xfId="48618" xr:uid="{657D08AE-13E0-4172-B012-0E9CA2123789}"/>
    <cellStyle name="Vírgula 2 6 2 3" xfId="1607" xr:uid="{5D10C3A5-B729-4294-AD7A-57CC30B891A9}"/>
    <cellStyle name="Vírgula 2 6 2 3 2" xfId="3267" xr:uid="{79929702-2D6D-4A95-9561-E1B8E1DC81D1}"/>
    <cellStyle name="Vírgula 2 6 2 3 2 2" xfId="55215" xr:uid="{225126CD-9DDE-4A7D-8BA6-C4AFCBC22792}"/>
    <cellStyle name="Vírgula 2 6 2 3 2 3" xfId="51921" xr:uid="{1DFADA78-831F-4E05-A033-F32E1D90F34C}"/>
    <cellStyle name="Vírgula 2 6 2 3 3" xfId="50289" xr:uid="{B5285DFB-E7F1-45BF-8E9F-4EEA2687F783}"/>
    <cellStyle name="Vírgula 2 6 2 3 3 2" xfId="57478" xr:uid="{906869FE-AF71-4049-B127-D37542054393}"/>
    <cellStyle name="Vírgula 2 6 2 3 4" xfId="53584" xr:uid="{675C6C5B-FB46-48B1-B1E7-5D6459CBB8BA}"/>
    <cellStyle name="Vírgula 2 6 2 3 5" xfId="48619" xr:uid="{D5646EF5-7AD4-4523-967C-24E1653169C2}"/>
    <cellStyle name="Vírgula 2 6 2 4" xfId="794" xr:uid="{7106C43D-DFFF-4650-88CB-B0E65A3DDA81}"/>
    <cellStyle name="Vírgula 2 6 2 4 2" xfId="2510" xr:uid="{5DB317C7-88C1-455A-96F3-FC1FDE43C66E}"/>
    <cellStyle name="Vírgula 2 6 2 4 2 2" xfId="55216" xr:uid="{57269388-49AB-4129-AE78-81180D27ACFE}"/>
    <cellStyle name="Vírgula 2 6 2 4 2 3" xfId="51922" xr:uid="{8E76B675-AF57-461E-90E6-3FAE2FEC8D02}"/>
    <cellStyle name="Vírgula 2 6 2 4 3" xfId="50290" xr:uid="{495C73D2-B8E5-418A-8892-BCA3B07038CD}"/>
    <cellStyle name="Vírgula 2 6 2 4 3 2" xfId="56665" xr:uid="{B9FCAD35-22A7-45A9-B738-CC7044BE538A}"/>
    <cellStyle name="Vírgula 2 6 2 4 4" xfId="53585" xr:uid="{0751D65F-8A56-4667-B577-78D2CE9AD0C7}"/>
    <cellStyle name="Vírgula 2 6 2 4 5" xfId="48620" xr:uid="{02D59CB9-3F0D-4B4D-9903-A5C15293C2C8}"/>
    <cellStyle name="Vírgula 2 6 2 5" xfId="4047" xr:uid="{F3B8D061-A2F2-41F8-A169-20B375106CA5}"/>
    <cellStyle name="Vírgula 2 6 2 5 2" xfId="51919" xr:uid="{CE4DF32C-D7E3-46D9-83B1-B801A675A764}"/>
    <cellStyle name="Vírgula 2 6 2 5 3" xfId="55213" xr:uid="{4340C83F-CDCE-4616-98DC-F572F03DBA94}"/>
    <cellStyle name="Vírgula 2 6 2 5 4" xfId="48617" xr:uid="{6C77C152-69CC-4A40-A258-1E700E54E70C}"/>
    <cellStyle name="Vírgula 2 6 2 6" xfId="1943" xr:uid="{A9980733-338F-49AF-BE12-112C163EC2E0}"/>
    <cellStyle name="Vírgula 2 6 2 6 2" xfId="56256" xr:uid="{FB973E02-38A0-46CF-889A-B4D8026AA02E}"/>
    <cellStyle name="Vírgula 2 6 2 6 3" xfId="50287" xr:uid="{C61246BA-C236-4FC6-9B3C-7EF5CEB98638}"/>
    <cellStyle name="Vírgula 2 6 2 7" xfId="53582" xr:uid="{5B7215F0-125B-4149-98B2-8E67C0C0FC60}"/>
    <cellStyle name="Vírgula 2 6 2 8" xfId="32868" xr:uid="{2B302E6E-D9E5-4A53-B618-116FFAACB6EC}"/>
    <cellStyle name="Vírgula 2 6 2 9" xfId="4666" xr:uid="{AC1C2AE1-A637-4818-A996-7D8D41E7FF21}"/>
    <cellStyle name="Vírgula 2 6 3" xfId="1012" xr:uid="{CFD57A67-47AF-4517-9761-F647EDE62CF7}"/>
    <cellStyle name="Vírgula 2 6 3 2" xfId="4219" xr:uid="{F21DC930-167C-4FAB-854B-CED16D9C22FE}"/>
    <cellStyle name="Vírgula 2 6 3 2 2" xfId="55217" xr:uid="{7149DB3C-BC52-4FB0-9D45-C4A02FBAEFE1}"/>
    <cellStyle name="Vírgula 2 6 3 2 3" xfId="51923" xr:uid="{076A7480-318A-4F77-AEBE-23850FF08FE7}"/>
    <cellStyle name="Vírgula 2 6 3 3" xfId="2701" xr:uid="{DAE5DAD6-DB19-4CE5-8A8D-756CA1D986CC}"/>
    <cellStyle name="Vírgula 2 6 3 3 2" xfId="56883" xr:uid="{2ECC97BF-D03E-4F23-AEE6-42D2549B0332}"/>
    <cellStyle name="Vírgula 2 6 3 3 3" xfId="50291" xr:uid="{E92856E3-0421-4339-AFFC-68BD9A99C170}"/>
    <cellStyle name="Vírgula 2 6 3 4" xfId="53586" xr:uid="{57E4E8A7-D099-45A7-A5A7-C49C86728B73}"/>
    <cellStyle name="Vírgula 2 6 3 5" xfId="48621" xr:uid="{AAA6EE13-BE22-4B07-B625-056A4C0DA158}"/>
    <cellStyle name="Vírgula 2 6 4" xfId="1418" xr:uid="{79AD6569-7C07-43EB-B4D1-10B19222C0EF}"/>
    <cellStyle name="Vírgula 2 6 4 2" xfId="3079" xr:uid="{1CDF4204-9E49-48F6-A4AD-F4272E67E0B5}"/>
    <cellStyle name="Vírgula 2 6 4 2 2" xfId="55218" xr:uid="{13EF7A08-2CD5-4A59-AAB5-8A716362C64E}"/>
    <cellStyle name="Vírgula 2 6 4 2 3" xfId="51924" xr:uid="{CE7FC6A3-C651-45C7-86DA-BA287944F64A}"/>
    <cellStyle name="Vírgula 2 6 4 3" xfId="50292" xr:uid="{A05D09F1-1398-48D0-AE77-EFFE6D4C1C0A}"/>
    <cellStyle name="Vírgula 2 6 4 3 2" xfId="57289" xr:uid="{7A0FDD30-92CA-4D49-8895-01BAE140FA08}"/>
    <cellStyle name="Vírgula 2 6 4 4" xfId="53587" xr:uid="{C5B1AFF6-DFEB-4527-878E-56CB9814A677}"/>
    <cellStyle name="Vírgula 2 6 4 5" xfId="48622" xr:uid="{89B8EA61-42B7-4929-8CD5-8402377F6409}"/>
    <cellStyle name="Vírgula 2 6 5" xfId="605" xr:uid="{0CC74521-CBEE-4D27-ADCA-3AC4A078ACDA}"/>
    <cellStyle name="Vírgula 2 6 5 2" xfId="2321" xr:uid="{16A01484-9BE0-47F8-926B-A1FBA175840C}"/>
    <cellStyle name="Vírgula 2 6 5 2 2" xfId="55219" xr:uid="{ADB61AB3-660E-4E94-972D-9439926DD5B5}"/>
    <cellStyle name="Vírgula 2 6 5 2 3" xfId="51925" xr:uid="{19E7F3AB-D477-40C8-9AF5-038F1D87E480}"/>
    <cellStyle name="Vírgula 2 6 5 3" xfId="50293" xr:uid="{1C11698E-0413-4AE2-9A0A-7B626379C2B9}"/>
    <cellStyle name="Vírgula 2 6 5 3 2" xfId="56476" xr:uid="{73F87B6C-5487-45A5-9786-6E2293BE94A5}"/>
    <cellStyle name="Vírgula 2 6 5 4" xfId="53588" xr:uid="{CB04F5BA-C373-451F-BA9B-782E677DE9DB}"/>
    <cellStyle name="Vírgula 2 6 5 5" xfId="48623" xr:uid="{B6BA012E-7536-47ED-9DA5-B7E5B498C093}"/>
    <cellStyle name="Vírgula 2 6 6" xfId="3594" xr:uid="{03D84059-7560-481C-8805-98D4DC237BA7}"/>
    <cellStyle name="Vírgula 2 6 6 2" xfId="51918" xr:uid="{3F24E381-D80B-4FE5-A8DE-369A9F0FDA13}"/>
    <cellStyle name="Vírgula 2 6 6 3" xfId="55212" xr:uid="{7ACC1629-5989-4F54-9277-676852258043}"/>
    <cellStyle name="Vírgula 2 6 6 4" xfId="48616" xr:uid="{1F8F69A6-8A87-4D9D-9C00-70D6636248BC}"/>
    <cellStyle name="Vírgula 2 6 7" xfId="3876" xr:uid="{1F542335-2A6C-46FF-B9FC-68DF7B6A778A}"/>
    <cellStyle name="Vírgula 2 6 7 2" xfId="56067" xr:uid="{91DF3263-1F75-4AC0-98C5-74521CF420C0}"/>
    <cellStyle name="Vírgula 2 6 7 3" xfId="50286" xr:uid="{784BAF53-7894-470D-8F96-E8D608B98B18}"/>
    <cellStyle name="Vírgula 2 6 8" xfId="1723" xr:uid="{57BE076D-E861-4959-B373-5E9D6020803A}"/>
    <cellStyle name="Vírgula 2 6 8 2" xfId="53581" xr:uid="{93098F29-4F79-4BE1-9A86-D9F211E5D0BC}"/>
    <cellStyle name="Vírgula 2 6 9" xfId="12527" xr:uid="{34F884D2-CF25-475D-BA95-7D8908A5D4E0}"/>
    <cellStyle name="Vírgula 2 7" xfId="248" xr:uid="{5A7B87B9-71EF-4307-81A2-0B12614DE443}"/>
    <cellStyle name="Vírgula 2 7 10" xfId="4529" xr:uid="{E0C471B7-0F27-4EAE-B613-C4F1CD450361}"/>
    <cellStyle name="Vírgula 2 7 2" xfId="437" xr:uid="{58517390-7BE9-430B-AC0B-7C7113DD310F}"/>
    <cellStyle name="Vírgula 2 7 2 2" xfId="1253" xr:uid="{42523A63-D5A1-404C-8A0E-C4868B425F87}"/>
    <cellStyle name="Vírgula 2 7 2 2 2" xfId="2914" xr:uid="{2D77EAE5-824C-430B-A1CA-A2F19C5BBF85}"/>
    <cellStyle name="Vírgula 2 7 2 2 2 2" xfId="55222" xr:uid="{8C2FE695-8FAB-4DAB-8943-C7ECE4BBBD49}"/>
    <cellStyle name="Vírgula 2 7 2 2 2 3" xfId="51928" xr:uid="{E75FFBC8-5B48-4AD6-A6D9-C8487F387884}"/>
    <cellStyle name="Vírgula 2 7 2 2 3" xfId="50296" xr:uid="{5C19C4EE-4A25-494E-BF95-B74E80A88A08}"/>
    <cellStyle name="Vírgula 2 7 2 2 3 2" xfId="57124" xr:uid="{475141AC-979A-48B2-9CA6-412D39F7949F}"/>
    <cellStyle name="Vírgula 2 7 2 2 4" xfId="53591" xr:uid="{119DED86-D132-4980-8709-7638EB619BC4}"/>
    <cellStyle name="Vírgula 2 7 2 2 5" xfId="48626" xr:uid="{E33CFD56-3FBF-4D5D-8C1A-314B37A3B088}"/>
    <cellStyle name="Vírgula 2 7 2 3" xfId="1659" xr:uid="{1129DC7A-A7FA-43B8-B6A5-4D0F57845169}"/>
    <cellStyle name="Vírgula 2 7 2 3 2" xfId="3319" xr:uid="{A7A986B4-6637-4395-BBF8-1083D017F62F}"/>
    <cellStyle name="Vírgula 2 7 2 3 2 2" xfId="55223" xr:uid="{25265921-AE99-441E-A6AA-D66364432D0D}"/>
    <cellStyle name="Vírgula 2 7 2 3 2 3" xfId="51929" xr:uid="{265B666C-6B6E-47F7-948D-247D59E3583C}"/>
    <cellStyle name="Vírgula 2 7 2 3 3" xfId="50297" xr:uid="{9FCB98AC-B19C-4969-B2F7-36B0248C24DB}"/>
    <cellStyle name="Vírgula 2 7 2 3 3 2" xfId="57530" xr:uid="{2BFABA25-1F9D-4B22-A9BE-7F7F01B14A8B}"/>
    <cellStyle name="Vírgula 2 7 2 3 4" xfId="53592" xr:uid="{323909FA-7687-404B-802F-175D135EEA04}"/>
    <cellStyle name="Vírgula 2 7 2 3 5" xfId="48627" xr:uid="{983C5CD5-1448-4356-B2BC-22C86A517F23}"/>
    <cellStyle name="Vírgula 2 7 2 4" xfId="846" xr:uid="{3513DD94-CAB7-47BB-A099-A0E78BC6BFA4}"/>
    <cellStyle name="Vírgula 2 7 2 4 2" xfId="2562" xr:uid="{866834C2-A12E-4880-A1BE-00EC83E80986}"/>
    <cellStyle name="Vírgula 2 7 2 4 2 2" xfId="55224" xr:uid="{866616A1-5BC9-4DF9-AE6E-0D3BB9B130A4}"/>
    <cellStyle name="Vírgula 2 7 2 4 2 3" xfId="51930" xr:uid="{890B623F-A088-4CF0-B870-D98D57F66B20}"/>
    <cellStyle name="Vírgula 2 7 2 4 3" xfId="50298" xr:uid="{41E606C6-D602-49DE-A20B-F21EE3C9946D}"/>
    <cellStyle name="Vírgula 2 7 2 4 3 2" xfId="56717" xr:uid="{A1C8A2EC-24AA-4A65-93F0-1A094602EFC4}"/>
    <cellStyle name="Vírgula 2 7 2 4 4" xfId="53593" xr:uid="{D4D756AF-70FF-4F1E-A9D3-BCF2B2814E63}"/>
    <cellStyle name="Vírgula 2 7 2 4 5" xfId="48628" xr:uid="{D03D3C41-54D9-48FB-9372-968E69749EC3}"/>
    <cellStyle name="Vírgula 2 7 2 5" xfId="4099" xr:uid="{37DE103C-577C-45A4-B82D-75B18AE0A6BF}"/>
    <cellStyle name="Vírgula 2 7 2 5 2" xfId="55221" xr:uid="{6C5B8BFD-BD79-4FF0-81A7-666A8A5A680B}"/>
    <cellStyle name="Vírgula 2 7 2 5 3" xfId="51927" xr:uid="{0141ED2E-942B-4209-91E0-2D2A31A0459D}"/>
    <cellStyle name="Vírgula 2 7 2 6" xfId="2155" xr:uid="{1A7761D1-0498-49A1-BD5E-4D924DEA6391}"/>
    <cellStyle name="Vírgula 2 7 2 6 2" xfId="56308" xr:uid="{79367528-2F5F-45E0-9DD0-6704A5531499}"/>
    <cellStyle name="Vírgula 2 7 2 6 3" xfId="50295" xr:uid="{B9A06B56-BC30-455F-9A1C-C9404645432A}"/>
    <cellStyle name="Vírgula 2 7 2 7" xfId="53590" xr:uid="{DE1AB4A2-C2DF-4FF0-8C8D-1FDFCEDD9089}"/>
    <cellStyle name="Vírgula 2 7 2 8" xfId="48625" xr:uid="{2A76C34E-CDBC-4D57-8C71-82D1BB8DB9BC}"/>
    <cellStyle name="Vírgula 2 7 2 9" xfId="4718" xr:uid="{AFFA05F8-05AF-4AC6-9170-EFA26AEA32D2}"/>
    <cellStyle name="Vírgula 2 7 3" xfId="1064" xr:uid="{733A2C63-79E6-4FDC-803A-314E20903229}"/>
    <cellStyle name="Vírgula 2 7 3 2" xfId="4271" xr:uid="{4FE73075-1D27-4A09-83D2-2E8580B38CB6}"/>
    <cellStyle name="Vírgula 2 7 3 2 2" xfId="55225" xr:uid="{59E36FEB-B033-4B0D-BA02-07332249D489}"/>
    <cellStyle name="Vírgula 2 7 3 2 3" xfId="51931" xr:uid="{6BFFBEC3-51E8-4359-8CF9-2DC1B7168E2B}"/>
    <cellStyle name="Vírgula 2 7 3 3" xfId="2728" xr:uid="{7375B012-3A10-4645-A917-E56FCF5FC37C}"/>
    <cellStyle name="Vírgula 2 7 3 3 2" xfId="56935" xr:uid="{0B1B91FF-10FA-4014-9486-3E79DD49960A}"/>
    <cellStyle name="Vírgula 2 7 3 3 3" xfId="50299" xr:uid="{F5461DEB-01DB-4BDC-9E83-8302AEFA4E6F}"/>
    <cellStyle name="Vírgula 2 7 3 4" xfId="53594" xr:uid="{A9B110F4-BD11-4483-B468-517CF8A3AAAC}"/>
    <cellStyle name="Vírgula 2 7 3 5" xfId="48629" xr:uid="{A786E672-5760-4567-8B01-3F2E40939A88}"/>
    <cellStyle name="Vírgula 2 7 4" xfId="1470" xr:uid="{A14576BD-11B5-46BB-BD04-763131D76DEE}"/>
    <cellStyle name="Vírgula 2 7 4 2" xfId="3131" xr:uid="{2E149667-AAD6-4CE9-A886-7F64152A5F11}"/>
    <cellStyle name="Vírgula 2 7 4 2 2" xfId="55226" xr:uid="{01FCF65E-77E7-4CF8-AA26-70CE25F633F1}"/>
    <cellStyle name="Vírgula 2 7 4 2 3" xfId="51932" xr:uid="{44356147-3441-424D-B653-8E2197749643}"/>
    <cellStyle name="Vírgula 2 7 4 3" xfId="50300" xr:uid="{87EBE8B1-DB66-4F2A-8F46-67B542942213}"/>
    <cellStyle name="Vírgula 2 7 4 3 2" xfId="57341" xr:uid="{1E166835-03D9-4727-9780-9D0BB2C1FF8C}"/>
    <cellStyle name="Vírgula 2 7 4 4" xfId="53595" xr:uid="{89933A39-6B23-4526-BC3D-FAEADE11AFE7}"/>
    <cellStyle name="Vírgula 2 7 4 5" xfId="48630" xr:uid="{3B4EF8CE-62E9-4E6D-8E57-ACB91FC3505C}"/>
    <cellStyle name="Vírgula 2 7 5" xfId="657" xr:uid="{1D030464-A464-4E43-810B-39175D0D3826}"/>
    <cellStyle name="Vírgula 2 7 5 2" xfId="2373" xr:uid="{778EA188-B03A-46AB-918D-9FF524C113EA}"/>
    <cellStyle name="Vírgula 2 7 5 2 2" xfId="55227" xr:uid="{E0B0C632-673C-4FDA-A1BB-316FEE68DF5F}"/>
    <cellStyle name="Vírgula 2 7 5 2 3" xfId="51933" xr:uid="{0422C84A-60E4-4339-86A9-DF4CAA0E422F}"/>
    <cellStyle name="Vírgula 2 7 5 3" xfId="50301" xr:uid="{E44F78D8-369C-4BA4-9294-1CCD51844FB4}"/>
    <cellStyle name="Vírgula 2 7 5 3 2" xfId="56528" xr:uid="{9D05BBB3-7A90-4FB2-B556-E1532802C700}"/>
    <cellStyle name="Vírgula 2 7 5 4" xfId="53596" xr:uid="{4DE710C4-3844-4571-8A41-B18960679F82}"/>
    <cellStyle name="Vírgula 2 7 5 5" xfId="48631" xr:uid="{BBA026DB-0630-4089-9ED8-D492CAD991D7}"/>
    <cellStyle name="Vírgula 2 7 6" xfId="3484" xr:uid="{08873151-4AF7-4347-BED3-DA9E13DB13A9}"/>
    <cellStyle name="Vírgula 2 7 6 2" xfId="51926" xr:uid="{C3AC20F0-9C0E-478F-A0F5-CB64C9758C7B}"/>
    <cellStyle name="Vírgula 2 7 6 3" xfId="55220" xr:uid="{E664CA1B-22C2-4091-98E5-9ED163B69D0A}"/>
    <cellStyle name="Vírgula 2 7 6 4" xfId="48624" xr:uid="{9495FFB9-C1D1-4854-AA4A-007CAF009B2C}"/>
    <cellStyle name="Vírgula 2 7 7" xfId="3927" xr:uid="{76CD5BE6-A266-4003-BC35-9589012655B9}"/>
    <cellStyle name="Vírgula 2 7 7 2" xfId="56119" xr:uid="{D0572584-FCCB-4C41-91F9-771889B6659C}"/>
    <cellStyle name="Vírgula 2 7 7 3" xfId="50294" xr:uid="{5EBC3FB7-7D11-4CC2-A74E-067C89D7C37E}"/>
    <cellStyle name="Vírgula 2 7 8" xfId="1833" xr:uid="{2517A027-ED45-4BEC-9C78-AC3276880D2E}"/>
    <cellStyle name="Vírgula 2 7 8 2" xfId="53589" xr:uid="{E00295E3-CB47-4982-A54F-0FAD245DAC59}"/>
    <cellStyle name="Vírgula 2 7 9" xfId="25473" xr:uid="{F1F87B47-7957-43AC-B719-239A29EE5E50}"/>
    <cellStyle name="Vírgula 2 8" xfId="303" xr:uid="{B039B2B6-AE95-4929-BE56-D8EBFC62F873}"/>
    <cellStyle name="Vírgula 2 8 2" xfId="1119" xr:uid="{072635F7-458C-4A54-A440-B384B2B4C212}"/>
    <cellStyle name="Vírgula 2 8 2 2" xfId="2781" xr:uid="{FFCD1D65-BB00-40BC-BE88-E7D0E378F130}"/>
    <cellStyle name="Vírgula 2 8 2 2 2" xfId="55229" xr:uid="{03E5DF3F-EBBE-4D0E-96EE-3D3B0FBFE14C}"/>
    <cellStyle name="Vírgula 2 8 2 2 3" xfId="51935" xr:uid="{F23AEFC9-8594-4892-9AA4-1011C6DD9023}"/>
    <cellStyle name="Vírgula 2 8 2 3" xfId="50303" xr:uid="{E5C64882-DA6D-4DF7-968D-041325EB6F10}"/>
    <cellStyle name="Vírgula 2 8 2 3 2" xfId="56990" xr:uid="{84B12554-D277-46DE-9762-15442BB37942}"/>
    <cellStyle name="Vírgula 2 8 2 4" xfId="53598" xr:uid="{46D5D947-8CE6-491A-A759-136C126E5C1E}"/>
    <cellStyle name="Vírgula 2 8 2 5" xfId="48633" xr:uid="{DD821CF2-48CF-4714-9251-9287753919DF}"/>
    <cellStyle name="Vírgula 2 8 3" xfId="1525" xr:uid="{685FA3E1-A8D9-47DA-8716-DF78100AC7E1}"/>
    <cellStyle name="Vírgula 2 8 3 2" xfId="3186" xr:uid="{91AC90D3-341B-4B2D-A235-5620AE9A6E43}"/>
    <cellStyle name="Vírgula 2 8 3 2 2" xfId="55230" xr:uid="{ECA1EAE9-E037-44EA-82FF-3EE206B9B706}"/>
    <cellStyle name="Vírgula 2 8 3 2 3" xfId="51936" xr:uid="{D52D5F29-9AC4-487E-BD60-9B107B4980FE}"/>
    <cellStyle name="Vírgula 2 8 3 3" xfId="50304" xr:uid="{75364F36-7814-4855-A84D-CEADB2819D00}"/>
    <cellStyle name="Vírgula 2 8 3 3 2" xfId="57396" xr:uid="{B8E0B476-041F-451F-8B4E-064FE81E17E8}"/>
    <cellStyle name="Vírgula 2 8 3 4" xfId="53599" xr:uid="{351CEA76-BFC3-4DAA-AEF2-949338C3227A}"/>
    <cellStyle name="Vírgula 2 8 3 5" xfId="48634" xr:uid="{720C9A69-0072-4A80-B671-99B7B3FB1AD4}"/>
    <cellStyle name="Vírgula 2 8 4" xfId="712" xr:uid="{CE710408-1E9B-4B83-BB66-2DD9F73E9BF3}"/>
    <cellStyle name="Vírgula 2 8 4 2" xfId="2428" xr:uid="{D7CD593F-3BC9-4775-B550-D994EF17A94F}"/>
    <cellStyle name="Vírgula 2 8 4 2 2" xfId="55231" xr:uid="{50E6E3C3-0476-4509-AD47-0E5F773DA7D7}"/>
    <cellStyle name="Vírgula 2 8 4 2 3" xfId="51937" xr:uid="{E9A5C428-052D-4C8F-9B5C-07852F2260E6}"/>
    <cellStyle name="Vírgula 2 8 4 3" xfId="50305" xr:uid="{54330D3F-7097-4D79-A5CB-ED6BE47F05C5}"/>
    <cellStyle name="Vírgula 2 8 4 3 2" xfId="56583" xr:uid="{155306CD-B0E8-41FA-B2A7-FF0F8368BC07}"/>
    <cellStyle name="Vírgula 2 8 4 4" xfId="53600" xr:uid="{B5DEA36D-BC9F-48ED-89DF-BBEA9C193501}"/>
    <cellStyle name="Vírgula 2 8 4 5" xfId="48635" xr:uid="{E3937FF7-5C98-4C04-8937-E3D8C19D20D2}"/>
    <cellStyle name="Vírgula 2 8 5" xfId="3703" xr:uid="{E2D363DA-A031-48E1-AB22-4AD32600F202}"/>
    <cellStyle name="Vírgula 2 8 5 2" xfId="51934" xr:uid="{EB3607F3-738C-44DE-BC44-E0E9A8BDF27A}"/>
    <cellStyle name="Vírgula 2 8 5 3" xfId="55228" xr:uid="{66BBFFEC-D8D2-4C8D-BC2D-BE3784AD4CC5}"/>
    <cellStyle name="Vírgula 2 8 5 4" xfId="48632" xr:uid="{573E1137-E82F-4E48-B70C-9230E53C1BAC}"/>
    <cellStyle name="Vírgula 2 8 6" xfId="3985" xr:uid="{C3FF623F-2D05-4049-AE58-342413CFE7BC}"/>
    <cellStyle name="Vírgula 2 8 6 2" xfId="56174" xr:uid="{80EEB34C-8C16-4FD7-AB05-C15551DB4D78}"/>
    <cellStyle name="Vírgula 2 8 6 3" xfId="50302" xr:uid="{0398397D-2A53-45BB-AED9-22059CFB4FDA}"/>
    <cellStyle name="Vírgula 2 8 7" xfId="2104" xr:uid="{FB1E100B-2F4D-448D-B9D7-68B4E6F7E75D}"/>
    <cellStyle name="Vírgula 2 8 7 2" xfId="53597" xr:uid="{84ED276E-2645-4126-991E-40FC8DDED430}"/>
    <cellStyle name="Vírgula 2 8 8" xfId="46784" xr:uid="{F0CE9DA3-2DB0-4993-B2AC-51E0DD47C522}"/>
    <cellStyle name="Vírgula 2 8 9" xfId="4584" xr:uid="{93514F4D-75D8-4AD4-8F3C-967D21880443}"/>
    <cellStyle name="Vírgula 2 9" xfId="112" xr:uid="{1F4291C7-4D3E-4CF1-B80A-7373DD42A70C}"/>
    <cellStyle name="Vírgula 2 9 2" xfId="930" xr:uid="{017C4B21-F777-4620-A34D-E110CAECD674}"/>
    <cellStyle name="Vírgula 2 9 2 2" xfId="2645" xr:uid="{A647A0BB-C100-4226-B1BB-742DBFDA962E}"/>
    <cellStyle name="Vírgula 2 9 2 2 2" xfId="55233" xr:uid="{94A16F48-9A1D-4903-A807-FDD4611F210F}"/>
    <cellStyle name="Vírgula 2 9 2 2 3" xfId="51939" xr:uid="{FDCFFB98-8F66-4CA6-A0A2-8394C8DE4658}"/>
    <cellStyle name="Vírgula 2 9 2 3" xfId="50307" xr:uid="{03509136-D17B-4C31-BBB5-2889DEB45953}"/>
    <cellStyle name="Vírgula 2 9 2 3 2" xfId="56801" xr:uid="{714E0AFB-BE97-4A0E-9445-8AECA08475FC}"/>
    <cellStyle name="Vírgula 2 9 2 4" xfId="53602" xr:uid="{A56D5EF6-364B-44FE-BCFB-ABDC19A00241}"/>
    <cellStyle name="Vírgula 2 9 2 5" xfId="48637" xr:uid="{4716C87D-2119-43CC-90AB-3BE01D921561}"/>
    <cellStyle name="Vírgula 2 9 3" xfId="1336" xr:uid="{73F9A83C-6B67-4943-B4F8-15D503E401D4}"/>
    <cellStyle name="Vírgula 2 9 3 2" xfId="2997" xr:uid="{F2E547D4-B24C-4774-8459-35344CCD0780}"/>
    <cellStyle name="Vírgula 2 9 3 2 2" xfId="55234" xr:uid="{9D2F91F7-7D91-446B-B453-FA77A95E223D}"/>
    <cellStyle name="Vírgula 2 9 3 2 3" xfId="51940" xr:uid="{D6B620F8-3A1E-4191-A4EF-7376F6DFE2F8}"/>
    <cellStyle name="Vírgula 2 9 3 3" xfId="50308" xr:uid="{E6C60492-9898-4D91-B790-E82A8DB0CD93}"/>
    <cellStyle name="Vírgula 2 9 3 3 2" xfId="57207" xr:uid="{3FD29D0F-C6D4-42C3-B561-E21C06999F53}"/>
    <cellStyle name="Vírgula 2 9 3 4" xfId="53603" xr:uid="{022ED225-A426-4C16-9BB2-FAB8F793A0DA}"/>
    <cellStyle name="Vírgula 2 9 3 5" xfId="48638" xr:uid="{7AFC33B9-6D4D-4101-A699-676CCE3B91CC}"/>
    <cellStyle name="Vírgula 2 9 4" xfId="523" xr:uid="{FA976C84-DA8B-4751-85CF-BCAE873CF4FE}"/>
    <cellStyle name="Vírgula 2 9 4 2" xfId="2239" xr:uid="{AFC7A596-CB36-4E7B-8451-6052D366B6AC}"/>
    <cellStyle name="Vírgula 2 9 4 2 2" xfId="55235" xr:uid="{5856309E-B2EC-4A94-B24B-D9698E228912}"/>
    <cellStyle name="Vírgula 2 9 4 2 3" xfId="51941" xr:uid="{098DA966-420F-474C-B059-644D236F8B1B}"/>
    <cellStyle name="Vírgula 2 9 4 3" xfId="50309" xr:uid="{1A515EC6-7732-43D1-9CD3-06C6EB608815}"/>
    <cellStyle name="Vírgula 2 9 4 3 2" xfId="56394" xr:uid="{7AF2D81B-B62F-4888-8CE9-38E3CF8DC5F8}"/>
    <cellStyle name="Vírgula 2 9 4 4" xfId="53604" xr:uid="{89E344AB-F836-4421-AC45-DAD2D90F910F}"/>
    <cellStyle name="Vírgula 2 9 4 5" xfId="48639" xr:uid="{DF24AF90-059C-4441-B51C-A51048DB6D65}"/>
    <cellStyle name="Vírgula 2 9 5" xfId="4157" xr:uid="{A9E345A5-B142-420B-BB8B-AD4EAE9CD99B}"/>
    <cellStyle name="Vírgula 2 9 5 2" xfId="51938" xr:uid="{BDAB742B-C188-4132-95F5-4FB2FE3C6CA6}"/>
    <cellStyle name="Vírgula 2 9 5 3" xfId="55232" xr:uid="{88D1770C-FD31-424C-B545-939CF9919D8E}"/>
    <cellStyle name="Vírgula 2 9 5 4" xfId="48636" xr:uid="{BD0122C5-AEC5-4682-B85F-896535E0F625}"/>
    <cellStyle name="Vírgula 2 9 6" xfId="2074" xr:uid="{BB9425C4-633D-4728-B097-56FC108043A3}"/>
    <cellStyle name="Vírgula 2 9 6 2" xfId="55985" xr:uid="{F022F2A2-D450-45E9-8D65-105ACE6B81A0}"/>
    <cellStyle name="Vírgula 2 9 6 3" xfId="50306" xr:uid="{9166EE5B-F071-41C9-9B00-2EA9F5C7275B}"/>
    <cellStyle name="Vírgula 2 9 7" xfId="53601" xr:uid="{EB1BBBDB-977E-4D9E-B55E-9C87E7AD97A1}"/>
    <cellStyle name="Vírgula 2 9 8" xfId="47293" xr:uid="{965F7943-9F02-4855-9896-78A0757CDE44}"/>
    <cellStyle name="Vírgula 2 9 9" xfId="4395" xr:uid="{5D061157-161A-4337-A162-1B1F8DA60AC1}"/>
    <cellStyle name="Vírgula 20" xfId="3374" xr:uid="{C6020ECD-D6A2-4B23-B9AD-5A845554EDF9}"/>
    <cellStyle name="Vírgula 20 10" xfId="12401" xr:uid="{B5AC0172-09B6-4FF6-82C5-033FBE93CB21}"/>
    <cellStyle name="Vírgula 20 10 2" xfId="32742" xr:uid="{6AD0C2AA-F49A-4C33-8689-4B10E743F65B}"/>
    <cellStyle name="Vírgula 20 11" xfId="9140" xr:uid="{39918DE3-412A-4AF5-BD16-BCF61F16EC14}"/>
    <cellStyle name="Vírgula 20 11 2" xfId="29483" xr:uid="{8E8B251F-9889-4157-A3CF-0EA53AE3B41B}"/>
    <cellStyle name="Vírgula 20 12" xfId="25989" xr:uid="{23BE2530-EA97-4691-B7F7-E866C16078FA}"/>
    <cellStyle name="Vírgula 20 13" xfId="51653" xr:uid="{D0E29F14-856B-43A3-8755-8506F38AA4F8}"/>
    <cellStyle name="Vírgula 20 14" xfId="54947" xr:uid="{62BD7E73-34DC-42EA-BACE-E8E38DB4B886}"/>
    <cellStyle name="Vírgula 20 15" xfId="5650" xr:uid="{587B2BEC-FB61-4A4E-9D50-2ADD4104ABDC}"/>
    <cellStyle name="Vírgula 20 2" xfId="4095" xr:uid="{37E6BF97-0B2E-47FF-BCB1-E65BEB457165}"/>
    <cellStyle name="Vírgula 20 2 2" xfId="7380" xr:uid="{147A9DF0-81CD-4BE1-B0B9-5FFE70A57C0B}"/>
    <cellStyle name="Vírgula 20 2 2 2" xfId="17666" xr:uid="{AA774F6B-D1D6-451D-AFA6-4A015C607DEA}"/>
    <cellStyle name="Vírgula 20 2 2 2 2" xfId="38006" xr:uid="{11B5568F-0361-4299-8A59-A707F09B276F}"/>
    <cellStyle name="Vírgula 20 2 2 3" xfId="21168" xr:uid="{332A4946-4FDC-4183-A6D3-D87143BD2EC2}"/>
    <cellStyle name="Vírgula 20 2 2 3 2" xfId="41507" xr:uid="{AA4F7008-0F20-4E59-AE1F-4B7BE3D1DA64}"/>
    <cellStyle name="Vírgula 20 2 2 4" xfId="24423" xr:uid="{89741D46-2C3E-4F88-9603-F994DA7CAB10}"/>
    <cellStyle name="Vírgula 20 2 2 4 2" xfId="44758" xr:uid="{58F541ED-D6C7-401C-B689-03DC2E9A5ECF}"/>
    <cellStyle name="Vírgula 20 2 2 5" xfId="14757" xr:uid="{9D356D7C-E5AC-4277-AC9B-526FD3E8D2D8}"/>
    <cellStyle name="Vírgula 20 2 2 5 2" xfId="35098" xr:uid="{65847A3B-7176-4EC7-B5E1-D6B370451BE9}"/>
    <cellStyle name="Vírgula 20 2 2 6" xfId="10879" xr:uid="{E2F6B7A0-3CB7-4D5F-976E-D7CA91F88A8A}"/>
    <cellStyle name="Vírgula 20 2 2 6 2" xfId="31222" xr:uid="{0602D8B6-7AA0-4129-9C96-116E8883A5E4}"/>
    <cellStyle name="Vírgula 20 2 2 7" xfId="27728" xr:uid="{B1D3E8EC-6A31-41AB-933F-60DF46C989E1}"/>
    <cellStyle name="Vírgula 20 2 3" xfId="16508" xr:uid="{F3CB4D64-7EF0-40E4-B005-4A6CD5F65EDF}"/>
    <cellStyle name="Vírgula 20 2 3 2" xfId="36848" xr:uid="{3AB5717A-E862-4391-BAA0-23ABA9B845DF}"/>
    <cellStyle name="Vírgula 20 2 4" xfId="20010" xr:uid="{29522267-5F0B-4078-9150-CDF134FA91F7}"/>
    <cellStyle name="Vírgula 20 2 4 2" xfId="40349" xr:uid="{15047A39-0970-4B9C-B8DB-9E58AE9F3E1B}"/>
    <cellStyle name="Vírgula 20 2 5" xfId="23265" xr:uid="{B2F5CA22-6BEB-4128-9141-38E5176921F7}"/>
    <cellStyle name="Vírgula 20 2 5 2" xfId="43600" xr:uid="{8F38E7D9-D2FD-4619-9660-2836B0436117}"/>
    <cellStyle name="Vírgula 20 2 6" xfId="13599" xr:uid="{21BD77D6-6F02-44E1-88BA-4DC3508F8C30}"/>
    <cellStyle name="Vírgula 20 2 6 2" xfId="33940" xr:uid="{0B921F73-0521-4944-944F-BFE71D742CB3}"/>
    <cellStyle name="Vírgula 20 2 7" xfId="9721" xr:uid="{88F73B4D-2565-4BA1-A197-FDF9F24917B2}"/>
    <cellStyle name="Vírgula 20 2 7 2" xfId="30064" xr:uid="{CE8D6D97-8B4B-4C52-B3B7-BCE3969D1822}"/>
    <cellStyle name="Vírgula 20 2 8" xfId="26570" xr:uid="{652C692F-2D06-4910-8C95-51A7652FB08E}"/>
    <cellStyle name="Vírgula 20 2 9" xfId="6222" xr:uid="{BE64712A-D6F6-46E4-AD2F-29FD4EA9628C}"/>
    <cellStyle name="Vírgula 20 3" xfId="4267" xr:uid="{D6775988-C3B5-4685-9221-E19B98B7E5A8}"/>
    <cellStyle name="Vírgula 20 3 2" xfId="17085" xr:uid="{8365645A-FAA7-404C-B21A-05AC7C81848B}"/>
    <cellStyle name="Vírgula 20 3 2 2" xfId="37425" xr:uid="{6794744E-59FD-4B2E-B604-B06F3604D735}"/>
    <cellStyle name="Vírgula 20 3 3" xfId="20587" xr:uid="{6EE2CCE8-9565-426A-A6BD-A0BBA5026670}"/>
    <cellStyle name="Vírgula 20 3 3 2" xfId="40926" xr:uid="{6F58A183-9576-4941-914A-B62F8F82D29D}"/>
    <cellStyle name="Vírgula 20 3 4" xfId="23842" xr:uid="{BF2C7E4D-A715-4745-965E-FB5D6C700A2F}"/>
    <cellStyle name="Vírgula 20 3 4 2" xfId="44177" xr:uid="{3EC99FB1-D43D-406F-A0E2-AC3F50B15EB1}"/>
    <cellStyle name="Vírgula 20 3 5" xfId="14176" xr:uid="{57100779-984D-41E3-8F0A-145DA4564F40}"/>
    <cellStyle name="Vírgula 20 3 5 2" xfId="34517" xr:uid="{15A58EAE-7FFE-44C9-A2EF-B332EA5E3792}"/>
    <cellStyle name="Vírgula 20 3 6" xfId="10298" xr:uid="{6B34A9AB-3DC0-45D8-87CD-9685AA6B8B10}"/>
    <cellStyle name="Vírgula 20 3 6 2" xfId="30641" xr:uid="{DE99AA02-7057-4EFA-99ED-ADD80E9A88A5}"/>
    <cellStyle name="Vírgula 20 3 7" xfId="27147" xr:uid="{E5A72EED-2789-4CBC-B1F7-DBEE7D6B7D4F}"/>
    <cellStyle name="Vírgula 20 3 8" xfId="6799" xr:uid="{640EC14B-8C89-4CB5-AD57-4593F3E80E2F}"/>
    <cellStyle name="Vírgula 20 4" xfId="3924" xr:uid="{5595EAB3-24A9-4871-BD68-5DF05351B22E}"/>
    <cellStyle name="Vírgula 20 4 2" xfId="18248" xr:uid="{F324AB5F-617B-4D3A-AE26-8B01F826E7FE}"/>
    <cellStyle name="Vírgula 20 4 2 2" xfId="38588" xr:uid="{6459BE9E-1882-4151-8839-8BD9FBA1F31E}"/>
    <cellStyle name="Vírgula 20 4 3" xfId="21750" xr:uid="{13423244-942B-4B30-B4D1-956DACCFD045}"/>
    <cellStyle name="Vírgula 20 4 3 2" xfId="42089" xr:uid="{16785B04-EED1-4D9E-8116-B79538E3562E}"/>
    <cellStyle name="Vírgula 20 4 4" xfId="25005" xr:uid="{FB62B30B-9955-472C-A1EC-BAA81721B235}"/>
    <cellStyle name="Vírgula 20 4 4 2" xfId="45340" xr:uid="{A5F1CF62-06C0-4C2A-B742-052D6CFA812E}"/>
    <cellStyle name="Vírgula 20 4 5" xfId="15340" xr:uid="{EAEAE31D-A9F2-4AA6-96D8-7399BEBDF92E}"/>
    <cellStyle name="Vírgula 20 4 5 2" xfId="35680" xr:uid="{8A4922C1-6B27-4C28-99AF-DD3F13C6E93B}"/>
    <cellStyle name="Vírgula 20 4 6" xfId="11461" xr:uid="{FF77081C-3B8C-4E93-841E-97C4F17B718C}"/>
    <cellStyle name="Vírgula 20 4 6 2" xfId="31804" xr:uid="{CF6F5C8C-6B53-4BA6-8EB1-10D61054CF78}"/>
    <cellStyle name="Vírgula 20 4 7" xfId="28310" xr:uid="{6672C394-6A06-4CEA-AF51-8BDF4D73B68C}"/>
    <cellStyle name="Vírgula 20 4 8" xfId="7963" xr:uid="{53EFAEFC-3643-4FD1-A115-9040D1091FE1}"/>
    <cellStyle name="Vírgula 20 5" xfId="13030" xr:uid="{6E8A14B6-2FC9-40A4-BBA0-B8511C676167}"/>
    <cellStyle name="Vírgula 20 5 2" xfId="33371" xr:uid="{02EDC8F5-01C6-4558-8679-E261ABB79EDD}"/>
    <cellStyle name="Vírgula 20 6" xfId="15927" xr:uid="{C0E0F92E-CFEB-4B9D-A8FD-171FCD1B6843}"/>
    <cellStyle name="Vírgula 20 6 2" xfId="36267" xr:uid="{A0BB9F34-D5FF-413A-8CF3-E7EB94946CA3}"/>
    <cellStyle name="Vírgula 20 7" xfId="18841" xr:uid="{EE2527BF-CFB9-4743-8106-651422A1F02D}"/>
    <cellStyle name="Vírgula 20 7 2" xfId="39181" xr:uid="{434A71DB-1044-463A-858D-3570AF57381D}"/>
    <cellStyle name="Vírgula 20 8" xfId="19429" xr:uid="{DB781D54-E1CC-4AE1-B5A0-0DA25C24BA85}"/>
    <cellStyle name="Vírgula 20 8 2" xfId="39768" xr:uid="{8DAC45E2-DFC0-42C4-A69D-BC407CDDAFE0}"/>
    <cellStyle name="Vírgula 20 9" xfId="22684" xr:uid="{CB35E869-30F1-463B-BB68-941445490B90}"/>
    <cellStyle name="Vírgula 20 9 2" xfId="43019" xr:uid="{8B2FAFF5-5471-437D-ACC6-F1E587A81640}"/>
    <cellStyle name="Vírgula 21" xfId="3811" xr:uid="{D02203E5-9DDC-4343-A334-6309A0CD34D2}"/>
    <cellStyle name="Vírgula 21 10" xfId="9255" xr:uid="{22B9B8D0-2FF7-4AE6-9A99-8EC6EDA23FE8}"/>
    <cellStyle name="Vírgula 21 10 2" xfId="29598" xr:uid="{73D95875-371E-4D8B-A8FB-386BDC22E9AB}"/>
    <cellStyle name="Vírgula 21 11" xfId="26104" xr:uid="{4639EBA5-AF69-42D5-B2CB-50D10E6BC716}"/>
    <cellStyle name="Vírgula 21 12" xfId="55954" xr:uid="{8D212BF4-A400-41D4-B0E2-1E6D33DA18CD}"/>
    <cellStyle name="Vírgula 21 13" xfId="5757" xr:uid="{A60AB2DB-F584-493B-9E80-0285CB8BC577}"/>
    <cellStyle name="Vírgula 21 2" xfId="4097" xr:uid="{427C236D-1E1F-4FFE-8598-CF7516EB83AE}"/>
    <cellStyle name="Vírgula 21 2 2" xfId="17200" xr:uid="{2D4D496E-0EF0-4D26-8BC6-DD8C333E0BDC}"/>
    <cellStyle name="Vírgula 21 2 2 2" xfId="37540" xr:uid="{DC631592-2E39-48D7-BE0E-313DE3F9A9EE}"/>
    <cellStyle name="Vírgula 21 2 3" xfId="20702" xr:uid="{8180A21B-9A3B-44BE-BE02-78E3C07422D0}"/>
    <cellStyle name="Vírgula 21 2 3 2" xfId="41041" xr:uid="{FE1ABC6E-A6D4-447C-80A2-B1AAA77CF738}"/>
    <cellStyle name="Vírgula 21 2 4" xfId="23957" xr:uid="{BF38C31F-4B21-44A0-AC30-43803D8A9CA2}"/>
    <cellStyle name="Vírgula 21 2 4 2" xfId="44292" xr:uid="{FEB1E2D2-D21F-4ADF-8CBB-D5BBA9A575D6}"/>
    <cellStyle name="Vírgula 21 2 5" xfId="14291" xr:uid="{1C92B1BC-FCC0-4BEF-AE04-AE4529055143}"/>
    <cellStyle name="Vírgula 21 2 5 2" xfId="34632" xr:uid="{2AA4AB4C-716C-4BCE-A8EF-86675C8FF2C8}"/>
    <cellStyle name="Vírgula 21 2 6" xfId="10413" xr:uid="{E230A616-CC07-4062-B687-81A3B93086F3}"/>
    <cellStyle name="Vírgula 21 2 6 2" xfId="30756" xr:uid="{CDC80747-554D-403C-A7E2-268B1C02E589}"/>
    <cellStyle name="Vírgula 21 2 7" xfId="27262" xr:uid="{94153864-48A3-4EFD-8E94-3A18FA0EE1EA}"/>
    <cellStyle name="Vírgula 21 2 8" xfId="6914" xr:uid="{7127C54A-C761-43CF-BC8F-41873EF49085}"/>
    <cellStyle name="Vírgula 21 3" xfId="4269" xr:uid="{F0D35F6C-DFEF-4C91-909D-3D62D7C47E67}"/>
    <cellStyle name="Vírgula 21 3 2" xfId="18363" xr:uid="{FDA0D880-A3C4-4925-B6DE-EC38CF72323C}"/>
    <cellStyle name="Vírgula 21 3 2 2" xfId="38703" xr:uid="{A8EEF570-BD4F-4F20-94DB-872274F52E47}"/>
    <cellStyle name="Vírgula 21 3 3" xfId="21865" xr:uid="{9F8BF120-3901-48C0-BC66-674CAD0BC194}"/>
    <cellStyle name="Vírgula 21 3 3 2" xfId="42204" xr:uid="{F962141D-88A9-475E-900F-9270B1BBF2B2}"/>
    <cellStyle name="Vírgula 21 3 4" xfId="25120" xr:uid="{937C4799-1F51-4578-B875-12417BAD8282}"/>
    <cellStyle name="Vírgula 21 3 4 2" xfId="45455" xr:uid="{C124A293-BE76-4C8C-B400-027A76DF142D}"/>
    <cellStyle name="Vírgula 21 3 5" xfId="15455" xr:uid="{20424028-2264-401E-845E-FB9F53B8C97E}"/>
    <cellStyle name="Vírgula 21 3 5 2" xfId="35795" xr:uid="{B2736BAB-F405-4B54-8801-A454D835DE87}"/>
    <cellStyle name="Vírgula 21 3 6" xfId="11576" xr:uid="{18645640-0055-4C56-BF2F-BC8D90A0C107}"/>
    <cellStyle name="Vírgula 21 3 6 2" xfId="31919" xr:uid="{6E878048-4660-40B9-92DB-F9190802DF3C}"/>
    <cellStyle name="Vírgula 21 3 7" xfId="28425" xr:uid="{54A4734F-C7E2-498A-BBD8-FE56613821F4}"/>
    <cellStyle name="Vírgula 21 3 8" xfId="8078" xr:uid="{D58C5A5F-B25E-447F-B5BC-8093D6DC78E8}"/>
    <cellStyle name="Vírgula 21 4" xfId="13145" xr:uid="{C11F8459-F310-4CD1-85AE-57EA4DCFF13C}"/>
    <cellStyle name="Vírgula 21 4 2" xfId="33486" xr:uid="{5FC6A37A-1910-46BF-BF02-07D1D92D67A5}"/>
    <cellStyle name="Vírgula 21 5" xfId="16042" xr:uid="{4AB6BC8C-C9FD-4DD2-BA92-94F2A2B32B3C}"/>
    <cellStyle name="Vírgula 21 5 2" xfId="36382" xr:uid="{DA4E84FE-5B10-433F-92F2-D5B8A47F7E74}"/>
    <cellStyle name="Vírgula 21 6" xfId="18956" xr:uid="{F2B85D5A-3EB1-4834-9E46-18DF0ABBC027}"/>
    <cellStyle name="Vírgula 21 6 2" xfId="39296" xr:uid="{E55033DE-5051-4052-B665-B3E4C38A2140}"/>
    <cellStyle name="Vírgula 21 7" xfId="19544" xr:uid="{AD7C9208-A32D-441A-8063-9164C3F640CA}"/>
    <cellStyle name="Vírgula 21 7 2" xfId="39883" xr:uid="{1D1B1D2F-B4F1-44CB-8B03-0A13EA2841C3}"/>
    <cellStyle name="Vírgula 21 8" xfId="22799" xr:uid="{E5F2C0F0-19B6-4324-91BA-CA48E24B61DC}"/>
    <cellStyle name="Vírgula 21 8 2" xfId="43134" xr:uid="{C16E2667-3BD9-477B-A3C3-16D999BC3E24}"/>
    <cellStyle name="Vírgula 21 9" xfId="12516" xr:uid="{36AA6A7F-BDC2-4921-8BAE-41D6F3409360}"/>
    <cellStyle name="Vírgula 21 9 2" xfId="32857" xr:uid="{0DD0B74E-807F-4878-BB3F-9B0779987DD6}"/>
    <cellStyle name="Vírgula 22" xfId="3873" xr:uid="{4783646E-6946-4665-819C-0B58C3F1487A}"/>
    <cellStyle name="Vírgula 22 10" xfId="9260" xr:uid="{0AD8FDFC-EB95-4540-A64F-FA6B315C4DF3}"/>
    <cellStyle name="Vírgula 22 10 2" xfId="29603" xr:uid="{922B034E-AD30-44B6-9D2E-E002C5E90ADF}"/>
    <cellStyle name="Vírgula 22 11" xfId="26109" xr:uid="{CCA025D0-3EDF-457B-A438-D312B508F6AE}"/>
    <cellStyle name="Vírgula 22 12" xfId="5762" xr:uid="{0173553C-632F-4C66-8164-B2724379F25C}"/>
    <cellStyle name="Vírgula 22 2" xfId="4044" xr:uid="{CCCFC0DE-E99C-43C6-B153-B4C6AF20CA0A}"/>
    <cellStyle name="Vírgula 22 2 2" xfId="17205" xr:uid="{6800AB34-7A44-4AFB-BC26-2BD3186B301D}"/>
    <cellStyle name="Vírgula 22 2 2 2" xfId="37545" xr:uid="{A0680559-9A89-4E83-AB0A-5178A675F526}"/>
    <cellStyle name="Vírgula 22 2 3" xfId="20707" xr:uid="{61B79318-2D98-4278-9D5C-52CF1A8E41FF}"/>
    <cellStyle name="Vírgula 22 2 3 2" xfId="41046" xr:uid="{56C59BC6-628E-4275-A289-913D5ECF367D}"/>
    <cellStyle name="Vírgula 22 2 4" xfId="23962" xr:uid="{63919C19-C7B8-44F2-80CD-C9C0A24DB464}"/>
    <cellStyle name="Vírgula 22 2 4 2" xfId="44297" xr:uid="{2DA16972-D8C6-477C-B1C7-BA867870732A}"/>
    <cellStyle name="Vírgula 22 2 5" xfId="14296" xr:uid="{72884278-5DC1-4DE7-BD68-DBB625D472F2}"/>
    <cellStyle name="Vírgula 22 2 5 2" xfId="34637" xr:uid="{A8B98DD8-D712-4094-87D7-1F05965802D3}"/>
    <cellStyle name="Vírgula 22 2 6" xfId="10418" xr:uid="{AFB24775-8C2F-41B4-9313-9420ECCE5C15}"/>
    <cellStyle name="Vírgula 22 2 6 2" xfId="30761" xr:uid="{5650DE86-3D83-4ED6-89F0-7829D351D9B4}"/>
    <cellStyle name="Vírgula 22 2 7" xfId="27267" xr:uid="{7C545F32-3B58-45E4-837D-DCC7AB1BD984}"/>
    <cellStyle name="Vírgula 22 2 8" xfId="6919" xr:uid="{22940354-5F1E-46E9-B7C9-153B0DD3F93A}"/>
    <cellStyle name="Vírgula 22 3" xfId="4216" xr:uid="{736A14F7-5646-4588-90A4-B0C7C7EC41B7}"/>
    <cellStyle name="Vírgula 22 3 2" xfId="17787" xr:uid="{D8847D2F-17F4-4F2D-A6A9-718ED272788A}"/>
    <cellStyle name="Vírgula 22 3 2 2" xfId="38127" xr:uid="{D0757A9C-E69B-46BA-AFD6-9A4457D84D84}"/>
    <cellStyle name="Vírgula 22 3 3" xfId="21289" xr:uid="{A0DB697D-E6E3-417B-9859-3B27252F749F}"/>
    <cellStyle name="Vírgula 22 3 3 2" xfId="41628" xr:uid="{96FCB59B-B9E4-4703-951E-3F4489BF8684}"/>
    <cellStyle name="Vírgula 22 3 4" xfId="24544" xr:uid="{F0B69859-E5C2-4663-B8CA-CABEC33F0D81}"/>
    <cellStyle name="Vírgula 22 3 4 2" xfId="44879" xr:uid="{E955936D-5DBC-4025-9900-1B8B59D5CA8A}"/>
    <cellStyle name="Vírgula 22 3 5" xfId="14879" xr:uid="{1E64E669-261A-436A-97D5-BF658FC6C810}"/>
    <cellStyle name="Vírgula 22 3 5 2" xfId="35219" xr:uid="{5D318689-9131-4143-B054-EBACA31FD933}"/>
    <cellStyle name="Vírgula 22 3 6" xfId="11000" xr:uid="{5F6A11BC-E96E-4A89-B25C-2F4442546955}"/>
    <cellStyle name="Vírgula 22 3 6 2" xfId="31343" xr:uid="{B2C82C5E-21BB-4D7A-8D6C-DDD529D5B37C}"/>
    <cellStyle name="Vírgula 22 3 7" xfId="27849" xr:uid="{56CE5953-3412-447A-B3F7-174B599A4CE2}"/>
    <cellStyle name="Vírgula 22 3 8" xfId="7502" xr:uid="{03F6F1A8-FB69-410B-B086-09AD68D572A9}"/>
    <cellStyle name="Vírgula 22 4" xfId="13150" xr:uid="{C5764277-8C78-422D-A2EF-77422757DE0F}"/>
    <cellStyle name="Vírgula 22 4 2" xfId="33491" xr:uid="{FE866FEA-9A43-445E-B30E-630664D85BC6}"/>
    <cellStyle name="Vírgula 22 5" xfId="16047" xr:uid="{1DE9CD2E-9AC9-4CBD-9D34-D1E0C41A23FC}"/>
    <cellStyle name="Vírgula 22 5 2" xfId="36387" xr:uid="{946FDD8C-77CE-4321-8E4B-7D88AA4F1EBD}"/>
    <cellStyle name="Vírgula 22 6" xfId="18380" xr:uid="{5909339F-B6EA-439A-B522-1166AE7734C2}"/>
    <cellStyle name="Vírgula 22 6 2" xfId="38720" xr:uid="{5E601AEC-2AF3-4B9F-99BD-03D7C783E11D}"/>
    <cellStyle name="Vírgula 22 7" xfId="19549" xr:uid="{7A86E220-2CBE-4E8A-8BF7-F34C45491201}"/>
    <cellStyle name="Vírgula 22 7 2" xfId="39888" xr:uid="{1130B9B7-3B9C-40F4-A2DF-43CF00B1FF42}"/>
    <cellStyle name="Vírgula 22 8" xfId="22804" xr:uid="{1FE05B8E-7759-4D0A-821F-39D7CE6D74C7}"/>
    <cellStyle name="Vírgula 22 8 2" xfId="43139" xr:uid="{BC60D7D1-C168-4970-8D18-0E5CCA4339A6}"/>
    <cellStyle name="Vírgula 22 9" xfId="11940" xr:uid="{75F7117B-F964-4D55-8CFD-37C5DEDBF4BD}"/>
    <cellStyle name="Vírgula 22 9 2" xfId="32281" xr:uid="{E13958BE-9523-42B8-850B-24F06E1C6A14}"/>
    <cellStyle name="Vírgula 23" xfId="3983" xr:uid="{2F5CF079-9CB5-4EA8-80CB-EA91B013C2DE}"/>
    <cellStyle name="Vírgula 23 10" xfId="26686" xr:uid="{27670F3D-1E74-411D-99BA-191D660BF4D1}"/>
    <cellStyle name="Vírgula 23 11" xfId="6338" xr:uid="{E2B2F97C-233E-4E2E-B49A-2B6D025E14D2}"/>
    <cellStyle name="Vírgula 23 2" xfId="4155" xr:uid="{C1AEF4B9-ECED-4A64-B35A-8E215323A03A}"/>
    <cellStyle name="Vírgula 23 2 2" xfId="18368" xr:uid="{7669011A-87D8-49BA-9411-6020DC24242D}"/>
    <cellStyle name="Vírgula 23 2 2 2" xfId="38708" xr:uid="{5F16B859-8219-4D5E-BE91-511FAC03692C}"/>
    <cellStyle name="Vírgula 23 2 3" xfId="21870" xr:uid="{2616724F-9A52-482E-9430-EE2D84348788}"/>
    <cellStyle name="Vírgula 23 2 3 2" xfId="42209" xr:uid="{E94ECA71-3B12-44BA-9833-19F18B221CE2}"/>
    <cellStyle name="Vírgula 23 2 4" xfId="25125" xr:uid="{F9348A8E-76A2-4D90-B29E-BBA44B7B0837}"/>
    <cellStyle name="Vírgula 23 2 4 2" xfId="45460" xr:uid="{B7049B40-9A73-4A01-8726-80C116FE6973}"/>
    <cellStyle name="Vírgula 23 2 5" xfId="15460" xr:uid="{363EBA1C-BD14-4261-969B-74DF0289A575}"/>
    <cellStyle name="Vírgula 23 2 5 2" xfId="35800" xr:uid="{C540D7B1-277E-400C-ABAD-A18DC600B20B}"/>
    <cellStyle name="Vírgula 23 2 6" xfId="11581" xr:uid="{D685187B-873A-4079-83D0-ACE6799BE1D5}"/>
    <cellStyle name="Vírgula 23 2 6 2" xfId="31924" xr:uid="{397AE6DB-F3C5-4CEA-B1F1-EF807FFE463D}"/>
    <cellStyle name="Vírgula 23 2 7" xfId="28430" xr:uid="{877DF3C9-6331-4677-B039-B7901358C720}"/>
    <cellStyle name="Vírgula 23 2 8" xfId="8083" xr:uid="{8541F819-1769-4D86-ACF1-180BD8C5EB40}"/>
    <cellStyle name="Vírgula 23 3" xfId="4327" xr:uid="{5E73EF19-19EB-4B02-B36F-C45B5986F0B5}"/>
    <cellStyle name="Vírgula 23 3 2" xfId="34056" xr:uid="{47E6EAAF-7735-4B15-BA99-075AC364B486}"/>
    <cellStyle name="Vírgula 23 3 3" xfId="13715" xr:uid="{E99E4351-BBCF-4696-AD65-0ED99EA23859}"/>
    <cellStyle name="Vírgula 23 4" xfId="16624" xr:uid="{D44F968B-7A1B-4500-8680-1B8DE6CC1342}"/>
    <cellStyle name="Vírgula 23 4 2" xfId="36964" xr:uid="{2F92A866-0CCB-409E-B8F1-E43E1BF03D3B}"/>
    <cellStyle name="Vírgula 23 5" xfId="18961" xr:uid="{7A7DB78F-4E25-48C7-A680-FF13978FF11A}"/>
    <cellStyle name="Vírgula 23 5 2" xfId="39301" xr:uid="{28558A51-1AAC-4D81-9095-CAF4F8244093}"/>
    <cellStyle name="Vírgula 23 6" xfId="20126" xr:uid="{2458A478-8F68-4B48-ACE7-67B66717F8A3}"/>
    <cellStyle name="Vírgula 23 6 2" xfId="40465" xr:uid="{2EC739FD-9E0B-4457-8C7D-2884717033E4}"/>
    <cellStyle name="Vírgula 23 7" xfId="23381" xr:uid="{9B6D4249-7F11-403C-9F2C-47D914115D67}"/>
    <cellStyle name="Vírgula 23 7 2" xfId="43716" xr:uid="{09EB20FD-D1F3-4FAB-96C2-8637439FA7CA}"/>
    <cellStyle name="Vírgula 23 8" xfId="12520" xr:uid="{F2DDF3D6-8655-42BC-8AF5-5CAF4AC2878B}"/>
    <cellStyle name="Vírgula 23 8 2" xfId="32861" xr:uid="{2BA85D41-C28C-4AC0-8337-35807C3A40A6}"/>
    <cellStyle name="Vírgula 23 9" xfId="9837" xr:uid="{110DB351-AE64-44CD-941F-12E49C4B3CF7}"/>
    <cellStyle name="Vírgula 23 9 2" xfId="30180" xr:uid="{68CE2CD4-2C65-474D-8E07-B0FDC4B902EC}"/>
    <cellStyle name="Vírgula 24" xfId="3984" xr:uid="{C0D8502C-77B2-4A95-AC4C-06423B0DCA3B}"/>
    <cellStyle name="Vírgula 24 2" xfId="15458" xr:uid="{2A3FA950-FD81-456A-9611-80134DF2DA64}"/>
    <cellStyle name="Vírgula 24 2 2" xfId="35798" xr:uid="{0E8DB292-D656-4DD1-887C-27202E49EE72}"/>
    <cellStyle name="Vírgula 24 3" xfId="18366" xr:uid="{F0EBDD2D-0D32-45FE-AD45-74044BE659C3}"/>
    <cellStyle name="Vírgula 24 3 2" xfId="38706" xr:uid="{F540F2D7-831F-48C7-960D-29A3F153122E}"/>
    <cellStyle name="Vírgula 24 4" xfId="21868" xr:uid="{26DF8D11-F191-4515-A824-1EAFC9070C5B}"/>
    <cellStyle name="Vírgula 24 4 2" xfId="42207" xr:uid="{0BBC0AAE-C639-47C3-8B56-E4D3C03D81EC}"/>
    <cellStyle name="Vírgula 24 5" xfId="25123" xr:uid="{265F74E1-5E1F-4CC2-AA65-25B728FA3323}"/>
    <cellStyle name="Vírgula 24 5 2" xfId="45458" xr:uid="{6A23C45B-3694-4B6A-B085-E5FC70AC5D86}"/>
    <cellStyle name="Vírgula 24 6" xfId="12525" xr:uid="{BAFF16A7-0793-43A0-86D4-F40CC9763AD4}"/>
    <cellStyle name="Vírgula 24 6 2" xfId="32866" xr:uid="{414B6BAF-1748-4C49-876A-3A4377E24BA2}"/>
    <cellStyle name="Vírgula 24 7" xfId="11579" xr:uid="{482D27D6-DAC0-4045-91B0-6D60D6B09D67}"/>
    <cellStyle name="Vírgula 24 7 2" xfId="31922" xr:uid="{0EF560FA-8FF4-4D74-878A-23A17023A1B3}"/>
    <cellStyle name="Vírgula 24 8" xfId="28428" xr:uid="{86F2EE84-AB32-43EF-B69F-565F6BEB6ABD}"/>
    <cellStyle name="Vírgula 24 9" xfId="8081" xr:uid="{B6347E70-6314-4D9D-880E-61586623D1A8}"/>
    <cellStyle name="Vírgula 25" xfId="4156" xr:uid="{16C07873-23E2-4A0A-82D0-55A6AE8FC037}"/>
    <cellStyle name="Vírgula 25 2" xfId="11932" xr:uid="{31CE8B0B-2AC5-4778-B086-4CEFA12DDE01}"/>
    <cellStyle name="Vírgula 25 2 2" xfId="22218" xr:uid="{6302B369-ED84-4B97-8D06-CB78CF29A506}"/>
    <cellStyle name="Vírgula 25 2 2 2" xfId="42554" xr:uid="{CF35E77E-ACBB-4858-B349-009B2E1AD862}"/>
    <cellStyle name="Vírgula 25 2 3" xfId="32273" xr:uid="{188855BA-BCCA-40B0-B712-F7E96D638713}"/>
    <cellStyle name="Vírgula 25 3" xfId="15466" xr:uid="{CD0FE634-1C83-406E-B529-6D710AF359F6}"/>
    <cellStyle name="Vírgula 25 3 2" xfId="35806" xr:uid="{BEF7D307-9D2D-407A-BE01-B77608DBA859}"/>
    <cellStyle name="Vírgula 25 4" xfId="11927" xr:uid="{AAAB99DE-62D6-4DB7-B38E-8CB9A2ABEC06}"/>
    <cellStyle name="Vírgula 25 4 2" xfId="32269" xr:uid="{DA9B17FE-F0D9-4AF2-AD5F-B2047280EF0B}"/>
    <cellStyle name="Vírgula 25 5" xfId="28775" xr:uid="{03E4A762-E788-4E81-A902-D7A2F0508009}"/>
    <cellStyle name="Vírgula 25 6" xfId="8432" xr:uid="{13EE2A7B-856B-4DB9-BFCB-38D16A82FA0E}"/>
    <cellStyle name="Vírgula 26" xfId="4328" xr:uid="{17882B10-66DE-4CCB-A5B8-9AAA8FA6F5B2}"/>
    <cellStyle name="Vírgula 26 2" xfId="18959" xr:uid="{25250F57-2536-48F5-A3FC-9017BFFD9A88}"/>
    <cellStyle name="Vírgula 26 2 2" xfId="39299" xr:uid="{BC598F85-9DB2-457C-8CE4-3F964EC590DA}"/>
    <cellStyle name="Vírgula 26 3" xfId="28779" xr:uid="{79037F51-800F-41C4-9E08-0B727903AF49}"/>
    <cellStyle name="Vírgula 26 4" xfId="8436" xr:uid="{6BEB4922-93D6-4A5D-BD52-59AFEBB1D3BC}"/>
    <cellStyle name="Vírgula 27" xfId="4329" xr:uid="{4A91031E-599B-4CEA-AEB1-029B5204B695}"/>
    <cellStyle name="Vírgula 27 2" xfId="39307" xr:uid="{E7F9CFE8-6316-4E37-8371-D1BCD4DCF757}"/>
    <cellStyle name="Vírgula 27 3" xfId="18968" xr:uid="{7939B9B0-DCE7-42BC-BB53-8A93550C051B}"/>
    <cellStyle name="Vírgula 28" xfId="1715" xr:uid="{68AB41C4-2DEF-42A3-A7EF-8225A2407F06}"/>
    <cellStyle name="Vírgula 28 2" xfId="42558" xr:uid="{F4C907B8-330D-464B-9555-DFC9AA3D6D26}"/>
    <cellStyle name="Vírgula 28 3" xfId="22223" xr:uid="{32094300-61B8-498D-BEE9-50D55652F5D9}"/>
    <cellStyle name="Vírgula 29" xfId="4335" xr:uid="{5CDE20F2-6F02-4F16-9713-4AF6CAB603C8}"/>
    <cellStyle name="Vírgula 29 2" xfId="38712" xr:uid="{C6B3E30E-51DE-4236-BE27-2B067C74F3B2}"/>
    <cellStyle name="Vírgula 29 3" xfId="18372" xr:uid="{63714848-B48D-40C1-8853-C88760BF2B2C}"/>
    <cellStyle name="Vírgula 3" xfId="7" xr:uid="{EA6C5D00-F02E-4C2C-9FDD-078A545BDF1C}"/>
    <cellStyle name="Vírgula 3 10" xfId="905" xr:uid="{75EF51FA-3CAF-482D-812E-4993B3CB452D}"/>
    <cellStyle name="Vírgula 3 10 2" xfId="2621" xr:uid="{B753E1E0-6D6E-4539-A044-AEC0CA04DF1D}"/>
    <cellStyle name="Vírgula 3 10 2 2" xfId="51943" xr:uid="{0631A491-19A5-4836-A3D7-F676B0BBA620}"/>
    <cellStyle name="Vírgula 3 10 2 3" xfId="55237" xr:uid="{8C01A1F3-D39C-4C71-BDA0-F0182BD9AE31}"/>
    <cellStyle name="Vírgula 3 10 2 4" xfId="28781" xr:uid="{E3D72A4A-4FA7-49BB-A5C6-AD6168380024}"/>
    <cellStyle name="Vírgula 3 10 3" xfId="48641" xr:uid="{DA2F23E7-5E7A-4815-8812-3E139E252AD8}"/>
    <cellStyle name="Vírgula 3 10 3 2" xfId="56776" xr:uid="{6A40ABD8-882E-4496-9092-19CD6B9E2632}"/>
    <cellStyle name="Vírgula 3 10 4" xfId="50311" xr:uid="{C61B4F30-CD44-45FC-994A-A7A8A36FDD4A}"/>
    <cellStyle name="Vírgula 3 10 5" xfId="53606" xr:uid="{29488E67-6830-4FCD-A2AB-4A9734750D5B}"/>
    <cellStyle name="Vírgula 3 10 6" xfId="8438" xr:uid="{B00C61F7-385E-41A0-B3C5-2720E7016D2F}"/>
    <cellStyle name="Vírgula 3 10 7" xfId="4781" xr:uid="{D1D31173-648A-46D7-AFC9-FF43405E575B}"/>
    <cellStyle name="Vírgula 3 11" xfId="1311" xr:uid="{98A852D2-0FD8-4159-BBB3-FDE8C6407EF0}"/>
    <cellStyle name="Vírgula 3 11 2" xfId="2972" xr:uid="{915CF9BC-AAF2-4236-ABF8-880049A79EDE}"/>
    <cellStyle name="Vírgula 3 11 2 2" xfId="51944" xr:uid="{03093F4F-09BE-46A2-B605-C8E92E9019D9}"/>
    <cellStyle name="Vírgula 3 11 2 3" xfId="55238" xr:uid="{50063CB2-E7BE-4CCA-88A9-F5A699DAE2DB}"/>
    <cellStyle name="Vírgula 3 11 2 4" xfId="48642" xr:uid="{C7076EBC-089D-41F7-8200-FA24F446643C}"/>
    <cellStyle name="Vírgula 3 11 3" xfId="50312" xr:uid="{CAF3A112-F283-4D04-A09A-8BFF0BA552C0}"/>
    <cellStyle name="Vírgula 3 11 3 2" xfId="57182" xr:uid="{CF675E61-B67B-44DD-80C8-F47B0F39E9E6}"/>
    <cellStyle name="Vírgula 3 11 4" xfId="53607" xr:uid="{9DDC6D5B-F8EA-48EC-8E29-D458B3E043AF}"/>
    <cellStyle name="Vírgula 3 11 5" xfId="25477" xr:uid="{DB05E117-FF02-4B5E-AD15-C1447A3F4FFA}"/>
    <cellStyle name="Vírgula 3 12" xfId="498" xr:uid="{02CD348B-50C5-4F1E-9E92-1C5F65046067}"/>
    <cellStyle name="Vírgula 3 12 2" xfId="2214" xr:uid="{B054060F-CBD6-4E08-89AF-CCEC4B870D01}"/>
    <cellStyle name="Vírgula 3 12 2 2" xfId="51945" xr:uid="{4C52E0FE-88E6-4238-9C6C-5BCBA0E61227}"/>
    <cellStyle name="Vírgula 3 12 2 3" xfId="55239" xr:uid="{9F659802-C8DE-43C9-9CB4-1B40A3D629DD}"/>
    <cellStyle name="Vírgula 3 12 2 4" xfId="48643" xr:uid="{01062B84-AADC-4444-8F7A-9DFB67146462}"/>
    <cellStyle name="Vírgula 3 12 3" xfId="50313" xr:uid="{A2031D9C-4B53-4485-A511-D279CFAFDFBA}"/>
    <cellStyle name="Vírgula 3 12 3 2" xfId="56369" xr:uid="{0F3D88C8-637E-4789-B8C5-831FC85CFFDF}"/>
    <cellStyle name="Vírgula 3 12 4" xfId="53608" xr:uid="{6A0A512A-E6B6-48DC-82F4-0E336D0604CA}"/>
    <cellStyle name="Vírgula 3 12 5" xfId="45813" xr:uid="{77B5916D-3135-4CD8-B976-18B166F7F6D2}"/>
    <cellStyle name="Vírgula 3 13" xfId="3376" xr:uid="{5B361D8B-C02A-4F76-8788-5CFB7508ED20}"/>
    <cellStyle name="Vírgula 3 13 2" xfId="51942" xr:uid="{8B06FF67-BFE8-4287-9616-BF2565AC7882}"/>
    <cellStyle name="Vírgula 3 13 3" xfId="55236" xr:uid="{91F2086E-6934-4F0F-9C3B-AA29FAEBBEA8}"/>
    <cellStyle name="Vírgula 3 13 4" xfId="46299" xr:uid="{9BE17E43-8527-4735-B9B0-F697C5E2A3E9}"/>
    <cellStyle name="Vírgula 3 14" xfId="3813" xr:uid="{66C50286-E8BA-4AF1-93D1-68B65B9E701A}"/>
    <cellStyle name="Vírgula 3 14 2" xfId="55960" xr:uid="{1E8E6527-C300-408A-826F-F8F3A8417E61}"/>
    <cellStyle name="Vírgula 3 14 3" xfId="46791" xr:uid="{22AC90D9-7AD7-47F5-B019-7CA1F1AE5AF6}"/>
    <cellStyle name="Vírgula 3 15" xfId="1724" xr:uid="{23BB902C-E0E7-4820-824D-0547A888A104}"/>
    <cellStyle name="Vírgula 3 15 2" xfId="47289" xr:uid="{D387F6C2-16C4-47B6-AEF1-3D5CEFA78BC0}"/>
    <cellStyle name="Vírgula 3 15 3" xfId="47286" xr:uid="{27D3D5E2-A06E-433B-9782-BD65340F5E6A}"/>
    <cellStyle name="Vírgula 3 16" xfId="32" xr:uid="{A50DFC71-59DB-4CE3-AAEE-36A07B6FD1A4}"/>
    <cellStyle name="Vírgula 3 16 2" xfId="47294" xr:uid="{8AC7377B-CFF4-49D1-8335-372AF93600F4}"/>
    <cellStyle name="Vírgula 3 17" xfId="4365" xr:uid="{A6172955-A0F6-4C60-AF6F-C1844BABB72C}"/>
    <cellStyle name="Vírgula 3 17 2" xfId="47420" xr:uid="{4C813E7A-1590-4928-BED9-BA1265040D70}"/>
    <cellStyle name="Vírgula 3 18" xfId="47546" xr:uid="{7337A2B5-9B7E-4ED8-8642-0FF85DB4EB15}"/>
    <cellStyle name="Vírgula 3 19" xfId="47670" xr:uid="{28E91F71-3874-4008-BB81-0CBF66602A7C}"/>
    <cellStyle name="Vírgula 3 2" xfId="46" xr:uid="{A36CF7D2-01E0-4B91-A9B0-7568930AEF56}"/>
    <cellStyle name="Vírgula 3 2 10" xfId="1321" xr:uid="{742D4022-3E83-4FAB-8A77-7C6320B869A9}"/>
    <cellStyle name="Vírgula 3 2 10 10" xfId="48645" xr:uid="{751CDC4C-33E8-4592-8D02-16E1DFCC30ED}"/>
    <cellStyle name="Vírgula 3 2 10 11" xfId="50315" xr:uid="{65DF4F63-3483-4E2D-8846-BA4A8688CD4E}"/>
    <cellStyle name="Vírgula 3 2 10 12" xfId="53610" xr:uid="{52461E29-6B15-4E01-9A01-E4BA52EB83C7}"/>
    <cellStyle name="Vírgula 3 2 10 13" xfId="5764" xr:uid="{AE3F2E50-9302-4267-B138-6AA4A0493D61}"/>
    <cellStyle name="Vírgula 3 2 10 2" xfId="2982" xr:uid="{2BE255EF-ADC5-4663-9874-3BCAF4F51E11}"/>
    <cellStyle name="Vírgula 3 2 10 2 10" xfId="6922" xr:uid="{FECF64BE-65B8-426F-B82D-7209A47BA580}"/>
    <cellStyle name="Vírgula 3 2 10 2 2" xfId="17208" xr:uid="{514251C5-3E99-439F-B139-911DD6625E86}"/>
    <cellStyle name="Vírgula 3 2 10 2 2 2" xfId="37548" xr:uid="{83966D5D-B09E-4DC2-844F-9516D04DE6CC}"/>
    <cellStyle name="Vírgula 3 2 10 2 3" xfId="11931" xr:uid="{59904FDC-506E-420F-BC0D-A44D0F31FC36}"/>
    <cellStyle name="Vírgula 3 2 10 2 3 2" xfId="20710" xr:uid="{1DD0D2F1-073C-49C5-8E1F-63C7DA7E5B45}"/>
    <cellStyle name="Vírgula 3 2 10 2 3 2 2" xfId="41049" xr:uid="{C5FC34EB-6866-4976-B774-EFC94AE05169}"/>
    <cellStyle name="Vírgula 3 2 10 2 3 3" xfId="32272" xr:uid="{696A358E-78A6-4CB9-BCE9-7FB41555CB71}"/>
    <cellStyle name="Vírgula 3 2 10 2 4" xfId="23965" xr:uid="{7B4AAB83-3E83-4D7A-889F-447325AB6A3B}"/>
    <cellStyle name="Vírgula 3 2 10 2 4 2" xfId="44300" xr:uid="{3EA008E0-4982-4A0E-BF72-12E3FB6FF445}"/>
    <cellStyle name="Vírgula 3 2 10 2 5" xfId="14299" xr:uid="{9145132C-2377-46B6-B4B0-1F10A1539CD7}"/>
    <cellStyle name="Vírgula 3 2 10 2 5 2" xfId="34640" xr:uid="{DF843221-C712-4ED8-A25A-D041AC0A9FF6}"/>
    <cellStyle name="Vírgula 3 2 10 2 6" xfId="10421" xr:uid="{E0290674-CBC7-4959-BC9E-101DCF29976B}"/>
    <cellStyle name="Vírgula 3 2 10 2 6 2" xfId="30764" xr:uid="{4E7D87D9-4B8A-4C0A-A9A3-139C10F0A248}"/>
    <cellStyle name="Vírgula 3 2 10 2 7" xfId="27270" xr:uid="{DE4463A0-E185-49C8-81EC-EAFFB5FBA37B}"/>
    <cellStyle name="Vírgula 3 2 10 2 8" xfId="51947" xr:uid="{EF607E31-6024-46EF-B706-088C0D1CA6EB}"/>
    <cellStyle name="Vírgula 3 2 10 2 9" xfId="55241" xr:uid="{20C9A2EE-2FA0-4118-B3B6-254A9BE79235}"/>
    <cellStyle name="Vírgula 3 2 10 3" xfId="13153" xr:uid="{0648163B-CE85-4250-AFA4-AF9DC52C24E9}"/>
    <cellStyle name="Vírgula 3 2 10 3 2" xfId="33494" xr:uid="{5BCFDEF8-33E4-467C-B6C3-146DED9CA916}"/>
    <cellStyle name="Vírgula 3 2 10 3 3" xfId="57192" xr:uid="{258A786C-CD64-4459-BEB7-2DEDF831D213}"/>
    <cellStyle name="Vírgula 3 2 10 4" xfId="16050" xr:uid="{A2C7F7D4-D7AF-45C7-B89C-7825C321D745}"/>
    <cellStyle name="Vírgula 3 2 10 4 2" xfId="36390" xr:uid="{0957781A-550D-46AC-975C-8696B22E221D}"/>
    <cellStyle name="Vírgula 3 2 10 5" xfId="19552" xr:uid="{958049FB-0977-430E-B829-7F4B1143E32F}"/>
    <cellStyle name="Vírgula 3 2 10 5 2" xfId="39891" xr:uid="{B1528334-4716-4307-920B-8EFA756E7066}"/>
    <cellStyle name="Vírgula 3 2 10 6" xfId="22807" xr:uid="{926A1F05-A71E-4BC6-B297-8F2D851DC45B}"/>
    <cellStyle name="Vírgula 3 2 10 6 2" xfId="43142" xr:uid="{1409A422-ADC3-4621-AF72-8175CE1F1488}"/>
    <cellStyle name="Vírgula 3 2 10 7" xfId="12534" xr:uid="{0BDDB193-7CEF-4778-99DB-CC8C2F211B4A}"/>
    <cellStyle name="Vírgula 3 2 10 7 2" xfId="32875" xr:uid="{4C1614F5-949E-4D24-834C-F5A71B67EB78}"/>
    <cellStyle name="Vírgula 3 2 10 8" xfId="9263" xr:uid="{820AB53B-2746-48C1-8F9C-D597B8684365}"/>
    <cellStyle name="Vírgula 3 2 10 8 2" xfId="29606" xr:uid="{2064DCA8-2ABE-48E6-9461-7968CD54318F}"/>
    <cellStyle name="Vírgula 3 2 10 9" xfId="26112" xr:uid="{BFCDB292-185B-45F6-B72D-84FFFAB07CC1}"/>
    <cellStyle name="Vírgula 3 2 11" xfId="508" xr:uid="{05D646DF-352B-48FA-89F3-2C08962C3F01}"/>
    <cellStyle name="Vírgula 3 2 11 10" xfId="53611" xr:uid="{6A108BA8-E6AA-47E5-B37B-66AE5CDF7A11}"/>
    <cellStyle name="Vírgula 3 2 11 11" xfId="6341" xr:uid="{A0D7E97E-020B-4932-9D68-2FDB8C381DAE}"/>
    <cellStyle name="Vírgula 3 2 11 2" xfId="2224" xr:uid="{8E79EB80-B15C-47E4-81FA-DA2AE0AFE607}"/>
    <cellStyle name="Vírgula 3 2 11 2 2" xfId="36967" xr:uid="{2B48628C-FAE4-42F6-B7F6-A8765BCC2FA3}"/>
    <cellStyle name="Vírgula 3 2 11 2 3" xfId="51948" xr:uid="{EC4AB1AA-2FDA-4397-98B0-4E636F3F5956}"/>
    <cellStyle name="Vírgula 3 2 11 2 4" xfId="55242" xr:uid="{C86F5B91-EABB-4975-A149-20439BB4E23F}"/>
    <cellStyle name="Vírgula 3 2 11 2 5" xfId="16627" xr:uid="{30DD91D3-F43E-43DE-A7C7-B32D6B3AA0BD}"/>
    <cellStyle name="Vírgula 3 2 11 3" xfId="20129" xr:uid="{4C72B62E-2B35-423B-89CF-C339EF6BD997}"/>
    <cellStyle name="Vírgula 3 2 11 3 2" xfId="40468" xr:uid="{CCC6AA7E-5FFC-41A0-9BDC-6FE9E9064513}"/>
    <cellStyle name="Vírgula 3 2 11 3 3" xfId="56379" xr:uid="{1F945C6A-ECCA-4C0F-846E-12BB6E0625F2}"/>
    <cellStyle name="Vírgula 3 2 11 4" xfId="23384" xr:uid="{167944ED-C083-4F01-B9F6-A340347DF844}"/>
    <cellStyle name="Vírgula 3 2 11 4 2" xfId="43719" xr:uid="{92EC1210-7B6F-4630-AFF4-8DD6474B0C2C}"/>
    <cellStyle name="Vírgula 3 2 11 5" xfId="13718" xr:uid="{D0DEE987-AE65-4744-B563-CC4EE0E2CE48}"/>
    <cellStyle name="Vírgula 3 2 11 5 2" xfId="34059" xr:uid="{C72ED9EF-B3A6-4263-ACB5-366C811CAF0B}"/>
    <cellStyle name="Vírgula 3 2 11 6" xfId="9840" xr:uid="{2996BE79-00CA-4795-A7D7-9099D671FCB0}"/>
    <cellStyle name="Vírgula 3 2 11 6 2" xfId="30183" xr:uid="{13C6D25C-2B46-4967-9979-E92E71F253D1}"/>
    <cellStyle name="Vírgula 3 2 11 7" xfId="26689" xr:uid="{BDDABED4-8AD4-4BC6-BACF-2E42B7760827}"/>
    <cellStyle name="Vírgula 3 2 11 8" xfId="48646" xr:uid="{57878091-45FE-4803-BD82-19B405D72516}"/>
    <cellStyle name="Vírgula 3 2 11 9" xfId="50316" xr:uid="{07F73FB6-CDDB-4085-A057-E20944F1CDD9}"/>
    <cellStyle name="Vírgula 3 2 12" xfId="3382" xr:uid="{3D447093-3630-4AE8-BBAB-E557B986D585}"/>
    <cellStyle name="Vírgula 3 2 12 10" xfId="7505" xr:uid="{6DAB801B-1A79-46D9-B34E-C78FDD3298CF}"/>
    <cellStyle name="Vírgula 3 2 12 2" xfId="17790" xr:uid="{F081FBA4-187B-48D1-B943-D1B342B64C45}"/>
    <cellStyle name="Vírgula 3 2 12 2 2" xfId="38130" xr:uid="{EEEF9F03-5458-4657-BA18-1F6E1166D7DD}"/>
    <cellStyle name="Vírgula 3 2 12 3" xfId="21292" xr:uid="{AFB5BABE-EFFF-4E6C-B98F-C7FE79736AAB}"/>
    <cellStyle name="Vírgula 3 2 12 3 2" xfId="41631" xr:uid="{BBC19C26-7AC0-4E48-89EC-567A05B4BB69}"/>
    <cellStyle name="Vírgula 3 2 12 4" xfId="24547" xr:uid="{82C456DF-C8C2-48B7-8374-75449A6D3528}"/>
    <cellStyle name="Vírgula 3 2 12 4 2" xfId="44882" xr:uid="{DAE1E825-2E58-4A68-9710-153D7E0B890D}"/>
    <cellStyle name="Vírgula 3 2 12 5" xfId="14882" xr:uid="{6D2AE854-C540-40A5-B599-1DE2E3D881D7}"/>
    <cellStyle name="Vírgula 3 2 12 5 2" xfId="35222" xr:uid="{8695F25C-FB77-4296-BB62-F61E8E8244E7}"/>
    <cellStyle name="Vírgula 3 2 12 6" xfId="11003" xr:uid="{508B608A-29C7-4A4A-BBF5-74B899113DCE}"/>
    <cellStyle name="Vírgula 3 2 12 6 2" xfId="31346" xr:uid="{38225F2B-D4FB-45C3-9F5D-CF08287EEB7B}"/>
    <cellStyle name="Vírgula 3 2 12 7" xfId="27852" xr:uid="{3C556CD6-B4CE-422E-BDB1-75F41684A610}"/>
    <cellStyle name="Vírgula 3 2 12 8" xfId="51946" xr:uid="{37AD2312-40C9-4289-A1B0-C567BCED8ED0}"/>
    <cellStyle name="Vírgula 3 2 12 9" xfId="55240" xr:uid="{D9682F78-6856-4B2D-8824-CE20181D56E7}"/>
    <cellStyle name="Vírgula 3 2 13" xfId="3820" xr:uid="{39B6F810-CC54-4F9A-B0EC-4069425AE3E5}"/>
    <cellStyle name="Vírgula 3 2 13 2" xfId="22042" xr:uid="{03F28764-4FD1-4431-BEA6-84BEDFF5CA8C}"/>
    <cellStyle name="Vírgula 3 2 13 2 2" xfId="42378" xr:uid="{CCF47EF5-B337-4906-8EA0-60CF2C92EE3D}"/>
    <cellStyle name="Vírgula 3 2 13 3" xfId="25294" xr:uid="{B9C9AFE7-7483-44D8-B58D-E1DAD508F9D5}"/>
    <cellStyle name="Vírgula 3 2 13 3 2" xfId="45629" xr:uid="{B0E5CB57-1FD4-4C14-9D16-4D7C1710830F}"/>
    <cellStyle name="Vírgula 3 2 13 4" xfId="12584" xr:uid="{BE0C8A7C-9145-43B2-8F59-B19A48618801}"/>
    <cellStyle name="Vírgula 3 2 13 4 2" xfId="32925" xr:uid="{090BE93C-21FE-4496-BF2A-7D5C2A39DFA1}"/>
    <cellStyle name="Vírgula 3 2 13 5" xfId="11751" xr:uid="{32A416B4-7A52-4BBE-9751-62B2DD3340F4}"/>
    <cellStyle name="Vírgula 3 2 13 5 2" xfId="32093" xr:uid="{1DCD52F0-4354-43D1-B08D-3719F1291ED4}"/>
    <cellStyle name="Vírgula 3 2 13 6" xfId="28599" xr:uid="{457C15D8-174F-4EB2-ADE5-6F52E8E6205D}"/>
    <cellStyle name="Vírgula 3 2 13 7" xfId="55970" xr:uid="{C7BAABB5-EABB-4C89-8A55-0E57D7CED9F6}"/>
    <cellStyle name="Vírgula 3 2 13 8" xfId="8255" xr:uid="{F87440C7-E7BC-4F90-85DA-6257ACA10FB5}"/>
    <cellStyle name="Vírgula 3 2 14" xfId="1730" xr:uid="{703C87E2-4937-4238-9990-97CFC5CFA1C2}"/>
    <cellStyle name="Vírgula 3 2 14 2" xfId="15469" xr:uid="{808127C6-B454-4648-9441-A3C6A1A220C2}"/>
    <cellStyle name="Vírgula 3 2 14 2 2" xfId="35809" xr:uid="{90089776-7AB7-4B16-9B12-3C6D3650BC49}"/>
    <cellStyle name="Vírgula 3 2 14 3" xfId="28794" xr:uid="{F41A8E68-AE73-4494-B37A-EA94125DA3CF}"/>
    <cellStyle name="Vírgula 3 2 14 4" xfId="8451" xr:uid="{3370EC0D-1BCC-45CB-93A5-4A9FC474F75D}"/>
    <cellStyle name="Vírgula 3 2 15" xfId="18383" xr:uid="{1B3D608C-4710-4059-BF82-7090147857F5}"/>
    <cellStyle name="Vírgula 3 2 15 2" xfId="38723" xr:uid="{42259705-AF0B-4FDE-962C-A02372114B08}"/>
    <cellStyle name="Vírgula 3 2 16" xfId="18971" xr:uid="{94324DB3-9983-46EF-9D02-A9D3928223D3}"/>
    <cellStyle name="Vírgula 3 2 16 2" xfId="39310" xr:uid="{2D8D6B8E-A9B8-4101-BF86-CCC8A2433E1A}"/>
    <cellStyle name="Vírgula 3 2 17" xfId="22226" xr:uid="{8D03B404-8C44-44AB-94F7-FFCB52F0D5C7}"/>
    <cellStyle name="Vírgula 3 2 17 2" xfId="42561" xr:uid="{2B254168-B859-473C-B66C-5566AD2C4249}"/>
    <cellStyle name="Vírgula 3 2 18" xfId="11943" xr:uid="{6BF86EDE-8B49-4B93-BBBE-8DE4E0573F1A}"/>
    <cellStyle name="Vírgula 3 2 18 2" xfId="32284" xr:uid="{F7B8AC0A-51CD-4901-B849-DE20D6E2A591}"/>
    <cellStyle name="Vírgula 3 2 19" xfId="8682" xr:uid="{2F7B47CE-20B6-4E5B-A833-E1B393C6285C}"/>
    <cellStyle name="Vírgula 3 2 19 2" xfId="29025" xr:uid="{2B0F682F-42CC-444F-A08C-0C7A7ED4F01C}"/>
    <cellStyle name="Vírgula 3 2 2" xfId="62" xr:uid="{5E4D153C-1C9C-4F37-8CCD-1126FF598B9B}"/>
    <cellStyle name="Vírgula 3 2 2 10" xfId="516" xr:uid="{991E5174-6573-45B5-A5C9-5F03BC58F50A}"/>
    <cellStyle name="Vírgula 3 2 2 10 10" xfId="8256" xr:uid="{D298DF55-0613-4959-BAD6-07F6C147FF53}"/>
    <cellStyle name="Vírgula 3 2 2 10 2" xfId="2232" xr:uid="{D953BD19-4F22-435D-9753-A3DA4C236AA7}"/>
    <cellStyle name="Vírgula 3 2 2 10 2 2" xfId="42379" xr:uid="{963B5C26-4C9D-4C87-A87F-79D882156AF5}"/>
    <cellStyle name="Vírgula 3 2 2 10 2 3" xfId="51950" xr:uid="{FA46E6D9-EF25-453B-BB05-88A8D4689C5E}"/>
    <cellStyle name="Vírgula 3 2 2 10 2 4" xfId="55244" xr:uid="{4529474D-D2E8-44EC-A290-DD3B09973F79}"/>
    <cellStyle name="Vírgula 3 2 2 10 2 5" xfId="22043" xr:uid="{D1B45C65-5458-47F6-AA78-F739ACD8E968}"/>
    <cellStyle name="Vírgula 3 2 2 10 3" xfId="25295" xr:uid="{8F45C3E4-2626-47C0-917E-C4F999751774}"/>
    <cellStyle name="Vírgula 3 2 2 10 3 2" xfId="45630" xr:uid="{718131EB-99F4-45BF-95E4-964994804826}"/>
    <cellStyle name="Vírgula 3 2 2 10 3 3" xfId="56387" xr:uid="{F1A5B73C-89CF-400E-B3CE-0BAE36A6E779}"/>
    <cellStyle name="Vírgula 3 2 2 10 4" xfId="15528" xr:uid="{858F197B-0ECD-469E-8A7D-1C1936EDA442}"/>
    <cellStyle name="Vírgula 3 2 2 10 4 2" xfId="35868" xr:uid="{06C382C7-A5D6-427A-A922-D0B7E913F968}"/>
    <cellStyle name="Vírgula 3 2 2 10 5" xfId="11752" xr:uid="{C5F46223-A47D-4BEA-ACF8-FBC1B2B272FB}"/>
    <cellStyle name="Vírgula 3 2 2 10 5 2" xfId="32094" xr:uid="{5AABCB5E-DE72-4A56-9C08-34BD6D18BB97}"/>
    <cellStyle name="Vírgula 3 2 2 10 6" xfId="28600" xr:uid="{7C4715A7-3515-45D3-B78A-2FCFFDDD2DE7}"/>
    <cellStyle name="Vírgula 3 2 2 10 7" xfId="48648" xr:uid="{60C67AE5-0600-4262-8FED-74066B9FE611}"/>
    <cellStyle name="Vírgula 3 2 2 10 8" xfId="50318" xr:uid="{E0294B82-1B5D-4E14-83B4-BDD78472A9F7}"/>
    <cellStyle name="Vírgula 3 2 2 10 9" xfId="53613" xr:uid="{F27A04E8-C12A-4C76-A4F7-8E7EA640D008}"/>
    <cellStyle name="Vírgula 3 2 2 11" xfId="2061" xr:uid="{F73CEF70-A89D-4861-AB52-21E9A6CF084C}"/>
    <cellStyle name="Vírgula 3 2 2 11 2" xfId="18442" xr:uid="{F00F8764-AA4E-45B2-AF18-8EDB601F9A4A}"/>
    <cellStyle name="Vírgula 3 2 2 11 2 2" xfId="38782" xr:uid="{2F7DBAE3-A1E2-41F3-843F-6D8455576063}"/>
    <cellStyle name="Vírgula 3 2 2 11 3" xfId="28822" xr:uid="{CEF31114-E3BA-4082-A690-B9EAD74F4F02}"/>
    <cellStyle name="Vírgula 3 2 2 11 4" xfId="51949" xr:uid="{774F6F8B-F4AC-4801-846A-BA40D6E76F93}"/>
    <cellStyle name="Vírgula 3 2 2 11 5" xfId="55243" xr:uid="{BDC4E760-04D9-49C9-99FA-6931A95050A1}"/>
    <cellStyle name="Vírgula 3 2 2 11 6" xfId="8479" xr:uid="{6B661CF9-35CE-49E6-81D7-D3B8C61EB3B9}"/>
    <cellStyle name="Vírgula 3 2 2 12" xfId="3394" xr:uid="{D76E6719-16EB-475E-AB3B-67667D5AFAAD}"/>
    <cellStyle name="Vírgula 3 2 2 12 2" xfId="39369" xr:uid="{B8D90F60-366F-4FBE-9FAD-8F4DB2FE3917}"/>
    <cellStyle name="Vírgula 3 2 2 12 3" xfId="55978" xr:uid="{E223B909-2417-4EA0-85D9-6D648AFD15C5}"/>
    <cellStyle name="Vírgula 3 2 2 12 4" xfId="19030" xr:uid="{76F772A7-DAF7-4A6F-B737-22EB7A668122}"/>
    <cellStyle name="Vírgula 3 2 2 13" xfId="3830" xr:uid="{ED226F8B-D9B7-49DF-AF33-509A0F5F3959}"/>
    <cellStyle name="Vírgula 3 2 2 13 2" xfId="42620" xr:uid="{A79B6F1B-D5A7-4D88-A376-556BA98E1CFD}"/>
    <cellStyle name="Vírgula 3 2 2 13 3" xfId="22285" xr:uid="{578ED6B9-0C47-4990-9617-6791AF549103}"/>
    <cellStyle name="Vírgula 3 2 2 14" xfId="1742" xr:uid="{6F2EC14E-EF97-45C6-93A1-3080E57724D4}"/>
    <cellStyle name="Vírgula 3 2 2 14 2" xfId="32343" xr:uid="{8333660E-E5F1-4EC8-A257-5691C8F03336}"/>
    <cellStyle name="Vírgula 3 2 2 14 3" xfId="12002" xr:uid="{4B06902F-E694-4DE4-BC3E-0950ACE1AA50}"/>
    <cellStyle name="Vírgula 3 2 2 15" xfId="8741" xr:uid="{DCEC3F85-F27C-4AFB-9AAC-6D779EDB1CB9}"/>
    <cellStyle name="Vírgula 3 2 2 15 2" xfId="29084" xr:uid="{F57E23D4-DEB2-4C2A-837C-B571817C245C}"/>
    <cellStyle name="Vírgula 3 2 2 16" xfId="25586" xr:uid="{97631E7B-6393-4B47-9FD7-F328B238A46C}"/>
    <cellStyle name="Vírgula 3 2 2 17" xfId="25501" xr:uid="{2BAF3F07-08B5-4B30-8EEB-3C78F14AE910}"/>
    <cellStyle name="Vírgula 3 2 2 18" xfId="45854" xr:uid="{3300BD91-3216-4AA7-8E8C-8FCB7A71BA08}"/>
    <cellStyle name="Vírgula 3 2 2 19" xfId="46340" xr:uid="{E580B091-00BA-4BB4-8890-9779EFB1EC39}"/>
    <cellStyle name="Vírgula 3 2 2 2" xfId="164" xr:uid="{296A33CD-EA62-4794-B64E-F1D09E2070B3}"/>
    <cellStyle name="Vírgula 3 2 2 2 10" xfId="1768" xr:uid="{2425E986-329B-4986-AB0D-A62A5C6B29EE}"/>
    <cellStyle name="Vírgula 3 2 2 2 10 2" xfId="32458" xr:uid="{A57E4249-D7EA-403F-B994-84AAB8BE78BD}"/>
    <cellStyle name="Vírgula 3 2 2 2 10 3" xfId="12117" xr:uid="{AD6D4EFE-1BF7-4249-A5A4-A0DC73433411}"/>
    <cellStyle name="Vírgula 3 2 2 2 11" xfId="8856" xr:uid="{47CFFAE7-E586-4E34-A2FD-DA63BF378FB0}"/>
    <cellStyle name="Vírgula 3 2 2 2 11 2" xfId="29199" xr:uid="{545CD31D-2935-4390-AE60-3BE914AD641A}"/>
    <cellStyle name="Vírgula 3 2 2 2 12" xfId="25705" xr:uid="{82D58A20-A24D-412B-B334-FE34B05AF527}"/>
    <cellStyle name="Vírgula 3 2 2 2 13" xfId="45914" xr:uid="{EFF932A1-A537-4A47-A9EA-0F5CB5DB91A7}"/>
    <cellStyle name="Vírgula 3 2 2 2 14" xfId="46400" xr:uid="{B5C27F9B-056E-4B03-B458-E1339E8721AA}"/>
    <cellStyle name="Vírgula 3 2 2 2 15" xfId="46892" xr:uid="{25C85B14-EFAA-454E-A6ED-E012210BD526}"/>
    <cellStyle name="Vírgula 3 2 2 2 16" xfId="47352" xr:uid="{0747FC6F-AE1A-4DCE-883A-F52B18342D4C}"/>
    <cellStyle name="Vírgula 3 2 2 2 17" xfId="47478" xr:uid="{B5D24CDE-108D-433E-9C67-968F46C9B892}"/>
    <cellStyle name="Vírgula 3 2 2 2 18" xfId="47604" xr:uid="{90E4B993-D5C9-479D-930F-F89F5CC99385}"/>
    <cellStyle name="Vírgula 3 2 2 2 19" xfId="48649" xr:uid="{8547879F-6D32-49D2-821F-911E2A51987B}"/>
    <cellStyle name="Vírgula 3 2 2 2 2" xfId="242" xr:uid="{CFEEC3CB-2096-4A71-96C1-00D22F2463A9}"/>
    <cellStyle name="Vírgula 3 2 2 2 2 10" xfId="12504" xr:uid="{99EE2291-BDB1-4480-B5EC-CC38C5A449CE}"/>
    <cellStyle name="Vírgula 3 2 2 2 2 10 2" xfId="32845" xr:uid="{D3EB1FB6-7116-491E-90D6-ECD1CB2E9859}"/>
    <cellStyle name="Vírgula 3 2 2 2 2 11" xfId="9243" xr:uid="{43681317-D5DC-432E-BF5E-0A95D76C9453}"/>
    <cellStyle name="Vírgula 3 2 2 2 2 11 2" xfId="29586" xr:uid="{7A1DDEFA-7301-4431-9692-8063A0149A33}"/>
    <cellStyle name="Vírgula 3 2 2 2 2 12" xfId="26092" xr:uid="{E23CDD1C-54C3-48F8-9F5C-1CBD7AF63DAC}"/>
    <cellStyle name="Vírgula 3 2 2 2 2 13" xfId="45995" xr:uid="{349B5550-E41B-437B-BE0D-32A5F0333E6F}"/>
    <cellStyle name="Vírgula 3 2 2 2 2 14" xfId="46481" xr:uid="{87456DD3-57CD-4B2B-B7BC-F46E34894D9E}"/>
    <cellStyle name="Vírgula 3 2 2 2 2 15" xfId="46973" xr:uid="{92BEF504-EC79-42A8-AA6B-AB228CA170CE}"/>
    <cellStyle name="Vírgula 3 2 2 2 2 16" xfId="47408" xr:uid="{E01014B0-6572-4DAD-8771-861E1FBA7B60}"/>
    <cellStyle name="Vírgula 3 2 2 2 2 17" xfId="47534" xr:uid="{1F77E088-953F-4677-9560-1A0167FDD426}"/>
    <cellStyle name="Vírgula 3 2 2 2 2 18" xfId="47660" xr:uid="{DC7972D4-E4FE-454C-8A08-9A4443DBCB65}"/>
    <cellStyle name="Vírgula 3 2 2 2 2 19" xfId="48650" xr:uid="{8A8247B5-0478-469A-BD91-BF75C55C781A}"/>
    <cellStyle name="Vírgula 3 2 2 2 2 2" xfId="431" xr:uid="{510616C4-7198-460F-91D5-661D3E097A57}"/>
    <cellStyle name="Vírgula 3 2 2 2 2 2 10" xfId="46724" xr:uid="{3066A965-83BF-46B7-ABDE-8C1F199B6E9A}"/>
    <cellStyle name="Vírgula 3 2 2 2 2 2 11" xfId="47216" xr:uid="{9627E326-E87F-4E61-8379-B27FEDAB99C2}"/>
    <cellStyle name="Vírgula 3 2 2 2 2 2 12" xfId="48651" xr:uid="{485D2188-F519-465C-8171-40B927980879}"/>
    <cellStyle name="Vírgula 3 2 2 2 2 2 13" xfId="50321" xr:uid="{27F8FA49-7553-47BF-A1C4-8B0404B3EAD3}"/>
    <cellStyle name="Vírgula 3 2 2 2 2 2 14" xfId="53616" xr:uid="{274624BB-DD80-4109-A9DB-AAB0E9F28852}"/>
    <cellStyle name="Vírgula 3 2 2 2 2 2 15" xfId="6325" xr:uid="{B52BD385-A6A7-499E-A733-402DD4D4CDFE}"/>
    <cellStyle name="Vírgula 3 2 2 2 2 2 16" xfId="4712" xr:uid="{F7D29E34-B37F-4CCC-95FB-C61F995C4516}"/>
    <cellStyle name="Vírgula 3 2 2 2 2 2 2" xfId="1247" xr:uid="{714791C0-BD21-4FCA-931B-C9024ED32B01}"/>
    <cellStyle name="Vírgula 3 2 2 2 2 2 2 10" xfId="53617" xr:uid="{4B115F35-CED3-46B0-8783-BDFE14F82A38}"/>
    <cellStyle name="Vírgula 3 2 2 2 2 2 2 11" xfId="7483" xr:uid="{4C8126BC-94CF-4BF4-88B6-EB603D2C3577}"/>
    <cellStyle name="Vírgula 3 2 2 2 2 2 2 2" xfId="2908" xr:uid="{D31E901D-4FED-43AF-8BF7-CF58D20F3E22}"/>
    <cellStyle name="Vírgula 3 2 2 2 2 2 2 2 2" xfId="38109" xr:uid="{84BE260F-4813-4ACB-85AB-E680B192008C}"/>
    <cellStyle name="Vírgula 3 2 2 2 2 2 2 2 3" xfId="51954" xr:uid="{8531967D-2237-41CC-9011-93BE98953B1D}"/>
    <cellStyle name="Vírgula 3 2 2 2 2 2 2 2 4" xfId="55248" xr:uid="{8083DBC1-70EC-4A33-8992-07880B18203E}"/>
    <cellStyle name="Vírgula 3 2 2 2 2 2 2 2 5" xfId="17769" xr:uid="{DC6919E4-1C32-4145-90F6-37FE8E4F3B07}"/>
    <cellStyle name="Vírgula 3 2 2 2 2 2 2 3" xfId="21271" xr:uid="{CA30F377-260C-48A3-B90F-52424F0D3222}"/>
    <cellStyle name="Vírgula 3 2 2 2 2 2 2 3 2" xfId="41610" xr:uid="{F3D799F9-0FFE-4BB2-857C-15F96A3CA182}"/>
    <cellStyle name="Vírgula 3 2 2 2 2 2 2 3 3" xfId="57118" xr:uid="{28B911BC-8343-4314-9D30-469945096F6F}"/>
    <cellStyle name="Vírgula 3 2 2 2 2 2 2 4" xfId="24526" xr:uid="{B8E526B9-A20E-4D68-8B43-3E0A4CD6833A}"/>
    <cellStyle name="Vírgula 3 2 2 2 2 2 2 4 2" xfId="44861" xr:uid="{D2986341-FE0E-44C9-A102-14908950A7B9}"/>
    <cellStyle name="Vírgula 3 2 2 2 2 2 2 5" xfId="14860" xr:uid="{BEFCD82C-2612-458F-AB01-A257A875BD36}"/>
    <cellStyle name="Vírgula 3 2 2 2 2 2 2 5 2" xfId="35201" xr:uid="{B33E1D45-CECA-4F40-9E93-BFDF9AA11155}"/>
    <cellStyle name="Vírgula 3 2 2 2 2 2 2 6" xfId="10982" xr:uid="{9CE66361-1AD7-4636-AE86-75F60A81BA4B}"/>
    <cellStyle name="Vírgula 3 2 2 2 2 2 2 6 2" xfId="31325" xr:uid="{063C8110-357D-444A-81FD-3539A7EB3EBA}"/>
    <cellStyle name="Vírgula 3 2 2 2 2 2 2 7" xfId="27831" xr:uid="{672C3E55-BFA8-4791-94B4-73C8293FEAC5}"/>
    <cellStyle name="Vírgula 3 2 2 2 2 2 2 8" xfId="48652" xr:uid="{8C4A283B-7E81-4542-A33B-D1B77D1B252E}"/>
    <cellStyle name="Vírgula 3 2 2 2 2 2 2 9" xfId="50322" xr:uid="{BCED297B-29F6-48E2-B505-C969307D04F8}"/>
    <cellStyle name="Vírgula 3 2 2 2 2 2 3" xfId="1653" xr:uid="{F843FE93-80AA-4DAC-86F1-6353ACA4A800}"/>
    <cellStyle name="Vírgula 3 2 2 2 2 2 3 2" xfId="3313" xr:uid="{808C83A2-8F19-42A1-AC20-D3A4DB59CF02}"/>
    <cellStyle name="Vírgula 3 2 2 2 2 2 3 2 2" xfId="51955" xr:uid="{768206C9-4E9F-4598-BCF7-E4E0F8D19295}"/>
    <cellStyle name="Vírgula 3 2 2 2 2 2 3 2 3" xfId="55249" xr:uid="{3F02C297-9ED4-44F0-9E7D-62EFB0C4A11B}"/>
    <cellStyle name="Vírgula 3 2 2 2 2 2 3 2 4" xfId="36951" xr:uid="{4DF91DCF-8B0A-4B59-BD2F-B913096AB513}"/>
    <cellStyle name="Vírgula 3 2 2 2 2 2 3 3" xfId="48653" xr:uid="{98CA173F-D77A-4E13-8FFB-5CDC901E85DD}"/>
    <cellStyle name="Vírgula 3 2 2 2 2 2 3 3 2" xfId="57524" xr:uid="{1CDC0DE5-A59C-4EB5-BEB8-5C4D44837697}"/>
    <cellStyle name="Vírgula 3 2 2 2 2 2 3 4" xfId="50323" xr:uid="{5781AAF2-C3A1-43BA-9663-63B74EDD1138}"/>
    <cellStyle name="Vírgula 3 2 2 2 2 2 3 5" xfId="53618" xr:uid="{065E1BCC-DC63-4D1F-9F4A-82A0CF391CC5}"/>
    <cellStyle name="Vírgula 3 2 2 2 2 2 3 6" xfId="16611" xr:uid="{417F5818-30FB-4A0B-9C0D-75069A982102}"/>
    <cellStyle name="Vírgula 3 2 2 2 2 2 4" xfId="840" xr:uid="{B51C548C-5C17-4DD9-98A7-760EBDAD07A9}"/>
    <cellStyle name="Vírgula 3 2 2 2 2 2 4 2" xfId="2556" xr:uid="{85BB4E1D-1E64-4C94-8AFE-41DC7E111DD9}"/>
    <cellStyle name="Vírgula 3 2 2 2 2 2 4 2 2" xfId="51956" xr:uid="{DB3A3827-28EC-4846-9968-E718F3A1A50D}"/>
    <cellStyle name="Vírgula 3 2 2 2 2 2 4 2 3" xfId="55250" xr:uid="{3202E22D-F882-4A9E-AD0F-F5F72B1C361F}"/>
    <cellStyle name="Vírgula 3 2 2 2 2 2 4 2 4" xfId="40452" xr:uid="{F0C23536-964C-40C5-857F-1D379E4885F4}"/>
    <cellStyle name="Vírgula 3 2 2 2 2 2 4 3" xfId="48654" xr:uid="{ACF5C512-D439-46BC-A459-6824DF645F04}"/>
    <cellStyle name="Vírgula 3 2 2 2 2 2 4 3 2" xfId="56711" xr:uid="{D8D4F51F-4103-4485-AF0B-545A87972156}"/>
    <cellStyle name="Vírgula 3 2 2 2 2 2 4 4" xfId="50324" xr:uid="{7377352F-EE12-42E4-8286-D202CA522B63}"/>
    <cellStyle name="Vírgula 3 2 2 2 2 2 4 5" xfId="53619" xr:uid="{213602D7-A098-4776-94B6-FF51B17D7493}"/>
    <cellStyle name="Vírgula 3 2 2 2 2 2 4 6" xfId="20113" xr:uid="{654C2D2B-E10B-469C-9D9D-D2E9046AF6E7}"/>
    <cellStyle name="Vírgula 3 2 2 2 2 2 5" xfId="3694" xr:uid="{706C28E6-79CB-47FC-B29E-92655B6610AC}"/>
    <cellStyle name="Vírgula 3 2 2 2 2 2 5 2" xfId="43703" xr:uid="{6B9EB43A-5EF3-4B22-A228-601A6828348E}"/>
    <cellStyle name="Vírgula 3 2 2 2 2 2 5 3" xfId="51953" xr:uid="{9FAB72BB-FB06-430F-A7A9-863E8DB2A882}"/>
    <cellStyle name="Vírgula 3 2 2 2 2 2 5 4" xfId="55247" xr:uid="{E17BBFBD-B350-4C33-AE90-EA02DE33BEF4}"/>
    <cellStyle name="Vírgula 3 2 2 2 2 2 5 5" xfId="23368" xr:uid="{09BC424B-1CCF-40CD-9B56-11AD074B6FCA}"/>
    <cellStyle name="Vírgula 3 2 2 2 2 2 6" xfId="2043" xr:uid="{352ECF98-CB97-473A-A6AB-CC3D7D829980}"/>
    <cellStyle name="Vírgula 3 2 2 2 2 2 6 2" xfId="34043" xr:uid="{BB55BAA3-5841-49C8-85FF-9130254CD8CF}"/>
    <cellStyle name="Vírgula 3 2 2 2 2 2 6 3" xfId="56302" xr:uid="{06C0FB4B-6F3A-4D2C-B457-35DE1165B523}"/>
    <cellStyle name="Vírgula 3 2 2 2 2 2 6 4" xfId="13702" xr:uid="{025BA5E9-DD3E-4CB0-AB34-34837C45B7C3}"/>
    <cellStyle name="Vírgula 3 2 2 2 2 2 7" xfId="9824" xr:uid="{92A47AE2-B361-447D-892F-F1D412567BFC}"/>
    <cellStyle name="Vírgula 3 2 2 2 2 2 7 2" xfId="30167" xr:uid="{5E0D6264-AE62-4DE3-8216-CD57A463279B}"/>
    <cellStyle name="Vírgula 3 2 2 2 2 2 8" xfId="26673" xr:uid="{3405C23F-7FF7-4240-9B49-B12A37906E24}"/>
    <cellStyle name="Vírgula 3 2 2 2 2 2 9" xfId="46238" xr:uid="{09563D1D-1F37-41BD-B515-383D5FC1D5C0}"/>
    <cellStyle name="Vírgula 3 2 2 2 2 20" xfId="50320" xr:uid="{119E6525-A7CA-4362-AC8E-F23A4FED1D2B}"/>
    <cellStyle name="Vírgula 3 2 2 2 2 21" xfId="53615" xr:uid="{D24497B6-9670-4671-B0F8-CFB8CFF6AE54}"/>
    <cellStyle name="Vírgula 3 2 2 2 2 22" xfId="5748" xr:uid="{BBFBBECD-DB39-4E1B-912D-A80649DA3EC9}"/>
    <cellStyle name="Vírgula 3 2 2 2 2 23" xfId="4523" xr:uid="{89754449-679F-4BE4-B6A9-BBCF6D807F75}"/>
    <cellStyle name="Vírgula 3 2 2 2 2 3" xfId="1058" xr:uid="{F797856C-9893-4398-A189-26C002BDDF86}"/>
    <cellStyle name="Vírgula 3 2 2 2 2 3 10" xfId="53620" xr:uid="{3FB2780A-E1E6-4685-B9F4-9B41EB9B0FEF}"/>
    <cellStyle name="Vírgula 3 2 2 2 2 3 11" xfId="6902" xr:uid="{6530BC01-79BB-4BF1-9FB1-2BF9C39C29D7}"/>
    <cellStyle name="Vírgula 3 2 2 2 2 3 12" xfId="5113" xr:uid="{D7C5B1C7-81EA-4483-8B2F-3927BAC6D139}"/>
    <cellStyle name="Vírgula 3 2 2 2 2 3 2" xfId="3585" xr:uid="{E75ED64F-8165-4190-9D10-EC6D8C2942C9}"/>
    <cellStyle name="Vírgula 3 2 2 2 2 3 2 2" xfId="37528" xr:uid="{BFF255CA-95F7-43FA-951F-799CA47DCDBB}"/>
    <cellStyle name="Vírgula 3 2 2 2 2 3 2 3" xfId="51957" xr:uid="{78A9B772-E6A3-4FA3-BFEC-E5E95BEC2003}"/>
    <cellStyle name="Vírgula 3 2 2 2 2 3 2 4" xfId="55251" xr:uid="{A7847BA5-D375-4CD3-81C7-AE7567D66734}"/>
    <cellStyle name="Vírgula 3 2 2 2 2 3 2 5" xfId="17188" xr:uid="{EC806660-B290-4A0A-A424-B6FBD92B1AE4}"/>
    <cellStyle name="Vírgula 3 2 2 2 2 3 3" xfId="1934" xr:uid="{2C30A997-2E3F-416F-BE44-8F6C8E5F07E8}"/>
    <cellStyle name="Vírgula 3 2 2 2 2 3 3 2" xfId="41029" xr:uid="{5DA4CE91-4F26-4F1E-868B-DAE134BA7380}"/>
    <cellStyle name="Vírgula 3 2 2 2 2 3 3 3" xfId="56929" xr:uid="{B1D07EE2-2B11-4C1E-B0EC-2455DF59EEC8}"/>
    <cellStyle name="Vírgula 3 2 2 2 2 3 3 4" xfId="20690" xr:uid="{5AE4DDF8-FFDA-4175-8434-F609AAB553BE}"/>
    <cellStyle name="Vírgula 3 2 2 2 2 3 4" xfId="23945" xr:uid="{4E73DE16-E5D7-4799-B4B1-745546907A54}"/>
    <cellStyle name="Vírgula 3 2 2 2 2 3 4 2" xfId="44280" xr:uid="{F9F64DBC-DECE-40AF-9EDA-A58A1E0BA7CF}"/>
    <cellStyle name="Vírgula 3 2 2 2 2 3 5" xfId="14279" xr:uid="{654D1866-0B64-4A0A-8064-32BCB1B70151}"/>
    <cellStyle name="Vírgula 3 2 2 2 2 3 5 2" xfId="34620" xr:uid="{33453BD2-0E47-4C16-A16D-46A68C24B86C}"/>
    <cellStyle name="Vírgula 3 2 2 2 2 3 6" xfId="10401" xr:uid="{3232D14D-7A22-482C-87EA-5291C2C82EE1}"/>
    <cellStyle name="Vírgula 3 2 2 2 2 3 6 2" xfId="30744" xr:uid="{3C7FD7F3-1496-4561-A891-A35DE81583A9}"/>
    <cellStyle name="Vírgula 3 2 2 2 2 3 7" xfId="27250" xr:uid="{DE12C661-BBCE-406F-AC35-BE8F29C0ABFB}"/>
    <cellStyle name="Vírgula 3 2 2 2 2 3 8" xfId="48655" xr:uid="{7A2A4823-2CC4-4E38-BCD7-5551308CE93C}"/>
    <cellStyle name="Vírgula 3 2 2 2 2 3 9" xfId="50325" xr:uid="{76A93A79-F129-4A7F-877E-688698D1E95E}"/>
    <cellStyle name="Vírgula 3 2 2 2 2 4" xfId="1464" xr:uid="{6D35FC58-40BB-4EAD-AA67-753C83D57066}"/>
    <cellStyle name="Vírgula 3 2 2 2 2 4 10" xfId="53621" xr:uid="{16AABBE3-9484-4E23-83D4-33AF57D632ED}"/>
    <cellStyle name="Vírgula 3 2 2 2 2 4 11" xfId="8066" xr:uid="{3AD142C6-3EF0-4778-A0D3-05155868C293}"/>
    <cellStyle name="Vírgula 3 2 2 2 2 4 2" xfId="3803" xr:uid="{E6CB00CF-DA43-4283-9983-4C20AECD2888}"/>
    <cellStyle name="Vírgula 3 2 2 2 2 4 2 2" xfId="38691" xr:uid="{60F87BB5-3712-4D29-844F-DD11B11C6DF7}"/>
    <cellStyle name="Vírgula 3 2 2 2 2 4 2 3" xfId="51958" xr:uid="{FE9199D5-A00C-4469-8FD9-5B82EE72E6FD}"/>
    <cellStyle name="Vírgula 3 2 2 2 2 4 2 4" xfId="55252" xr:uid="{815CAB13-37A6-4966-8E6F-59DEFE35444D}"/>
    <cellStyle name="Vírgula 3 2 2 2 2 4 2 5" xfId="18351" xr:uid="{95171DAD-533A-4F25-AE09-3E54FA7A6EDB}"/>
    <cellStyle name="Vírgula 3 2 2 2 2 4 3" xfId="3125" xr:uid="{BDEFF7E4-4639-427B-AC25-4480D3D69DBC}"/>
    <cellStyle name="Vírgula 3 2 2 2 2 4 3 2" xfId="42192" xr:uid="{441D5FBD-27EE-4A98-A7AB-E2B460632099}"/>
    <cellStyle name="Vírgula 3 2 2 2 2 4 3 3" xfId="57335" xr:uid="{7B714B9E-40D8-443A-B150-C5CDE43ED831}"/>
    <cellStyle name="Vírgula 3 2 2 2 2 4 3 4" xfId="21853" xr:uid="{1301F9AC-65A3-45DA-B828-1931C8BC97B4}"/>
    <cellStyle name="Vírgula 3 2 2 2 2 4 4" xfId="25108" xr:uid="{67AEFF94-0551-45C7-BB22-5D17FA3ED1DC}"/>
    <cellStyle name="Vírgula 3 2 2 2 2 4 4 2" xfId="45443" xr:uid="{CD741BD0-529A-46C4-8B51-A289703B9A8F}"/>
    <cellStyle name="Vírgula 3 2 2 2 2 4 5" xfId="15443" xr:uid="{2F9549E2-0D67-475E-A430-34099ACE554B}"/>
    <cellStyle name="Vírgula 3 2 2 2 2 4 5 2" xfId="35783" xr:uid="{87DD3DD6-E6D4-4957-BDD0-F4EB39F94ABF}"/>
    <cellStyle name="Vírgula 3 2 2 2 2 4 6" xfId="11564" xr:uid="{D616F3FA-D478-41DD-8382-3EC993345195}"/>
    <cellStyle name="Vírgula 3 2 2 2 2 4 6 2" xfId="31907" xr:uid="{FDD6A312-2237-4D59-A8AC-EE4F38CF9547}"/>
    <cellStyle name="Vírgula 3 2 2 2 2 4 7" xfId="28413" xr:uid="{3C248F50-5014-4CAA-8886-AD4EA72A119C}"/>
    <cellStyle name="Vírgula 3 2 2 2 2 4 8" xfId="48656" xr:uid="{EF0793B0-C852-4B25-AE60-C5594C0D0CAA}"/>
    <cellStyle name="Vírgula 3 2 2 2 2 4 9" xfId="50326" xr:uid="{1B2CEC9E-461B-4CF8-917C-444E9F242A3D}"/>
    <cellStyle name="Vírgula 3 2 2 2 2 5" xfId="651" xr:uid="{CB5553DF-85D6-48EB-93A9-06EFAB8C54F5}"/>
    <cellStyle name="Vírgula 3 2 2 2 2 5 10" xfId="8258" xr:uid="{A8DC0245-73DA-41A0-A49A-08AF100BA4B4}"/>
    <cellStyle name="Vírgula 3 2 2 2 2 5 2" xfId="2367" xr:uid="{68BDC04F-670D-4C07-B89A-AC85C084703C}"/>
    <cellStyle name="Vírgula 3 2 2 2 2 5 2 2" xfId="42381" xr:uid="{296F3C81-CDED-4501-8FC8-C622C8F6DFDB}"/>
    <cellStyle name="Vírgula 3 2 2 2 2 5 2 3" xfId="51959" xr:uid="{C9350F38-FFD6-44FD-9D4D-3C461591AB9B}"/>
    <cellStyle name="Vírgula 3 2 2 2 2 5 2 4" xfId="55253" xr:uid="{212EB457-4E6A-4B7E-8C42-1EC0854C2AAC}"/>
    <cellStyle name="Vírgula 3 2 2 2 2 5 2 5" xfId="22045" xr:uid="{10EE79A7-4F27-4ED0-AB05-BAE3D99CD4D3}"/>
    <cellStyle name="Vírgula 3 2 2 2 2 5 3" xfId="25297" xr:uid="{8C99653E-10EF-446C-8349-9C9D2A4FCD40}"/>
    <cellStyle name="Vírgula 3 2 2 2 2 5 3 2" xfId="45632" xr:uid="{E0F01BD9-F8C5-4DD6-AFBC-15CB238297ED}"/>
    <cellStyle name="Vírgula 3 2 2 2 2 5 3 3" xfId="56522" xr:uid="{53C104C3-9614-4299-8767-D0A917E99FA9}"/>
    <cellStyle name="Vírgula 3 2 2 2 2 5 4" xfId="13133" xr:uid="{71972A9D-0742-488D-B0D6-93209A9865E3}"/>
    <cellStyle name="Vírgula 3 2 2 2 2 5 4 2" xfId="33474" xr:uid="{08CCCF8E-6AAF-4F70-8F6E-2CB9EB2E0CEA}"/>
    <cellStyle name="Vírgula 3 2 2 2 2 5 5" xfId="11754" xr:uid="{0324C099-D572-4466-8875-F8DEC5B6AC08}"/>
    <cellStyle name="Vírgula 3 2 2 2 2 5 5 2" xfId="32096" xr:uid="{C26D7D06-E60E-4212-84B2-B781DE997C13}"/>
    <cellStyle name="Vírgula 3 2 2 2 2 5 6" xfId="28602" xr:uid="{41056B08-34C8-4A38-A87E-A094D047A367}"/>
    <cellStyle name="Vírgula 3 2 2 2 2 5 7" xfId="48657" xr:uid="{910E4570-CD41-4DC0-A318-3E21BEA2983B}"/>
    <cellStyle name="Vírgula 3 2 2 2 2 5 8" xfId="50327" xr:uid="{85F9B69E-64F3-48DA-84A4-61A506940FDA}"/>
    <cellStyle name="Vírgula 3 2 2 2 2 5 9" xfId="53622" xr:uid="{7C2C02A7-91F0-472B-8525-D35B621A1E49}"/>
    <cellStyle name="Vírgula 3 2 2 2 2 6" xfId="3475" xr:uid="{BA64E8AC-78E0-4AED-9260-7ED38958E8D5}"/>
    <cellStyle name="Vírgula 3 2 2 2 2 6 2" xfId="16030" xr:uid="{2A460948-912E-4A03-B031-4DCBA2FA82F4}"/>
    <cellStyle name="Vírgula 3 2 2 2 2 6 2 2" xfId="36370" xr:uid="{DABE995F-4F72-4FDC-98A4-E7D02D8D10B8}"/>
    <cellStyle name="Vírgula 3 2 2 2 2 6 3" xfId="28963" xr:uid="{23A1B6E2-9460-4B24-B186-1904EAEB956E}"/>
    <cellStyle name="Vírgula 3 2 2 2 2 6 4" xfId="51952" xr:uid="{BC9E5ADF-EDE8-4D96-A46E-C038EA5C989D}"/>
    <cellStyle name="Vírgula 3 2 2 2 2 6 5" xfId="55246" xr:uid="{281BCB0D-EB71-4F92-A933-C5044B6E3B40}"/>
    <cellStyle name="Vírgula 3 2 2 2 2 6 6" xfId="8620" xr:uid="{26DB08B7-FD56-4683-A3EC-A306B2F58A69}"/>
    <cellStyle name="Vírgula 3 2 2 2 2 7" xfId="4114" xr:uid="{3B7F2348-694F-45F6-9064-81934E8E6023}"/>
    <cellStyle name="Vírgula 3 2 2 2 2 7 2" xfId="39284" xr:uid="{57D8C378-1587-4EBF-BFF0-009079762EA8}"/>
    <cellStyle name="Vírgula 3 2 2 2 2 7 3" xfId="56113" xr:uid="{523C3052-0139-44D2-8A27-A2E67391ABA8}"/>
    <cellStyle name="Vírgula 3 2 2 2 2 7 4" xfId="18944" xr:uid="{EE8F3E81-D2CE-4A0B-985B-44C42059AF87}"/>
    <cellStyle name="Vírgula 3 2 2 2 2 8" xfId="1824" xr:uid="{1B864C63-E529-40EC-A30A-2942811D8EF5}"/>
    <cellStyle name="Vírgula 3 2 2 2 2 8 2" xfId="39871" xr:uid="{1A4071E5-BB51-46C0-922E-DA2899FD5884}"/>
    <cellStyle name="Vírgula 3 2 2 2 2 8 3" xfId="19532" xr:uid="{C714208A-60C8-4D24-AEDA-D8C7697ACE7A}"/>
    <cellStyle name="Vírgula 3 2 2 2 2 9" xfId="22787" xr:uid="{9D038394-A48E-4EDF-A387-94A8F61EE699}"/>
    <cellStyle name="Vírgula 3 2 2 2 2 9 2" xfId="43122" xr:uid="{6CC1700A-4B0F-4A3B-B583-9E273FC7E4BF}"/>
    <cellStyle name="Vírgula 3 2 2 2 20" xfId="50319" xr:uid="{D7A811F9-7C80-4568-B880-467A4828BD59}"/>
    <cellStyle name="Vírgula 3 2 2 2 21" xfId="53614" xr:uid="{BE5AB4F1-5309-4BE4-B79F-BE6E21ABE838}"/>
    <cellStyle name="Vírgula 3 2 2 2 22" xfId="5377" xr:uid="{37364336-F591-47DF-BEA3-12857C1D08B2}"/>
    <cellStyle name="Vírgula 3 2 2 2 23" xfId="4445" xr:uid="{F0166094-83D4-4487-B3A2-D7506D5A3448}"/>
    <cellStyle name="Vírgula 3 2 2 2 3" xfId="294" xr:uid="{9E5D340C-37E7-470F-A77C-CC85E25A46BB}"/>
    <cellStyle name="Vírgula 3 2 2 2 3 10" xfId="46643" xr:uid="{445804B9-02AA-47CE-BB81-3850DAB94E96}"/>
    <cellStyle name="Vírgula 3 2 2 2 3 11" xfId="47135" xr:uid="{D6B230F4-96B2-4E1F-8EDB-87EC1D0FE8E2}"/>
    <cellStyle name="Vírgula 3 2 2 2 3 12" xfId="48658" xr:uid="{F047E6BE-AFDB-4534-A8BB-0EB382389153}"/>
    <cellStyle name="Vírgula 3 2 2 2 3 13" xfId="50328" xr:uid="{53C72E74-B14C-410F-A034-93213DCDFD3B}"/>
    <cellStyle name="Vírgula 3 2 2 2 3 14" xfId="53623" xr:uid="{ADE1395E-2D0C-4073-87C6-286DDFF6E642}"/>
    <cellStyle name="Vírgula 3 2 2 2 3 15" xfId="5938" xr:uid="{410734A9-BA34-4981-AC34-06FAF8DCC8ED}"/>
    <cellStyle name="Vírgula 3 2 2 2 3 16" xfId="4575" xr:uid="{091FFE42-933C-4C95-AFB0-6C927DCB1AAD}"/>
    <cellStyle name="Vírgula 3 2 2 2 3 2" xfId="483" xr:uid="{D48F1BA3-A3CF-4827-9561-07E5A93F0728}"/>
    <cellStyle name="Vírgula 3 2 2 2 3 2 10" xfId="53624" xr:uid="{6370E1B5-7D07-44F8-BCBF-B8983079CB73}"/>
    <cellStyle name="Vírgula 3 2 2 2 3 2 11" xfId="7096" xr:uid="{644FEC41-DD37-4E16-B956-701C3AB1A204}"/>
    <cellStyle name="Vírgula 3 2 2 2 3 2 12" xfId="4764" xr:uid="{3193BDE6-6B05-4CD8-9C00-2C1F12DA4C48}"/>
    <cellStyle name="Vírgula 3 2 2 2 3 2 2" xfId="1299" xr:uid="{4BFEB4C2-0250-4219-97BA-32011F129F43}"/>
    <cellStyle name="Vírgula 3 2 2 2 3 2 2 2" xfId="2960" xr:uid="{69133E4F-B1C4-4CFA-8375-D4B9D496E678}"/>
    <cellStyle name="Vírgula 3 2 2 2 3 2 2 2 2" xfId="51962" xr:uid="{92740272-45BA-403A-87EC-49FCE9635B43}"/>
    <cellStyle name="Vírgula 3 2 2 2 3 2 2 2 3" xfId="55256" xr:uid="{8D70AD28-2C10-4EAF-AFA2-D8FE3F20D373}"/>
    <cellStyle name="Vírgula 3 2 2 2 3 2 2 2 4" xfId="37722" xr:uid="{ED8BF568-439D-4B6B-BD3A-54DC5276E99F}"/>
    <cellStyle name="Vírgula 3 2 2 2 3 2 2 3" xfId="48660" xr:uid="{02EF4431-09E9-4422-921E-2E57F175EFF0}"/>
    <cellStyle name="Vírgula 3 2 2 2 3 2 2 3 2" xfId="57170" xr:uid="{25D409FE-2480-4A46-999B-FCBB31E1DBF4}"/>
    <cellStyle name="Vírgula 3 2 2 2 3 2 2 4" xfId="50330" xr:uid="{43205167-CED1-4F52-8F5D-EC7F6809E771}"/>
    <cellStyle name="Vírgula 3 2 2 2 3 2 2 5" xfId="53625" xr:uid="{469FDC4C-550F-4F95-BA7B-9E1FE900A49E}"/>
    <cellStyle name="Vírgula 3 2 2 2 3 2 2 6" xfId="17382" xr:uid="{E23DEBE3-831D-4EE6-A4E2-FD6BB6C03C8C}"/>
    <cellStyle name="Vírgula 3 2 2 2 3 2 3" xfId="1705" xr:uid="{87F647F4-5D80-4F06-BA51-DA25D2AC7B37}"/>
    <cellStyle name="Vírgula 3 2 2 2 3 2 3 2" xfId="3365" xr:uid="{902D3C98-B1EA-46EB-A66F-1EDBE867AA05}"/>
    <cellStyle name="Vírgula 3 2 2 2 3 2 3 2 2" xfId="51963" xr:uid="{FC2B1655-708A-4EC5-85DC-C1BF25FCEE4F}"/>
    <cellStyle name="Vírgula 3 2 2 2 3 2 3 2 3" xfId="55257" xr:uid="{BA333339-D19A-45D1-B812-EED7EC6778F0}"/>
    <cellStyle name="Vírgula 3 2 2 2 3 2 3 2 4" xfId="41223" xr:uid="{89FFEECE-B72B-47BA-B935-409E4FF7135F}"/>
    <cellStyle name="Vírgula 3 2 2 2 3 2 3 3" xfId="48661" xr:uid="{76AD0C09-640C-499C-B347-86B3EBB534FA}"/>
    <cellStyle name="Vírgula 3 2 2 2 3 2 3 3 2" xfId="57576" xr:uid="{2ADACD6D-BE35-4FD5-A798-04C09DEF94CD}"/>
    <cellStyle name="Vírgula 3 2 2 2 3 2 3 4" xfId="50331" xr:uid="{FDBB75DA-8A3B-4075-BA28-877D7B45E2E1}"/>
    <cellStyle name="Vírgula 3 2 2 2 3 2 3 5" xfId="53626" xr:uid="{3BDE83BA-47BB-4D38-889A-8422E0344208}"/>
    <cellStyle name="Vírgula 3 2 2 2 3 2 3 6" xfId="20884" xr:uid="{349A13E2-EB5E-4580-9608-756D2C25311B}"/>
    <cellStyle name="Vírgula 3 2 2 2 3 2 4" xfId="892" xr:uid="{C7899BF8-97C4-4344-BADA-CCE33E65122A}"/>
    <cellStyle name="Vírgula 3 2 2 2 3 2 4 2" xfId="2608" xr:uid="{73D3AC2D-82F0-4019-9057-8197F3DD7353}"/>
    <cellStyle name="Vírgula 3 2 2 2 3 2 4 2 2" xfId="51964" xr:uid="{BBFF5C68-3489-4913-842C-C677F4AC6F90}"/>
    <cellStyle name="Vírgula 3 2 2 2 3 2 4 2 3" xfId="55258" xr:uid="{479120BB-4A98-4D9C-BBF4-665F8028D585}"/>
    <cellStyle name="Vírgula 3 2 2 2 3 2 4 2 4" xfId="44474" xr:uid="{B2B98053-7474-44F8-9F3F-5593C70EA942}"/>
    <cellStyle name="Vírgula 3 2 2 2 3 2 4 3" xfId="48662" xr:uid="{C9740CB1-BAEE-463A-80C3-E07D7CC9BE2C}"/>
    <cellStyle name="Vírgula 3 2 2 2 3 2 4 3 2" xfId="56763" xr:uid="{874B0C84-4ABD-4E98-962E-5640F2EA7EA5}"/>
    <cellStyle name="Vírgula 3 2 2 2 3 2 4 4" xfId="50332" xr:uid="{2AB45495-61AE-4D20-A7D4-65CC781DA815}"/>
    <cellStyle name="Vírgula 3 2 2 2 3 2 4 5" xfId="53627" xr:uid="{62852007-DECF-464E-AA98-00E5FB2D140B}"/>
    <cellStyle name="Vírgula 3 2 2 2 3 2 4 6" xfId="24139" xr:uid="{DA31BE5D-004E-43FB-9D75-F3BAFF8B2E24}"/>
    <cellStyle name="Vírgula 3 2 2 2 3 2 5" xfId="2200" xr:uid="{5B30CADD-26F0-4C02-A657-B8E1F9CEDCD9}"/>
    <cellStyle name="Vírgula 3 2 2 2 3 2 5 2" xfId="34814" xr:uid="{360A00BC-4E9C-4AD1-A3B7-D4B072FA2040}"/>
    <cellStyle name="Vírgula 3 2 2 2 3 2 5 3" xfId="51961" xr:uid="{899E935F-F35E-4A4B-A8B8-5D43321E8AEE}"/>
    <cellStyle name="Vírgula 3 2 2 2 3 2 5 4" xfId="55255" xr:uid="{ED57D779-171E-4A98-BFFF-A539D2DDDB8E}"/>
    <cellStyle name="Vírgula 3 2 2 2 3 2 5 5" xfId="14473" xr:uid="{9AFF1704-C42F-4454-9003-A0F3F0A8871D}"/>
    <cellStyle name="Vírgula 3 2 2 2 3 2 6" xfId="10595" xr:uid="{FAD50AAF-C2EE-4A1A-B078-21E03E180E41}"/>
    <cellStyle name="Vírgula 3 2 2 2 3 2 6 2" xfId="30938" xr:uid="{48D6E1A7-767D-428B-A573-59208A27F924}"/>
    <cellStyle name="Vírgula 3 2 2 2 3 2 6 3" xfId="56354" xr:uid="{1A05C0B9-8B65-46B5-8219-9C0107203ED8}"/>
    <cellStyle name="Vírgula 3 2 2 2 3 2 7" xfId="27444" xr:uid="{20AAD6D5-8452-4042-B1E1-CBD6684DE938}"/>
    <cellStyle name="Vírgula 3 2 2 2 3 2 8" xfId="48659" xr:uid="{80AD47C4-878E-45B7-A070-692DBC8ECA56}"/>
    <cellStyle name="Vírgula 3 2 2 2 3 2 9" xfId="50329" xr:uid="{06BC00E9-EC6A-4533-9A57-7D2B2E1D4C75}"/>
    <cellStyle name="Vírgula 3 2 2 2 3 3" xfId="1110" xr:uid="{3F55C7CF-01C6-4942-BE80-EAC9E1524E27}"/>
    <cellStyle name="Vírgula 3 2 2 2 3 3 10" xfId="8259" xr:uid="{15B9CA8C-2907-4E9D-BBC1-13DE2789E5F5}"/>
    <cellStyle name="Vírgula 3 2 2 2 3 3 11" xfId="5035" xr:uid="{E9DBB7BB-694B-4560-9F36-841C7991A057}"/>
    <cellStyle name="Vírgula 3 2 2 2 3 3 2" xfId="2773" xr:uid="{0D6AB11B-6E48-4DA1-84B7-4E292E2F7CCF}"/>
    <cellStyle name="Vírgula 3 2 2 2 3 3 2 2" xfId="42382" xr:uid="{977D129B-16F6-4D83-8621-C668F328574F}"/>
    <cellStyle name="Vírgula 3 2 2 2 3 3 2 3" xfId="51965" xr:uid="{D0E28928-8B62-4F79-9A89-5C7D9624BF76}"/>
    <cellStyle name="Vírgula 3 2 2 2 3 3 2 4" xfId="55259" xr:uid="{1E8C5968-17BC-4BCE-A20A-71EDE38152C7}"/>
    <cellStyle name="Vírgula 3 2 2 2 3 3 2 5" xfId="22046" xr:uid="{E74F53B3-A251-453D-96B2-759F3F1F075F}"/>
    <cellStyle name="Vírgula 3 2 2 2 3 3 3" xfId="25298" xr:uid="{E6B61D41-9075-495F-A447-373E09155FEF}"/>
    <cellStyle name="Vírgula 3 2 2 2 3 3 3 2" xfId="45633" xr:uid="{4B4CC195-C18A-4960-83B4-F6341823F3A5}"/>
    <cellStyle name="Vírgula 3 2 2 2 3 3 3 3" xfId="56981" xr:uid="{8F700E2F-22E5-4676-9F49-8D8716FE73C4}"/>
    <cellStyle name="Vírgula 3 2 2 2 3 3 4" xfId="16224" xr:uid="{6A8356B8-58BA-4214-A88C-64BB885C7F3C}"/>
    <cellStyle name="Vírgula 3 2 2 2 3 3 4 2" xfId="36564" xr:uid="{7041F864-6881-4B08-9ED6-3358DF1943E6}"/>
    <cellStyle name="Vírgula 3 2 2 2 3 3 5" xfId="11755" xr:uid="{3FC5408B-1B5F-48ED-A0C6-5584F9D7CB3E}"/>
    <cellStyle name="Vírgula 3 2 2 2 3 3 5 2" xfId="32097" xr:uid="{F5FDACD2-3CDE-4C59-9D1F-1928CE19B3B4}"/>
    <cellStyle name="Vírgula 3 2 2 2 3 3 6" xfId="28603" xr:uid="{FC57BD95-2B41-446F-B8F3-7C5E69056474}"/>
    <cellStyle name="Vírgula 3 2 2 2 3 3 7" xfId="48663" xr:uid="{917841DF-8E93-4C8C-80B6-B99A044CA4D3}"/>
    <cellStyle name="Vírgula 3 2 2 2 3 3 8" xfId="50333" xr:uid="{7C7EA46D-D8C5-46B8-9BCC-CC1DCA2FF5DA}"/>
    <cellStyle name="Vírgula 3 2 2 2 3 3 9" xfId="53628" xr:uid="{FBBC8600-8EEF-496B-850E-2CC663DA16DA}"/>
    <cellStyle name="Vírgula 3 2 2 2 3 4" xfId="1516" xr:uid="{9A0CAF27-B7F2-4005-9A4E-C5F1ECF9A9B0}"/>
    <cellStyle name="Vírgula 3 2 2 2 3 4 2" xfId="3177" xr:uid="{E7A86408-5B82-42AB-874A-FF671C0DA95C}"/>
    <cellStyle name="Vírgula 3 2 2 2 3 4 2 2" xfId="51966" xr:uid="{B75A2E4B-58E2-4B4A-9DF2-83808591578C}"/>
    <cellStyle name="Vírgula 3 2 2 2 3 4 2 3" xfId="55260" xr:uid="{F3E859E8-1FD1-4D18-B3E9-6C6C3B9FA6A2}"/>
    <cellStyle name="Vírgula 3 2 2 2 3 4 2 4" xfId="40065" xr:uid="{33EA646A-1A8A-4447-98F3-3897FDBD24DF}"/>
    <cellStyle name="Vírgula 3 2 2 2 3 4 3" xfId="48664" xr:uid="{ECA9A36B-1B87-46FA-83C7-4841857A67EE}"/>
    <cellStyle name="Vírgula 3 2 2 2 3 4 3 2" xfId="57387" xr:uid="{3BFE5210-EFBB-4042-A380-5F952D76E1E8}"/>
    <cellStyle name="Vírgula 3 2 2 2 3 4 4" xfId="50334" xr:uid="{D57B4EAB-AEB7-4BCF-A62F-F56921D2380F}"/>
    <cellStyle name="Vírgula 3 2 2 2 3 4 5" xfId="53629" xr:uid="{338A2B95-EE14-4D4E-9B59-3A226A14B3C8}"/>
    <cellStyle name="Vírgula 3 2 2 2 3 4 6" xfId="19726" xr:uid="{277785FB-810D-4180-96B2-77DF8CDB5B19}"/>
    <cellStyle name="Vírgula 3 2 2 2 3 5" xfId="703" xr:uid="{87826375-B8ED-4A60-ABE5-B9789E6F2FE7}"/>
    <cellStyle name="Vírgula 3 2 2 2 3 5 2" xfId="2419" xr:uid="{470F204A-69EA-4D4B-AE8C-883334C0B0CB}"/>
    <cellStyle name="Vírgula 3 2 2 2 3 5 2 2" xfId="51967" xr:uid="{E968DFF8-808E-477E-AD4C-5F33A2D335D8}"/>
    <cellStyle name="Vírgula 3 2 2 2 3 5 2 3" xfId="55261" xr:uid="{F88AB436-02B2-486B-BA64-38A422FE6FE4}"/>
    <cellStyle name="Vírgula 3 2 2 2 3 5 2 4" xfId="43316" xr:uid="{25BB5F4F-D5E5-499A-99E5-40CD4A76E4F3}"/>
    <cellStyle name="Vírgula 3 2 2 2 3 5 3" xfId="48665" xr:uid="{070B2C39-CA41-4801-9099-569C79CFBF30}"/>
    <cellStyle name="Vírgula 3 2 2 2 3 5 3 2" xfId="56574" xr:uid="{E62E0E6A-485F-4546-81D5-20D420398AD4}"/>
    <cellStyle name="Vírgula 3 2 2 2 3 5 4" xfId="50335" xr:uid="{8120AE16-90C7-40E5-985C-CE2F0DCF9B99}"/>
    <cellStyle name="Vírgula 3 2 2 2 3 5 5" xfId="53630" xr:uid="{BE18CAE9-EAC1-49E4-B8A9-EF7E8C611F1B}"/>
    <cellStyle name="Vírgula 3 2 2 2 3 5 6" xfId="22981" xr:uid="{271ACCA4-05A7-4C3D-AFF7-5DC19CEF814F}"/>
    <cellStyle name="Vírgula 3 2 2 2 3 6" xfId="3639" xr:uid="{E6199559-0F79-4C53-A74C-D9783EC24EA6}"/>
    <cellStyle name="Vírgula 3 2 2 2 3 6 2" xfId="32914" xr:uid="{7182CE56-5C14-4CA8-81A8-AFD99715AE13}"/>
    <cellStyle name="Vírgula 3 2 2 2 3 6 3" xfId="51960" xr:uid="{41E2456F-3850-42C9-B91C-97490F100A2D}"/>
    <cellStyle name="Vírgula 3 2 2 2 3 6 4" xfId="55254" xr:uid="{ABB63F77-86A2-4A9F-B3A3-ACE051872713}"/>
    <cellStyle name="Vírgula 3 2 2 2 3 6 5" xfId="12573" xr:uid="{12EC6861-5881-4248-AF9F-13305906AE28}"/>
    <cellStyle name="Vírgula 3 2 2 2 3 7" xfId="4286" xr:uid="{1652728B-883A-449E-B73F-8448F6BDB4CD}"/>
    <cellStyle name="Vírgula 3 2 2 2 3 7 2" xfId="29780" xr:uid="{5602BAAD-7EF6-4718-AC2B-EFFC222166DE}"/>
    <cellStyle name="Vírgula 3 2 2 2 3 7 3" xfId="56165" xr:uid="{02700D80-BA0D-4F7A-8B08-59E1FE4344FA}"/>
    <cellStyle name="Vírgula 3 2 2 2 3 7 4" xfId="9437" xr:uid="{22B087DB-FC6B-402A-8DAD-940580A42F76}"/>
    <cellStyle name="Vírgula 3 2 2 2 3 8" xfId="1988" xr:uid="{E6C078BD-AE7B-4AFF-97AE-F895DA831D5E}"/>
    <cellStyle name="Vírgula 3 2 2 2 3 8 2" xfId="26286" xr:uid="{480190A2-7979-488F-8EA1-50B6E78C6298}"/>
    <cellStyle name="Vírgula 3 2 2 2 3 9" xfId="46157" xr:uid="{279CFE1D-E99A-4291-91B8-8DF2BDD11B95}"/>
    <cellStyle name="Vírgula 3 2 2 2 4" xfId="353" xr:uid="{3E148138-B1A8-4845-BBCA-30426EEFA948}"/>
    <cellStyle name="Vírgula 3 2 2 2 4 10" xfId="53631" xr:uid="{CF970156-9EAB-474E-BD9E-31EF2AAA8CED}"/>
    <cellStyle name="Vírgula 3 2 2 2 4 11" xfId="6515" xr:uid="{29A8C93F-C94E-4C9C-B902-3EE10F766C1A}"/>
    <cellStyle name="Vírgula 3 2 2 2 4 12" xfId="4634" xr:uid="{0FF10114-C165-49A9-9651-819420095B6A}"/>
    <cellStyle name="Vírgula 3 2 2 2 4 2" xfId="1169" xr:uid="{02C06E27-FDDB-445F-AE60-FF25A969C8DA}"/>
    <cellStyle name="Vírgula 3 2 2 2 4 2 2" xfId="2830" xr:uid="{4491F86C-534A-4292-AB55-920F8627A1CF}"/>
    <cellStyle name="Vírgula 3 2 2 2 4 2 2 2" xfId="51969" xr:uid="{69C90416-D2F9-486A-B2BA-DF2A6B430301}"/>
    <cellStyle name="Vírgula 3 2 2 2 4 2 2 3" xfId="55263" xr:uid="{9DDA929A-EB50-4C55-A281-42F17B00C68D}"/>
    <cellStyle name="Vírgula 3 2 2 2 4 2 2 4" xfId="37141" xr:uid="{E21B30E2-25F4-4F46-BB25-F79D67F35FCA}"/>
    <cellStyle name="Vírgula 3 2 2 2 4 2 3" xfId="48667" xr:uid="{AD2BA3AD-A9DF-49C5-B86F-8B4B97C62DFF}"/>
    <cellStyle name="Vírgula 3 2 2 2 4 2 3 2" xfId="57040" xr:uid="{967B0DC7-7A75-4E90-894B-F4F970AEDDCD}"/>
    <cellStyle name="Vírgula 3 2 2 2 4 2 4" xfId="50337" xr:uid="{D460F821-BF1A-428D-A85B-EF15BBCDADE3}"/>
    <cellStyle name="Vírgula 3 2 2 2 4 2 5" xfId="53632" xr:uid="{04DA8D5E-C3F4-4916-85D2-B27ABB97AB12}"/>
    <cellStyle name="Vírgula 3 2 2 2 4 2 6" xfId="16801" xr:uid="{E9F85D2F-E636-47D6-B73C-D1BDE7702F5D}"/>
    <cellStyle name="Vírgula 3 2 2 2 4 3" xfId="1575" xr:uid="{573C0944-3C52-4EF7-BF40-558CE5DB9448}"/>
    <cellStyle name="Vírgula 3 2 2 2 4 3 2" xfId="3235" xr:uid="{723C69DA-D1AE-443F-A5D7-E869760FCE6E}"/>
    <cellStyle name="Vírgula 3 2 2 2 4 3 2 2" xfId="51970" xr:uid="{C7922095-BC7B-4C98-A7B4-1CE342BFD5E4}"/>
    <cellStyle name="Vírgula 3 2 2 2 4 3 2 3" xfId="55264" xr:uid="{66D580F0-355C-46D9-BC82-CA5ADD72B56F}"/>
    <cellStyle name="Vírgula 3 2 2 2 4 3 2 4" xfId="40642" xr:uid="{DD25F0A7-28E9-4975-9A19-D013FF87C7C2}"/>
    <cellStyle name="Vírgula 3 2 2 2 4 3 3" xfId="48668" xr:uid="{F88ECCFE-43A7-46CA-B844-5AC0BB053508}"/>
    <cellStyle name="Vírgula 3 2 2 2 4 3 3 2" xfId="57446" xr:uid="{0E6494FC-102B-4336-B721-C284CCDFFBE7}"/>
    <cellStyle name="Vírgula 3 2 2 2 4 3 4" xfId="50338" xr:uid="{4C62D160-36EF-43E2-9979-3DC421AA746C}"/>
    <cellStyle name="Vírgula 3 2 2 2 4 3 5" xfId="53633" xr:uid="{922CD50A-4582-4FDD-AC98-2AA10F864B3B}"/>
    <cellStyle name="Vírgula 3 2 2 2 4 3 6" xfId="20303" xr:uid="{AECFD678-676E-4A84-B685-A23DF2F826A5}"/>
    <cellStyle name="Vírgula 3 2 2 2 4 4" xfId="762" xr:uid="{85BAF397-B3CA-4BD3-B7B0-DB99C01E16D7}"/>
    <cellStyle name="Vírgula 3 2 2 2 4 4 2" xfId="2478" xr:uid="{4A028E5B-E39C-472B-B8C5-8DEC26E8044A}"/>
    <cellStyle name="Vírgula 3 2 2 2 4 4 2 2" xfId="51971" xr:uid="{8CBB68EC-4024-41AD-97A7-08EE0FF5B52E}"/>
    <cellStyle name="Vírgula 3 2 2 2 4 4 2 3" xfId="55265" xr:uid="{2C5B8AFD-C0B6-48DB-9FC0-050FE2BBB3CD}"/>
    <cellStyle name="Vírgula 3 2 2 2 4 4 2 4" xfId="43893" xr:uid="{690B02D5-C906-4250-BED4-16A56EBB1A56}"/>
    <cellStyle name="Vírgula 3 2 2 2 4 4 3" xfId="48669" xr:uid="{9029ADB3-8CE2-46AB-A78B-AB0D332F0974}"/>
    <cellStyle name="Vírgula 3 2 2 2 4 4 3 2" xfId="56633" xr:uid="{518148F7-183E-4DD7-AF30-BE0285D37041}"/>
    <cellStyle name="Vírgula 3 2 2 2 4 4 4" xfId="50339" xr:uid="{BDD6D1F5-19D2-4BA9-A974-DE1B5CCE9ECF}"/>
    <cellStyle name="Vírgula 3 2 2 2 4 4 5" xfId="53634" xr:uid="{E644AE0D-672B-42AD-AF65-D5F5E9AB08C0}"/>
    <cellStyle name="Vírgula 3 2 2 2 4 4 6" xfId="23558" xr:uid="{FE90A587-9215-446C-8BEA-911EA9CBAB74}"/>
    <cellStyle name="Vírgula 3 2 2 2 4 5" xfId="3530" xr:uid="{C18692EB-9039-4626-94E4-C15A96193043}"/>
    <cellStyle name="Vírgula 3 2 2 2 4 5 2" xfId="34233" xr:uid="{38B38906-79D7-44B3-BA49-3F7FFCAC2006}"/>
    <cellStyle name="Vírgula 3 2 2 2 4 5 3" xfId="51968" xr:uid="{96AF61F1-A72E-451D-82EA-383BEB679566}"/>
    <cellStyle name="Vírgula 3 2 2 2 4 5 4" xfId="55262" xr:uid="{A7C53B96-4CDB-417C-B4F8-2A523939DFD1}"/>
    <cellStyle name="Vírgula 3 2 2 2 4 5 5" xfId="13892" xr:uid="{0123370D-50EB-4EED-9115-1AA6AE69A789}"/>
    <cellStyle name="Vírgula 3 2 2 2 4 6" xfId="1879" xr:uid="{633E5A0D-329C-46B0-B664-B6FBFD8CF3D4}"/>
    <cellStyle name="Vírgula 3 2 2 2 4 6 2" xfId="30357" xr:uid="{0AC09EF7-CC8F-4B3B-934A-92896020C9F6}"/>
    <cellStyle name="Vírgula 3 2 2 2 4 6 3" xfId="56224" xr:uid="{DD2C2EB6-91D7-4F0B-AD73-57A78036FE4F}"/>
    <cellStyle name="Vírgula 3 2 2 2 4 6 4" xfId="10014" xr:uid="{E3901E6F-AFC6-47EF-B686-B71AF959BC96}"/>
    <cellStyle name="Vírgula 3 2 2 2 4 7" xfId="26863" xr:uid="{9D94BA7C-2F3B-4BF7-B2CB-E68C421A80F6}"/>
    <cellStyle name="Vírgula 3 2 2 2 4 8" xfId="48666" xr:uid="{50660254-2414-45E4-AEBC-1E5C66203EC1}"/>
    <cellStyle name="Vírgula 3 2 2 2 4 9" xfId="50336" xr:uid="{5E677D94-6306-4D7D-8B4B-94A16AF786C6}"/>
    <cellStyle name="Vírgula 3 2 2 2 5" xfId="980" xr:uid="{BFD57B88-9766-425E-BAE9-9E5A5FA0C9ED}"/>
    <cellStyle name="Vírgula 3 2 2 2 5 10" xfId="53635" xr:uid="{9C228FE4-11D0-4FB5-B9C0-3ACDB4B0FCA8}"/>
    <cellStyle name="Vírgula 3 2 2 2 5 11" xfId="7679" xr:uid="{D016B13E-6F15-42E6-83BE-FCF981479031}"/>
    <cellStyle name="Vírgula 3 2 2 2 5 12" xfId="4894" xr:uid="{112C0E2C-10A7-40D7-8F5B-F91353428D81}"/>
    <cellStyle name="Vírgula 3 2 2 2 5 2" xfId="3748" xr:uid="{C6D11509-62C8-49A0-B520-F8115F3C4D02}"/>
    <cellStyle name="Vírgula 3 2 2 2 5 2 2" xfId="38304" xr:uid="{7833DA9D-9A1D-40A8-B3D9-0A0D5E3D0EFB}"/>
    <cellStyle name="Vírgula 3 2 2 2 5 2 3" xfId="51972" xr:uid="{8A878C96-BF59-4135-BA84-B9200B88B56F}"/>
    <cellStyle name="Vírgula 3 2 2 2 5 2 4" xfId="55266" xr:uid="{3CB9029D-0818-4AB7-A847-FF4729CF200C}"/>
    <cellStyle name="Vírgula 3 2 2 2 5 2 5" xfId="17964" xr:uid="{E6469EB4-D29A-42A3-AD1B-60BAC20FF1D2}"/>
    <cellStyle name="Vírgula 3 2 2 2 5 3" xfId="2694" xr:uid="{887B02C3-C173-454F-A37E-98A1548C44BB}"/>
    <cellStyle name="Vírgula 3 2 2 2 5 3 2" xfId="41805" xr:uid="{6991F5F7-99FD-47E0-AF23-40DF2FD5AB8A}"/>
    <cellStyle name="Vírgula 3 2 2 2 5 3 3" xfId="56851" xr:uid="{AEE2F7C3-8BEB-45EC-BE05-4431193C95D1}"/>
    <cellStyle name="Vírgula 3 2 2 2 5 3 4" xfId="21466" xr:uid="{3A85DD2A-511B-4AB2-B0B1-0610E29D1560}"/>
    <cellStyle name="Vírgula 3 2 2 2 5 4" xfId="24721" xr:uid="{C9AC3B9B-61A3-40C2-96BD-6FF2A9C6F4F2}"/>
    <cellStyle name="Vírgula 3 2 2 2 5 4 2" xfId="45056" xr:uid="{E9CCF82A-D6CF-4675-BAF5-4761C19234F8}"/>
    <cellStyle name="Vírgula 3 2 2 2 5 5" xfId="15056" xr:uid="{74852060-32A8-4ADE-A75D-74BF18085209}"/>
    <cellStyle name="Vírgula 3 2 2 2 5 5 2" xfId="35396" xr:uid="{321E1640-5C51-46C2-8140-BB3F948D5F85}"/>
    <cellStyle name="Vírgula 3 2 2 2 5 6" xfId="11177" xr:uid="{B2D55235-CD86-4CE1-8EE3-3E2AA6431CA2}"/>
    <cellStyle name="Vírgula 3 2 2 2 5 6 2" xfId="31520" xr:uid="{4B12A736-B744-4362-9BDA-0BD10F275D40}"/>
    <cellStyle name="Vírgula 3 2 2 2 5 7" xfId="28026" xr:uid="{CCF007A9-BC8B-423E-9B45-6CD6DEB2B278}"/>
    <cellStyle name="Vírgula 3 2 2 2 5 8" xfId="48670" xr:uid="{91052716-167E-474C-9D29-BA933C56EE0B}"/>
    <cellStyle name="Vírgula 3 2 2 2 5 9" xfId="50340" xr:uid="{43EB5AC7-4FF7-412D-B11E-F337C33380B5}"/>
    <cellStyle name="Vírgula 3 2 2 2 6" xfId="1386" xr:uid="{619B24A3-FEC2-4BC2-BD82-B7C3F254B90E}"/>
    <cellStyle name="Vírgula 3 2 2 2 6 10" xfId="8257" xr:uid="{8F25FEDF-EE75-4BE9-915E-B7464EB65EBF}"/>
    <cellStyle name="Vírgula 3 2 2 2 6 2" xfId="3047" xr:uid="{FB1C5AE7-3A83-49CE-938C-32DC8DBC9B8B}"/>
    <cellStyle name="Vírgula 3 2 2 2 6 2 2" xfId="42380" xr:uid="{B6433335-73A4-4CC1-A617-60A44B5290FA}"/>
    <cellStyle name="Vírgula 3 2 2 2 6 2 3" xfId="51973" xr:uid="{B223AC70-7B64-4D04-B3CE-98C3F56C4747}"/>
    <cellStyle name="Vírgula 3 2 2 2 6 2 4" xfId="55267" xr:uid="{F402295D-DCA5-485C-8BFB-ED8D3FCE4D48}"/>
    <cellStyle name="Vírgula 3 2 2 2 6 2 5" xfId="22044" xr:uid="{0C382D15-CE4F-462E-BCA1-F8BAD33AA016}"/>
    <cellStyle name="Vírgula 3 2 2 2 6 3" xfId="25296" xr:uid="{1ED41856-2E6D-4797-B9AE-5658BAC1208E}"/>
    <cellStyle name="Vírgula 3 2 2 2 6 3 2" xfId="45631" xr:uid="{D58C56FC-64EF-4456-AD5A-4D1976397295}"/>
    <cellStyle name="Vírgula 3 2 2 2 6 3 3" xfId="57257" xr:uid="{F3651658-0B53-4068-B767-EE475EBBA6F8}"/>
    <cellStyle name="Vírgula 3 2 2 2 6 4" xfId="15643" xr:uid="{C7853263-90A1-4F80-9626-983AE5B4D5AF}"/>
    <cellStyle name="Vírgula 3 2 2 2 6 4 2" xfId="35983" xr:uid="{E16C4EC5-B21E-4FCC-934F-2F046BEBA5FC}"/>
    <cellStyle name="Vírgula 3 2 2 2 6 5" xfId="11753" xr:uid="{7FE8DC5E-FA66-48F5-B900-13B7B40D4FCF}"/>
    <cellStyle name="Vírgula 3 2 2 2 6 5 2" xfId="32095" xr:uid="{C4C3ED65-E989-4325-94BB-EE64C4DA0715}"/>
    <cellStyle name="Vírgula 3 2 2 2 6 6" xfId="28601" xr:uid="{DF449416-3CC7-45C9-A5BA-F2485E89BC11}"/>
    <cellStyle name="Vírgula 3 2 2 2 6 7" xfId="48671" xr:uid="{13CFEECE-A2DD-41B0-BD5A-CF334FF4E478}"/>
    <cellStyle name="Vírgula 3 2 2 2 6 8" xfId="50341" xr:uid="{2906DA64-A2DF-4A84-B18A-68FAD471E2A2}"/>
    <cellStyle name="Vírgula 3 2 2 2 6 9" xfId="53636" xr:uid="{1D30BAC7-570C-4620-87C4-BC3406F83850}"/>
    <cellStyle name="Vírgula 3 2 2 2 7" xfId="573" xr:uid="{EADBD484-CC3A-43D3-87AC-4B77443CA0C1}"/>
    <cellStyle name="Vírgula 3 2 2 2 7 2" xfId="2289" xr:uid="{5B3DD4F0-3408-424A-890C-6AAB09C024E7}"/>
    <cellStyle name="Vírgula 3 2 2 2 7 2 2" xfId="38897" xr:uid="{87D1F22F-25E6-40C0-8D45-E4F25BAA0AF0}"/>
    <cellStyle name="Vírgula 3 2 2 2 7 2 3" xfId="51974" xr:uid="{4DE71CFB-C281-4E0E-B92D-18F92BA9A261}"/>
    <cellStyle name="Vírgula 3 2 2 2 7 2 4" xfId="55268" xr:uid="{233D76AA-AF9B-4C02-8D67-0F473BC9D91A}"/>
    <cellStyle name="Vírgula 3 2 2 2 7 2 5" xfId="18557" xr:uid="{3A986D9C-9F91-4804-AF47-B79AD5C679FC}"/>
    <cellStyle name="Vírgula 3 2 2 2 7 3" xfId="28882" xr:uid="{65495AAB-300E-4AB4-9B0C-4D4DA77CA270}"/>
    <cellStyle name="Vírgula 3 2 2 2 7 3 2" xfId="56444" xr:uid="{E5B6BBCA-652A-4410-870F-7EFC0DFC50D9}"/>
    <cellStyle name="Vírgula 3 2 2 2 7 4" xfId="48672" xr:uid="{8751157F-46A7-4B6A-8A5A-1E510B7482BD}"/>
    <cellStyle name="Vírgula 3 2 2 2 7 5" xfId="50342" xr:uid="{541CDA01-670B-4752-B14B-74C64E365E52}"/>
    <cellStyle name="Vírgula 3 2 2 2 7 6" xfId="53637" xr:uid="{AD275EC5-5220-4510-81D7-CF6589F48355}"/>
    <cellStyle name="Vírgula 3 2 2 2 7 7" xfId="8539" xr:uid="{F50E7A33-4FA0-4E8F-B24A-023FF74A22F6}"/>
    <cellStyle name="Vírgula 3 2 2 2 8" xfId="3420" xr:uid="{DF5E0CAB-70D8-4983-B4D4-4857C747C92E}"/>
    <cellStyle name="Vírgula 3 2 2 2 8 2" xfId="39484" xr:uid="{19507DD0-DFAA-414C-BC78-97DFEA323A3E}"/>
    <cellStyle name="Vírgula 3 2 2 2 8 3" xfId="51951" xr:uid="{C0F80FEE-F0B9-4CF5-958F-BBC5AFBC5C43}"/>
    <cellStyle name="Vírgula 3 2 2 2 8 4" xfId="55245" xr:uid="{81E2CE1A-2179-4F3E-AC69-EF06F80E2E93}"/>
    <cellStyle name="Vírgula 3 2 2 2 8 5" xfId="19145" xr:uid="{82A6C606-FFB8-4524-8E27-4310EF7153F3}"/>
    <cellStyle name="Vírgula 3 2 2 2 9" xfId="3942" xr:uid="{4F8E0583-7BB5-4F02-ADDD-15560A08A93C}"/>
    <cellStyle name="Vírgula 3 2 2 2 9 2" xfId="42735" xr:uid="{280F6FEC-D629-42AB-BEFD-09E9305382EB}"/>
    <cellStyle name="Vírgula 3 2 2 2 9 3" xfId="56035" xr:uid="{22CB9EAE-CD1D-4752-8A0A-AA87123FC4B9}"/>
    <cellStyle name="Vírgula 3 2 2 2 9 4" xfId="22400" xr:uid="{85D1689E-606B-4522-B7EA-85E646EA2366}"/>
    <cellStyle name="Vírgula 3 2 2 20" xfId="46832" xr:uid="{66AD488D-31E4-45E0-8869-3D2C59216F9D}"/>
    <cellStyle name="Vírgula 3 2 2 21" xfId="47326" xr:uid="{076C6FBC-FB1A-4469-9F82-CED644A4B779}"/>
    <cellStyle name="Vírgula 3 2 2 22" xfId="47452" xr:uid="{5609ABFE-B380-44DB-A955-38D7671C6C65}"/>
    <cellStyle name="Vírgula 3 2 2 23" xfId="47578" xr:uid="{B5EE9C60-AE5A-496A-B59B-0DF3E0A31BB6}"/>
    <cellStyle name="Vírgula 3 2 2 24" xfId="48647" xr:uid="{917FAD43-E909-44C4-B625-9033386D5E26}"/>
    <cellStyle name="Vírgula 3 2 2 25" xfId="50317" xr:uid="{C89F37A4-7EB9-4A00-A59C-3CE6C274C224}"/>
    <cellStyle name="Vírgula 3 2 2 26" xfId="53612" xr:uid="{39E4F777-03CF-4229-B48C-F572363AFA28}"/>
    <cellStyle name="Vírgula 3 2 2 27" xfId="5254" xr:uid="{F8F46510-BF9F-4DA4-98C2-222F3929D3D6}"/>
    <cellStyle name="Vírgula 3 2 2 28" xfId="4388" xr:uid="{02AA8746-0E30-457C-8F5B-313F03BF1D2B}"/>
    <cellStyle name="Vírgula 3 2 2 3" xfId="190" xr:uid="{92FF45C4-4ECD-474B-B752-85AAAB07EEB0}"/>
    <cellStyle name="Vírgula 3 2 2 3 10" xfId="12213" xr:uid="{FD54DCDC-C653-49DA-8A78-A33927D8E498}"/>
    <cellStyle name="Vírgula 3 2 2 3 10 2" xfId="32554" xr:uid="{F716B28E-5D91-4FFD-A767-919550FE33C8}"/>
    <cellStyle name="Vírgula 3 2 2 3 11" xfId="8952" xr:uid="{71067D7B-A538-4CCE-A2D5-6CA7D6BA64BB}"/>
    <cellStyle name="Vírgula 3 2 2 3 11 2" xfId="29295" xr:uid="{0C0606A1-E049-4CBC-8A27-9051FF664D0F}"/>
    <cellStyle name="Vírgula 3 2 2 3 12" xfId="25801" xr:uid="{0263F005-D9E6-4FD2-B59B-C5758DCF8797}"/>
    <cellStyle name="Vírgula 3 2 2 3 13" xfId="45994" xr:uid="{9813DDA9-1044-4B41-8EB6-824915AE4F71}"/>
    <cellStyle name="Vírgula 3 2 2 3 14" xfId="46480" xr:uid="{776E88EA-386B-4A95-B032-AFC8C37C20E4}"/>
    <cellStyle name="Vírgula 3 2 2 3 15" xfId="46972" xr:uid="{E4686C83-9410-43E1-AF6B-99CF1E7B49D3}"/>
    <cellStyle name="Vírgula 3 2 2 3 16" xfId="47382" xr:uid="{555AB9CF-1CD4-4CD7-978E-91ADA11E3EAE}"/>
    <cellStyle name="Vírgula 3 2 2 3 17" xfId="47508" xr:uid="{B8592682-4A71-4BC4-9E4E-994E45E6BD2A}"/>
    <cellStyle name="Vírgula 3 2 2 3 18" xfId="47634" xr:uid="{543F88A3-B40D-40A9-A372-79AB05FE352D}"/>
    <cellStyle name="Vírgula 3 2 2 3 19" xfId="48673" xr:uid="{17D536DB-2496-4E41-B392-15D99B81E106}"/>
    <cellStyle name="Vírgula 3 2 2 3 2" xfId="379" xr:uid="{E3DC3E4D-B9A1-447B-995E-BD1145A7A9A2}"/>
    <cellStyle name="Vírgula 3 2 2 3 2 10" xfId="46723" xr:uid="{639D9043-B620-4B1B-B142-83A2CF558281}"/>
    <cellStyle name="Vírgula 3 2 2 3 2 11" xfId="47215" xr:uid="{1A06884E-958E-4E8F-83BC-0CF3BD60A230}"/>
    <cellStyle name="Vírgula 3 2 2 3 2 12" xfId="48674" xr:uid="{1A66F840-039F-42D0-A981-086A61EB6673}"/>
    <cellStyle name="Vírgula 3 2 2 3 2 13" xfId="50344" xr:uid="{50FBE669-9204-4AC0-BB76-B5F2D99DF174}"/>
    <cellStyle name="Vírgula 3 2 2 3 2 14" xfId="53639" xr:uid="{6D2E9CBD-5C6F-43CD-A3A4-BCC12AEAB875}"/>
    <cellStyle name="Vírgula 3 2 2 3 2 15" xfId="6034" xr:uid="{56E4F0AD-A66F-45FB-A726-93494F5C0CF3}"/>
    <cellStyle name="Vírgula 3 2 2 3 2 16" xfId="4660" xr:uid="{C72E9CF0-F74B-4A3D-97B2-A1BC2C6C73C3}"/>
    <cellStyle name="Vírgula 3 2 2 3 2 2" xfId="1195" xr:uid="{E397DDA3-C6BE-4C50-ABEB-53842B0F8E20}"/>
    <cellStyle name="Vírgula 3 2 2 3 2 2 10" xfId="53640" xr:uid="{900150E9-B156-4731-8818-138A1559D03F}"/>
    <cellStyle name="Vírgula 3 2 2 3 2 2 11" xfId="7192" xr:uid="{C8428F9E-9F12-4697-A9DD-04B0E0EC14C7}"/>
    <cellStyle name="Vírgula 3 2 2 3 2 2 12" xfId="5112" xr:uid="{1898DE2D-22BF-4A6B-8B6F-895AE4E8DA93}"/>
    <cellStyle name="Vírgula 3 2 2 3 2 2 2" xfId="2856" xr:uid="{FED3B1FE-3BC9-493D-9462-1E6027AA3B0B}"/>
    <cellStyle name="Vírgula 3 2 2 3 2 2 2 2" xfId="37818" xr:uid="{9537F23E-33EE-4F13-A256-99A7D31C815F}"/>
    <cellStyle name="Vírgula 3 2 2 3 2 2 2 3" xfId="51977" xr:uid="{995A54A4-E74B-4001-ACC9-6B1E9DF5672A}"/>
    <cellStyle name="Vírgula 3 2 2 3 2 2 2 4" xfId="55271" xr:uid="{AE529366-EAFC-46CC-AF86-35F141339668}"/>
    <cellStyle name="Vírgula 3 2 2 3 2 2 2 5" xfId="17478" xr:uid="{9CC3302B-F36C-4426-875C-F261EAAEBD51}"/>
    <cellStyle name="Vírgula 3 2 2 3 2 2 3" xfId="20980" xr:uid="{DB772B74-7D55-427F-B2D6-A9E15FF41482}"/>
    <cellStyle name="Vírgula 3 2 2 3 2 2 3 2" xfId="41319" xr:uid="{B3C54082-432B-4848-944C-7006CAC6E6C3}"/>
    <cellStyle name="Vírgula 3 2 2 3 2 2 3 3" xfId="57066" xr:uid="{CC7C9DC5-51EE-4B06-A730-A7B20E5EB48F}"/>
    <cellStyle name="Vírgula 3 2 2 3 2 2 4" xfId="24235" xr:uid="{6ACF5C1B-3DF4-4D47-A2FE-85436331B8B8}"/>
    <cellStyle name="Vírgula 3 2 2 3 2 2 4 2" xfId="44570" xr:uid="{87D3BE4F-9ECD-4809-8873-085DD5ADE9AF}"/>
    <cellStyle name="Vírgula 3 2 2 3 2 2 5" xfId="14569" xr:uid="{AB0E45D9-FE7B-4421-97CD-52439028DC72}"/>
    <cellStyle name="Vírgula 3 2 2 3 2 2 5 2" xfId="34910" xr:uid="{2C952C23-2E17-4F51-9E70-ED4BC6DB06DF}"/>
    <cellStyle name="Vírgula 3 2 2 3 2 2 6" xfId="10691" xr:uid="{90FFE124-5F83-4119-A7D3-69B08FDDAFEA}"/>
    <cellStyle name="Vírgula 3 2 2 3 2 2 6 2" xfId="31034" xr:uid="{0ED78F36-6C5D-4944-9BFD-44FFFF8926A7}"/>
    <cellStyle name="Vírgula 3 2 2 3 2 2 7" xfId="27540" xr:uid="{E09903D3-531D-41BE-8CB7-3E8C7FC64EED}"/>
    <cellStyle name="Vírgula 3 2 2 3 2 2 8" xfId="48675" xr:uid="{B8FF0F02-90AD-4E7E-B66F-661B403229B9}"/>
    <cellStyle name="Vírgula 3 2 2 3 2 2 9" xfId="50345" xr:uid="{7298FA29-1FF2-43BC-B302-5744DBFCD814}"/>
    <cellStyle name="Vírgula 3 2 2 3 2 3" xfId="1601" xr:uid="{1856346B-C07B-43B0-8A3F-9FA86D3BCA83}"/>
    <cellStyle name="Vírgula 3 2 2 3 2 3 2" xfId="3261" xr:uid="{5F6BE32F-6DEE-4009-95DB-4FB331BBC8D8}"/>
    <cellStyle name="Vírgula 3 2 2 3 2 3 2 2" xfId="51978" xr:uid="{BF1C26EA-AEE2-4E18-BD66-17305E7E2FC2}"/>
    <cellStyle name="Vírgula 3 2 2 3 2 3 2 3" xfId="55272" xr:uid="{BC9CA338-DCA8-4C0C-84E7-AA3AF5889E0C}"/>
    <cellStyle name="Vírgula 3 2 2 3 2 3 2 4" xfId="36660" xr:uid="{057AC48E-1A32-474B-B754-A14152A9F5B6}"/>
    <cellStyle name="Vírgula 3 2 2 3 2 3 3" xfId="48676" xr:uid="{CB0950F2-F28F-4CD2-A480-2FB30E08A6F8}"/>
    <cellStyle name="Vírgula 3 2 2 3 2 3 3 2" xfId="57472" xr:uid="{038414DD-60CD-4BF8-A57F-E7C9D5F2D3E8}"/>
    <cellStyle name="Vírgula 3 2 2 3 2 3 4" xfId="50346" xr:uid="{AE3B73B3-9842-48E6-BC20-5161D53B4506}"/>
    <cellStyle name="Vírgula 3 2 2 3 2 3 5" xfId="53641" xr:uid="{E2E87693-558F-4301-8FF4-D240D6E869FA}"/>
    <cellStyle name="Vírgula 3 2 2 3 2 3 6" xfId="16320" xr:uid="{63A59839-ABFE-4B60-8656-93E80946E9CD}"/>
    <cellStyle name="Vírgula 3 2 2 3 2 4" xfId="788" xr:uid="{56BB1523-F84B-4139-984B-5419BAC21B35}"/>
    <cellStyle name="Vírgula 3 2 2 3 2 4 2" xfId="2504" xr:uid="{05ED4F54-2FDA-456F-879A-557BAD31AE41}"/>
    <cellStyle name="Vírgula 3 2 2 3 2 4 2 2" xfId="51979" xr:uid="{31B8A7C5-8F2F-4354-9967-5614A0192EB2}"/>
    <cellStyle name="Vírgula 3 2 2 3 2 4 2 3" xfId="55273" xr:uid="{F45B37E9-4EC1-4B77-BBAC-9D690A04DBA6}"/>
    <cellStyle name="Vírgula 3 2 2 3 2 4 2 4" xfId="40161" xr:uid="{967243EB-6117-446D-BEA4-EA0FA45B0DC5}"/>
    <cellStyle name="Vírgula 3 2 2 3 2 4 3" xfId="48677" xr:uid="{491F091B-0719-4DB3-BC0C-9B48D68161E2}"/>
    <cellStyle name="Vírgula 3 2 2 3 2 4 3 2" xfId="56659" xr:uid="{818F7802-E93D-4FF4-B70E-844279732B90}"/>
    <cellStyle name="Vírgula 3 2 2 3 2 4 4" xfId="50347" xr:uid="{B49314A2-3741-4018-B444-71660D8E9FA6}"/>
    <cellStyle name="Vírgula 3 2 2 3 2 4 5" xfId="53642" xr:uid="{7ED75CDA-1089-4B3A-9B10-8204EE0FE545}"/>
    <cellStyle name="Vírgula 3 2 2 3 2 4 6" xfId="19822" xr:uid="{E2755686-29B7-4B3F-8064-60B7587A3E87}"/>
    <cellStyle name="Vírgula 3 2 2 3 2 5" xfId="3668" xr:uid="{A50875A4-7A4A-4F95-B654-DF03CB46E32D}"/>
    <cellStyle name="Vírgula 3 2 2 3 2 5 2" xfId="43412" xr:uid="{30B6C2EA-61AC-4A93-9E84-38CB246E10D6}"/>
    <cellStyle name="Vírgula 3 2 2 3 2 5 3" xfId="51976" xr:uid="{4AE3D560-1971-447E-9A15-EA0E44A047DD}"/>
    <cellStyle name="Vírgula 3 2 2 3 2 5 4" xfId="55270" xr:uid="{3A1F8170-3438-41DB-BD43-C3B7A9EE6CD1}"/>
    <cellStyle name="Vírgula 3 2 2 3 2 5 5" xfId="23077" xr:uid="{445B9F46-9718-41FD-81A3-5EA93B8FE17F}"/>
    <cellStyle name="Vírgula 3 2 2 3 2 6" xfId="2017" xr:uid="{2FDB0A05-9433-479D-947A-26A6EB362450}"/>
    <cellStyle name="Vírgula 3 2 2 3 2 6 2" xfId="33752" xr:uid="{C38B76DC-76A1-4EDE-807C-A28D91373E7A}"/>
    <cellStyle name="Vírgula 3 2 2 3 2 6 3" xfId="56250" xr:uid="{A0A09B12-D00D-4331-9A7A-CF70BB84FEA1}"/>
    <cellStyle name="Vírgula 3 2 2 3 2 6 4" xfId="13411" xr:uid="{AB752C76-D9B2-427B-8954-FB647D6CA339}"/>
    <cellStyle name="Vírgula 3 2 2 3 2 7" xfId="9533" xr:uid="{83BCCD40-8BD9-40CB-BDE4-38F17EDD901F}"/>
    <cellStyle name="Vírgula 3 2 2 3 2 7 2" xfId="29876" xr:uid="{9871A7D7-C084-4706-9D8E-2B276B2CC3FC}"/>
    <cellStyle name="Vírgula 3 2 2 3 2 8" xfId="26382" xr:uid="{B955AF68-C12A-43F9-BA22-F6CB3132A00A}"/>
    <cellStyle name="Vírgula 3 2 2 3 2 9" xfId="46237" xr:uid="{3CE5E9CC-FB1F-494C-A3E8-E696F09CE05C}"/>
    <cellStyle name="Vírgula 3 2 2 3 20" xfId="50343" xr:uid="{54780726-CAE9-43A2-8BA8-0041D0DA88ED}"/>
    <cellStyle name="Vírgula 3 2 2 3 21" xfId="53638" xr:uid="{185DC739-3521-4429-9D51-CA0171BD7FE0}"/>
    <cellStyle name="Vírgula 3 2 2 3 22" xfId="5465" xr:uid="{D3C42834-4339-4BFB-87E3-F73BA5A0D2AF}"/>
    <cellStyle name="Vírgula 3 2 2 3 23" xfId="4471" xr:uid="{D040D7E7-3BB3-443A-97C0-5522136962EB}"/>
    <cellStyle name="Vírgula 3 2 2 3 3" xfId="1006" xr:uid="{3E9C5199-2FA3-4878-8C04-DB0964A5FDC8}"/>
    <cellStyle name="Vírgula 3 2 2 3 3 10" xfId="53643" xr:uid="{D3030F73-2BD3-4035-947B-879823BC7FCF}"/>
    <cellStyle name="Vírgula 3 2 2 3 3 11" xfId="6611" xr:uid="{1BBAAD3C-AC7B-442B-8671-9C9F1D1801F9}"/>
    <cellStyle name="Vírgula 3 2 2 3 3 12" xfId="4893" xr:uid="{234D6C55-0A65-4562-9A0A-0AD51BAA960A}"/>
    <cellStyle name="Vírgula 3 2 2 3 3 2" xfId="3559" xr:uid="{8ED5C9F8-3123-4B70-A29B-7DD40FAB5F05}"/>
    <cellStyle name="Vírgula 3 2 2 3 3 2 2" xfId="37237" xr:uid="{59012531-1AAF-4CA5-8EB6-576EB966C142}"/>
    <cellStyle name="Vírgula 3 2 2 3 3 2 3" xfId="51980" xr:uid="{E91ACB6B-9669-4C5B-8422-67B7669DD886}"/>
    <cellStyle name="Vírgula 3 2 2 3 3 2 4" xfId="55274" xr:uid="{EB6EBA2C-5EFC-4C5C-B16D-CD2B2008F24A}"/>
    <cellStyle name="Vírgula 3 2 2 3 3 2 5" xfId="16897" xr:uid="{717D25B2-397F-4A3E-97AE-AFDE36005432}"/>
    <cellStyle name="Vírgula 3 2 2 3 3 3" xfId="1908" xr:uid="{F5B867EF-3936-402A-9349-DFCCA936ADA1}"/>
    <cellStyle name="Vírgula 3 2 2 3 3 3 2" xfId="40738" xr:uid="{E0944C4A-3EFD-41EA-B2E5-9DAFD287D64C}"/>
    <cellStyle name="Vírgula 3 2 2 3 3 3 3" xfId="56877" xr:uid="{2CA251BE-1D62-430D-9941-3B0C13DDA1B6}"/>
    <cellStyle name="Vírgula 3 2 2 3 3 3 4" xfId="20399" xr:uid="{1A873713-4DC6-41DD-B0EB-4D1F924E40BA}"/>
    <cellStyle name="Vírgula 3 2 2 3 3 4" xfId="23654" xr:uid="{1D16F2D3-03D1-4C9C-9E13-8732C1239B93}"/>
    <cellStyle name="Vírgula 3 2 2 3 3 4 2" xfId="43989" xr:uid="{15DDA72C-7CF1-4F49-BCC2-93DA558972F0}"/>
    <cellStyle name="Vírgula 3 2 2 3 3 5" xfId="13988" xr:uid="{D4D63DFC-147C-4EB5-8BDF-8303AC515AE8}"/>
    <cellStyle name="Vírgula 3 2 2 3 3 5 2" xfId="34329" xr:uid="{A492EBF4-B495-41A5-9566-EAB207BA034A}"/>
    <cellStyle name="Vírgula 3 2 2 3 3 6" xfId="10110" xr:uid="{DAEC5F38-5C78-4D6A-A106-454F3C2F85A2}"/>
    <cellStyle name="Vírgula 3 2 2 3 3 6 2" xfId="30453" xr:uid="{DCE5355A-5464-4CEB-998E-2C67EB7DB74A}"/>
    <cellStyle name="Vírgula 3 2 2 3 3 7" xfId="26959" xr:uid="{B5F54A3C-AA02-4B7D-B9F8-5EF849DDAE8E}"/>
    <cellStyle name="Vírgula 3 2 2 3 3 8" xfId="48678" xr:uid="{73A0D4BE-DF9E-4D6D-BD38-C71EAF82ED1B}"/>
    <cellStyle name="Vírgula 3 2 2 3 3 9" xfId="50348" xr:uid="{DB77184C-0BFE-419F-B2B7-CE89679C444B}"/>
    <cellStyle name="Vírgula 3 2 2 3 4" xfId="1412" xr:uid="{33E416B0-2D66-40F4-8E96-5B8D6990031C}"/>
    <cellStyle name="Vírgula 3 2 2 3 4 10" xfId="53644" xr:uid="{B29EC0AC-5E27-4D73-AC40-2DE416F7D1E2}"/>
    <cellStyle name="Vírgula 3 2 2 3 4 11" xfId="7775" xr:uid="{464E52A1-AB6F-4ED6-91F8-3067AFA21115}"/>
    <cellStyle name="Vírgula 3 2 2 3 4 2" xfId="3777" xr:uid="{6FFD0CCA-68FF-427C-8FA0-0FD64A4AAFDB}"/>
    <cellStyle name="Vírgula 3 2 2 3 4 2 2" xfId="38400" xr:uid="{BEEAB948-1FD3-4409-B3DA-9A8D920FDF83}"/>
    <cellStyle name="Vírgula 3 2 2 3 4 2 3" xfId="51981" xr:uid="{CA11D4FF-2294-4DC4-8F58-208052C01BD1}"/>
    <cellStyle name="Vírgula 3 2 2 3 4 2 4" xfId="55275" xr:uid="{26D46C27-1AE6-44A8-9BCA-F8E733AEE50B}"/>
    <cellStyle name="Vírgula 3 2 2 3 4 2 5" xfId="18060" xr:uid="{4196B58E-465C-4369-92F5-BC1FCE136EAD}"/>
    <cellStyle name="Vírgula 3 2 2 3 4 3" xfId="3073" xr:uid="{0FE824C1-93A7-4A5C-B67D-689B7C9C1367}"/>
    <cellStyle name="Vírgula 3 2 2 3 4 3 2" xfId="41901" xr:uid="{5D16EA05-32ED-4241-AF9E-D5739A496D1E}"/>
    <cellStyle name="Vírgula 3 2 2 3 4 3 3" xfId="57283" xr:uid="{7AFBA785-28DA-4FD7-983A-FC9563FDC34E}"/>
    <cellStyle name="Vírgula 3 2 2 3 4 3 4" xfId="21562" xr:uid="{6BEF2EB1-AAA0-41B8-9E31-04F6E7C15A30}"/>
    <cellStyle name="Vírgula 3 2 2 3 4 4" xfId="24817" xr:uid="{77532440-916E-4F9C-BF8E-FDACAC13BBFF}"/>
    <cellStyle name="Vírgula 3 2 2 3 4 4 2" xfId="45152" xr:uid="{AC881A77-516B-488D-B400-9C23BCDA738A}"/>
    <cellStyle name="Vírgula 3 2 2 3 4 5" xfId="15152" xr:uid="{5EE196F1-F836-4D58-A24A-17A71488F23B}"/>
    <cellStyle name="Vírgula 3 2 2 3 4 5 2" xfId="35492" xr:uid="{B437B26C-3178-41DF-958B-B39E734AE209}"/>
    <cellStyle name="Vírgula 3 2 2 3 4 6" xfId="11273" xr:uid="{3A95D51E-9B74-4D38-8428-369DE5634B13}"/>
    <cellStyle name="Vírgula 3 2 2 3 4 6 2" xfId="31616" xr:uid="{A81D8F84-1E6B-4581-9259-9854467A0109}"/>
    <cellStyle name="Vírgula 3 2 2 3 4 7" xfId="28122" xr:uid="{963190E4-289A-4482-9E5D-6CAB649F5C20}"/>
    <cellStyle name="Vírgula 3 2 2 3 4 8" xfId="48679" xr:uid="{8EF64A07-3A34-44E3-AAF1-F9C204EF40EA}"/>
    <cellStyle name="Vírgula 3 2 2 3 4 9" xfId="50349" xr:uid="{BDF587FB-E035-4C91-AFC3-056A1F2284B3}"/>
    <cellStyle name="Vírgula 3 2 2 3 5" xfId="599" xr:uid="{28A190E0-5AB0-4A28-857C-323DE4036C6C}"/>
    <cellStyle name="Vírgula 3 2 2 3 5 10" xfId="8260" xr:uid="{95E8B203-44EF-4C2E-8336-91CD5AD6EBF4}"/>
    <cellStyle name="Vírgula 3 2 2 3 5 2" xfId="2315" xr:uid="{66DD45B1-3F45-4220-AD41-98F3325DC547}"/>
    <cellStyle name="Vírgula 3 2 2 3 5 2 2" xfId="42383" xr:uid="{DF5D0EA9-2E11-482E-BA37-2BF11E38FAB5}"/>
    <cellStyle name="Vírgula 3 2 2 3 5 2 3" xfId="51982" xr:uid="{BBCE60BA-68EB-4F88-9552-BE01868CF55C}"/>
    <cellStyle name="Vírgula 3 2 2 3 5 2 4" xfId="55276" xr:uid="{563A17ED-ACB3-4601-8E3A-3C62092688A9}"/>
    <cellStyle name="Vírgula 3 2 2 3 5 2 5" xfId="22047" xr:uid="{FC09FF1F-3720-4475-AFE3-44CDCF2DC3F0}"/>
    <cellStyle name="Vírgula 3 2 2 3 5 3" xfId="25299" xr:uid="{C680703D-52EF-4055-A987-72D869D3BC3A}"/>
    <cellStyle name="Vírgula 3 2 2 3 5 3 2" xfId="45634" xr:uid="{D1E159C6-9180-43AE-9211-0C75669156C9}"/>
    <cellStyle name="Vírgula 3 2 2 3 5 3 3" xfId="56470" xr:uid="{F9717035-300F-45BC-AE70-AE7ABA702CB9}"/>
    <cellStyle name="Vírgula 3 2 2 3 5 4" xfId="12842" xr:uid="{09E1C0DB-1962-444E-858C-EF70AD8A6A17}"/>
    <cellStyle name="Vírgula 3 2 2 3 5 4 2" xfId="33183" xr:uid="{11F82CB2-5A27-46C6-8A88-1288D405C055}"/>
    <cellStyle name="Vírgula 3 2 2 3 5 5" xfId="11756" xr:uid="{A28FCCB4-050E-4049-A251-67A814B185CD}"/>
    <cellStyle name="Vírgula 3 2 2 3 5 5 2" xfId="32098" xr:uid="{544D9C59-4E8A-45AD-8449-AD0525EFF75F}"/>
    <cellStyle name="Vírgula 3 2 2 3 5 6" xfId="28604" xr:uid="{8416D7D8-7DF3-42AC-8F3E-1BBA80B234E4}"/>
    <cellStyle name="Vírgula 3 2 2 3 5 7" xfId="48680" xr:uid="{B038FAC4-6716-4F77-B2F8-CEE057668C2C}"/>
    <cellStyle name="Vírgula 3 2 2 3 5 8" xfId="50350" xr:uid="{CBCADB04-91DE-4033-80D9-51ECBB668440}"/>
    <cellStyle name="Vírgula 3 2 2 3 5 9" xfId="53645" xr:uid="{0FFBE785-CCB6-49D5-A292-8BB1501776A1}"/>
    <cellStyle name="Vírgula 3 2 2 3 6" xfId="3449" xr:uid="{D1131631-3CF0-4DA4-B4A7-80E4808D22B0}"/>
    <cellStyle name="Vírgula 3 2 2 3 6 2" xfId="15739" xr:uid="{19D241BA-9F9A-4DFE-A499-0977752A7551}"/>
    <cellStyle name="Vírgula 3 2 2 3 6 2 2" xfId="36079" xr:uid="{8981D539-164A-40B0-8242-14D3B7547269}"/>
    <cellStyle name="Vírgula 3 2 2 3 6 3" xfId="28962" xr:uid="{A3AB1603-CD1B-4118-B85B-3FFFACB2924B}"/>
    <cellStyle name="Vírgula 3 2 2 3 6 4" xfId="51975" xr:uid="{43B529F3-D830-498F-BB55-205F239B2978}"/>
    <cellStyle name="Vírgula 3 2 2 3 6 5" xfId="55269" xr:uid="{D5482946-9B3B-4E5A-BBCF-1B50706947A3}"/>
    <cellStyle name="Vírgula 3 2 2 3 6 6" xfId="8619" xr:uid="{842C14B9-773B-42AE-A5A0-6B125CB00A83}"/>
    <cellStyle name="Vírgula 3 2 2 3 7" xfId="4001" xr:uid="{19DB7887-679C-44D9-A788-E1CFF588F67B}"/>
    <cellStyle name="Vírgula 3 2 2 3 7 2" xfId="38993" xr:uid="{EEC4A676-D64E-47C4-8A0D-B8A04C675675}"/>
    <cellStyle name="Vírgula 3 2 2 3 7 3" xfId="56061" xr:uid="{F73617D7-82BA-4EB3-A42C-DAB000E1061E}"/>
    <cellStyle name="Vírgula 3 2 2 3 7 4" xfId="18653" xr:uid="{5811E4B3-5622-4D92-9021-3D9B31F77858}"/>
    <cellStyle name="Vírgula 3 2 2 3 8" xfId="1798" xr:uid="{60658EEF-699E-45CD-99F1-D3A1B4D51443}"/>
    <cellStyle name="Vírgula 3 2 2 3 8 2" xfId="39580" xr:uid="{44D9D4E4-3F47-4AAE-850C-485656B09965}"/>
    <cellStyle name="Vírgula 3 2 2 3 8 3" xfId="19241" xr:uid="{A79BBB23-1039-4950-A908-3BED01A696D2}"/>
    <cellStyle name="Vírgula 3 2 2 3 9" xfId="22496" xr:uid="{BC985264-BE7A-48A5-A83E-821C997F05B4}"/>
    <cellStyle name="Vírgula 3 2 2 3 9 2" xfId="42831" xr:uid="{431E2021-59BC-4312-8FDC-6ADA4FD3CAC8}"/>
    <cellStyle name="Vírgula 3 2 2 4" xfId="216" xr:uid="{502B1CCA-CD4C-4E50-A229-D404AB7EF080}"/>
    <cellStyle name="Vírgula 3 2 2 4 10" xfId="12271" xr:uid="{048BD0EE-5149-463E-A7AF-5E789E7E2E28}"/>
    <cellStyle name="Vírgula 3 2 2 4 10 2" xfId="32612" xr:uid="{A259998B-423D-4415-B1F7-CDA053179550}"/>
    <cellStyle name="Vírgula 3 2 2 4 11" xfId="9010" xr:uid="{B9F987DD-B13D-4D2C-B8C2-05EF7275816D}"/>
    <cellStyle name="Vírgula 3 2 2 4 11 2" xfId="29353" xr:uid="{0B0DFBC8-CD27-49E1-9ADA-98C6B734A02D}"/>
    <cellStyle name="Vírgula 3 2 2 4 12" xfId="25859" xr:uid="{77F40368-4090-4520-A8B6-EA18A0712F60}"/>
    <cellStyle name="Vírgula 3 2 2 4 13" xfId="46097" xr:uid="{782B0980-31B1-45AF-9DD2-B218DAA27C27}"/>
    <cellStyle name="Vírgula 3 2 2 4 14" xfId="46583" xr:uid="{68E38315-91FE-4C0C-ABF9-617E78584558}"/>
    <cellStyle name="Vírgula 3 2 2 4 15" xfId="47075" xr:uid="{08E6FBAA-2940-4EAC-8B6B-550C7686E31F}"/>
    <cellStyle name="Vírgula 3 2 2 4 16" xfId="48681" xr:uid="{3B6C1973-B08C-4ABC-B047-52B9DECF80D3}"/>
    <cellStyle name="Vírgula 3 2 2 4 17" xfId="50351" xr:uid="{A6A97CE1-2AF5-4FDB-BCDD-ACCF3523DD6F}"/>
    <cellStyle name="Vírgula 3 2 2 4 18" xfId="53646" xr:uid="{BECBED4F-8681-4BB0-9D2F-DEA62647E267}"/>
    <cellStyle name="Vírgula 3 2 2 4 19" xfId="5520" xr:uid="{F5548EC2-1BF5-48B3-A138-BB630A383643}"/>
    <cellStyle name="Vírgula 3 2 2 4 2" xfId="405" xr:uid="{C87B3566-B3C6-48AE-A625-599FF481AF8A}"/>
    <cellStyle name="Vírgula 3 2 2 4 2 10" xfId="50352" xr:uid="{D4930C55-EDAD-4334-A63A-2CE1B4750903}"/>
    <cellStyle name="Vírgula 3 2 2 4 2 11" xfId="53647" xr:uid="{4A12B5A2-EEAA-4C7A-AED8-C4B7A4D5C03D}"/>
    <cellStyle name="Vírgula 3 2 2 4 2 12" xfId="6092" xr:uid="{5622E474-16CE-46D0-83F3-C76AFA36E369}"/>
    <cellStyle name="Vírgula 3 2 2 4 2 13" xfId="4686" xr:uid="{C4E1C109-62C9-402C-A721-EFDAAEB55B1D}"/>
    <cellStyle name="Vírgula 3 2 2 4 2 2" xfId="1221" xr:uid="{4285CCB5-28C7-45C6-9426-A8811D425DD7}"/>
    <cellStyle name="Vírgula 3 2 2 4 2 2 10" xfId="53648" xr:uid="{F4DDA108-95F3-46A6-B42F-05289A8C70FB}"/>
    <cellStyle name="Vírgula 3 2 2 4 2 2 11" xfId="7250" xr:uid="{0ADBC506-0CCF-4BBE-8A9B-744C321A8142}"/>
    <cellStyle name="Vírgula 3 2 2 4 2 2 2" xfId="2882" xr:uid="{BC89C0AD-2C69-46AB-8C37-FB2DC23A22AE}"/>
    <cellStyle name="Vírgula 3 2 2 4 2 2 2 2" xfId="37876" xr:uid="{85107D43-9F8D-44D8-9828-A9C846989CF1}"/>
    <cellStyle name="Vírgula 3 2 2 4 2 2 2 3" xfId="51985" xr:uid="{556477EB-4DEB-4AE0-92B8-D89678E9843D}"/>
    <cellStyle name="Vírgula 3 2 2 4 2 2 2 4" xfId="55279" xr:uid="{D4F29EDB-73B4-4EAA-9CB2-FFFFBAD30C82}"/>
    <cellStyle name="Vírgula 3 2 2 4 2 2 2 5" xfId="17536" xr:uid="{F48B1D29-F305-4E24-B9A5-2D7FFDF9D671}"/>
    <cellStyle name="Vírgula 3 2 2 4 2 2 3" xfId="21038" xr:uid="{023641BE-6E60-4CBB-8DE9-B8462333144C}"/>
    <cellStyle name="Vírgula 3 2 2 4 2 2 3 2" xfId="41377" xr:uid="{54B1C756-3EDF-45DE-9F02-A6C81331C1E0}"/>
    <cellStyle name="Vírgula 3 2 2 4 2 2 3 3" xfId="57092" xr:uid="{9E6E408E-F860-4555-94B0-DD8E04DC2EF6}"/>
    <cellStyle name="Vírgula 3 2 2 4 2 2 4" xfId="24293" xr:uid="{A9999BB8-18C0-48D4-B28F-DCE96F1BC602}"/>
    <cellStyle name="Vírgula 3 2 2 4 2 2 4 2" xfId="44628" xr:uid="{555E5208-AF17-4A03-8A95-7BF3D41E4136}"/>
    <cellStyle name="Vírgula 3 2 2 4 2 2 5" xfId="14627" xr:uid="{9BEEE39E-3A9E-4FFA-ACB1-171E9E42274A}"/>
    <cellStyle name="Vírgula 3 2 2 4 2 2 5 2" xfId="34968" xr:uid="{3ED30F33-5E45-4DD3-978B-2CEB5946F701}"/>
    <cellStyle name="Vírgula 3 2 2 4 2 2 6" xfId="10749" xr:uid="{626A8363-AE68-47B5-A192-E3B3442E4241}"/>
    <cellStyle name="Vírgula 3 2 2 4 2 2 6 2" xfId="31092" xr:uid="{7BB6D723-9EE5-4B4C-908B-07F579B931AC}"/>
    <cellStyle name="Vírgula 3 2 2 4 2 2 7" xfId="27598" xr:uid="{0838FE82-412F-4E20-A5BE-A0653D641135}"/>
    <cellStyle name="Vírgula 3 2 2 4 2 2 8" xfId="48683" xr:uid="{4E011225-B565-4C92-BF70-1160E4630B48}"/>
    <cellStyle name="Vírgula 3 2 2 4 2 2 9" xfId="50353" xr:uid="{8E8B50B1-CE7A-4433-92FD-DED2244D0D43}"/>
    <cellStyle name="Vírgula 3 2 2 4 2 3" xfId="1627" xr:uid="{F9255911-8542-49DB-9467-DD2BD6037560}"/>
    <cellStyle name="Vírgula 3 2 2 4 2 3 2" xfId="3287" xr:uid="{DA4744CD-A1F7-4536-A3AF-F694A73524FD}"/>
    <cellStyle name="Vírgula 3 2 2 4 2 3 2 2" xfId="51986" xr:uid="{71523975-7683-4B7C-9F7A-C7A3041F06AF}"/>
    <cellStyle name="Vírgula 3 2 2 4 2 3 2 3" xfId="55280" xr:uid="{DC21DAF3-18BA-45D2-BB6F-F8A5CE13E686}"/>
    <cellStyle name="Vírgula 3 2 2 4 2 3 2 4" xfId="36718" xr:uid="{E2EAB702-F5C7-4267-96D0-E1255939751F}"/>
    <cellStyle name="Vírgula 3 2 2 4 2 3 3" xfId="48684" xr:uid="{F23C93B6-E502-4386-BD93-6C3FDEE3DB55}"/>
    <cellStyle name="Vírgula 3 2 2 4 2 3 3 2" xfId="57498" xr:uid="{C023E7C3-B043-4EFD-A29C-15D23F3DBD5F}"/>
    <cellStyle name="Vírgula 3 2 2 4 2 3 4" xfId="50354" xr:uid="{1D72CF88-655B-4D7A-8D12-5093816515B0}"/>
    <cellStyle name="Vírgula 3 2 2 4 2 3 5" xfId="53649" xr:uid="{212AB0BD-587B-4BD1-AF4A-35FB42AB9017}"/>
    <cellStyle name="Vírgula 3 2 2 4 2 3 6" xfId="16378" xr:uid="{FB844DD6-A088-4019-8E10-D79F199609DD}"/>
    <cellStyle name="Vírgula 3 2 2 4 2 4" xfId="814" xr:uid="{0E45DCAA-7909-4B74-B792-25F864BF5E35}"/>
    <cellStyle name="Vírgula 3 2 2 4 2 4 2" xfId="2530" xr:uid="{9ACF3105-E1A7-4D3D-A847-E93F36B7AA2B}"/>
    <cellStyle name="Vírgula 3 2 2 4 2 4 2 2" xfId="51987" xr:uid="{2EE5D0E1-53B6-4B9D-B8D5-BF3248127E1E}"/>
    <cellStyle name="Vírgula 3 2 2 4 2 4 2 3" xfId="55281" xr:uid="{1D733F03-8B29-4DE7-BFE3-5979C0CEDED2}"/>
    <cellStyle name="Vírgula 3 2 2 4 2 4 2 4" xfId="40219" xr:uid="{197F5F02-870E-4B37-9A83-673E0175ADB4}"/>
    <cellStyle name="Vírgula 3 2 2 4 2 4 3" xfId="48685" xr:uid="{18AF6102-8EBE-4990-B0D3-744378ED7C11}"/>
    <cellStyle name="Vírgula 3 2 2 4 2 4 3 2" xfId="56685" xr:uid="{3A9FE203-5868-4F84-A814-06B9D916661D}"/>
    <cellStyle name="Vírgula 3 2 2 4 2 4 4" xfId="50355" xr:uid="{9A57540F-FF4B-4647-9E46-95C8F9F1D880}"/>
    <cellStyle name="Vírgula 3 2 2 4 2 4 5" xfId="53650" xr:uid="{D52FDEF0-511C-46BA-919B-8E41AA5C906B}"/>
    <cellStyle name="Vírgula 3 2 2 4 2 4 6" xfId="19880" xr:uid="{61505306-B487-485E-B22E-F91A442F705F}"/>
    <cellStyle name="Vírgula 3 2 2 4 2 5" xfId="2148" xr:uid="{5221A5F6-8358-4EF3-AB1E-DAE82F7447CA}"/>
    <cellStyle name="Vírgula 3 2 2 4 2 5 2" xfId="43470" xr:uid="{116E8AC2-0DF1-4137-A527-4DBB8D06F253}"/>
    <cellStyle name="Vírgula 3 2 2 4 2 5 3" xfId="51984" xr:uid="{403872B9-28AB-492D-A60D-17A51D64F699}"/>
    <cellStyle name="Vírgula 3 2 2 4 2 5 4" xfId="55278" xr:uid="{E1F97E08-1F1F-441A-9395-81CE01BDEBDF}"/>
    <cellStyle name="Vírgula 3 2 2 4 2 5 5" xfId="23135" xr:uid="{C402607B-877B-4524-AEE9-02FE9BB203F4}"/>
    <cellStyle name="Vírgula 3 2 2 4 2 6" xfId="13469" xr:uid="{B148E712-3DE9-4B73-8BBF-613A274893DE}"/>
    <cellStyle name="Vírgula 3 2 2 4 2 6 2" xfId="33810" xr:uid="{15198A15-A4F6-4ACF-99EB-E0A2A1FB1F51}"/>
    <cellStyle name="Vírgula 3 2 2 4 2 6 3" xfId="56276" xr:uid="{201F84C6-9380-4E96-9C6A-BA82AD5827BF}"/>
    <cellStyle name="Vírgula 3 2 2 4 2 7" xfId="9591" xr:uid="{C952F049-A4C7-4CDC-A7AE-9BB5DB3D07B6}"/>
    <cellStyle name="Vírgula 3 2 2 4 2 7 2" xfId="29934" xr:uid="{6E8B147D-CEB1-4490-A554-9CD588E172DF}"/>
    <cellStyle name="Vírgula 3 2 2 4 2 8" xfId="26440" xr:uid="{A0CFB610-5B9B-4062-BFC1-27EE7E83660A}"/>
    <cellStyle name="Vírgula 3 2 2 4 2 9" xfId="48682" xr:uid="{715F4D9F-E9F6-4C79-AA3D-23DAA7A352C9}"/>
    <cellStyle name="Vírgula 3 2 2 4 20" xfId="4497" xr:uid="{00CE4CF5-A361-402B-B1A3-659B328DE71A}"/>
    <cellStyle name="Vírgula 3 2 2 4 3" xfId="1032" xr:uid="{5E2B725E-E201-4066-8EC5-CE548BD241EA}"/>
    <cellStyle name="Vírgula 3 2 2 4 3 10" xfId="53651" xr:uid="{A29BD70A-B070-46F3-A72F-854A3352A7FA}"/>
    <cellStyle name="Vírgula 3 2 2 4 3 11" xfId="6669" xr:uid="{7E3624E9-3EFE-44AF-8EDF-A2A884DC768F}"/>
    <cellStyle name="Vírgula 3 2 2 4 3 12" xfId="4990" xr:uid="{EC1E62D0-2CC0-4919-BC53-70FD88D66404}"/>
    <cellStyle name="Vírgula 3 2 2 4 3 2" xfId="2720" xr:uid="{C8AF4895-FB15-4AE5-BF7F-B3A6EB583250}"/>
    <cellStyle name="Vírgula 3 2 2 4 3 2 2" xfId="37295" xr:uid="{83998F55-FCC6-4CCB-9C6D-87849163D895}"/>
    <cellStyle name="Vírgula 3 2 2 4 3 2 3" xfId="51988" xr:uid="{8B27FE0F-AB65-41E7-98E1-85777518EE37}"/>
    <cellStyle name="Vírgula 3 2 2 4 3 2 4" xfId="55282" xr:uid="{B3B74024-673B-4B26-B087-C3C8D6D1D76D}"/>
    <cellStyle name="Vírgula 3 2 2 4 3 2 5" xfId="16955" xr:uid="{D153245A-AC8D-4DD9-A0DD-1983B3AF6066}"/>
    <cellStyle name="Vírgula 3 2 2 4 3 3" xfId="20457" xr:uid="{753F6AEB-A313-4407-962B-58EBBEA92AAA}"/>
    <cellStyle name="Vírgula 3 2 2 4 3 3 2" xfId="40796" xr:uid="{BDEF2635-32F3-450A-8FD8-19A1E932EB86}"/>
    <cellStyle name="Vírgula 3 2 2 4 3 3 3" xfId="56903" xr:uid="{49D1CD12-1F5E-4592-9145-E58F8D2F4C79}"/>
    <cellStyle name="Vírgula 3 2 2 4 3 4" xfId="23712" xr:uid="{B1ACB902-711B-421C-AE32-F6A91E6D8D4E}"/>
    <cellStyle name="Vírgula 3 2 2 4 3 4 2" xfId="44047" xr:uid="{74C58EBC-7DF7-49ED-87EE-2D9F476C12E9}"/>
    <cellStyle name="Vírgula 3 2 2 4 3 5" xfId="14046" xr:uid="{0E14F328-824A-4A20-9BFD-7BE1ED1692D0}"/>
    <cellStyle name="Vírgula 3 2 2 4 3 5 2" xfId="34387" xr:uid="{F6B98509-18CD-467B-96AA-1E0CD1718533}"/>
    <cellStyle name="Vírgula 3 2 2 4 3 6" xfId="10168" xr:uid="{E404188E-364E-4BE0-9BC7-57E313A85BDA}"/>
    <cellStyle name="Vírgula 3 2 2 4 3 6 2" xfId="30511" xr:uid="{2428435C-02C4-4C1F-9C09-1AA96707CB82}"/>
    <cellStyle name="Vírgula 3 2 2 4 3 7" xfId="27017" xr:uid="{F97FB8FD-667A-419F-BD88-AD4C8FA7303F}"/>
    <cellStyle name="Vírgula 3 2 2 4 3 8" xfId="48686" xr:uid="{7B64B022-6A75-495C-A25D-DAF033401242}"/>
    <cellStyle name="Vírgula 3 2 2 4 3 9" xfId="50356" xr:uid="{FE28B249-B4BC-4D9A-B8E7-F186613DB022}"/>
    <cellStyle name="Vírgula 3 2 2 4 4" xfId="1438" xr:uid="{989AF68A-22B5-4200-A819-873C56B97771}"/>
    <cellStyle name="Vírgula 3 2 2 4 4 10" xfId="53652" xr:uid="{2B3DF64F-19E1-4EAF-AA1C-B1076483BA27}"/>
    <cellStyle name="Vírgula 3 2 2 4 4 11" xfId="7833" xr:uid="{F416A0CC-1909-4D2A-9330-4A7351A5ACAC}"/>
    <cellStyle name="Vírgula 3 2 2 4 4 2" xfId="3099" xr:uid="{D8121637-0276-496E-878A-C535A4EEB2F3}"/>
    <cellStyle name="Vírgula 3 2 2 4 4 2 2" xfId="38458" xr:uid="{4820C7A1-0240-4C8C-BA60-FA35B69EDD28}"/>
    <cellStyle name="Vírgula 3 2 2 4 4 2 3" xfId="51989" xr:uid="{7640435B-3362-494B-83F5-70CEEA01E272}"/>
    <cellStyle name="Vírgula 3 2 2 4 4 2 4" xfId="55283" xr:uid="{C8F16C9A-5F25-435B-BCC8-41D8326FD8A0}"/>
    <cellStyle name="Vírgula 3 2 2 4 4 2 5" xfId="18118" xr:uid="{1033A37D-9A3B-4629-82F0-8E74B21D8034}"/>
    <cellStyle name="Vírgula 3 2 2 4 4 3" xfId="21620" xr:uid="{FE80BE66-3510-410D-9C25-07B14E9B3CE6}"/>
    <cellStyle name="Vírgula 3 2 2 4 4 3 2" xfId="41959" xr:uid="{59B5ED6B-B3E7-424B-84D7-DADD6D21DE8A}"/>
    <cellStyle name="Vírgula 3 2 2 4 4 3 3" xfId="57309" xr:uid="{85C7D3B3-F95C-41B8-A44A-04571729D150}"/>
    <cellStyle name="Vírgula 3 2 2 4 4 4" xfId="24875" xr:uid="{4D2AEB46-1683-4EDC-8A63-F78E96BE9697}"/>
    <cellStyle name="Vírgula 3 2 2 4 4 4 2" xfId="45210" xr:uid="{6F530F9B-AFAB-48EB-A425-608594FF2DF3}"/>
    <cellStyle name="Vírgula 3 2 2 4 4 5" xfId="15210" xr:uid="{BD1CEC14-3EA6-4B94-835F-61199094C987}"/>
    <cellStyle name="Vírgula 3 2 2 4 4 5 2" xfId="35550" xr:uid="{A94D17A7-D59A-4C82-8E57-F841C4737123}"/>
    <cellStyle name="Vírgula 3 2 2 4 4 6" xfId="11331" xr:uid="{EE645D8C-6CFC-4A6A-A8A3-133B032F2459}"/>
    <cellStyle name="Vírgula 3 2 2 4 4 6 2" xfId="31674" xr:uid="{CE7BAD80-3E01-4BDA-A810-6B4740F9BD14}"/>
    <cellStyle name="Vírgula 3 2 2 4 4 7" xfId="28180" xr:uid="{939ACC27-B4E5-488F-9BA9-A0903F1A905D}"/>
    <cellStyle name="Vírgula 3 2 2 4 4 8" xfId="48687" xr:uid="{64D5BC94-6DF7-445B-8D22-F819C039C771}"/>
    <cellStyle name="Vírgula 3 2 2 4 4 9" xfId="50357" xr:uid="{EABBD072-83D6-4137-AEF3-8EF9C281D5FF}"/>
    <cellStyle name="Vírgula 3 2 2 4 5" xfId="625" xr:uid="{B320AAC9-B581-4645-B81B-5F678452EB01}"/>
    <cellStyle name="Vírgula 3 2 2 4 5 10" xfId="8261" xr:uid="{0D4DF057-EB84-4E06-9DAF-678D4DA50049}"/>
    <cellStyle name="Vírgula 3 2 2 4 5 2" xfId="2341" xr:uid="{AC9FF871-0E6E-47B6-B7D4-93FB986275FF}"/>
    <cellStyle name="Vírgula 3 2 2 4 5 2 2" xfId="42384" xr:uid="{37FB28AC-4DA7-4475-BBDA-9A5130CC04DE}"/>
    <cellStyle name="Vírgula 3 2 2 4 5 2 3" xfId="51990" xr:uid="{6213B461-633A-473A-A96F-DD9E7E228F8F}"/>
    <cellStyle name="Vírgula 3 2 2 4 5 2 4" xfId="55284" xr:uid="{824975AE-E56D-4FDE-AD07-7613C67CDE0B}"/>
    <cellStyle name="Vírgula 3 2 2 4 5 2 5" xfId="22048" xr:uid="{0FEA41EC-8700-4AC8-B2CF-A59F54711529}"/>
    <cellStyle name="Vírgula 3 2 2 4 5 3" xfId="25300" xr:uid="{32978E01-063F-4DA7-B1BE-7FC4B4E296C4}"/>
    <cellStyle name="Vírgula 3 2 2 4 5 3 2" xfId="45635" xr:uid="{90FA7343-E1B8-422E-9FA1-CE3CFFCC4679}"/>
    <cellStyle name="Vírgula 3 2 2 4 5 3 3" xfId="56496" xr:uid="{9A35D965-EB4A-43B2-A2B6-5C1AA6C3A1D1}"/>
    <cellStyle name="Vírgula 3 2 2 4 5 4" xfId="12900" xr:uid="{4FC0CC28-08B2-469C-85F5-BD80A4719A30}"/>
    <cellStyle name="Vírgula 3 2 2 4 5 4 2" xfId="33241" xr:uid="{39297EEA-B254-4F72-936D-209D066F409A}"/>
    <cellStyle name="Vírgula 3 2 2 4 5 5" xfId="11757" xr:uid="{FAB60C37-25A0-42B4-91B9-651262C5E048}"/>
    <cellStyle name="Vírgula 3 2 2 4 5 5 2" xfId="32099" xr:uid="{152C9B78-487F-4810-8C9C-F1A736123290}"/>
    <cellStyle name="Vírgula 3 2 2 4 5 6" xfId="28605" xr:uid="{DA056D0C-4CC7-4550-BB33-D8C28265D913}"/>
    <cellStyle name="Vírgula 3 2 2 4 5 7" xfId="48688" xr:uid="{96FDE3FC-5873-4087-901A-D7E7F5C2F6E6}"/>
    <cellStyle name="Vírgula 3 2 2 4 5 8" xfId="50358" xr:uid="{75A6B9F0-05C4-4F5D-9736-C52FCBDA5726}"/>
    <cellStyle name="Vírgula 3 2 2 4 5 9" xfId="53653" xr:uid="{5F7064DD-F472-49B2-9B86-4A9F9D9ABF85}"/>
    <cellStyle name="Vírgula 3 2 2 4 6" xfId="3613" xr:uid="{B6D4627B-4F54-4461-9DD7-3E4CA15F7B61}"/>
    <cellStyle name="Vírgula 3 2 2 4 6 2" xfId="36137" xr:uid="{63F35BE0-A843-4103-A869-84CD7C40B459}"/>
    <cellStyle name="Vírgula 3 2 2 4 6 3" xfId="51983" xr:uid="{89F65DCF-E87C-4190-A969-8B4B4B149EE7}"/>
    <cellStyle name="Vírgula 3 2 2 4 6 4" xfId="55277" xr:uid="{036C83E3-A458-48A9-8400-A1A1871B3B38}"/>
    <cellStyle name="Vírgula 3 2 2 4 6 5" xfId="15797" xr:uid="{AE4BDE60-61BD-4DFA-B1C5-FB5305CD2E35}"/>
    <cellStyle name="Vírgula 3 2 2 4 7" xfId="4173" xr:uid="{BF68FCC3-F77D-4743-9BD3-8ACF4E07C412}"/>
    <cellStyle name="Vírgula 3 2 2 4 7 2" xfId="39051" xr:uid="{B51D7B81-BA9C-471F-ABEF-ECD5D578CBEF}"/>
    <cellStyle name="Vírgula 3 2 2 4 7 3" xfId="56087" xr:uid="{20351ECF-2EA8-4A71-A42D-06D5CEDFA60A}"/>
    <cellStyle name="Vírgula 3 2 2 4 7 4" xfId="18711" xr:uid="{7C3B8B07-9C3F-4F0F-801E-BF5D13C25DA3}"/>
    <cellStyle name="Vírgula 3 2 2 4 8" xfId="1962" xr:uid="{3F1F34D8-F9A8-40A1-9A1A-D1B90B4CCA2F}"/>
    <cellStyle name="Vírgula 3 2 2 4 8 2" xfId="39638" xr:uid="{6D12E0DE-E84E-41EB-8A94-1D5F303AB90A}"/>
    <cellStyle name="Vírgula 3 2 2 4 8 3" xfId="19299" xr:uid="{E6AC3C11-BA09-46F4-8859-0F5A775E9022}"/>
    <cellStyle name="Vírgula 3 2 2 4 9" xfId="22554" xr:uid="{5F886594-2597-4CE9-A47E-B4B12976F6DB}"/>
    <cellStyle name="Vírgula 3 2 2 4 9 2" xfId="42889" xr:uid="{69E8B4E8-0D98-4DC4-B83F-1839FFA6CFDD}"/>
    <cellStyle name="Vírgula 3 2 2 5" xfId="268" xr:uid="{79FF6D75-75CA-4B16-9E47-5030B19416E9}"/>
    <cellStyle name="Vírgula 3 2 2 5 10" xfId="12346" xr:uid="{F6FE9D27-DC55-4CF3-A9A3-76796DD257AA}"/>
    <cellStyle name="Vírgula 3 2 2 5 10 2" xfId="32687" xr:uid="{33F82679-1E8D-4D5C-B8F0-A2804183F2AD}"/>
    <cellStyle name="Vírgula 3 2 2 5 11" xfId="9085" xr:uid="{D5ED9318-0C8B-4497-8B7A-806382D01070}"/>
    <cellStyle name="Vírgula 3 2 2 5 11 2" xfId="29428" xr:uid="{EDC659B5-F21D-4576-81F9-0114EE374C5A}"/>
    <cellStyle name="Vírgula 3 2 2 5 12" xfId="25934" xr:uid="{434E8C35-F54D-4724-BF69-637442950FCC}"/>
    <cellStyle name="Vírgula 3 2 2 5 13" xfId="48689" xr:uid="{50B3B206-2E3B-4002-B4F3-09F1530A7849}"/>
    <cellStyle name="Vírgula 3 2 2 5 14" xfId="50359" xr:uid="{9DE86429-F5BC-406C-9EF0-61E75992F99D}"/>
    <cellStyle name="Vírgula 3 2 2 5 15" xfId="53654" xr:uid="{9EFD192E-E6DE-4920-A379-FD2516B5279A}"/>
    <cellStyle name="Vírgula 3 2 2 5 16" xfId="5595" xr:uid="{4CF2B237-E3E8-49C7-B4C6-EE82A9DCB2DE}"/>
    <cellStyle name="Vírgula 3 2 2 5 17" xfId="4549" xr:uid="{860C3452-5685-4717-B82D-69F47B3EBB7A}"/>
    <cellStyle name="Vírgula 3 2 2 5 2" xfId="457" xr:uid="{A115044F-9B45-4CEF-9837-EB2FCAD21889}"/>
    <cellStyle name="Vírgula 3 2 2 5 2 10" xfId="50360" xr:uid="{A3E21B08-A503-4C95-99A9-0F52A0666C60}"/>
    <cellStyle name="Vírgula 3 2 2 5 2 11" xfId="53655" xr:uid="{71709AE6-4DB4-44A8-BDD6-9F3E278FCF66}"/>
    <cellStyle name="Vírgula 3 2 2 5 2 12" xfId="6167" xr:uid="{34446D66-D624-4732-BD32-E2E2CFC67242}"/>
    <cellStyle name="Vírgula 3 2 2 5 2 13" xfId="4738" xr:uid="{EF4475AF-95B6-40C4-BFF8-5D7BAFA2867C}"/>
    <cellStyle name="Vírgula 3 2 2 5 2 2" xfId="1273" xr:uid="{D8F67153-955D-40CA-B9F5-B44ADAACBD68}"/>
    <cellStyle name="Vírgula 3 2 2 5 2 2 10" xfId="53656" xr:uid="{D946B123-E5DF-4539-9C3F-923834C893C2}"/>
    <cellStyle name="Vírgula 3 2 2 5 2 2 11" xfId="7325" xr:uid="{97965A92-C279-4D4F-BFEF-AEBBE98F995D}"/>
    <cellStyle name="Vírgula 3 2 2 5 2 2 2" xfId="2934" xr:uid="{4DA1773B-C178-4F94-8862-4FDA85E593B8}"/>
    <cellStyle name="Vírgula 3 2 2 5 2 2 2 2" xfId="37951" xr:uid="{18421E07-41EC-432F-ACAF-F5F04D1BDA0F}"/>
    <cellStyle name="Vírgula 3 2 2 5 2 2 2 3" xfId="51993" xr:uid="{D1436338-8CD5-48FC-A5B9-5415961D87DF}"/>
    <cellStyle name="Vírgula 3 2 2 5 2 2 2 4" xfId="55287" xr:uid="{750AFA38-B98A-41AD-9868-44D5904A3766}"/>
    <cellStyle name="Vírgula 3 2 2 5 2 2 2 5" xfId="17611" xr:uid="{CA9A51D1-8348-43FD-A84A-23B592FB6916}"/>
    <cellStyle name="Vírgula 3 2 2 5 2 2 3" xfId="21113" xr:uid="{47801FAB-C381-43EB-A6DB-7085D655E4FA}"/>
    <cellStyle name="Vírgula 3 2 2 5 2 2 3 2" xfId="41452" xr:uid="{1FC99950-260F-493B-914E-7EE6CC0CFB9C}"/>
    <cellStyle name="Vírgula 3 2 2 5 2 2 3 3" xfId="57144" xr:uid="{5164CF89-E185-4DFC-804B-C5CE236601DD}"/>
    <cellStyle name="Vírgula 3 2 2 5 2 2 4" xfId="24368" xr:uid="{660F5F93-AF54-4CEB-A66A-5476F994B5D3}"/>
    <cellStyle name="Vírgula 3 2 2 5 2 2 4 2" xfId="44703" xr:uid="{EB381357-B45B-4CBD-8D7A-6AAB9413FFEA}"/>
    <cellStyle name="Vírgula 3 2 2 5 2 2 5" xfId="14702" xr:uid="{ACA2D07F-4D00-41B0-BE9C-F5CBC5AE32DA}"/>
    <cellStyle name="Vírgula 3 2 2 5 2 2 5 2" xfId="35043" xr:uid="{F97D9A01-1D82-43E2-916D-A6B42B88B73D}"/>
    <cellStyle name="Vírgula 3 2 2 5 2 2 6" xfId="10824" xr:uid="{2DC3AD64-4AEE-42DB-8933-79BFDFF28449}"/>
    <cellStyle name="Vírgula 3 2 2 5 2 2 6 2" xfId="31167" xr:uid="{D4144972-D23D-4FEB-996F-974F6E1744F6}"/>
    <cellStyle name="Vírgula 3 2 2 5 2 2 7" xfId="27673" xr:uid="{18F6B996-3497-4826-85B1-153F8BD5E7C8}"/>
    <cellStyle name="Vírgula 3 2 2 5 2 2 8" xfId="48691" xr:uid="{7A3A8A06-8BD7-4D36-8A90-A7B604B3F04B}"/>
    <cellStyle name="Vírgula 3 2 2 5 2 2 9" xfId="50361" xr:uid="{49F72A8B-FD7A-4ECE-919F-5969732AF758}"/>
    <cellStyle name="Vírgula 3 2 2 5 2 3" xfId="1679" xr:uid="{9C188ED2-1EFC-496F-A692-821033625539}"/>
    <cellStyle name="Vírgula 3 2 2 5 2 3 2" xfId="3339" xr:uid="{FE2C6A46-34F7-4C8A-AD41-0DC396B1ADCB}"/>
    <cellStyle name="Vírgula 3 2 2 5 2 3 2 2" xfId="51994" xr:uid="{F527EA35-945D-4245-B705-515C72C8D897}"/>
    <cellStyle name="Vírgula 3 2 2 5 2 3 2 3" xfId="55288" xr:uid="{6DEC661B-03BA-4D3A-BE06-EDA463C78EC5}"/>
    <cellStyle name="Vírgula 3 2 2 5 2 3 2 4" xfId="36793" xr:uid="{BB7FA890-23C4-4694-9488-1EAFD04CFB4E}"/>
    <cellStyle name="Vírgula 3 2 2 5 2 3 3" xfId="48692" xr:uid="{43150DAB-A14D-467A-9795-6565D2C4C75D}"/>
    <cellStyle name="Vírgula 3 2 2 5 2 3 3 2" xfId="57550" xr:uid="{DA836B2C-E0C1-4079-8A09-E5E3429051B5}"/>
    <cellStyle name="Vírgula 3 2 2 5 2 3 4" xfId="50362" xr:uid="{5DB953A9-8686-4267-A06B-FEFE9E31684B}"/>
    <cellStyle name="Vírgula 3 2 2 5 2 3 5" xfId="53657" xr:uid="{AC42E78A-AF9E-4ACE-9BC9-0A00E6E10DDB}"/>
    <cellStyle name="Vírgula 3 2 2 5 2 3 6" xfId="16453" xr:uid="{2B932813-0D67-49A9-B60B-8CDCCA370A3C}"/>
    <cellStyle name="Vírgula 3 2 2 5 2 4" xfId="866" xr:uid="{810CBF96-639E-4806-B130-49E9CED8C535}"/>
    <cellStyle name="Vírgula 3 2 2 5 2 4 2" xfId="2582" xr:uid="{6BFFA498-FF16-4EA9-8D85-94483B29CCE8}"/>
    <cellStyle name="Vírgula 3 2 2 5 2 4 2 2" xfId="51995" xr:uid="{AA2D8109-688C-407D-BEBA-8F772CAC7155}"/>
    <cellStyle name="Vírgula 3 2 2 5 2 4 2 3" xfId="55289" xr:uid="{8FED99AD-40C5-4474-8300-5887FC23C392}"/>
    <cellStyle name="Vírgula 3 2 2 5 2 4 2 4" xfId="40294" xr:uid="{2AD132C7-1526-4578-926C-614D6BBAB0B3}"/>
    <cellStyle name="Vírgula 3 2 2 5 2 4 3" xfId="48693" xr:uid="{C2BD071F-47F7-4F8D-BAF2-C605DC3F8093}"/>
    <cellStyle name="Vírgula 3 2 2 5 2 4 3 2" xfId="56737" xr:uid="{C508C497-0CF2-4B38-970A-78CBC6CAC6B7}"/>
    <cellStyle name="Vírgula 3 2 2 5 2 4 4" xfId="50363" xr:uid="{BF19E3DA-D9A5-4960-A392-17DDAC8F798E}"/>
    <cellStyle name="Vírgula 3 2 2 5 2 4 5" xfId="53658" xr:uid="{F7F377DA-3B5F-4BDC-A711-943EC8395209}"/>
    <cellStyle name="Vírgula 3 2 2 5 2 4 6" xfId="19955" xr:uid="{A4DD8B79-BC8C-4868-BAD3-43D103CB0A62}"/>
    <cellStyle name="Vírgula 3 2 2 5 2 5" xfId="2174" xr:uid="{0B8E3A90-4499-48E5-BAA7-67D5A63F5EE7}"/>
    <cellStyle name="Vírgula 3 2 2 5 2 5 2" xfId="43545" xr:uid="{B4CEC7D9-ED3C-4EEC-A8F8-A3F2C8489F7C}"/>
    <cellStyle name="Vírgula 3 2 2 5 2 5 3" xfId="51992" xr:uid="{EB4D6759-F093-44B0-9FF9-C6B461CDF60D}"/>
    <cellStyle name="Vírgula 3 2 2 5 2 5 4" xfId="55286" xr:uid="{CAD94395-BD24-4448-B755-8DCBEBA4AC34}"/>
    <cellStyle name="Vírgula 3 2 2 5 2 5 5" xfId="23210" xr:uid="{28F58D5C-84AB-4B41-A461-E729F4B8ED76}"/>
    <cellStyle name="Vírgula 3 2 2 5 2 6" xfId="13544" xr:uid="{D3AD8A2C-C10E-4620-88C8-4A099C20B1C2}"/>
    <cellStyle name="Vírgula 3 2 2 5 2 6 2" xfId="33885" xr:uid="{452F3C0D-9DD0-4822-8A64-48604FA5F9B7}"/>
    <cellStyle name="Vírgula 3 2 2 5 2 6 3" xfId="56328" xr:uid="{56ED6E4C-B00B-4E75-A8EA-9AABEDE013F9}"/>
    <cellStyle name="Vírgula 3 2 2 5 2 7" xfId="9666" xr:uid="{6F568197-175D-47C7-BDEB-404380DF2568}"/>
    <cellStyle name="Vírgula 3 2 2 5 2 7 2" xfId="30009" xr:uid="{43C8B529-EA2E-4C6B-B24D-96D2C27C831F}"/>
    <cellStyle name="Vírgula 3 2 2 5 2 8" xfId="26515" xr:uid="{20CD876A-49D9-4ABB-96E5-CA4376EA5E7B}"/>
    <cellStyle name="Vírgula 3 2 2 5 2 9" xfId="48690" xr:uid="{BE066705-B15C-4F40-827B-FDA3D500F84F}"/>
    <cellStyle name="Vírgula 3 2 2 5 3" xfId="1084" xr:uid="{08C8857B-9B65-4240-A9C2-66511B0BB9EB}"/>
    <cellStyle name="Vírgula 3 2 2 5 3 10" xfId="53659" xr:uid="{8DB16B66-3689-43E2-A797-6F3BC57F26A0}"/>
    <cellStyle name="Vírgula 3 2 2 5 3 11" xfId="6744" xr:uid="{AF09C32C-999E-4234-8314-2B0D553991A9}"/>
    <cellStyle name="Vírgula 3 2 2 5 3 2" xfId="2747" xr:uid="{C08BEDDE-7085-4D6D-8EA6-64F2FC496727}"/>
    <cellStyle name="Vírgula 3 2 2 5 3 2 2" xfId="37370" xr:uid="{0BDD3A8B-A6CD-44DE-95F9-26729D90FCB2}"/>
    <cellStyle name="Vírgula 3 2 2 5 3 2 3" xfId="51996" xr:uid="{0F6EF491-B735-47E7-95F2-067AF8234CC1}"/>
    <cellStyle name="Vírgula 3 2 2 5 3 2 4" xfId="55290" xr:uid="{6AC0832D-BB35-4D51-8B0D-773411C6F8CF}"/>
    <cellStyle name="Vírgula 3 2 2 5 3 2 5" xfId="17030" xr:uid="{F295ECF1-20BC-48B3-85E1-6BF90C216899}"/>
    <cellStyle name="Vírgula 3 2 2 5 3 3" xfId="20532" xr:uid="{69E04D21-00BA-4F59-B1E4-12A9353B2F56}"/>
    <cellStyle name="Vírgula 3 2 2 5 3 3 2" xfId="40871" xr:uid="{760237D8-536E-47EC-ADC0-02A3F1B585D6}"/>
    <cellStyle name="Vírgula 3 2 2 5 3 3 3" xfId="56955" xr:uid="{74550DE3-D93D-49E5-B1C8-AD444ECD2D13}"/>
    <cellStyle name="Vírgula 3 2 2 5 3 4" xfId="23787" xr:uid="{17EBF527-F37C-466B-A604-51C6E9834D47}"/>
    <cellStyle name="Vírgula 3 2 2 5 3 4 2" xfId="44122" xr:uid="{01F3C73B-348F-46D3-A470-4A6FB133422F}"/>
    <cellStyle name="Vírgula 3 2 2 5 3 5" xfId="14121" xr:uid="{DD7023B5-7C4C-47F6-B4A9-8059D7FDD510}"/>
    <cellStyle name="Vírgula 3 2 2 5 3 5 2" xfId="34462" xr:uid="{C51EEF76-B61A-4D99-AEAE-1325ACD2A129}"/>
    <cellStyle name="Vírgula 3 2 2 5 3 6" xfId="10243" xr:uid="{9FD235E2-237E-4600-A2C4-95676C5D6A29}"/>
    <cellStyle name="Vírgula 3 2 2 5 3 6 2" xfId="30586" xr:uid="{410C189F-9920-488C-8C74-488FDDB531E6}"/>
    <cellStyle name="Vírgula 3 2 2 5 3 7" xfId="27092" xr:uid="{68E251E8-F935-4CCA-88F8-2C26BFBD1534}"/>
    <cellStyle name="Vírgula 3 2 2 5 3 8" xfId="48694" xr:uid="{DAEAE7C6-050C-4E94-B03F-E68F1303176C}"/>
    <cellStyle name="Vírgula 3 2 2 5 3 9" xfId="50364" xr:uid="{E662632C-FD67-4D3F-9C9B-07DBF72E8890}"/>
    <cellStyle name="Vírgula 3 2 2 5 4" xfId="1490" xr:uid="{2449F6AA-00A3-43B4-8625-ED575797B98A}"/>
    <cellStyle name="Vírgula 3 2 2 5 4 10" xfId="53660" xr:uid="{89096C8B-86B2-4C29-A9A6-B0ED4B144754}"/>
    <cellStyle name="Vírgula 3 2 2 5 4 11" xfId="7908" xr:uid="{0BBB7EF6-D905-4B94-86F7-9CE54645E95B}"/>
    <cellStyle name="Vírgula 3 2 2 5 4 2" xfId="3151" xr:uid="{4F52A25B-761E-40B3-8068-781AB202B492}"/>
    <cellStyle name="Vírgula 3 2 2 5 4 2 2" xfId="38533" xr:uid="{EC08E8A7-B139-4AEE-9A65-5D6F81FEA2EE}"/>
    <cellStyle name="Vírgula 3 2 2 5 4 2 3" xfId="51997" xr:uid="{437B3E9C-D1F8-428A-B378-23CA4DD876BB}"/>
    <cellStyle name="Vírgula 3 2 2 5 4 2 4" xfId="55291" xr:uid="{E3A2E9E3-34B7-4401-AA5D-4AC832718903}"/>
    <cellStyle name="Vírgula 3 2 2 5 4 2 5" xfId="18193" xr:uid="{08CF3947-9C1F-4FA7-B23B-BD4093977429}"/>
    <cellStyle name="Vírgula 3 2 2 5 4 3" xfId="21695" xr:uid="{43535E8A-885B-4859-BDA5-7CD01A9F6E66}"/>
    <cellStyle name="Vírgula 3 2 2 5 4 3 2" xfId="42034" xr:uid="{FA7D3285-DA48-4C6B-8F13-E887CC63D51C}"/>
    <cellStyle name="Vírgula 3 2 2 5 4 3 3" xfId="57361" xr:uid="{C65034A1-93AC-4ABE-8543-24983357E876}"/>
    <cellStyle name="Vírgula 3 2 2 5 4 4" xfId="24950" xr:uid="{626ADE82-AE50-4FA1-98DD-AE468F160479}"/>
    <cellStyle name="Vírgula 3 2 2 5 4 4 2" xfId="45285" xr:uid="{2D98AC67-26CD-422D-856C-AFF4E8C22018}"/>
    <cellStyle name="Vírgula 3 2 2 5 4 5" xfId="15285" xr:uid="{F85DE819-4A21-46F9-B3CF-E5630383B79D}"/>
    <cellStyle name="Vírgula 3 2 2 5 4 5 2" xfId="35625" xr:uid="{E00E6318-6D32-4390-BD75-2AA3E8067634}"/>
    <cellStyle name="Vírgula 3 2 2 5 4 6" xfId="11406" xr:uid="{F22448A7-4812-4CC5-AF60-2FEC0CAA8671}"/>
    <cellStyle name="Vírgula 3 2 2 5 4 6 2" xfId="31749" xr:uid="{27D8A405-361C-4A2F-8D89-1BC86954F1EC}"/>
    <cellStyle name="Vírgula 3 2 2 5 4 7" xfId="28255" xr:uid="{F8E22293-9BE4-4A3D-AC97-C328CF363513}"/>
    <cellStyle name="Vírgula 3 2 2 5 4 8" xfId="48695" xr:uid="{69C00C05-198E-4325-8BEC-5FCB6E24D265}"/>
    <cellStyle name="Vírgula 3 2 2 5 4 9" xfId="50365" xr:uid="{9DF845B8-0022-4DF5-8BF6-D7029582C289}"/>
    <cellStyle name="Vírgula 3 2 2 5 5" xfId="677" xr:uid="{4F546E65-858D-422B-B9F4-1D0CB248CFCD}"/>
    <cellStyle name="Vírgula 3 2 2 5 5 2" xfId="2393" xr:uid="{54C9DB9B-2CB7-4CC2-A136-3358353E0379}"/>
    <cellStyle name="Vírgula 3 2 2 5 5 2 2" xfId="51998" xr:uid="{25525CAF-F09A-4CB4-B3D0-72E6A7910EA4}"/>
    <cellStyle name="Vírgula 3 2 2 5 5 2 3" xfId="55292" xr:uid="{CD72BEA0-308A-410A-A163-032491889C10}"/>
    <cellStyle name="Vírgula 3 2 2 5 5 2 4" xfId="33316" xr:uid="{A3D9008B-A0D9-4D95-A97E-51BD74CE4518}"/>
    <cellStyle name="Vírgula 3 2 2 5 5 3" xfId="48696" xr:uid="{A3F73B78-A757-45EA-84E5-885AD0AD1CA3}"/>
    <cellStyle name="Vírgula 3 2 2 5 5 3 2" xfId="56548" xr:uid="{AEEA9355-6571-41AC-A83B-45896E27442D}"/>
    <cellStyle name="Vírgula 3 2 2 5 5 4" xfId="50366" xr:uid="{DE24CBBB-143D-4A74-89EB-D63F97170EBA}"/>
    <cellStyle name="Vírgula 3 2 2 5 5 5" xfId="53661" xr:uid="{AFCBD444-36E5-424E-9B55-C990B2AE3496}"/>
    <cellStyle name="Vírgula 3 2 2 5 5 6" xfId="12975" xr:uid="{76BBC84F-C88F-49F0-90A7-2E1180EE29D2}"/>
    <cellStyle name="Vírgula 3 2 2 5 6" xfId="3504" xr:uid="{08AD7C43-65B9-4826-8798-E9C5E393A1E2}"/>
    <cellStyle name="Vírgula 3 2 2 5 6 2" xfId="36212" xr:uid="{1D85A9DC-8FAA-47FC-ACAA-A8C55FC04F17}"/>
    <cellStyle name="Vírgula 3 2 2 5 6 3" xfId="51991" xr:uid="{40998002-C1A1-4AE8-88B8-C44A70028753}"/>
    <cellStyle name="Vírgula 3 2 2 5 6 4" xfId="55285" xr:uid="{5705123E-A0E3-4BED-8A39-03A0DD0CBB9C}"/>
    <cellStyle name="Vírgula 3 2 2 5 6 5" xfId="15872" xr:uid="{5553B9D8-9715-42FF-8700-26D13B2F2BD0}"/>
    <cellStyle name="Vírgula 3 2 2 5 7" xfId="1853" xr:uid="{1A2E6C5C-B21B-4407-BBFF-A918085F696D}"/>
    <cellStyle name="Vírgula 3 2 2 5 7 2" xfId="39126" xr:uid="{70383552-D712-4DB4-BDF3-248F9D659319}"/>
    <cellStyle name="Vírgula 3 2 2 5 7 3" xfId="56139" xr:uid="{B42B2BAD-7439-4C04-8D8E-D043FB1D85E3}"/>
    <cellStyle name="Vírgula 3 2 2 5 7 4" xfId="18786" xr:uid="{FFC89993-B3A1-4C6C-AC48-EB265AEB57C3}"/>
    <cellStyle name="Vírgula 3 2 2 5 8" xfId="19374" xr:uid="{6EBC8E81-4D5A-44AF-8807-2EE64FED958D}"/>
    <cellStyle name="Vírgula 3 2 2 5 8 2" xfId="39713" xr:uid="{DAABA71B-BF4D-42CB-9CB1-FC4F10CEC376}"/>
    <cellStyle name="Vírgula 3 2 2 5 9" xfId="22629" xr:uid="{C9485081-747C-4C2F-B4DA-4D6BDDE50E43}"/>
    <cellStyle name="Vírgula 3 2 2 5 9 2" xfId="42964" xr:uid="{AF81261F-7BA3-49CF-B361-A4271D7F535F}"/>
    <cellStyle name="Vírgula 3 2 2 6" xfId="324" xr:uid="{6FCDF98E-E1AC-436C-BCEC-8BCDE3B1AFA3}"/>
    <cellStyle name="Vírgula 3 2 2 6 10" xfId="12444" xr:uid="{9D376CC2-470A-493B-B1A5-6627B5BE2AD2}"/>
    <cellStyle name="Vírgula 3 2 2 6 10 2" xfId="32785" xr:uid="{6DE0A42A-FFB1-4E9E-AD4B-2347DBEC5E1C}"/>
    <cellStyle name="Vírgula 3 2 2 6 11" xfId="9183" xr:uid="{3609235A-D481-43FA-9CB0-EB41A19465ED}"/>
    <cellStyle name="Vírgula 3 2 2 6 11 2" xfId="29526" xr:uid="{604162AB-BFED-4C1B-AD73-E86D95F7CF75}"/>
    <cellStyle name="Vírgula 3 2 2 6 12" xfId="26032" xr:uid="{FA887FA5-0DB5-4C96-B248-55586C07DC66}"/>
    <cellStyle name="Vírgula 3 2 2 6 13" xfId="48697" xr:uid="{7A4F7D88-41D5-4108-A71F-EB5CDDEF1C4C}"/>
    <cellStyle name="Vírgula 3 2 2 6 14" xfId="50367" xr:uid="{BCA85C03-6BEA-4730-9C1C-246B791B7CC1}"/>
    <cellStyle name="Vírgula 3 2 2 6 15" xfId="53662" xr:uid="{6E1B84E8-688F-4C6B-A8A3-9676A3B392FF}"/>
    <cellStyle name="Vírgula 3 2 2 6 16" xfId="5693" xr:uid="{D08785CB-5CFD-4596-9C64-78631DDA5D25}"/>
    <cellStyle name="Vírgula 3 2 2 6 17" xfId="4605" xr:uid="{9854205F-E201-431A-8949-7DF2AD89B01D}"/>
    <cellStyle name="Vírgula 3 2 2 6 2" xfId="1140" xr:uid="{E153B027-9E97-4D60-9EBE-AB02A88A8E88}"/>
    <cellStyle name="Vírgula 3 2 2 6 2 10" xfId="50368" xr:uid="{18409221-3283-4C43-B192-15634FB32FB9}"/>
    <cellStyle name="Vírgula 3 2 2 6 2 11" xfId="53663" xr:uid="{F0B97106-0808-4B5D-AC48-91FCD4537E60}"/>
    <cellStyle name="Vírgula 3 2 2 6 2 12" xfId="6265" xr:uid="{C397C796-C1C3-460E-BEA4-6F8412F8F6D7}"/>
    <cellStyle name="Vírgula 3 2 2 6 2 2" xfId="2802" xr:uid="{AD4EB3E3-F4A0-419C-A08B-AC849F1AB153}"/>
    <cellStyle name="Vírgula 3 2 2 6 2 2 10" xfId="7423" xr:uid="{5F77736A-2422-43B2-ACD1-AD83FEBC348D}"/>
    <cellStyle name="Vírgula 3 2 2 6 2 2 2" xfId="17709" xr:uid="{21F6E564-5E12-46F6-B957-A955F0369BB3}"/>
    <cellStyle name="Vírgula 3 2 2 6 2 2 2 2" xfId="38049" xr:uid="{47228452-B056-47F1-B01C-5B16B1A5FDCC}"/>
    <cellStyle name="Vírgula 3 2 2 6 2 2 3" xfId="21211" xr:uid="{08849FB3-6F4C-49E4-A317-AE38B7DBE345}"/>
    <cellStyle name="Vírgula 3 2 2 6 2 2 3 2" xfId="41550" xr:uid="{879584D3-BF27-42EA-8EB4-6E2ECA812520}"/>
    <cellStyle name="Vírgula 3 2 2 6 2 2 4" xfId="24466" xr:uid="{FF8F99BE-3D96-4AD6-8254-33697AAC9DB3}"/>
    <cellStyle name="Vírgula 3 2 2 6 2 2 4 2" xfId="44801" xr:uid="{E4E529CD-E6A8-4749-9ABC-CE6C5AB3CAC5}"/>
    <cellStyle name="Vírgula 3 2 2 6 2 2 5" xfId="14800" xr:uid="{B6CEA1CD-5F2C-4C81-9F3B-C62612533ADF}"/>
    <cellStyle name="Vírgula 3 2 2 6 2 2 5 2" xfId="35141" xr:uid="{A02FB6B2-03D0-445A-899E-ED2D8AA159AA}"/>
    <cellStyle name="Vírgula 3 2 2 6 2 2 6" xfId="10922" xr:uid="{70D1BD52-C3AB-4825-B2E8-9F256DBEBA6C}"/>
    <cellStyle name="Vírgula 3 2 2 6 2 2 6 2" xfId="31265" xr:uid="{ACB7E9BE-AB65-4CF0-A41F-EE55BC626EC6}"/>
    <cellStyle name="Vírgula 3 2 2 6 2 2 7" xfId="27771" xr:uid="{0EA530C9-B4E3-4F7B-B08C-923E78000D53}"/>
    <cellStyle name="Vírgula 3 2 2 6 2 2 8" xfId="52000" xr:uid="{CED60122-179F-4BC1-9896-72B23847BB7D}"/>
    <cellStyle name="Vírgula 3 2 2 6 2 2 9" xfId="55294" xr:uid="{D9D2CA05-9C95-45DF-A5DE-E4B60CF57CB7}"/>
    <cellStyle name="Vírgula 3 2 2 6 2 3" xfId="16551" xr:uid="{B3DC7B63-4366-41BA-80E7-1FDC930F786B}"/>
    <cellStyle name="Vírgula 3 2 2 6 2 3 2" xfId="36891" xr:uid="{2BF6C049-4FFC-4925-A8D6-5ABFE4421CA5}"/>
    <cellStyle name="Vírgula 3 2 2 6 2 3 3" xfId="57011" xr:uid="{F688DF43-D660-42E5-91EB-5C44E905355E}"/>
    <cellStyle name="Vírgula 3 2 2 6 2 4" xfId="20053" xr:uid="{C7A104A8-2877-4434-9423-BB6DFA1AF84D}"/>
    <cellStyle name="Vírgula 3 2 2 6 2 4 2" xfId="40392" xr:uid="{EC8A47FF-DA23-4083-894D-6FEDDFE15E88}"/>
    <cellStyle name="Vírgula 3 2 2 6 2 5" xfId="23308" xr:uid="{724BC404-2DE5-4DEA-B195-B7594C8B5684}"/>
    <cellStyle name="Vírgula 3 2 2 6 2 5 2" xfId="43643" xr:uid="{63A9B167-3617-48EA-9090-32C5D0B3D087}"/>
    <cellStyle name="Vírgula 3 2 2 6 2 6" xfId="13642" xr:uid="{9CE07E96-87F0-4E3B-96BD-2684BAA95851}"/>
    <cellStyle name="Vírgula 3 2 2 6 2 6 2" xfId="33983" xr:uid="{B39986AF-B5C0-449C-9A57-E262D09E9642}"/>
    <cellStyle name="Vírgula 3 2 2 6 2 7" xfId="9764" xr:uid="{1EDAC1DD-61AE-4F45-B45B-7F84CD51D8B6}"/>
    <cellStyle name="Vírgula 3 2 2 6 2 7 2" xfId="30107" xr:uid="{604069C6-2F13-4C2F-AF9A-F933DD9FD7E9}"/>
    <cellStyle name="Vírgula 3 2 2 6 2 8" xfId="26613" xr:uid="{EA0E98A8-7176-4376-B35E-0A094F718A98}"/>
    <cellStyle name="Vírgula 3 2 2 6 2 9" xfId="48698" xr:uid="{6B82D48E-97BA-4B09-BDA9-1790E7B61A08}"/>
    <cellStyle name="Vírgula 3 2 2 6 3" xfId="1546" xr:uid="{4E820A8C-2C8D-4A5F-A5BF-4146653881B9}"/>
    <cellStyle name="Vírgula 3 2 2 6 3 10" xfId="53664" xr:uid="{2C103D84-5424-4C5B-894A-33806FBDFBB7}"/>
    <cellStyle name="Vírgula 3 2 2 6 3 11" xfId="6842" xr:uid="{932D5FE3-194D-47E8-85CA-45A4A855B640}"/>
    <cellStyle name="Vírgula 3 2 2 6 3 2" xfId="3207" xr:uid="{E41C662B-1D8D-4210-B157-F58CC96BA2F7}"/>
    <cellStyle name="Vírgula 3 2 2 6 3 2 2" xfId="37468" xr:uid="{3C9B1067-F619-4132-B72B-BFC5DA965F97}"/>
    <cellStyle name="Vírgula 3 2 2 6 3 2 3" xfId="52001" xr:uid="{F81DC99B-F85C-41BE-8FEB-B01CF7F9E65F}"/>
    <cellStyle name="Vírgula 3 2 2 6 3 2 4" xfId="55295" xr:uid="{1A94C218-F567-4B74-9042-085ED22E5F87}"/>
    <cellStyle name="Vírgula 3 2 2 6 3 2 5" xfId="17128" xr:uid="{1215DF22-85A8-4F48-B667-B28439D5E4FD}"/>
    <cellStyle name="Vírgula 3 2 2 6 3 3" xfId="20630" xr:uid="{542D960B-B346-4755-9479-341D06879286}"/>
    <cellStyle name="Vírgula 3 2 2 6 3 3 2" xfId="40969" xr:uid="{91A77C16-C421-4668-AAEE-78E5543F028B}"/>
    <cellStyle name="Vírgula 3 2 2 6 3 3 3" xfId="57417" xr:uid="{B00FDF5F-497A-4B0C-B8FC-6793E61E8247}"/>
    <cellStyle name="Vírgula 3 2 2 6 3 4" xfId="23885" xr:uid="{5E60CA42-B0F0-4203-941C-13518BF44866}"/>
    <cellStyle name="Vírgula 3 2 2 6 3 4 2" xfId="44220" xr:uid="{7278C4F4-0B61-4B69-A9F2-561911787324}"/>
    <cellStyle name="Vírgula 3 2 2 6 3 5" xfId="14219" xr:uid="{72C25CE3-DFA0-4060-BD5A-A5F1AAD0E6C8}"/>
    <cellStyle name="Vírgula 3 2 2 6 3 5 2" xfId="34560" xr:uid="{AC678276-8DA7-44B9-AC08-DE5884617240}"/>
    <cellStyle name="Vírgula 3 2 2 6 3 6" xfId="10341" xr:uid="{E8B3967B-EA70-4FA8-B904-DFA089356677}"/>
    <cellStyle name="Vírgula 3 2 2 6 3 6 2" xfId="30684" xr:uid="{67FBD322-1DE6-4B63-80F2-3FBA9D877886}"/>
    <cellStyle name="Vírgula 3 2 2 6 3 7" xfId="27190" xr:uid="{3B934945-64FE-439D-9DF7-FD850A5A3C25}"/>
    <cellStyle name="Vírgula 3 2 2 6 3 8" xfId="48699" xr:uid="{C5E15F80-A2C8-4407-81DF-254BC33EF8C0}"/>
    <cellStyle name="Vírgula 3 2 2 6 3 9" xfId="50369" xr:uid="{B74DA718-254E-40DB-B521-EE6F8B5806E7}"/>
    <cellStyle name="Vírgula 3 2 2 6 4" xfId="733" xr:uid="{AF6F9B64-9BE2-472B-8A74-B1C42A49968E}"/>
    <cellStyle name="Vírgula 3 2 2 6 4 10" xfId="53665" xr:uid="{B4E023D4-EE4C-41BC-ACAE-4416260D6BFD}"/>
    <cellStyle name="Vírgula 3 2 2 6 4 11" xfId="8006" xr:uid="{099FFB17-9006-4125-9CEE-974928CF05A4}"/>
    <cellStyle name="Vírgula 3 2 2 6 4 2" xfId="2449" xr:uid="{1FF131B0-1E9A-4662-8ECA-EC62365D356B}"/>
    <cellStyle name="Vírgula 3 2 2 6 4 2 2" xfId="38631" xr:uid="{4A00A8AD-6B39-48AB-A1C8-74F75A82C838}"/>
    <cellStyle name="Vírgula 3 2 2 6 4 2 3" xfId="52002" xr:uid="{DD0CFDC8-BFCB-4D3B-A32A-BF6A74E8004B}"/>
    <cellStyle name="Vírgula 3 2 2 6 4 2 4" xfId="55296" xr:uid="{E3A3E627-E136-4AC7-BD39-090AF50AECEE}"/>
    <cellStyle name="Vírgula 3 2 2 6 4 2 5" xfId="18291" xr:uid="{BF7FD301-E4D5-4E01-9FB7-D7406FF266C1}"/>
    <cellStyle name="Vírgula 3 2 2 6 4 3" xfId="21793" xr:uid="{C5072CD1-3DDE-47A1-B8F2-0AB499EC2D09}"/>
    <cellStyle name="Vírgula 3 2 2 6 4 3 2" xfId="42132" xr:uid="{D1FE5F56-FCED-4BA3-811D-37175B3ED588}"/>
    <cellStyle name="Vírgula 3 2 2 6 4 3 3" xfId="56604" xr:uid="{7D23A6C7-AF3B-4665-9A7B-8A85AAA76337}"/>
    <cellStyle name="Vírgula 3 2 2 6 4 4" xfId="25048" xr:uid="{14DBE648-DEA3-4CBB-BB16-81E3ABACC639}"/>
    <cellStyle name="Vírgula 3 2 2 6 4 4 2" xfId="45383" xr:uid="{27552C27-2D10-45E5-A5AE-A7BD9C47F437}"/>
    <cellStyle name="Vírgula 3 2 2 6 4 5" xfId="15383" xr:uid="{EBF8011A-EF99-4050-88B6-312659F9BB93}"/>
    <cellStyle name="Vírgula 3 2 2 6 4 5 2" xfId="35723" xr:uid="{9924B313-021E-4EB8-B783-AE5767BABF65}"/>
    <cellStyle name="Vírgula 3 2 2 6 4 6" xfId="11504" xr:uid="{D5952E5B-AA47-4903-BD78-C92A84DE4FC3}"/>
    <cellStyle name="Vírgula 3 2 2 6 4 6 2" xfId="31847" xr:uid="{F2B36A83-6755-49AA-BD59-27BF1DBF4B76}"/>
    <cellStyle name="Vírgula 3 2 2 6 4 7" xfId="28353" xr:uid="{A95D408F-A4EE-4F56-8A07-3DEC45D008D8}"/>
    <cellStyle name="Vírgula 3 2 2 6 4 8" xfId="48700" xr:uid="{9F08EED9-5F5D-480F-B939-B15E926E5E5E}"/>
    <cellStyle name="Vírgula 3 2 2 6 4 9" xfId="50370" xr:uid="{CCE6B424-8747-444E-BC3E-CBBA974882EC}"/>
    <cellStyle name="Vírgula 3 2 2 6 5" xfId="3722" xr:uid="{3017E6D5-43C2-4400-BED5-F99D92FCB9AC}"/>
    <cellStyle name="Vírgula 3 2 2 6 5 2" xfId="33414" xr:uid="{88C76F3B-5D4B-4D9A-82F8-84C70F124156}"/>
    <cellStyle name="Vírgula 3 2 2 6 5 3" xfId="51999" xr:uid="{4FF92969-CDC0-49DD-85F5-934261EE2B64}"/>
    <cellStyle name="Vírgula 3 2 2 6 5 4" xfId="55293" xr:uid="{4B67F948-DA27-49E6-9BC8-A482408C56F6}"/>
    <cellStyle name="Vírgula 3 2 2 6 5 5" xfId="13073" xr:uid="{4A736F27-6A10-48A6-B241-14A93160774D}"/>
    <cellStyle name="Vírgula 3 2 2 6 6" xfId="2125" xr:uid="{2A054385-87BB-4D33-A719-B890F400A95E}"/>
    <cellStyle name="Vírgula 3 2 2 6 6 2" xfId="36310" xr:uid="{BC1B758B-41FA-4E76-8F63-C2EC8BC1EF58}"/>
    <cellStyle name="Vírgula 3 2 2 6 6 3" xfId="56195" xr:uid="{F6590ADD-A67C-4D6F-83BE-6391C47C6FD3}"/>
    <cellStyle name="Vírgula 3 2 2 6 6 4" xfId="15970" xr:uid="{A402CF72-3BD6-436B-B6E5-3FBB797F7B1D}"/>
    <cellStyle name="Vírgula 3 2 2 6 7" xfId="18884" xr:uid="{43536F20-86D9-498B-AE86-BFC01B843BE5}"/>
    <cellStyle name="Vírgula 3 2 2 6 7 2" xfId="39224" xr:uid="{0E389DA2-9FA6-4011-B19A-A62E8C332DAD}"/>
    <cellStyle name="Vírgula 3 2 2 6 8" xfId="19472" xr:uid="{2B28AA3E-353F-4A31-9BCA-49579CCB8C3D}"/>
    <cellStyle name="Vírgula 3 2 2 6 8 2" xfId="39811" xr:uid="{6B067836-8E1D-472D-8A6D-E0A9C1EE02B8}"/>
    <cellStyle name="Vírgula 3 2 2 6 9" xfId="22727" xr:uid="{D1A415CE-9A7B-401A-AC9F-0D1EC27CBF8F}"/>
    <cellStyle name="Vírgula 3 2 2 6 9 2" xfId="43062" xr:uid="{BEA96B9D-B0B9-48FA-A3C0-68B1E4776DDD}"/>
    <cellStyle name="Vírgula 3 2 2 7" xfId="135" xr:uid="{2AB9FF3C-326C-491F-A9CA-CBF8966BAE88}"/>
    <cellStyle name="Vírgula 3 2 2 7 10" xfId="50371" xr:uid="{553FBBDB-25CF-4570-B0BB-F0F497FE9E24}"/>
    <cellStyle name="Vírgula 3 2 2 7 11" xfId="53666" xr:uid="{5714E0C4-D36B-4368-A054-6A6266270798}"/>
    <cellStyle name="Vírgula 3 2 2 7 12" xfId="5823" xr:uid="{123FB5CE-A180-4EA6-B4E9-923CA580D1A0}"/>
    <cellStyle name="Vírgula 3 2 2 7 13" xfId="4416" xr:uid="{8A9689FD-3F22-4744-B1B0-7FBDA42E421F}"/>
    <cellStyle name="Vírgula 3 2 2 7 2" xfId="951" xr:uid="{EA60856C-1903-4FF0-A493-983C79DDFE44}"/>
    <cellStyle name="Vírgula 3 2 2 7 2 10" xfId="53667" xr:uid="{B29E8BDF-B4B0-4F31-A2AD-D5CB8C7BCEF5}"/>
    <cellStyle name="Vírgula 3 2 2 7 2 11" xfId="6981" xr:uid="{04D8D99E-A9E0-45FB-903F-369AF186065E}"/>
    <cellStyle name="Vírgula 3 2 2 7 2 2" xfId="2666" xr:uid="{E6AF3454-99DA-466A-9D00-0D0FE08D7679}"/>
    <cellStyle name="Vírgula 3 2 2 7 2 2 2" xfId="37607" xr:uid="{CDC90DBF-4BFA-41DB-9B3F-F2F376C120F6}"/>
    <cellStyle name="Vírgula 3 2 2 7 2 2 3" xfId="52004" xr:uid="{A3B06A6D-DCC9-4123-9AD9-040A003AD2A8}"/>
    <cellStyle name="Vírgula 3 2 2 7 2 2 4" xfId="55298" xr:uid="{CBC05753-DD45-43F9-B7F8-7D385582D47A}"/>
    <cellStyle name="Vírgula 3 2 2 7 2 2 5" xfId="17267" xr:uid="{E6BD1B24-53C1-46AA-B6A5-182938F2DE00}"/>
    <cellStyle name="Vírgula 3 2 2 7 2 3" xfId="20769" xr:uid="{FA143503-2217-4A84-9819-DCE37D8B3EE6}"/>
    <cellStyle name="Vírgula 3 2 2 7 2 3 2" xfId="41108" xr:uid="{ED1753DD-5AC4-4CC6-B7E0-15496F9360B6}"/>
    <cellStyle name="Vírgula 3 2 2 7 2 3 3" xfId="56822" xr:uid="{EB2C0718-7BA5-4902-BA75-D7BBBF9D899B}"/>
    <cellStyle name="Vírgula 3 2 2 7 2 4" xfId="24024" xr:uid="{DA1AD3C9-59E2-4203-BDFB-3A4E0C39B22A}"/>
    <cellStyle name="Vírgula 3 2 2 7 2 4 2" xfId="44359" xr:uid="{4A7EE58C-A085-4B38-8795-DD763730AB4F}"/>
    <cellStyle name="Vírgula 3 2 2 7 2 5" xfId="14358" xr:uid="{0CEB577A-E587-45F8-96C9-D00E89270A59}"/>
    <cellStyle name="Vírgula 3 2 2 7 2 5 2" xfId="34699" xr:uid="{6FCF333B-81C5-45CD-A055-A383CDF5CF2A}"/>
    <cellStyle name="Vírgula 3 2 2 7 2 6" xfId="10480" xr:uid="{25A539DF-FBC4-493E-998A-2B051444ABFB}"/>
    <cellStyle name="Vírgula 3 2 2 7 2 6 2" xfId="30823" xr:uid="{230EF434-C19A-4D63-9AC3-A07C86FF5D49}"/>
    <cellStyle name="Vírgula 3 2 2 7 2 7" xfId="27329" xr:uid="{A9A95B98-7865-4171-801B-9B63C3B3C2BC}"/>
    <cellStyle name="Vírgula 3 2 2 7 2 8" xfId="48702" xr:uid="{03B75754-F5AD-4B24-9A33-8E3CD10A0B7D}"/>
    <cellStyle name="Vírgula 3 2 2 7 2 9" xfId="50372" xr:uid="{971F60F5-E648-4C0F-9B5A-D6080753C6E1}"/>
    <cellStyle name="Vírgula 3 2 2 7 3" xfId="1357" xr:uid="{02EFDB44-06C9-4A54-8E9B-D7EEF464636A}"/>
    <cellStyle name="Vírgula 3 2 2 7 3 2" xfId="3018" xr:uid="{DCC07848-D5F6-4E61-9904-335731C78C18}"/>
    <cellStyle name="Vírgula 3 2 2 7 3 2 2" xfId="52005" xr:uid="{66D1D303-2C36-4FC0-BAB7-133E90A79CD3}"/>
    <cellStyle name="Vírgula 3 2 2 7 3 2 3" xfId="55299" xr:uid="{793403D0-7579-4561-8685-06E3F1864487}"/>
    <cellStyle name="Vírgula 3 2 2 7 3 2 4" xfId="36449" xr:uid="{6CAB796B-EEB1-41FC-B08B-5A990221A9F0}"/>
    <cellStyle name="Vírgula 3 2 2 7 3 3" xfId="48703" xr:uid="{479DD16A-7F43-4373-BEAF-294F30674132}"/>
    <cellStyle name="Vírgula 3 2 2 7 3 3 2" xfId="57228" xr:uid="{F08C730C-06A8-4729-84AA-93720A18E97A}"/>
    <cellStyle name="Vírgula 3 2 2 7 3 4" xfId="50373" xr:uid="{4EFC780D-15FF-4194-BB60-4691AB3F004B}"/>
    <cellStyle name="Vírgula 3 2 2 7 3 5" xfId="53668" xr:uid="{131E7ADF-7E99-4039-8512-10FD52297D26}"/>
    <cellStyle name="Vírgula 3 2 2 7 3 6" xfId="16109" xr:uid="{C517822A-BAE2-4857-9307-D9C60E178814}"/>
    <cellStyle name="Vírgula 3 2 2 7 4" xfId="544" xr:uid="{77273A21-058A-4EF5-9405-094C2CF454D4}"/>
    <cellStyle name="Vírgula 3 2 2 7 4 2" xfId="2260" xr:uid="{FEBA4265-A0D4-4CD8-AACD-A2635BBC567B}"/>
    <cellStyle name="Vírgula 3 2 2 7 4 2 2" xfId="52006" xr:uid="{8EB5D58F-8DE6-48C5-9656-8B0513BE7CC6}"/>
    <cellStyle name="Vírgula 3 2 2 7 4 2 3" xfId="55300" xr:uid="{5C2B2861-8C80-43EC-B5B0-640C79E2D3C4}"/>
    <cellStyle name="Vírgula 3 2 2 7 4 2 4" xfId="39950" xr:uid="{C496AF37-C4F5-4332-84C8-8685D92E4335}"/>
    <cellStyle name="Vírgula 3 2 2 7 4 3" xfId="48704" xr:uid="{98351CDB-23E9-45CA-887A-79C664DE0797}"/>
    <cellStyle name="Vírgula 3 2 2 7 4 3 2" xfId="56415" xr:uid="{91BC431C-2EFA-4DD8-B544-FDADC1620861}"/>
    <cellStyle name="Vírgula 3 2 2 7 4 4" xfId="50374" xr:uid="{691DE530-86CF-4A21-932D-2EF852A3680E}"/>
    <cellStyle name="Vírgula 3 2 2 7 4 5" xfId="53669" xr:uid="{57BBBD3A-B4DB-437C-A6DC-972DD972607E}"/>
    <cellStyle name="Vírgula 3 2 2 7 4 6" xfId="19611" xr:uid="{B754B35F-3F38-4C62-A1F3-FE419CFDB26B}"/>
    <cellStyle name="Vírgula 3 2 2 7 5" xfId="2098" xr:uid="{0306AEFE-01B3-482B-8E4E-1015084039F2}"/>
    <cellStyle name="Vírgula 3 2 2 7 5 2" xfId="43201" xr:uid="{A3792063-B715-47AE-8A53-AA82A28716C6}"/>
    <cellStyle name="Vírgula 3 2 2 7 5 3" xfId="52003" xr:uid="{AC8F0C83-BE1D-4B67-927C-549C4BF2FDDD}"/>
    <cellStyle name="Vírgula 3 2 2 7 5 4" xfId="55297" xr:uid="{1EC5B1FA-581E-48DD-B384-D56431EEDED2}"/>
    <cellStyle name="Vírgula 3 2 2 7 5 5" xfId="22866" xr:uid="{A343FDA5-A7A1-474F-9EAF-9B0D2741FBC9}"/>
    <cellStyle name="Vírgula 3 2 2 7 6" xfId="12547" xr:uid="{F99AFA9E-1C7F-4DF7-AD6E-346B288ABABA}"/>
    <cellStyle name="Vírgula 3 2 2 7 6 2" xfId="32888" xr:uid="{16BFCD00-71A3-478B-BABC-C415BCF04AFD}"/>
    <cellStyle name="Vírgula 3 2 2 7 6 3" xfId="56006" xr:uid="{13F8CE72-D77C-438E-A4ED-95863C7479BF}"/>
    <cellStyle name="Vírgula 3 2 2 7 7" xfId="9322" xr:uid="{2A80694B-0816-477B-98AD-1210E9809428}"/>
    <cellStyle name="Vírgula 3 2 2 7 7 2" xfId="29665" xr:uid="{D47C4CCB-DF82-4ECC-997D-E32ECC87033F}"/>
    <cellStyle name="Vírgula 3 2 2 7 8" xfId="26171" xr:uid="{9F1CB9C9-37A0-4982-8700-25C149C63426}"/>
    <cellStyle name="Vírgula 3 2 2 7 9" xfId="48701" xr:uid="{BA553E4A-CDC0-428D-B69E-F8DB9123231B}"/>
    <cellStyle name="Vírgula 3 2 2 8" xfId="923" xr:uid="{D736D613-8CDB-4BEF-A175-C0D9D699F2FA}"/>
    <cellStyle name="Vírgula 3 2 2 8 10" xfId="53670" xr:uid="{E809F628-1B10-46EC-8FF9-38D1A238E8FD}"/>
    <cellStyle name="Vírgula 3 2 2 8 11" xfId="6400" xr:uid="{BAB2BFE9-5F47-411D-AF2A-77D37182B6F8}"/>
    <cellStyle name="Vírgula 3 2 2 8 12" xfId="4826" xr:uid="{FC298C39-C1C1-4082-9526-2D260417E62A}"/>
    <cellStyle name="Vírgula 3 2 2 8 2" xfId="2639" xr:uid="{B019C3B4-2CF3-418D-9CEC-E838ED539957}"/>
    <cellStyle name="Vírgula 3 2 2 8 2 2" xfId="37026" xr:uid="{20B0457E-169B-4C0E-B381-56005A99237B}"/>
    <cellStyle name="Vírgula 3 2 2 8 2 3" xfId="52007" xr:uid="{2AF09A14-0452-42CC-8705-10396FE1617C}"/>
    <cellStyle name="Vírgula 3 2 2 8 2 4" xfId="55301" xr:uid="{B39AB953-EFEE-415B-AFF3-36191BDF7A1B}"/>
    <cellStyle name="Vírgula 3 2 2 8 2 5" xfId="16686" xr:uid="{9B533B97-9E3E-4C18-B117-0750A9683624}"/>
    <cellStyle name="Vírgula 3 2 2 8 3" xfId="20188" xr:uid="{0776AF38-E79F-4D58-B0DE-CE7B858CF58F}"/>
    <cellStyle name="Vírgula 3 2 2 8 3 2" xfId="40527" xr:uid="{555FB349-6A27-4B44-87AB-B23EC8275D21}"/>
    <cellStyle name="Vírgula 3 2 2 8 3 3" xfId="56794" xr:uid="{9B151558-FB86-4B69-9105-4A7B92D3A592}"/>
    <cellStyle name="Vírgula 3 2 2 8 4" xfId="23443" xr:uid="{16DBF255-BAA8-4E36-8C19-0B0A314A6F40}"/>
    <cellStyle name="Vírgula 3 2 2 8 4 2" xfId="43778" xr:uid="{3573A009-E2DA-4E93-9B67-F2F479705B28}"/>
    <cellStyle name="Vírgula 3 2 2 8 5" xfId="13777" xr:uid="{EF897595-B7F5-4DEE-821F-0CD1C52BB775}"/>
    <cellStyle name="Vírgula 3 2 2 8 5 2" xfId="34118" xr:uid="{46F36BC6-5833-46D0-B406-5245DDCC3B19}"/>
    <cellStyle name="Vírgula 3 2 2 8 6" xfId="9899" xr:uid="{E961B18B-5F1F-4F24-9049-F4862AE7AC37}"/>
    <cellStyle name="Vírgula 3 2 2 8 6 2" xfId="30242" xr:uid="{34CCE848-16D6-4BFD-9606-FC5970A1EFDC}"/>
    <cellStyle name="Vírgula 3 2 2 8 7" xfId="26748" xr:uid="{044E3BB3-A6C6-4856-8785-08932774ABEB}"/>
    <cellStyle name="Vírgula 3 2 2 8 8" xfId="48705" xr:uid="{E4E2883A-5D78-48CE-9305-2A0D05FB543A}"/>
    <cellStyle name="Vírgula 3 2 2 8 9" xfId="50375" xr:uid="{E186D1E5-DD1F-48F0-9EB4-E7519EE81DF3}"/>
    <cellStyle name="Vírgula 3 2 2 9" xfId="1329" xr:uid="{BF440ACA-C58E-48F2-89C9-DA28E6F40DBD}"/>
    <cellStyle name="Vírgula 3 2 2 9 10" xfId="53671" xr:uid="{DD8FEEFE-1C92-4F68-8571-90B2048933D2}"/>
    <cellStyle name="Vírgula 3 2 2 9 11" xfId="7564" xr:uid="{BECFFF64-69E2-4111-9991-6883FE5ADD18}"/>
    <cellStyle name="Vírgula 3 2 2 9 2" xfId="2990" xr:uid="{87516069-537A-4E40-A644-C5E7C1344A01}"/>
    <cellStyle name="Vírgula 3 2 2 9 2 2" xfId="38189" xr:uid="{C4ADFDFD-748A-436D-8B22-9EE25C67368C}"/>
    <cellStyle name="Vírgula 3 2 2 9 2 3" xfId="52008" xr:uid="{1E3AF2DF-ABEF-4136-A3DF-D56810472E72}"/>
    <cellStyle name="Vírgula 3 2 2 9 2 4" xfId="55302" xr:uid="{5C95C241-4659-4BCD-9078-C583B5BB0327}"/>
    <cellStyle name="Vírgula 3 2 2 9 2 5" xfId="17849" xr:uid="{329A4368-0F7E-4F0B-B154-7A12A4767604}"/>
    <cellStyle name="Vírgula 3 2 2 9 3" xfId="21351" xr:uid="{A8D6B84B-4306-4180-BF1E-EAC9A57F4551}"/>
    <cellStyle name="Vírgula 3 2 2 9 3 2" xfId="41690" xr:uid="{36115F6A-9191-4F3B-BAF7-04F47F21C23B}"/>
    <cellStyle name="Vírgula 3 2 2 9 3 3" xfId="57200" xr:uid="{4A7E0EF8-8070-4760-90CC-6DCA9F5662E8}"/>
    <cellStyle name="Vírgula 3 2 2 9 4" xfId="24606" xr:uid="{B491B18A-1037-4238-8308-27F549B354DE}"/>
    <cellStyle name="Vírgula 3 2 2 9 4 2" xfId="44941" xr:uid="{52536CAB-4673-4FF5-AA1E-4444F8358EEC}"/>
    <cellStyle name="Vírgula 3 2 2 9 5" xfId="14941" xr:uid="{B53F7C75-D297-47D5-B06E-1594CF2E68DA}"/>
    <cellStyle name="Vírgula 3 2 2 9 5 2" xfId="35281" xr:uid="{38574196-2574-442B-B470-2471186C95B4}"/>
    <cellStyle name="Vírgula 3 2 2 9 6" xfId="11062" xr:uid="{FE8CE643-49C9-46F6-AD61-03FA83849C1F}"/>
    <cellStyle name="Vírgula 3 2 2 9 6 2" xfId="31405" xr:uid="{EBE2A514-98B9-4E90-BDCD-6CF915BAD20D}"/>
    <cellStyle name="Vírgula 3 2 2 9 7" xfId="27911" xr:uid="{6807986F-CBA1-438A-ABE3-AFAEE5AC0237}"/>
    <cellStyle name="Vírgula 3 2 2 9 8" xfId="48706" xr:uid="{0B589BE3-F28F-4880-8F84-51F467C58750}"/>
    <cellStyle name="Vírgula 3 2 2 9 9" xfId="50376" xr:uid="{E37E7EAB-4155-42F2-8FED-DBBC59188FD5}"/>
    <cellStyle name="Vírgula 3 2 20" xfId="25527" xr:uid="{EC67415C-01C3-4DBF-B6F1-870DBF8D89BE}"/>
    <cellStyle name="Vírgula 3 2 21" xfId="25489" xr:uid="{12494550-A992-4129-B369-313CBB8FD814}"/>
    <cellStyle name="Vírgula 3 2 22" xfId="45826" xr:uid="{1F1EAEFF-0EBA-49CF-94A2-004C0318CC99}"/>
    <cellStyle name="Vírgula 3 2 23" xfId="46312" xr:uid="{2DB32389-66D7-43EF-9642-543B2F4F6D1E}"/>
    <cellStyle name="Vírgula 3 2 24" xfId="46804" xr:uid="{61D9695D-FE7F-426A-9FF1-A3FF223FD2B2}"/>
    <cellStyle name="Vírgula 3 2 25" xfId="47313" xr:uid="{A1B490C2-86C7-4281-A02B-449E93CC7CDD}"/>
    <cellStyle name="Vírgula 3 2 26" xfId="47439" xr:uid="{A43D1347-5D37-4B34-90CC-89871B4F93CA}"/>
    <cellStyle name="Vírgula 3 2 27" xfId="47565" xr:uid="{A0BE4783-AB88-45D3-8FCF-2342811B9AD4}"/>
    <cellStyle name="Vírgula 3 2 28" xfId="48644" xr:uid="{9F04C673-53C7-4042-95DD-DFBCA47B27E9}"/>
    <cellStyle name="Vírgula 3 2 29" xfId="50314" xr:uid="{FDC27B35-D3E2-475E-8075-69AA873E9BBB}"/>
    <cellStyle name="Vírgula 3 2 3" xfId="150" xr:uid="{F34E9DDE-71C2-49AB-8D40-265F75B40DB3}"/>
    <cellStyle name="Vírgula 3 2 3 10" xfId="1755" xr:uid="{638ACD4F-994D-4856-A93A-908C4BEF1DC7}"/>
    <cellStyle name="Vírgula 3 2 3 10 2" xfId="39341" xr:uid="{86BFD598-9CDB-4475-A108-09B3F68B9CBE}"/>
    <cellStyle name="Vírgula 3 2 3 10 3" xfId="19002" xr:uid="{B772D0D3-7D5B-4D18-AA24-98BD354FF55B}"/>
    <cellStyle name="Vírgula 3 2 3 11" xfId="22257" xr:uid="{28A344DE-BD4E-4FB0-887C-AA3E138676C7}"/>
    <cellStyle name="Vírgula 3 2 3 11 2" xfId="42592" xr:uid="{CDBC1847-1BCD-4D8D-B482-CAA56F510709}"/>
    <cellStyle name="Vírgula 3 2 3 12" xfId="11974" xr:uid="{D128F259-72B3-4CC2-A336-0051541CF120}"/>
    <cellStyle name="Vírgula 3 2 3 12 2" xfId="32315" xr:uid="{ADE84915-8059-4E8C-B650-883326DC137C}"/>
    <cellStyle name="Vírgula 3 2 3 13" xfId="8713" xr:uid="{44C67D87-92B3-414F-AAC2-9F90DC834AD5}"/>
    <cellStyle name="Vírgula 3 2 3 13 2" xfId="29056" xr:uid="{8BE7A5ED-7ABA-4D53-A459-49385962CBE3}"/>
    <cellStyle name="Vírgula 3 2 3 14" xfId="25558" xr:uid="{EDA7CD88-B5C1-44D1-97E5-9E695B5842D6}"/>
    <cellStyle name="Vírgula 3 2 3 15" xfId="45886" xr:uid="{858C5D23-633A-407C-8ABF-E199EF3F2CCB}"/>
    <cellStyle name="Vírgula 3 2 3 16" xfId="46372" xr:uid="{FA501634-942A-44CE-B668-47E03D57C0C5}"/>
    <cellStyle name="Vírgula 3 2 3 17" xfId="46864" xr:uid="{9D9DB05D-49B5-4ACC-9FE8-DFE1A9A9F48C}"/>
    <cellStyle name="Vírgula 3 2 3 18" xfId="47339" xr:uid="{3CDF3130-33D7-41C9-A2E3-83FF364C5531}"/>
    <cellStyle name="Vírgula 3 2 3 19" xfId="47465" xr:uid="{EB8DF9F5-D25E-4F67-9C47-CAA85FBA055E}"/>
    <cellStyle name="Vírgula 3 2 3 2" xfId="229" xr:uid="{C3535E3A-1F01-48BF-B1F8-5D4E8F463FA2}"/>
    <cellStyle name="Vírgula 3 2 3 2 10" xfId="12089" xr:uid="{47A2CDFB-575A-4CBA-945F-74003C457584}"/>
    <cellStyle name="Vírgula 3 2 3 2 10 2" xfId="32430" xr:uid="{23B44FBD-E26B-4E47-9A91-E73C760C97B5}"/>
    <cellStyle name="Vírgula 3 2 3 2 11" xfId="8828" xr:uid="{83F3E88C-5A86-4202-8459-FCAC7B22837C}"/>
    <cellStyle name="Vírgula 3 2 3 2 11 2" xfId="29171" xr:uid="{42E568D1-AFC7-4C21-9399-ED8D48C2BCAA}"/>
    <cellStyle name="Vírgula 3 2 3 2 12" xfId="25677" xr:uid="{EFA9E8FB-81CB-4E88-9E0F-3FD716C3BE82}"/>
    <cellStyle name="Vírgula 3 2 3 2 13" xfId="45996" xr:uid="{F1E9EC56-4AC2-46C4-A156-01697520C132}"/>
    <cellStyle name="Vírgula 3 2 3 2 14" xfId="46482" xr:uid="{7002B780-ACEA-432F-85E3-36CAC0CA13C6}"/>
    <cellStyle name="Vírgula 3 2 3 2 15" xfId="46974" xr:uid="{32762848-4E99-40C3-8B82-690BDCA2C47A}"/>
    <cellStyle name="Vírgula 3 2 3 2 16" xfId="47395" xr:uid="{F7ACECAD-F26B-4FCA-8562-6E5BA5AB07FB}"/>
    <cellStyle name="Vírgula 3 2 3 2 17" xfId="47521" xr:uid="{295DCAF5-8D28-4C71-877E-21FA003B527E}"/>
    <cellStyle name="Vírgula 3 2 3 2 18" xfId="47647" xr:uid="{77F8AEA6-1273-4304-A3C8-E089F6ED4044}"/>
    <cellStyle name="Vírgula 3 2 3 2 19" xfId="48708" xr:uid="{829CC5A1-370D-41F6-B123-FF08274F4F3C}"/>
    <cellStyle name="Vírgula 3 2 3 2 2" xfId="418" xr:uid="{C9C7508E-371B-4216-83F3-DB5794C2E0CF}"/>
    <cellStyle name="Vírgula 3 2 3 2 2 10" xfId="46725" xr:uid="{6B8B8AD0-17B2-49E7-859F-81EC6478A013}"/>
    <cellStyle name="Vírgula 3 2 3 2 2 11" xfId="47217" xr:uid="{64DD1A37-39C0-44CF-814D-497F29914388}"/>
    <cellStyle name="Vírgula 3 2 3 2 2 12" xfId="48709" xr:uid="{49BA362B-09DF-4B08-B3CF-C244E5C3683D}"/>
    <cellStyle name="Vírgula 3 2 3 2 2 13" xfId="50379" xr:uid="{8723B41E-09BE-4195-AFFA-8D405BA7867A}"/>
    <cellStyle name="Vírgula 3 2 3 2 2 14" xfId="53674" xr:uid="{6D872C0A-43CA-4C7A-AC64-8AE3F909E511}"/>
    <cellStyle name="Vírgula 3 2 3 2 2 15" xfId="5910" xr:uid="{1212F02C-53D7-45F7-A3ED-959A33F533D3}"/>
    <cellStyle name="Vírgula 3 2 3 2 2 16" xfId="4699" xr:uid="{05017A4B-1EA2-4500-BAE4-8A134243B0A7}"/>
    <cellStyle name="Vírgula 3 2 3 2 2 2" xfId="1234" xr:uid="{76111D2C-FAD1-4D08-93A8-7C8836ACD011}"/>
    <cellStyle name="Vírgula 3 2 3 2 2 2 10" xfId="53675" xr:uid="{0BF178DD-D71A-4EA2-9452-95B24917109C}"/>
    <cellStyle name="Vírgula 3 2 3 2 2 2 11" xfId="7068" xr:uid="{798BB6CE-3487-449D-8817-BE95F286C414}"/>
    <cellStyle name="Vírgula 3 2 3 2 2 2 2" xfId="2895" xr:uid="{0824E761-6323-497F-B5FC-50BEED3D2C01}"/>
    <cellStyle name="Vírgula 3 2 3 2 2 2 2 2" xfId="37694" xr:uid="{6BAC1AA6-D039-4C80-A3B2-829AE9BF20EB}"/>
    <cellStyle name="Vírgula 3 2 3 2 2 2 2 3" xfId="52012" xr:uid="{2C3DA20E-08D7-48A4-B20E-CD4D64B0C841}"/>
    <cellStyle name="Vírgula 3 2 3 2 2 2 2 4" xfId="55306" xr:uid="{FF311F01-4517-4886-A050-AEB6ED1CFC70}"/>
    <cellStyle name="Vírgula 3 2 3 2 2 2 2 5" xfId="17354" xr:uid="{C608112B-2EDA-422F-96DB-A13F8184C4B2}"/>
    <cellStyle name="Vírgula 3 2 3 2 2 2 3" xfId="20856" xr:uid="{D1B8D6B6-AF28-488C-A606-E4B68E0133C1}"/>
    <cellStyle name="Vírgula 3 2 3 2 2 2 3 2" xfId="41195" xr:uid="{AD9E4336-7322-42E6-9D0D-C19770104EF9}"/>
    <cellStyle name="Vírgula 3 2 3 2 2 2 3 3" xfId="57105" xr:uid="{BF4FB2D3-3686-4D3A-A638-1D2DB197F111}"/>
    <cellStyle name="Vírgula 3 2 3 2 2 2 4" xfId="24111" xr:uid="{7647846C-6DF5-4746-B427-5442C72C1685}"/>
    <cellStyle name="Vírgula 3 2 3 2 2 2 4 2" xfId="44446" xr:uid="{C890B2F4-1E6C-4DC6-89CA-06BE34693480}"/>
    <cellStyle name="Vírgula 3 2 3 2 2 2 5" xfId="14445" xr:uid="{8DB8E35D-4AD1-4705-8107-F3441622F212}"/>
    <cellStyle name="Vírgula 3 2 3 2 2 2 5 2" xfId="34786" xr:uid="{8FB1A125-CAD7-40A0-9E64-7881F44D76BC}"/>
    <cellStyle name="Vírgula 3 2 3 2 2 2 6" xfId="10567" xr:uid="{E7C1CECE-2D49-4637-91EC-B4DE927BE06F}"/>
    <cellStyle name="Vírgula 3 2 3 2 2 2 6 2" xfId="30910" xr:uid="{19EE6D9F-4C38-4F71-AED5-DC3513A8618C}"/>
    <cellStyle name="Vírgula 3 2 3 2 2 2 7" xfId="27416" xr:uid="{77577B8D-FBA7-4981-B967-801FD95486F2}"/>
    <cellStyle name="Vírgula 3 2 3 2 2 2 8" xfId="48710" xr:uid="{1F3A1F14-1C0C-49CD-A981-4EFF1928016C}"/>
    <cellStyle name="Vírgula 3 2 3 2 2 2 9" xfId="50380" xr:uid="{C6AAFACE-394A-4779-BA0C-03A31DEA6040}"/>
    <cellStyle name="Vírgula 3 2 3 2 2 3" xfId="1640" xr:uid="{7B0D4797-960F-45DD-BED7-378CF4A4823D}"/>
    <cellStyle name="Vírgula 3 2 3 2 2 3 2" xfId="3300" xr:uid="{E88E3AF2-92EA-472E-BB15-B9532D42576C}"/>
    <cellStyle name="Vírgula 3 2 3 2 2 3 2 2" xfId="52013" xr:uid="{CDAD8CFD-DBD7-48DE-9622-6EE87C5DB73F}"/>
    <cellStyle name="Vírgula 3 2 3 2 2 3 2 3" xfId="55307" xr:uid="{269BBF41-C188-4405-99BA-37A1DA35A3CE}"/>
    <cellStyle name="Vírgula 3 2 3 2 2 3 2 4" xfId="36536" xr:uid="{0D4D9D9B-FDD1-428F-9F75-465913645D33}"/>
    <cellStyle name="Vírgula 3 2 3 2 2 3 3" xfId="48711" xr:uid="{205E1B1B-FDB6-485E-8109-3AE98A9AA99B}"/>
    <cellStyle name="Vírgula 3 2 3 2 2 3 3 2" xfId="57511" xr:uid="{253729EA-B404-4B19-84DA-A22FF87ABDAF}"/>
    <cellStyle name="Vírgula 3 2 3 2 2 3 4" xfId="50381" xr:uid="{DA7F9CC5-B057-4FB1-9835-0058858E6B07}"/>
    <cellStyle name="Vírgula 3 2 3 2 2 3 5" xfId="53676" xr:uid="{EDEDA52D-AEC6-4EC0-864A-21BFBB618B14}"/>
    <cellStyle name="Vírgula 3 2 3 2 2 3 6" xfId="16196" xr:uid="{13576A93-960F-4B3C-88D9-470E4FDEB654}"/>
    <cellStyle name="Vírgula 3 2 3 2 2 4" xfId="827" xr:uid="{E7688722-4462-4EBA-B431-C999A048D88B}"/>
    <cellStyle name="Vírgula 3 2 3 2 2 4 2" xfId="2543" xr:uid="{AF5D8C8D-B807-4822-B96E-7EEAB5A851F2}"/>
    <cellStyle name="Vírgula 3 2 3 2 2 4 2 2" xfId="52014" xr:uid="{6F6EED9C-1120-46DB-93A6-5EF77DFC0A6B}"/>
    <cellStyle name="Vírgula 3 2 3 2 2 4 2 3" xfId="55308" xr:uid="{CF6CA5F8-5F2A-4E02-8EA2-426072366AE1}"/>
    <cellStyle name="Vírgula 3 2 3 2 2 4 2 4" xfId="40037" xr:uid="{5CB13C15-639F-44EB-907B-ED987140E47B}"/>
    <cellStyle name="Vírgula 3 2 3 2 2 4 3" xfId="48712" xr:uid="{7803ABF6-08E6-4D67-8BAC-37BE5F797A03}"/>
    <cellStyle name="Vírgula 3 2 3 2 2 4 3 2" xfId="56698" xr:uid="{1ED284A2-0A5A-4F70-9CA7-5DECF63D82A6}"/>
    <cellStyle name="Vírgula 3 2 3 2 2 4 4" xfId="50382" xr:uid="{E91270B2-0984-4F24-A930-B4CB60066AB2}"/>
    <cellStyle name="Vírgula 3 2 3 2 2 4 5" xfId="53677" xr:uid="{301283A3-3223-4E26-A789-73B52BCA9BA3}"/>
    <cellStyle name="Vírgula 3 2 3 2 2 4 6" xfId="19698" xr:uid="{DF00626E-00C2-423C-A88E-785A893C4C7B}"/>
    <cellStyle name="Vírgula 3 2 3 2 2 5" xfId="3681" xr:uid="{0A67E7BD-FA41-4FB9-8FC5-BF0959F97B79}"/>
    <cellStyle name="Vírgula 3 2 3 2 2 5 2" xfId="43288" xr:uid="{FA69843F-AEF7-4896-86C4-9DA33EBB7988}"/>
    <cellStyle name="Vírgula 3 2 3 2 2 5 3" xfId="52011" xr:uid="{9E6EF601-66AF-40CC-B88D-E0E08901082F}"/>
    <cellStyle name="Vírgula 3 2 3 2 2 5 4" xfId="55305" xr:uid="{5F092D93-6646-4280-B0D6-4D670B3BA927}"/>
    <cellStyle name="Vírgula 3 2 3 2 2 5 5" xfId="22953" xr:uid="{4B312554-FBA3-47DC-A945-D6313540B9D7}"/>
    <cellStyle name="Vírgula 3 2 3 2 2 6" xfId="4130" xr:uid="{F0888BA2-F367-4262-8264-A358F910C767}"/>
    <cellStyle name="Vírgula 3 2 3 2 2 6 2" xfId="33630" xr:uid="{C79F1C01-7476-439E-9C86-FCC8204FDC47}"/>
    <cellStyle name="Vírgula 3 2 3 2 2 6 3" xfId="56289" xr:uid="{79F7B85D-3BB4-4094-8CE8-971056E541F3}"/>
    <cellStyle name="Vírgula 3 2 3 2 2 6 4" xfId="13289" xr:uid="{4DD6E66E-746B-4F7E-B879-61F99A7FE2E0}"/>
    <cellStyle name="Vírgula 3 2 3 2 2 7" xfId="2030" xr:uid="{6C1FF23E-56E6-4392-A7EA-EB598DBB1EAF}"/>
    <cellStyle name="Vírgula 3 2 3 2 2 7 2" xfId="29752" xr:uid="{C2807036-3201-448A-A26B-0758F6306765}"/>
    <cellStyle name="Vírgula 3 2 3 2 2 7 3" xfId="9409" xr:uid="{387CC950-850D-4B97-BE7F-ED8F947AA142}"/>
    <cellStyle name="Vírgula 3 2 3 2 2 8" xfId="26258" xr:uid="{B8F9E7EA-6FD4-4C08-A181-89122B33F48A}"/>
    <cellStyle name="Vírgula 3 2 3 2 2 9" xfId="46239" xr:uid="{1B9FD069-D883-45E8-85FB-469A6C4EECF8}"/>
    <cellStyle name="Vírgula 3 2 3 2 20" xfId="50378" xr:uid="{F2C029ED-BCA7-4751-9D20-57C325B3ACC2}"/>
    <cellStyle name="Vírgula 3 2 3 2 21" xfId="53673" xr:uid="{31791D73-D71F-40BE-82AD-E882E7702851}"/>
    <cellStyle name="Vírgula 3 2 3 2 22" xfId="5355" xr:uid="{433B699A-6D4D-4E8B-AFBD-E198A9973126}"/>
    <cellStyle name="Vírgula 3 2 3 2 23" xfId="4510" xr:uid="{14FE1D3F-88EA-40ED-8D7A-6ABDC254259D}"/>
    <cellStyle name="Vírgula 3 2 3 2 3" xfId="1045" xr:uid="{C94C8775-3B0A-4474-AE9D-1A261479A4CF}"/>
    <cellStyle name="Vírgula 3 2 3 2 3 10" xfId="53678" xr:uid="{91B591A2-F56F-47D1-BA59-32A8D0A91A64}"/>
    <cellStyle name="Vírgula 3 2 3 2 3 11" xfId="6487" xr:uid="{18B1940B-8E9A-4728-8269-B925BF70A4E1}"/>
    <cellStyle name="Vírgula 3 2 3 2 3 12" xfId="5114" xr:uid="{4DC7C0AF-8B7F-48DA-BA32-B676419583DA}"/>
    <cellStyle name="Vírgula 3 2 3 2 3 2" xfId="3572" xr:uid="{537D7E61-B10F-46D0-A6B9-17FD0613FD03}"/>
    <cellStyle name="Vírgula 3 2 3 2 3 2 2" xfId="37113" xr:uid="{A05DB1EF-4FBA-4A4B-B29E-B1D83442655A}"/>
    <cellStyle name="Vírgula 3 2 3 2 3 2 3" xfId="52015" xr:uid="{66045BAC-D25A-428D-8D9D-418E7F0E5FCB}"/>
    <cellStyle name="Vírgula 3 2 3 2 3 2 4" xfId="55309" xr:uid="{9FFAE0BA-019C-43FA-8E71-87E0596C86D9}"/>
    <cellStyle name="Vírgula 3 2 3 2 3 2 5" xfId="16773" xr:uid="{5CCDBED9-D760-4798-B092-BA82922568D2}"/>
    <cellStyle name="Vírgula 3 2 3 2 3 3" xfId="4302" xr:uid="{B79F483A-BA99-4B02-8AE6-FBCF3FCAAEC2}"/>
    <cellStyle name="Vírgula 3 2 3 2 3 3 2" xfId="40614" xr:uid="{EFDAECA3-BB37-4E7E-AA27-A2C831A9316C}"/>
    <cellStyle name="Vírgula 3 2 3 2 3 3 3" xfId="56916" xr:uid="{00C0E192-7329-456F-ABB0-C14110AF481A}"/>
    <cellStyle name="Vírgula 3 2 3 2 3 3 4" xfId="20275" xr:uid="{39889B32-00A6-452C-B801-0FF08F320657}"/>
    <cellStyle name="Vírgula 3 2 3 2 3 4" xfId="1921" xr:uid="{8C2DA838-87BB-4C22-B45C-6983348F444D}"/>
    <cellStyle name="Vírgula 3 2 3 2 3 4 2" xfId="43865" xr:uid="{BC288631-B02D-4023-8B1E-D174056D995A}"/>
    <cellStyle name="Vírgula 3 2 3 2 3 4 3" xfId="23530" xr:uid="{8CF0B940-4692-4918-99E0-F84D90B3F285}"/>
    <cellStyle name="Vírgula 3 2 3 2 3 5" xfId="13864" xr:uid="{5BF94164-7112-487E-AA03-34979A392D90}"/>
    <cellStyle name="Vírgula 3 2 3 2 3 5 2" xfId="34205" xr:uid="{1C7135BB-F831-4076-9E27-FC27547213B3}"/>
    <cellStyle name="Vírgula 3 2 3 2 3 6" xfId="9986" xr:uid="{BE5702EB-A69A-4407-8F77-071546347B11}"/>
    <cellStyle name="Vírgula 3 2 3 2 3 6 2" xfId="30329" xr:uid="{690892F7-699F-4303-9024-195A2A88CCB4}"/>
    <cellStyle name="Vírgula 3 2 3 2 3 7" xfId="26835" xr:uid="{59F758AD-1456-4B89-A95C-4D2254817B79}"/>
    <cellStyle name="Vírgula 3 2 3 2 3 8" xfId="48713" xr:uid="{D0B7DA81-B218-4FBC-A56C-9892A6C19468}"/>
    <cellStyle name="Vírgula 3 2 3 2 3 9" xfId="50383" xr:uid="{ED5EB136-4F63-4EC4-A89B-3ECFBCE98EC4}"/>
    <cellStyle name="Vírgula 3 2 3 2 4" xfId="1451" xr:uid="{53082D42-1B6A-464A-95D2-BC2D15A52426}"/>
    <cellStyle name="Vírgula 3 2 3 2 4 10" xfId="53679" xr:uid="{4B9F29B9-233B-4FBB-89A8-B3C37132D4BA}"/>
    <cellStyle name="Vírgula 3 2 3 2 4 11" xfId="7651" xr:uid="{AAE293C8-EC03-4B0D-B0EB-9C2E58A71B00}"/>
    <cellStyle name="Vírgula 3 2 3 2 4 2" xfId="3790" xr:uid="{6CC6C1B5-3DD6-4AD1-B3F2-A1FDB61E3DAB}"/>
    <cellStyle name="Vírgula 3 2 3 2 4 2 2" xfId="38276" xr:uid="{02753E52-B3B2-410B-AF34-EEED13BE881E}"/>
    <cellStyle name="Vírgula 3 2 3 2 4 2 3" xfId="52016" xr:uid="{A52847B8-9D6C-4C2D-8642-91B8016D52A2}"/>
    <cellStyle name="Vírgula 3 2 3 2 4 2 4" xfId="55310" xr:uid="{425E517D-C50B-4D4D-B711-DF89167B9E69}"/>
    <cellStyle name="Vírgula 3 2 3 2 4 2 5" xfId="17936" xr:uid="{E9DD4BF0-0795-4C2D-8A68-099A36295A54}"/>
    <cellStyle name="Vírgula 3 2 3 2 4 3" xfId="3112" xr:uid="{C4D85311-BCF9-479E-8FB8-B0D1B8A8C9AA}"/>
    <cellStyle name="Vírgula 3 2 3 2 4 3 2" xfId="41777" xr:uid="{4C6356D6-5F6D-47B4-9EC0-70479DF3AF5D}"/>
    <cellStyle name="Vírgula 3 2 3 2 4 3 3" xfId="57322" xr:uid="{553BE7F5-04DF-4807-B9FC-8DBF5680771B}"/>
    <cellStyle name="Vírgula 3 2 3 2 4 3 4" xfId="21438" xr:uid="{542084FB-3003-4985-8C41-ECB994700CA9}"/>
    <cellStyle name="Vírgula 3 2 3 2 4 4" xfId="24693" xr:uid="{E80FDDF7-9009-4989-8A3A-9CF654E68638}"/>
    <cellStyle name="Vírgula 3 2 3 2 4 4 2" xfId="45028" xr:uid="{E94E1C48-30EB-4923-9805-913208B90CA5}"/>
    <cellStyle name="Vírgula 3 2 3 2 4 5" xfId="15028" xr:uid="{0DF4A650-1FBD-4BF2-9F3D-B2514543B84F}"/>
    <cellStyle name="Vírgula 3 2 3 2 4 5 2" xfId="35368" xr:uid="{0C8C5773-2161-4565-BDBF-9EA3944C9308}"/>
    <cellStyle name="Vírgula 3 2 3 2 4 6" xfId="11149" xr:uid="{49507DBE-0916-4D19-8AB7-CFFE611DDDF7}"/>
    <cellStyle name="Vírgula 3 2 3 2 4 6 2" xfId="31492" xr:uid="{A4A9C74B-94B6-4513-8660-51AFD1DFD4A5}"/>
    <cellStyle name="Vírgula 3 2 3 2 4 7" xfId="27998" xr:uid="{A0357826-BF6E-4AAA-BE3C-1710D6663C97}"/>
    <cellStyle name="Vírgula 3 2 3 2 4 8" xfId="48714" xr:uid="{50037D30-9F48-4EDE-B839-A1EC4C98AC2B}"/>
    <cellStyle name="Vírgula 3 2 3 2 4 9" xfId="50384" xr:uid="{4318E9A1-08D0-45DD-A29F-087E2B721FD2}"/>
    <cellStyle name="Vírgula 3 2 3 2 5" xfId="638" xr:uid="{C61C0EFF-4ED4-485E-83BA-621B1802407A}"/>
    <cellStyle name="Vírgula 3 2 3 2 5 10" xfId="8263" xr:uid="{DFF9F4C5-71B4-42CE-9AF2-709403D996BC}"/>
    <cellStyle name="Vírgula 3 2 3 2 5 2" xfId="2354" xr:uid="{455F5976-4FF7-4A08-B815-403D1FD128C3}"/>
    <cellStyle name="Vírgula 3 2 3 2 5 2 2" xfId="42386" xr:uid="{CB0A9453-3D14-44E3-9626-90EB73BCBE96}"/>
    <cellStyle name="Vírgula 3 2 3 2 5 2 3" xfId="52017" xr:uid="{0558171E-2612-43A0-95D1-C9CCE8E1B0B9}"/>
    <cellStyle name="Vírgula 3 2 3 2 5 2 4" xfId="55311" xr:uid="{3E81D7A8-77BD-4238-8D10-6DDFF2E4DBAF}"/>
    <cellStyle name="Vírgula 3 2 3 2 5 2 5" xfId="22050" xr:uid="{6554EF19-B17B-465C-AE5C-760C1360E90E}"/>
    <cellStyle name="Vírgula 3 2 3 2 5 3" xfId="25302" xr:uid="{F3AB1810-56B0-46AC-8FC4-41549D23B5F2}"/>
    <cellStyle name="Vírgula 3 2 3 2 5 3 2" xfId="45637" xr:uid="{7F76F288-6C46-49F6-BFF4-A058DD87E44C}"/>
    <cellStyle name="Vírgula 3 2 3 2 5 3 3" xfId="56509" xr:uid="{EC33D1C0-1C54-4C49-B288-0E2FF8150FB3}"/>
    <cellStyle name="Vírgula 3 2 3 2 5 4" xfId="12720" xr:uid="{0EB9755D-FF98-46EE-9901-9C81AA9B948E}"/>
    <cellStyle name="Vírgula 3 2 3 2 5 4 2" xfId="33061" xr:uid="{1F1EA0D5-8DD6-4CC6-9FD7-64EE449C299F}"/>
    <cellStyle name="Vírgula 3 2 3 2 5 5" xfId="11759" xr:uid="{6ABC75BE-92E5-4D24-BED0-7A90ECB37228}"/>
    <cellStyle name="Vírgula 3 2 3 2 5 5 2" xfId="32101" xr:uid="{49908BAE-ADCC-42B9-ADBF-5EFC8276D252}"/>
    <cellStyle name="Vírgula 3 2 3 2 5 6" xfId="28607" xr:uid="{DA84CDC2-BCAF-43F4-ABA0-565FC3A0F044}"/>
    <cellStyle name="Vírgula 3 2 3 2 5 7" xfId="48715" xr:uid="{E5DA2A1C-D759-43E4-8E76-1F3E6F0F660F}"/>
    <cellStyle name="Vírgula 3 2 3 2 5 8" xfId="50385" xr:uid="{9465445F-8777-40BB-9B23-FA22FFA236A4}"/>
    <cellStyle name="Vírgula 3 2 3 2 5 9" xfId="53680" xr:uid="{481C4A55-7BC9-44CD-9C5B-F65CE84A1E2B}"/>
    <cellStyle name="Vírgula 3 2 3 2 6" xfId="3462" xr:uid="{D4537A73-5C42-439E-A19D-A6E40B5E8442}"/>
    <cellStyle name="Vírgula 3 2 3 2 6 2" xfId="15615" xr:uid="{3ED605C7-EB3A-47D1-9181-1E398C557F5D}"/>
    <cellStyle name="Vírgula 3 2 3 2 6 2 2" xfId="35955" xr:uid="{A238D3C2-DFC9-4349-8383-F9B0E4DAE401}"/>
    <cellStyle name="Vírgula 3 2 3 2 6 3" xfId="28964" xr:uid="{A87AB418-F588-45FD-98F1-46E33F6BCF79}"/>
    <cellStyle name="Vírgula 3 2 3 2 6 4" xfId="52010" xr:uid="{E580348E-4161-4F08-BEBC-5F7295B7F889}"/>
    <cellStyle name="Vírgula 3 2 3 2 6 5" xfId="55304" xr:uid="{FBE2C324-AA78-42F9-A232-6F58CC99D1FE}"/>
    <cellStyle name="Vírgula 3 2 3 2 6 6" xfId="8621" xr:uid="{CED5B0B0-74DB-481A-A06A-6E133E5D0F02}"/>
    <cellStyle name="Vírgula 3 2 3 2 7" xfId="3958" xr:uid="{5BF15BFB-2328-4103-ADFC-5A66590B69E4}"/>
    <cellStyle name="Vírgula 3 2 3 2 7 2" xfId="38869" xr:uid="{5CFA897B-256F-4050-9C8E-9D158A2053B1}"/>
    <cellStyle name="Vírgula 3 2 3 2 7 3" xfId="56100" xr:uid="{78DE15B6-CD5D-4834-A53A-92F2C8605DF2}"/>
    <cellStyle name="Vírgula 3 2 3 2 7 4" xfId="18529" xr:uid="{2B67EE7C-458C-4184-8FCE-35581202F9EC}"/>
    <cellStyle name="Vírgula 3 2 3 2 8" xfId="1811" xr:uid="{7AA147DC-05BF-47D5-A5FB-C2F4865F150B}"/>
    <cellStyle name="Vírgula 3 2 3 2 8 2" xfId="39456" xr:uid="{815D6C5C-5821-4D40-B3A5-1E478DB7D290}"/>
    <cellStyle name="Vírgula 3 2 3 2 8 3" xfId="19117" xr:uid="{257A4CA0-B258-4337-89D1-0C124A13F66F}"/>
    <cellStyle name="Vírgula 3 2 3 2 9" xfId="22372" xr:uid="{8342B59A-3795-4AB3-9DD2-BABE7BC50CEF}"/>
    <cellStyle name="Vírgula 3 2 3 2 9 2" xfId="42707" xr:uid="{131CE7B3-7252-4C75-9EFD-8C5E66372B31}"/>
    <cellStyle name="Vírgula 3 2 3 20" xfId="47591" xr:uid="{5F1A468C-A3BE-45F4-902E-71C42F12CB4C}"/>
    <cellStyle name="Vírgula 3 2 3 21" xfId="48707" xr:uid="{EB2D8CE0-5FAE-48EA-B919-5D2516062A27}"/>
    <cellStyle name="Vírgula 3 2 3 22" xfId="50377" xr:uid="{7496C89C-68EB-492B-B505-83DDF08899DB}"/>
    <cellStyle name="Vírgula 3 2 3 23" xfId="53672" xr:uid="{4C8C77BA-E5D3-4FA2-9BA3-26B703C01305}"/>
    <cellStyle name="Vírgula 3 2 3 24" xfId="5233" xr:uid="{AC6A5A66-EE53-4F87-8066-2946D04C7D9D}"/>
    <cellStyle name="Vírgula 3 2 3 25" xfId="4431" xr:uid="{1BF1D956-0A09-472F-8C05-67072BA8EDCF}"/>
    <cellStyle name="Vírgula 3 2 3 3" xfId="281" xr:uid="{4D91DC29-F47E-4156-9748-1F787772E533}"/>
    <cellStyle name="Vírgula 3 2 3 3 10" xfId="12318" xr:uid="{D6C89040-D33C-427E-8183-B5F99C1A025D}"/>
    <cellStyle name="Vírgula 3 2 3 3 10 2" xfId="32659" xr:uid="{5DE94DCD-F4CE-48FC-B131-49691B3A9C9D}"/>
    <cellStyle name="Vírgula 3 2 3 3 11" xfId="9057" xr:uid="{AC947EE3-9B19-4758-8708-107F662D457F}"/>
    <cellStyle name="Vírgula 3 2 3 3 11 2" xfId="29400" xr:uid="{956EBB64-786C-4C06-A79C-6E9EB4CD18B8}"/>
    <cellStyle name="Vírgula 3 2 3 3 12" xfId="25906" xr:uid="{D428EB92-4841-4DC4-AD40-A12D470F08E7}"/>
    <cellStyle name="Vírgula 3 2 3 3 13" xfId="46129" xr:uid="{F0E3BCDD-B968-4F44-B5CB-EF0A1174F17C}"/>
    <cellStyle name="Vírgula 3 2 3 3 14" xfId="46615" xr:uid="{A37F4358-007B-4B90-8531-AC0DDD316CFA}"/>
    <cellStyle name="Vírgula 3 2 3 3 15" xfId="47107" xr:uid="{FB3832C1-8149-440B-9529-F1CA6363BE59}"/>
    <cellStyle name="Vírgula 3 2 3 3 16" xfId="48716" xr:uid="{81126749-F6D8-47E8-8709-FCD010523969}"/>
    <cellStyle name="Vírgula 3 2 3 3 17" xfId="50386" xr:uid="{66AABA88-4064-4256-87EF-0B84519D9E28}"/>
    <cellStyle name="Vírgula 3 2 3 3 18" xfId="53681" xr:uid="{1368796F-0E33-4C27-964F-3C7E66DA5A73}"/>
    <cellStyle name="Vírgula 3 2 3 3 19" xfId="5567" xr:uid="{659F34B1-1580-4428-BAF6-BA6D50290EF0}"/>
    <cellStyle name="Vírgula 3 2 3 3 2" xfId="470" xr:uid="{96982AC7-0DFD-4D86-8BCB-07200FBB16DD}"/>
    <cellStyle name="Vírgula 3 2 3 3 2 10" xfId="50387" xr:uid="{646A29F8-754C-4F79-AA64-31B6D91E3B5C}"/>
    <cellStyle name="Vírgula 3 2 3 3 2 11" xfId="53682" xr:uid="{761C6B58-1EC7-4A84-B165-DAE5139E145B}"/>
    <cellStyle name="Vírgula 3 2 3 3 2 12" xfId="6139" xr:uid="{63AA1E64-6B69-4FE9-B166-F5508146D2D0}"/>
    <cellStyle name="Vírgula 3 2 3 3 2 13" xfId="4751" xr:uid="{07DFE717-7015-4D5F-BB32-B5D76CA9C2E3}"/>
    <cellStyle name="Vírgula 3 2 3 3 2 2" xfId="1286" xr:uid="{D189E065-2559-4F81-88B4-5718B53A7B18}"/>
    <cellStyle name="Vírgula 3 2 3 3 2 2 10" xfId="53683" xr:uid="{BFA2084F-0A3E-4DED-8572-EEE48D2FCF36}"/>
    <cellStyle name="Vírgula 3 2 3 3 2 2 11" xfId="7297" xr:uid="{6220D751-B3F2-4FC5-BACB-F2DF7263D3B9}"/>
    <cellStyle name="Vírgula 3 2 3 3 2 2 2" xfId="2947" xr:uid="{3A5CFD59-F2D4-4D93-B414-B3B7C148F780}"/>
    <cellStyle name="Vírgula 3 2 3 3 2 2 2 2" xfId="37923" xr:uid="{17A164C0-FA0B-4940-930B-7F65C2621184}"/>
    <cellStyle name="Vírgula 3 2 3 3 2 2 2 3" xfId="52020" xr:uid="{8CED7A6A-ABCF-4132-8387-74D9323B27E0}"/>
    <cellStyle name="Vírgula 3 2 3 3 2 2 2 4" xfId="55314" xr:uid="{F1AD021A-3EAF-47CF-B444-B5CD48E89DFF}"/>
    <cellStyle name="Vírgula 3 2 3 3 2 2 2 5" xfId="17583" xr:uid="{A0645BA9-CA7E-49E7-A294-D0CDCB5C6C2A}"/>
    <cellStyle name="Vírgula 3 2 3 3 2 2 3" xfId="21085" xr:uid="{A6F9260B-1325-44FE-8028-9C544AEAA3B7}"/>
    <cellStyle name="Vírgula 3 2 3 3 2 2 3 2" xfId="41424" xr:uid="{60EBA9DC-A144-4869-BE16-9C8ADFEE45B1}"/>
    <cellStyle name="Vírgula 3 2 3 3 2 2 3 3" xfId="57157" xr:uid="{BF0E442E-B143-4BB1-8C32-3C107BA8B96B}"/>
    <cellStyle name="Vírgula 3 2 3 3 2 2 4" xfId="24340" xr:uid="{71B5E827-4547-4CF5-8475-16B0F873C804}"/>
    <cellStyle name="Vírgula 3 2 3 3 2 2 4 2" xfId="44675" xr:uid="{B93989F9-2A65-4033-9C6F-9272BC337F7F}"/>
    <cellStyle name="Vírgula 3 2 3 3 2 2 5" xfId="14674" xr:uid="{4F24E24C-4863-4CB1-8CF1-DDA58338A7CF}"/>
    <cellStyle name="Vírgula 3 2 3 3 2 2 5 2" xfId="35015" xr:uid="{3FC99CE6-9F47-4B8A-993F-938F7F7F6302}"/>
    <cellStyle name="Vírgula 3 2 3 3 2 2 6" xfId="10796" xr:uid="{FF6D0BFB-2CE7-41BC-A7E9-645F8E5E9E15}"/>
    <cellStyle name="Vírgula 3 2 3 3 2 2 6 2" xfId="31139" xr:uid="{8E1B09AC-1504-4C50-896B-5E322832E919}"/>
    <cellStyle name="Vírgula 3 2 3 3 2 2 7" xfId="27645" xr:uid="{B31A8727-F000-4A1E-A2F3-5F009A0AB518}"/>
    <cellStyle name="Vírgula 3 2 3 3 2 2 8" xfId="48718" xr:uid="{7D2FED99-6E60-4181-A1FD-0DD71D212849}"/>
    <cellStyle name="Vírgula 3 2 3 3 2 2 9" xfId="50388" xr:uid="{C275E0C5-B4BF-4CFC-992D-5FD4A80E6E8A}"/>
    <cellStyle name="Vírgula 3 2 3 3 2 3" xfId="1692" xr:uid="{A0A15398-1196-46FC-AAC8-F6BD6D8F518B}"/>
    <cellStyle name="Vírgula 3 2 3 3 2 3 2" xfId="3352" xr:uid="{0122673A-D991-4808-8E4D-67065056E8FD}"/>
    <cellStyle name="Vírgula 3 2 3 3 2 3 2 2" xfId="52021" xr:uid="{CF465220-0C92-4DF3-A4C3-73BB9417EB0A}"/>
    <cellStyle name="Vírgula 3 2 3 3 2 3 2 3" xfId="55315" xr:uid="{475DC83B-0AC3-4872-B694-15337EF3B6FC}"/>
    <cellStyle name="Vírgula 3 2 3 3 2 3 2 4" xfId="36765" xr:uid="{A7720D9D-26A5-4FF3-8F62-04D493700DBF}"/>
    <cellStyle name="Vírgula 3 2 3 3 2 3 3" xfId="48719" xr:uid="{1515CA31-A2E9-4F87-81AA-7AD7AE6C793B}"/>
    <cellStyle name="Vírgula 3 2 3 3 2 3 3 2" xfId="57563" xr:uid="{785E2EBF-0115-4C81-9B94-92D147C517C7}"/>
    <cellStyle name="Vírgula 3 2 3 3 2 3 4" xfId="50389" xr:uid="{FDCA91A7-47CA-4210-886F-3FE4CB8505DA}"/>
    <cellStyle name="Vírgula 3 2 3 3 2 3 5" xfId="53684" xr:uid="{BF36DEF6-4122-4FDF-9BDA-F1C4DB0347D4}"/>
    <cellStyle name="Vírgula 3 2 3 3 2 3 6" xfId="16425" xr:uid="{63285FA0-B4A8-4740-9D37-CDD632711C16}"/>
    <cellStyle name="Vírgula 3 2 3 3 2 4" xfId="879" xr:uid="{9663D587-228B-408B-A433-B391317E924E}"/>
    <cellStyle name="Vírgula 3 2 3 3 2 4 2" xfId="2595" xr:uid="{739C22B9-EBB4-4818-A312-B2F09B763B42}"/>
    <cellStyle name="Vírgula 3 2 3 3 2 4 2 2" xfId="52022" xr:uid="{AC006E2A-051C-4BB9-985E-303F8AE4A440}"/>
    <cellStyle name="Vírgula 3 2 3 3 2 4 2 3" xfId="55316" xr:uid="{8737BF21-14C4-49A0-80BA-68122C3FD6BF}"/>
    <cellStyle name="Vírgula 3 2 3 3 2 4 2 4" xfId="40266" xr:uid="{9D4F61B6-DFAD-4ABF-A570-A1107983402A}"/>
    <cellStyle name="Vírgula 3 2 3 3 2 4 3" xfId="48720" xr:uid="{9F58C2FE-4EAF-4FC8-A8AA-26A3103B7D6A}"/>
    <cellStyle name="Vírgula 3 2 3 3 2 4 3 2" xfId="56750" xr:uid="{0642D41B-FB86-4037-92F8-BB24E9DF8040}"/>
    <cellStyle name="Vírgula 3 2 3 3 2 4 4" xfId="50390" xr:uid="{3FB96D94-3275-4BEC-9241-AB6F4B5AEE53}"/>
    <cellStyle name="Vírgula 3 2 3 3 2 4 5" xfId="53685" xr:uid="{E508E444-0F00-4D5B-BD8C-938CB44D0822}"/>
    <cellStyle name="Vírgula 3 2 3 3 2 4 6" xfId="19927" xr:uid="{8EC99BCE-C47B-45ED-8012-D5415815E4F9}"/>
    <cellStyle name="Vírgula 3 2 3 3 2 5" xfId="2187" xr:uid="{39A563E5-0D87-45B6-B18C-45C9A5EA5CCB}"/>
    <cellStyle name="Vírgula 3 2 3 3 2 5 2" xfId="43517" xr:uid="{E21F4B8F-8622-48DC-BF71-7E9A3D196CEF}"/>
    <cellStyle name="Vírgula 3 2 3 3 2 5 3" xfId="52019" xr:uid="{670655D4-4320-4F8D-BFB5-8EAC460164C3}"/>
    <cellStyle name="Vírgula 3 2 3 3 2 5 4" xfId="55313" xr:uid="{D7224FF9-E5ED-4543-8149-64BCA7A97AE4}"/>
    <cellStyle name="Vírgula 3 2 3 3 2 5 5" xfId="23182" xr:uid="{E710A358-382E-452A-B71F-B4BB28311912}"/>
    <cellStyle name="Vírgula 3 2 3 3 2 6" xfId="13516" xr:uid="{FB8AEC6B-B921-403C-BBFD-85CAB33FA702}"/>
    <cellStyle name="Vírgula 3 2 3 3 2 6 2" xfId="33857" xr:uid="{1C3FD5DE-B5D4-402A-AE71-C665C07E19C4}"/>
    <cellStyle name="Vírgula 3 2 3 3 2 6 3" xfId="56341" xr:uid="{C2503A24-A124-48DB-90B4-D36C461D1C6E}"/>
    <cellStyle name="Vírgula 3 2 3 3 2 7" xfId="9638" xr:uid="{AF1374B4-4A51-40BA-96E3-1D9A3714B358}"/>
    <cellStyle name="Vírgula 3 2 3 3 2 7 2" xfId="29981" xr:uid="{94B16478-540F-4CD9-8C1F-4E0C4B5AACC5}"/>
    <cellStyle name="Vírgula 3 2 3 3 2 8" xfId="26487" xr:uid="{B1540EBC-6FAE-4FF1-A1AC-2358338BD924}"/>
    <cellStyle name="Vírgula 3 2 3 3 2 9" xfId="48717" xr:uid="{FBF94538-4D8C-413E-9330-26D06B02622A}"/>
    <cellStyle name="Vírgula 3 2 3 3 20" xfId="4562" xr:uid="{610058CC-B6CF-4D5D-9A8D-F683E4DADDFB}"/>
    <cellStyle name="Vírgula 3 2 3 3 3" xfId="1097" xr:uid="{57F64285-C851-494D-B85E-C3AAFF0F9EC7}"/>
    <cellStyle name="Vírgula 3 2 3 3 3 10" xfId="53686" xr:uid="{9E37CB81-1771-4701-B5C3-D43054BE7B96}"/>
    <cellStyle name="Vírgula 3 2 3 3 3 11" xfId="6716" xr:uid="{68107682-1894-43CC-8F29-EA5649891357}"/>
    <cellStyle name="Vírgula 3 2 3 3 3 12" xfId="5014" xr:uid="{AF7093C4-3FC7-4DF6-A50B-B2270DF58906}"/>
    <cellStyle name="Vírgula 3 2 3 3 3 2" xfId="2760" xr:uid="{DC763E1F-4074-43FF-B8BB-3E5AE9F122C3}"/>
    <cellStyle name="Vírgula 3 2 3 3 3 2 2" xfId="37342" xr:uid="{C0556503-8C31-4917-B174-8473ED06477C}"/>
    <cellStyle name="Vírgula 3 2 3 3 3 2 3" xfId="52023" xr:uid="{C307106C-C1BE-40D0-BE2E-921EE1FF9C76}"/>
    <cellStyle name="Vírgula 3 2 3 3 3 2 4" xfId="55317" xr:uid="{2EAE4DB7-961F-4C89-A9D9-114325F74857}"/>
    <cellStyle name="Vírgula 3 2 3 3 3 2 5" xfId="17002" xr:uid="{0B075700-4778-4F3D-BE31-65351EFE2896}"/>
    <cellStyle name="Vírgula 3 2 3 3 3 3" xfId="20504" xr:uid="{55709268-B518-4008-B4BC-5D67409996E8}"/>
    <cellStyle name="Vírgula 3 2 3 3 3 3 2" xfId="40843" xr:uid="{2440249F-BE62-4F7F-A81C-1378E76B019F}"/>
    <cellStyle name="Vírgula 3 2 3 3 3 3 3" xfId="56968" xr:uid="{C168AD23-897B-4985-B558-FA3AB00B2467}"/>
    <cellStyle name="Vírgula 3 2 3 3 3 4" xfId="23759" xr:uid="{51CB62F0-AF35-41F6-A1B2-D7A6EC0992F5}"/>
    <cellStyle name="Vírgula 3 2 3 3 3 4 2" xfId="44094" xr:uid="{BADB67A8-07B1-4FA5-A558-02DE27F93276}"/>
    <cellStyle name="Vírgula 3 2 3 3 3 5" xfId="14093" xr:uid="{70E9880A-64C2-4EC5-ADFE-5D89439FCE64}"/>
    <cellStyle name="Vírgula 3 2 3 3 3 5 2" xfId="34434" xr:uid="{5BF70A3F-B69B-4D03-8AD1-ED54985C28BB}"/>
    <cellStyle name="Vírgula 3 2 3 3 3 6" xfId="10215" xr:uid="{72FA632A-5542-46E9-BBA9-353B8F32136D}"/>
    <cellStyle name="Vírgula 3 2 3 3 3 6 2" xfId="30558" xr:uid="{9B79E2CA-4C0E-4FD0-8BE7-5E6AE7374F6E}"/>
    <cellStyle name="Vírgula 3 2 3 3 3 7" xfId="27064" xr:uid="{0021F35D-1A7A-48CA-8B7F-79CCB82422F3}"/>
    <cellStyle name="Vírgula 3 2 3 3 3 8" xfId="48721" xr:uid="{1042F4B7-5664-4B23-B351-39FD733BBEB3}"/>
    <cellStyle name="Vírgula 3 2 3 3 3 9" xfId="50391" xr:uid="{953CB240-3867-468D-92B8-FD72F01559E8}"/>
    <cellStyle name="Vírgula 3 2 3 3 4" xfId="1503" xr:uid="{5ECA1A3A-1455-4D56-B53A-8D3A9B6A8F1D}"/>
    <cellStyle name="Vírgula 3 2 3 3 4 10" xfId="53687" xr:uid="{511ACB44-0BCC-448D-B072-1FFB60514148}"/>
    <cellStyle name="Vírgula 3 2 3 3 4 11" xfId="7880" xr:uid="{C9AA0622-860A-4FFE-937F-CB6AF19793DD}"/>
    <cellStyle name="Vírgula 3 2 3 3 4 2" xfId="3164" xr:uid="{B5AC26E0-4D2F-4D8E-95FF-909E2AA959A8}"/>
    <cellStyle name="Vírgula 3 2 3 3 4 2 2" xfId="38505" xr:uid="{DEB89BAC-1C73-4B69-9BAA-198F4EB17932}"/>
    <cellStyle name="Vírgula 3 2 3 3 4 2 3" xfId="52024" xr:uid="{F1200D71-5A9F-48AA-B1D6-E5AB17543ABD}"/>
    <cellStyle name="Vírgula 3 2 3 3 4 2 4" xfId="55318" xr:uid="{155BDF12-F521-4FD1-9972-664B21040C04}"/>
    <cellStyle name="Vírgula 3 2 3 3 4 2 5" xfId="18165" xr:uid="{1B0A7403-46C0-4E70-8C18-AFC0CEDFF3FE}"/>
    <cellStyle name="Vírgula 3 2 3 3 4 3" xfId="21667" xr:uid="{73B4B2B6-63A1-425F-948B-E995386F0C6B}"/>
    <cellStyle name="Vírgula 3 2 3 3 4 3 2" xfId="42006" xr:uid="{E7588F66-DC4D-44AB-8D90-26965E769EEC}"/>
    <cellStyle name="Vírgula 3 2 3 3 4 3 3" xfId="57374" xr:uid="{7E0E73AD-0E4F-4218-B3C4-80CA1636CEE1}"/>
    <cellStyle name="Vírgula 3 2 3 3 4 4" xfId="24922" xr:uid="{5B0DAE63-BD80-457D-AA10-C9E8CAC9995E}"/>
    <cellStyle name="Vírgula 3 2 3 3 4 4 2" xfId="45257" xr:uid="{88230864-C845-42B0-BF06-9989A06A75A0}"/>
    <cellStyle name="Vírgula 3 2 3 3 4 5" xfId="15257" xr:uid="{31ADCBD5-FB34-44CC-A87B-E1F85568535F}"/>
    <cellStyle name="Vírgula 3 2 3 3 4 5 2" xfId="35597" xr:uid="{67897956-2EB7-4DF9-8647-8B2CB962114B}"/>
    <cellStyle name="Vírgula 3 2 3 3 4 6" xfId="11378" xr:uid="{C283269C-C89A-4A93-990F-520FF9D67B60}"/>
    <cellStyle name="Vírgula 3 2 3 3 4 6 2" xfId="31721" xr:uid="{3143256F-CB45-488B-AA55-21AEDFF84FE9}"/>
    <cellStyle name="Vírgula 3 2 3 3 4 7" xfId="28227" xr:uid="{B793A9D0-0B4C-4F56-B86C-6268BCBD6D94}"/>
    <cellStyle name="Vírgula 3 2 3 3 4 8" xfId="48722" xr:uid="{A71F028B-9217-4C68-8B66-A89BB0943308}"/>
    <cellStyle name="Vírgula 3 2 3 3 4 9" xfId="50392" xr:uid="{2D6EE68C-AF94-410D-85C1-A150EDF0D41D}"/>
    <cellStyle name="Vírgula 3 2 3 3 5" xfId="690" xr:uid="{8950D24C-086F-40D5-BF0C-F254E505D8E5}"/>
    <cellStyle name="Vírgula 3 2 3 3 5 10" xfId="8264" xr:uid="{49EC990B-BA49-49E5-82D7-D3921F27B32D}"/>
    <cellStyle name="Vírgula 3 2 3 3 5 2" xfId="2406" xr:uid="{3CE45815-B1B9-4D10-9C0B-45AF30A00A96}"/>
    <cellStyle name="Vírgula 3 2 3 3 5 2 2" xfId="42387" xr:uid="{7C0582A3-BC0E-47C3-A962-6065A81DD0DA}"/>
    <cellStyle name="Vírgula 3 2 3 3 5 2 3" xfId="52025" xr:uid="{2926F4D0-0FF4-44F8-BEF7-9629DBAACD73}"/>
    <cellStyle name="Vírgula 3 2 3 3 5 2 4" xfId="55319" xr:uid="{3DAD6BCC-3E66-43B7-91F3-946AE53A1FE8}"/>
    <cellStyle name="Vírgula 3 2 3 3 5 2 5" xfId="22051" xr:uid="{4A38251F-7058-4095-B84C-2E428382164A}"/>
    <cellStyle name="Vírgula 3 2 3 3 5 3" xfId="25303" xr:uid="{D3960E0D-4486-4E2F-809B-1707CF982A21}"/>
    <cellStyle name="Vírgula 3 2 3 3 5 3 2" xfId="45638" xr:uid="{B4279927-A365-46C0-89A3-2F4B1FA67B3B}"/>
    <cellStyle name="Vírgula 3 2 3 3 5 3 3" xfId="56561" xr:uid="{75121583-2D4A-48B4-A308-B28FF7AD82DF}"/>
    <cellStyle name="Vírgula 3 2 3 3 5 4" xfId="12947" xr:uid="{D0280A11-3F86-4113-8121-769816290659}"/>
    <cellStyle name="Vírgula 3 2 3 3 5 4 2" xfId="33288" xr:uid="{EB7F5BD5-FAE0-452B-BC29-10DA1AC017F6}"/>
    <cellStyle name="Vírgula 3 2 3 3 5 5" xfId="11760" xr:uid="{E4B2CFF6-60EC-49DE-9E15-1AD3AC6DF800}"/>
    <cellStyle name="Vírgula 3 2 3 3 5 5 2" xfId="32102" xr:uid="{FF0E026B-C7B1-4542-9BB6-9A309259E1E5}"/>
    <cellStyle name="Vírgula 3 2 3 3 5 6" xfId="28608" xr:uid="{D859AE94-A828-44CA-99D3-A8BA7EBA41AF}"/>
    <cellStyle name="Vírgula 3 2 3 3 5 7" xfId="48723" xr:uid="{300C3334-9A5C-46A1-BCC1-1A3C427B4B6A}"/>
    <cellStyle name="Vírgula 3 2 3 3 5 8" xfId="50393" xr:uid="{C3A8C254-E137-4676-A9B2-6481865951D8}"/>
    <cellStyle name="Vírgula 3 2 3 3 5 9" xfId="53688" xr:uid="{412267AD-A2B2-4AE2-ACC4-7F94552A1CA5}"/>
    <cellStyle name="Vírgula 3 2 3 3 6" xfId="3626" xr:uid="{B9D66013-AC55-43FB-9D39-814358C11FCA}"/>
    <cellStyle name="Vírgula 3 2 3 3 6 2" xfId="36184" xr:uid="{27916371-B2EC-4A9E-A41C-C37D6903A6E4}"/>
    <cellStyle name="Vírgula 3 2 3 3 6 3" xfId="52018" xr:uid="{42624306-4F2D-4528-80EC-221AEDE5CE80}"/>
    <cellStyle name="Vírgula 3 2 3 3 6 4" xfId="55312" xr:uid="{DE720D76-CC27-4C66-88C5-635FC321C06D}"/>
    <cellStyle name="Vírgula 3 2 3 3 6 5" xfId="15844" xr:uid="{9EA09F7E-5FB7-4CA6-9635-E34136A045EF}"/>
    <cellStyle name="Vírgula 3 2 3 3 7" xfId="4017" xr:uid="{FEB49D2B-E835-4510-8025-1730ED0264F3}"/>
    <cellStyle name="Vírgula 3 2 3 3 7 2" xfId="39098" xr:uid="{65300327-EE36-471E-910A-D1324838C221}"/>
    <cellStyle name="Vírgula 3 2 3 3 7 3" xfId="56152" xr:uid="{85FB68C8-CF54-4794-8917-13510B3EE277}"/>
    <cellStyle name="Vírgula 3 2 3 3 7 4" xfId="18758" xr:uid="{996A7A68-8337-481C-B2C3-3D1B4F96D81D}"/>
    <cellStyle name="Vírgula 3 2 3 3 8" xfId="1975" xr:uid="{120FB7F4-4A94-4CF2-B6EE-F70ABBA57412}"/>
    <cellStyle name="Vírgula 3 2 3 3 8 2" xfId="39685" xr:uid="{56F07BBE-776B-4BA8-B7A0-DAAE01DE17DB}"/>
    <cellStyle name="Vírgula 3 2 3 3 8 3" xfId="19346" xr:uid="{E0AB6742-3767-49C2-A1D6-F009E59958E4}"/>
    <cellStyle name="Vírgula 3 2 3 3 9" xfId="22601" xr:uid="{4C588B9C-91B7-4A9D-A983-A0641DC84553}"/>
    <cellStyle name="Vírgula 3 2 3 3 9 2" xfId="42936" xr:uid="{592DE399-1127-49BD-834A-335DCAA7D457}"/>
    <cellStyle name="Vírgula 3 2 3 4" xfId="339" xr:uid="{36A77289-3891-4ABC-96A3-5C5357520DE5}"/>
    <cellStyle name="Vírgula 3 2 3 4 10" xfId="12476" xr:uid="{C5C2B944-7F11-45A8-ABC2-51F8CC8263F7}"/>
    <cellStyle name="Vírgula 3 2 3 4 10 2" xfId="32817" xr:uid="{D805736F-9B06-4C9B-A064-06F35B5065D3}"/>
    <cellStyle name="Vírgula 3 2 3 4 11" xfId="9215" xr:uid="{AC5BF86F-C6DC-4E0E-B6C6-028D728575EC}"/>
    <cellStyle name="Vírgula 3 2 3 4 11 2" xfId="29558" xr:uid="{7485A24E-3DD8-4580-945B-916B10AB7396}"/>
    <cellStyle name="Vírgula 3 2 3 4 12" xfId="26064" xr:uid="{1BBE395F-E67B-45FB-B6F8-7E8751CFF529}"/>
    <cellStyle name="Vírgula 3 2 3 4 13" xfId="48724" xr:uid="{CBB9699F-0C49-4F1A-8E56-12837E5B573D}"/>
    <cellStyle name="Vírgula 3 2 3 4 14" xfId="50394" xr:uid="{34D71CA8-1EEB-4496-9262-CE57F5B39F15}"/>
    <cellStyle name="Vírgula 3 2 3 4 15" xfId="53689" xr:uid="{30C41164-FA30-4653-BC71-AD36333B6CA7}"/>
    <cellStyle name="Vírgula 3 2 3 4 16" xfId="5724" xr:uid="{5C707E1A-289F-423A-B5E2-BC99A01D2C1A}"/>
    <cellStyle name="Vírgula 3 2 3 4 17" xfId="4620" xr:uid="{0A260F29-C0AB-4883-92B4-E27EADF26AEE}"/>
    <cellStyle name="Vírgula 3 2 3 4 2" xfId="1155" xr:uid="{F76B6088-E9A6-4AC3-AA11-A0DEADD42E35}"/>
    <cellStyle name="Vírgula 3 2 3 4 2 10" xfId="50395" xr:uid="{8150CAD9-738C-4782-A68F-5B5C0A5F3C42}"/>
    <cellStyle name="Vírgula 3 2 3 4 2 11" xfId="53690" xr:uid="{9C5F07D9-8990-413D-B8FE-31BDA8FF9210}"/>
    <cellStyle name="Vírgula 3 2 3 4 2 12" xfId="6297" xr:uid="{52AAF98C-3FF2-4A79-A19B-30C0F60EA3EC}"/>
    <cellStyle name="Vírgula 3 2 3 4 2 2" xfId="2816" xr:uid="{894AA90E-4427-4089-8722-5E43D437CA1E}"/>
    <cellStyle name="Vírgula 3 2 3 4 2 2 10" xfId="7455" xr:uid="{6CA8C71E-A7F9-4C7F-AC36-44F94BCE460E}"/>
    <cellStyle name="Vírgula 3 2 3 4 2 2 2" xfId="17741" xr:uid="{752070C7-3397-4DDD-A708-16508C05CE15}"/>
    <cellStyle name="Vírgula 3 2 3 4 2 2 2 2" xfId="38081" xr:uid="{0E6D9EDC-7382-418E-A187-3744B864A779}"/>
    <cellStyle name="Vírgula 3 2 3 4 2 2 3" xfId="21243" xr:uid="{53C7824E-959A-4720-8D0D-B6A263109983}"/>
    <cellStyle name="Vírgula 3 2 3 4 2 2 3 2" xfId="41582" xr:uid="{E53311FD-F02D-4E8F-B445-E8E48A2CD9FE}"/>
    <cellStyle name="Vírgula 3 2 3 4 2 2 4" xfId="24498" xr:uid="{348C9852-6431-4249-BC2D-33056BC50A83}"/>
    <cellStyle name="Vírgula 3 2 3 4 2 2 4 2" xfId="44833" xr:uid="{174A6534-28D0-4B98-BA4A-37EC9434CD20}"/>
    <cellStyle name="Vírgula 3 2 3 4 2 2 5" xfId="14832" xr:uid="{27FAF58C-23E0-49FA-8B2B-A20F846F7425}"/>
    <cellStyle name="Vírgula 3 2 3 4 2 2 5 2" xfId="35173" xr:uid="{4F140ADA-9F46-4711-8AD3-DC6CB57897E5}"/>
    <cellStyle name="Vírgula 3 2 3 4 2 2 6" xfId="10954" xr:uid="{A485E436-C242-4291-BC95-250CB01AD69A}"/>
    <cellStyle name="Vírgula 3 2 3 4 2 2 6 2" xfId="31297" xr:uid="{75434622-A97B-484E-BDFB-06F3C761A64A}"/>
    <cellStyle name="Vírgula 3 2 3 4 2 2 7" xfId="27803" xr:uid="{CA486845-EA05-4484-A35F-B8A21B507BD3}"/>
    <cellStyle name="Vírgula 3 2 3 4 2 2 8" xfId="52027" xr:uid="{8D25FE79-F8FF-48BF-B327-63B81BDD8414}"/>
    <cellStyle name="Vírgula 3 2 3 4 2 2 9" xfId="55321" xr:uid="{72A3B046-9DA3-4009-9799-A42BBD5AE65C}"/>
    <cellStyle name="Vírgula 3 2 3 4 2 3" xfId="16583" xr:uid="{53433D31-6D88-4F14-B1A5-FCFF962A24FD}"/>
    <cellStyle name="Vírgula 3 2 3 4 2 3 2" xfId="36923" xr:uid="{E41E6BB2-EB1A-4219-8492-F1972F7FEC13}"/>
    <cellStyle name="Vírgula 3 2 3 4 2 3 3" xfId="57026" xr:uid="{B1604905-421A-41CA-8464-7E33CA6D2899}"/>
    <cellStyle name="Vírgula 3 2 3 4 2 4" xfId="20085" xr:uid="{14C903AE-85DF-4FCD-A356-51D4A2381B74}"/>
    <cellStyle name="Vírgula 3 2 3 4 2 4 2" xfId="40424" xr:uid="{1860B4FB-030B-4D1B-9B8B-719844C16AE0}"/>
    <cellStyle name="Vírgula 3 2 3 4 2 5" xfId="23340" xr:uid="{01A97D20-158F-470B-8982-D2BA84077A7B}"/>
    <cellStyle name="Vírgula 3 2 3 4 2 5 2" xfId="43675" xr:uid="{C0A241DF-BE94-43AF-8687-7A5C6A8F8592}"/>
    <cellStyle name="Vírgula 3 2 3 4 2 6" xfId="13674" xr:uid="{14CC5E18-2FF7-4776-BA7D-27A6FC2E4C36}"/>
    <cellStyle name="Vírgula 3 2 3 4 2 6 2" xfId="34015" xr:uid="{415EC648-A18A-45F9-B6D5-36AF9025C1FC}"/>
    <cellStyle name="Vírgula 3 2 3 4 2 7" xfId="9796" xr:uid="{3314F5E5-6AF4-40BC-9750-2FCC0709A8AA}"/>
    <cellStyle name="Vírgula 3 2 3 4 2 7 2" xfId="30139" xr:uid="{DD449A75-D81A-491B-8A6C-FE6A97AC59A4}"/>
    <cellStyle name="Vírgula 3 2 3 4 2 8" xfId="26645" xr:uid="{ED69A062-8096-4F71-AE0D-CDFE4D08A6B7}"/>
    <cellStyle name="Vírgula 3 2 3 4 2 9" xfId="48725" xr:uid="{43D74CDD-D69E-4D79-928A-5314C94CD36D}"/>
    <cellStyle name="Vírgula 3 2 3 4 3" xfId="1561" xr:uid="{EC236E23-4933-45AD-82BC-FB9946BA6775}"/>
    <cellStyle name="Vírgula 3 2 3 4 3 10" xfId="53691" xr:uid="{12D2C344-605F-4A39-A9A4-F30CA2D8A2D1}"/>
    <cellStyle name="Vírgula 3 2 3 4 3 11" xfId="6874" xr:uid="{43C1AC55-51A0-4B05-8259-8C178D4542AC}"/>
    <cellStyle name="Vírgula 3 2 3 4 3 2" xfId="3221" xr:uid="{B8C6CA4D-C15E-4B39-BBF7-3B059D5A025C}"/>
    <cellStyle name="Vírgula 3 2 3 4 3 2 2" xfId="37500" xr:uid="{10478D94-D4B1-4DD1-85B4-5D5CF3029317}"/>
    <cellStyle name="Vírgula 3 2 3 4 3 2 3" xfId="52028" xr:uid="{30F3335D-6756-4D91-B182-1E800196036D}"/>
    <cellStyle name="Vírgula 3 2 3 4 3 2 4" xfId="55322" xr:uid="{39C604F5-82D8-4A28-ADD1-E07791618D34}"/>
    <cellStyle name="Vírgula 3 2 3 4 3 2 5" xfId="17160" xr:uid="{D65A1280-A17B-454E-89EB-593D54EB7BDE}"/>
    <cellStyle name="Vírgula 3 2 3 4 3 3" xfId="20662" xr:uid="{2E515367-8536-468E-896C-B708D6E56857}"/>
    <cellStyle name="Vírgula 3 2 3 4 3 3 2" xfId="41001" xr:uid="{9E628CA7-13FF-4F33-A6E6-5D47F0BF68AB}"/>
    <cellStyle name="Vírgula 3 2 3 4 3 3 3" xfId="57432" xr:uid="{1D037E7B-8235-46B3-A53F-43C111D486D7}"/>
    <cellStyle name="Vírgula 3 2 3 4 3 4" xfId="23917" xr:uid="{8D1AAE73-2033-47F7-90EC-541419B08F55}"/>
    <cellStyle name="Vírgula 3 2 3 4 3 4 2" xfId="44252" xr:uid="{954ED627-1C64-4D0C-B413-90F8B822ABB8}"/>
    <cellStyle name="Vírgula 3 2 3 4 3 5" xfId="14251" xr:uid="{80130F35-AE51-4E7C-A2FD-C1847293B6EE}"/>
    <cellStyle name="Vírgula 3 2 3 4 3 5 2" xfId="34592" xr:uid="{90FA463D-38ED-4F60-A426-81F3D7886510}"/>
    <cellStyle name="Vírgula 3 2 3 4 3 6" xfId="10373" xr:uid="{0D91A11A-5AB9-46A1-9649-673428B5F302}"/>
    <cellStyle name="Vírgula 3 2 3 4 3 6 2" xfId="30716" xr:uid="{7E26A0D6-1048-41CF-8E2A-E3CA7F9AA795}"/>
    <cellStyle name="Vírgula 3 2 3 4 3 7" xfId="27222" xr:uid="{A5B04FE6-E78D-4E50-A75C-B8DFC19479AA}"/>
    <cellStyle name="Vírgula 3 2 3 4 3 8" xfId="48726" xr:uid="{0E897D6A-AFB8-4E63-83B5-6F1CB5E766EC}"/>
    <cellStyle name="Vírgula 3 2 3 4 3 9" xfId="50396" xr:uid="{C32A784E-F673-4634-BD36-9F43C1A8E80F}"/>
    <cellStyle name="Vírgula 3 2 3 4 4" xfId="748" xr:uid="{E2C252E3-ECC1-4787-93FF-DC16758B7B8A}"/>
    <cellStyle name="Vírgula 3 2 3 4 4 10" xfId="53692" xr:uid="{E97602FC-0E17-4AEE-ACC2-02CCAC3FB6EB}"/>
    <cellStyle name="Vírgula 3 2 3 4 4 11" xfId="8038" xr:uid="{23C0CF8E-58BE-4CFB-8794-290B88E87848}"/>
    <cellStyle name="Vírgula 3 2 3 4 4 2" xfId="2464" xr:uid="{F226EB78-74A0-4A2B-A16F-60055A6BF647}"/>
    <cellStyle name="Vírgula 3 2 3 4 4 2 2" xfId="38663" xr:uid="{CB20F055-4392-4551-BDD7-C8CD79E45CC6}"/>
    <cellStyle name="Vírgula 3 2 3 4 4 2 3" xfId="52029" xr:uid="{AF9DE9B7-05E5-43B6-999B-637A25B3ED85}"/>
    <cellStyle name="Vírgula 3 2 3 4 4 2 4" xfId="55323" xr:uid="{E8F5A294-0F0F-4B4A-9081-7ADF3FA028E3}"/>
    <cellStyle name="Vírgula 3 2 3 4 4 2 5" xfId="18323" xr:uid="{F8D5C61D-6CDF-4CF7-8DB1-D4FA1E0832AA}"/>
    <cellStyle name="Vírgula 3 2 3 4 4 3" xfId="21825" xr:uid="{6E6ABFA1-AE83-4928-8BE2-F915B28D1AB6}"/>
    <cellStyle name="Vírgula 3 2 3 4 4 3 2" xfId="42164" xr:uid="{56046472-70E4-4E5E-9463-17B6E89E4AF5}"/>
    <cellStyle name="Vírgula 3 2 3 4 4 3 3" xfId="56619" xr:uid="{CFED83CB-0374-4DAA-9B69-183EC6EFB12A}"/>
    <cellStyle name="Vírgula 3 2 3 4 4 4" xfId="25080" xr:uid="{A5928F81-AB98-4ED4-BE2E-186ADE5D91CC}"/>
    <cellStyle name="Vírgula 3 2 3 4 4 4 2" xfId="45415" xr:uid="{A724C6AF-C395-4821-86F6-AFE4D19181A6}"/>
    <cellStyle name="Vírgula 3 2 3 4 4 5" xfId="15415" xr:uid="{EF1FE071-0CE6-4DFD-8038-E79C50D3362A}"/>
    <cellStyle name="Vírgula 3 2 3 4 4 5 2" xfId="35755" xr:uid="{254BA6E2-4AB8-4F7C-A635-98CB4D3BEEDA}"/>
    <cellStyle name="Vírgula 3 2 3 4 4 6" xfId="11536" xr:uid="{AD99BEF1-7867-48E2-A9BD-8C3994AD6522}"/>
    <cellStyle name="Vírgula 3 2 3 4 4 6 2" xfId="31879" xr:uid="{5D6D7E1D-B453-4160-8025-12C160A22ADC}"/>
    <cellStyle name="Vírgula 3 2 3 4 4 7" xfId="28385" xr:uid="{69211B23-CB51-4646-9C4C-55138CE4E814}"/>
    <cellStyle name="Vírgula 3 2 3 4 4 8" xfId="48727" xr:uid="{6A20EDE1-8C61-4DA5-A96D-1ECA7E73710B}"/>
    <cellStyle name="Vírgula 3 2 3 4 4 9" xfId="50397" xr:uid="{00807F92-AC50-41CE-B787-93345E1DD19C}"/>
    <cellStyle name="Vírgula 3 2 3 4 5" xfId="3517" xr:uid="{278E915D-B881-48E1-9F0E-1FC5C6276B65}"/>
    <cellStyle name="Vírgula 3 2 3 4 5 2" xfId="33446" xr:uid="{D140DB77-55B7-4381-9EE5-A402157E584E}"/>
    <cellStyle name="Vírgula 3 2 3 4 5 3" xfId="52026" xr:uid="{E338EB0F-5118-4E60-A4B9-BC2A4600F538}"/>
    <cellStyle name="Vírgula 3 2 3 4 5 4" xfId="55320" xr:uid="{1D188205-573E-4BE9-AB31-EC0170A73BFF}"/>
    <cellStyle name="Vírgula 3 2 3 4 5 5" xfId="13105" xr:uid="{E92DB4E6-6E90-4474-B7D8-CD4F3F95BAF8}"/>
    <cellStyle name="Vírgula 3 2 3 4 6" xfId="4189" xr:uid="{DC86B7BE-F0AF-40CC-AA51-828E1BD38BA7}"/>
    <cellStyle name="Vírgula 3 2 3 4 6 2" xfId="36342" xr:uid="{596F5E97-B6A1-4ECB-AEE4-9FF6BF73E6F9}"/>
    <cellStyle name="Vírgula 3 2 3 4 6 3" xfId="56210" xr:uid="{AD863544-BF48-4ABA-8156-DB1B2FB9012D}"/>
    <cellStyle name="Vírgula 3 2 3 4 6 4" xfId="16002" xr:uid="{CA5F56FE-223E-491C-BEEE-123D8EB4BFDF}"/>
    <cellStyle name="Vírgula 3 2 3 4 7" xfId="1866" xr:uid="{1108E119-5F57-40D4-A363-7167780DA216}"/>
    <cellStyle name="Vírgula 3 2 3 4 7 2" xfId="39256" xr:uid="{009680E6-FF10-45AA-8B45-33D197564DD4}"/>
    <cellStyle name="Vírgula 3 2 3 4 7 3" xfId="18916" xr:uid="{5462EAC5-7305-43BF-AB67-AAA60CF363F1}"/>
    <cellStyle name="Vírgula 3 2 3 4 8" xfId="19504" xr:uid="{45C7878F-919A-499B-9B05-2C06312739DE}"/>
    <cellStyle name="Vírgula 3 2 3 4 8 2" xfId="39843" xr:uid="{BEAF277D-F86A-494A-B3BA-EA16156D3DE4}"/>
    <cellStyle name="Vírgula 3 2 3 4 9" xfId="22759" xr:uid="{29DE6612-63C8-4700-8372-B1B28705000B}"/>
    <cellStyle name="Vírgula 3 2 3 4 9 2" xfId="43094" xr:uid="{52AD8AD1-92D2-44C6-88C4-CB62AC5B145E}"/>
    <cellStyle name="Vírgula 3 2 3 5" xfId="966" xr:uid="{2001E54D-FB58-4210-9FA6-C5DAA097F167}"/>
    <cellStyle name="Vírgula 3 2 3 5 10" xfId="50398" xr:uid="{C41F4E0B-0A82-4A92-9BD5-D01E0D939754}"/>
    <cellStyle name="Vírgula 3 2 3 5 11" xfId="53693" xr:uid="{8FB72F4D-E024-430B-9925-EF55B0E36454}"/>
    <cellStyle name="Vírgula 3 2 3 5 12" xfId="5795" xr:uid="{66D29531-6D3A-47E0-BC00-F8828E286111}"/>
    <cellStyle name="Vírgula 3 2 3 5 13" xfId="4895" xr:uid="{7B02E790-ED8B-413B-A890-14808E7915AB}"/>
    <cellStyle name="Vírgula 3 2 3 5 2" xfId="3735" xr:uid="{CA2FE6E2-0DA7-47D3-9001-DB9194C33300}"/>
    <cellStyle name="Vírgula 3 2 3 5 2 10" xfId="6953" xr:uid="{C42C47D4-C461-4D14-9CE3-40036EE91980}"/>
    <cellStyle name="Vírgula 3 2 3 5 2 2" xfId="17239" xr:uid="{0D929F24-71E7-4507-98C9-F8ABF0E60A72}"/>
    <cellStyle name="Vírgula 3 2 3 5 2 2 2" xfId="37579" xr:uid="{DE1445EE-AD7A-4BF6-9F69-765CB5F2FDB3}"/>
    <cellStyle name="Vírgula 3 2 3 5 2 3" xfId="20741" xr:uid="{9B7E406B-B9B4-44D7-9A12-FF9D7F480850}"/>
    <cellStyle name="Vírgula 3 2 3 5 2 3 2" xfId="41080" xr:uid="{1C949DCC-B9F8-4FEB-99AA-BD95E1841CAC}"/>
    <cellStyle name="Vírgula 3 2 3 5 2 4" xfId="23996" xr:uid="{DC2196E6-4198-493A-B9E0-132A76B47D11}"/>
    <cellStyle name="Vírgula 3 2 3 5 2 4 2" xfId="44331" xr:uid="{F6A31854-F01A-478D-B38F-D6986A8F15EB}"/>
    <cellStyle name="Vírgula 3 2 3 5 2 5" xfId="14330" xr:uid="{F56D96D1-3002-410D-A3CB-00C7A3E6FDAC}"/>
    <cellStyle name="Vírgula 3 2 3 5 2 5 2" xfId="34671" xr:uid="{D847946A-260C-456F-91F7-DB5B1D20CD44}"/>
    <cellStyle name="Vírgula 3 2 3 5 2 6" xfId="10452" xr:uid="{62979C5C-184E-443E-BE05-C4FE1DC18996}"/>
    <cellStyle name="Vírgula 3 2 3 5 2 6 2" xfId="30795" xr:uid="{FD28FFC7-CEF7-46CA-A127-63075207DCEC}"/>
    <cellStyle name="Vírgula 3 2 3 5 2 7" xfId="27301" xr:uid="{9BDE1357-4EDD-4EA9-97AF-3E36943A6994}"/>
    <cellStyle name="Vírgula 3 2 3 5 2 8" xfId="52030" xr:uid="{45DC2DC6-48F0-4906-8CFF-DC2BE7A8B95B}"/>
    <cellStyle name="Vírgula 3 2 3 5 2 9" xfId="55324" xr:uid="{45351959-2C5B-4E8E-B878-2BFD7CE27D16}"/>
    <cellStyle name="Vírgula 3 2 3 5 3" xfId="2681" xr:uid="{DF507B78-D78A-4FFE-BA82-FBBD3F0F1263}"/>
    <cellStyle name="Vírgula 3 2 3 5 3 2" xfId="36421" xr:uid="{4995A53B-A817-446F-961F-2C3BED66546A}"/>
    <cellStyle name="Vírgula 3 2 3 5 3 3" xfId="56837" xr:uid="{9958E02F-E467-48B0-8888-C90CB6476E28}"/>
    <cellStyle name="Vírgula 3 2 3 5 3 4" xfId="16081" xr:uid="{31F24E86-D308-43F0-8722-9FB56281F3BA}"/>
    <cellStyle name="Vírgula 3 2 3 5 4" xfId="19583" xr:uid="{E047031F-AF6A-4811-8EBE-2FC1A607D38F}"/>
    <cellStyle name="Vírgula 3 2 3 5 4 2" xfId="39922" xr:uid="{DC52A402-CB69-44AD-AD1D-6CE50F03850A}"/>
    <cellStyle name="Vírgula 3 2 3 5 5" xfId="22838" xr:uid="{1F33D413-921D-4D26-8F6D-193ACE4DCD4C}"/>
    <cellStyle name="Vírgula 3 2 3 5 5 2" xfId="43173" xr:uid="{D817B242-5E62-4F48-82F3-12976C5FCB74}"/>
    <cellStyle name="Vírgula 3 2 3 5 6" xfId="12560" xr:uid="{EFD20FFA-F01B-43C5-9453-A02311E976BB}"/>
    <cellStyle name="Vírgula 3 2 3 5 6 2" xfId="32901" xr:uid="{B9667E6D-1CB4-4231-92B8-EDC2B28A5F9D}"/>
    <cellStyle name="Vírgula 3 2 3 5 7" xfId="9294" xr:uid="{1858637D-B62B-41BF-A2FE-E8B5964E33B6}"/>
    <cellStyle name="Vírgula 3 2 3 5 7 2" xfId="29637" xr:uid="{87237E84-EC70-46BD-A3F3-E5680AD7EDEE}"/>
    <cellStyle name="Vírgula 3 2 3 5 8" xfId="26143" xr:uid="{911A25B4-29F1-4734-BA7F-7A58AB54ABFC}"/>
    <cellStyle name="Vírgula 3 2 3 5 9" xfId="48728" xr:uid="{03BB117F-699F-405A-9A08-89F436484CE8}"/>
    <cellStyle name="Vírgula 3 2 3 6" xfId="1372" xr:uid="{F66B3F17-9974-4677-A8CC-7242E4CCD6B4}"/>
    <cellStyle name="Vírgula 3 2 3 6 10" xfId="53694" xr:uid="{74D33862-0634-4451-8AC5-AB0C6CBE3B26}"/>
    <cellStyle name="Vírgula 3 2 3 6 11" xfId="6372" xr:uid="{EC0092BB-0535-4295-BB2C-431D3DC1088F}"/>
    <cellStyle name="Vírgula 3 2 3 6 2" xfId="3033" xr:uid="{8CA82914-F292-4D0B-8FEB-9021650918C4}"/>
    <cellStyle name="Vírgula 3 2 3 6 2 2" xfId="36998" xr:uid="{E4D5A60A-9B9F-4F3A-94A9-E9089CE1845D}"/>
    <cellStyle name="Vírgula 3 2 3 6 2 3" xfId="52031" xr:uid="{69592A0E-BDF0-47A5-811C-D297136EA04A}"/>
    <cellStyle name="Vírgula 3 2 3 6 2 4" xfId="55325" xr:uid="{5EC54D54-DF64-4C9B-830B-BB580C99C4FC}"/>
    <cellStyle name="Vírgula 3 2 3 6 2 5" xfId="16658" xr:uid="{A549A623-91D6-49CE-877D-C357AF521AC0}"/>
    <cellStyle name="Vírgula 3 2 3 6 3" xfId="20160" xr:uid="{20F6A070-28E9-4B76-99B9-B7410145E602}"/>
    <cellStyle name="Vírgula 3 2 3 6 3 2" xfId="40499" xr:uid="{6221444E-83D0-486D-87C4-B3B39DCF0CEE}"/>
    <cellStyle name="Vírgula 3 2 3 6 3 3" xfId="57243" xr:uid="{BC8505C6-F1A4-4E63-B4ED-E457DBC828C8}"/>
    <cellStyle name="Vírgula 3 2 3 6 4" xfId="23415" xr:uid="{DEF16A6D-49D8-4C89-A5CC-443D9DF6C8A4}"/>
    <cellStyle name="Vírgula 3 2 3 6 4 2" xfId="43750" xr:uid="{A175FF7F-5254-4502-9769-C9068B2195C2}"/>
    <cellStyle name="Vírgula 3 2 3 6 5" xfId="13749" xr:uid="{17C5CCBB-0902-4D62-BBC7-45B9BCFF0DB7}"/>
    <cellStyle name="Vírgula 3 2 3 6 5 2" xfId="34090" xr:uid="{802CEF59-1B17-467E-B15F-17C0D7C4B379}"/>
    <cellStyle name="Vírgula 3 2 3 6 6" xfId="9871" xr:uid="{5D0BFA21-C55F-47DD-A1C9-92223483480D}"/>
    <cellStyle name="Vírgula 3 2 3 6 6 2" xfId="30214" xr:uid="{45879E44-0FE2-400A-91D8-CA10597DCFBC}"/>
    <cellStyle name="Vírgula 3 2 3 6 7" xfId="26720" xr:uid="{2DF8DEF2-8860-4796-8052-73851E16D9D8}"/>
    <cellStyle name="Vírgula 3 2 3 6 8" xfId="48729" xr:uid="{A6582F89-6FF6-4FF4-8F69-60529933E818}"/>
    <cellStyle name="Vírgula 3 2 3 6 9" xfId="50399" xr:uid="{D5839965-70DF-4EB2-885F-927851BB8D47}"/>
    <cellStyle name="Vírgula 3 2 3 7" xfId="559" xr:uid="{41CE5027-C224-440D-9737-6786C1317657}"/>
    <cellStyle name="Vírgula 3 2 3 7 10" xfId="53695" xr:uid="{B4D2045C-0E75-4A4E-880C-18C4FEFB1AA4}"/>
    <cellStyle name="Vírgula 3 2 3 7 11" xfId="7536" xr:uid="{CFDEF0CB-C541-4350-BF40-94F9F13413A0}"/>
    <cellStyle name="Vírgula 3 2 3 7 2" xfId="2275" xr:uid="{E559C3D2-A31F-4135-9EF5-F685C06D6234}"/>
    <cellStyle name="Vírgula 3 2 3 7 2 2" xfId="38161" xr:uid="{D0ACD968-D6DB-4D53-B54C-B26FA3EA734F}"/>
    <cellStyle name="Vírgula 3 2 3 7 2 3" xfId="52032" xr:uid="{3060BCEF-D51D-40A7-9E8C-CB6B1F7C12E3}"/>
    <cellStyle name="Vírgula 3 2 3 7 2 4" xfId="55326" xr:uid="{9F6DBC6D-3F6D-4A9A-9637-E309F0BB05C6}"/>
    <cellStyle name="Vírgula 3 2 3 7 2 5" xfId="17821" xr:uid="{A33FBF81-A2BF-4949-B37F-0FB82C25E5D7}"/>
    <cellStyle name="Vírgula 3 2 3 7 3" xfId="21323" xr:uid="{A343D00E-74B1-431F-AA67-E33410ACCECE}"/>
    <cellStyle name="Vírgula 3 2 3 7 3 2" xfId="41662" xr:uid="{D0A2F18D-D745-488E-8228-FBBB071B2251}"/>
    <cellStyle name="Vírgula 3 2 3 7 3 3" xfId="56430" xr:uid="{1F79ADDB-A74B-40F4-B27E-4960AFED5440}"/>
    <cellStyle name="Vírgula 3 2 3 7 4" xfId="24578" xr:uid="{188FA7D1-9D1E-4FE9-AD34-875C7FFE9A05}"/>
    <cellStyle name="Vírgula 3 2 3 7 4 2" xfId="44913" xr:uid="{89625745-70DD-4CD6-9109-DBB9DA2106BD}"/>
    <cellStyle name="Vírgula 3 2 3 7 5" xfId="14913" xr:uid="{A41BD64B-B339-4ED6-9606-F679BEB75C3A}"/>
    <cellStyle name="Vírgula 3 2 3 7 5 2" xfId="35253" xr:uid="{AC7B4457-BD89-4B15-B7A3-10A08DC9BC4E}"/>
    <cellStyle name="Vírgula 3 2 3 7 6" xfId="11034" xr:uid="{83B1C61A-23DD-483A-888E-4D12E9B1D0CF}"/>
    <cellStyle name="Vírgula 3 2 3 7 6 2" xfId="31377" xr:uid="{97BAB3A5-1898-4EBA-9584-1BE0E6C86387}"/>
    <cellStyle name="Vírgula 3 2 3 7 7" xfId="27883" xr:uid="{487C7C82-AF11-4D2B-9A52-8ACEA409FAE2}"/>
    <cellStyle name="Vírgula 3 2 3 7 8" xfId="48730" xr:uid="{D2042098-A1C5-48CE-B9E8-8B1B0B44C4F5}"/>
    <cellStyle name="Vírgula 3 2 3 7 9" xfId="50400" xr:uid="{EE99C994-19EC-40DC-9893-146BF8B3142F}"/>
    <cellStyle name="Vírgula 3 2 3 8" xfId="3407" xr:uid="{A5DAAC7F-737B-4582-9FA0-C7D461A58F3C}"/>
    <cellStyle name="Vírgula 3 2 3 8 2" xfId="22049" xr:uid="{00F54EB1-B2EC-4799-90DC-211D6DD2BDA2}"/>
    <cellStyle name="Vírgula 3 2 3 8 2 2" xfId="42385" xr:uid="{D44B373E-4E9A-4F27-AED1-71C13D8D63B4}"/>
    <cellStyle name="Vírgula 3 2 3 8 3" xfId="25301" xr:uid="{D8C090B8-7333-4496-B325-B93B32A31A63}"/>
    <cellStyle name="Vírgula 3 2 3 8 3 2" xfId="45636" xr:uid="{7DAAFF0B-CA47-44A0-841A-336904568C69}"/>
    <cellStyle name="Vírgula 3 2 3 8 4" xfId="15500" xr:uid="{9061850B-2FE7-4C52-891F-6BAE75C28CAB}"/>
    <cellStyle name="Vírgula 3 2 3 8 4 2" xfId="35840" xr:uid="{29FE3171-BE22-4CC5-88CA-2100716BAA4E}"/>
    <cellStyle name="Vírgula 3 2 3 8 5" xfId="11758" xr:uid="{12F230E2-C5B6-44D6-84C9-A8CD3DD11EEE}"/>
    <cellStyle name="Vírgula 3 2 3 8 5 2" xfId="32100" xr:uid="{9D4751FE-5528-4223-96C6-2E82016E3821}"/>
    <cellStyle name="Vírgula 3 2 3 8 6" xfId="28606" xr:uid="{2A1864D9-80F0-4373-AEA1-FF2B92D60115}"/>
    <cellStyle name="Vírgula 3 2 3 8 7" xfId="52009" xr:uid="{1A26F031-B411-43A4-82F2-79C7E5FF96FC}"/>
    <cellStyle name="Vírgula 3 2 3 8 8" xfId="55303" xr:uid="{76418BE9-0C9B-4BCA-B4E2-AAFCD9384068}"/>
    <cellStyle name="Vírgula 3 2 3 8 9" xfId="8262" xr:uid="{C073035F-6367-4527-A88C-74535BE08D10}"/>
    <cellStyle name="Vírgula 3 2 3 9" xfId="3846" xr:uid="{A0555E45-A9F5-465F-A9BA-94F629CCB14D}"/>
    <cellStyle name="Vírgula 3 2 3 9 2" xfId="18414" xr:uid="{64D81CB5-F02C-4D45-883E-49E0C3E88271}"/>
    <cellStyle name="Vírgula 3 2 3 9 2 2" xfId="38754" xr:uid="{4B403F44-C257-45D9-8B47-582F0DFC1474}"/>
    <cellStyle name="Vírgula 3 2 3 9 3" xfId="28854" xr:uid="{0543226C-5981-47EA-88FD-2948A179CA13}"/>
    <cellStyle name="Vírgula 3 2 3 9 4" xfId="56021" xr:uid="{4347DD84-F958-48EB-BB4A-8D81021606D2}"/>
    <cellStyle name="Vírgula 3 2 3 9 5" xfId="8511" xr:uid="{55B1F791-2BE2-4909-976C-6BEE4FD4FBA0}"/>
    <cellStyle name="Vírgula 3 2 30" xfId="53609" xr:uid="{D4C3EA72-E73C-4CE2-8967-ACBDACFDBE9B}"/>
    <cellStyle name="Vírgula 3 2 31" xfId="5211" xr:uid="{57099E41-53F7-495E-B88C-878D29BDCAA8}"/>
    <cellStyle name="Vírgula 3 2 32" xfId="4380" xr:uid="{41435580-EB54-47DB-BDF7-320D80439582}"/>
    <cellStyle name="Vírgula 3 2 33" xfId="57605" xr:uid="{2EB9E840-4DE2-4B65-8F4D-9229740AE725}"/>
    <cellStyle name="Vírgula 3 2 4" xfId="177" xr:uid="{268F35A4-E51C-49A5-91A0-4A37C3ECD8DE}"/>
    <cellStyle name="Vírgula 3 2 4 10" xfId="19044" xr:uid="{8A75AA37-83F8-4E81-870C-53CAE1B55D8A}"/>
    <cellStyle name="Vírgula 3 2 4 10 2" xfId="39383" xr:uid="{03EEC4C3-16FF-49EB-973E-58C13440C795}"/>
    <cellStyle name="Vírgula 3 2 4 11" xfId="22299" xr:uid="{D1176025-0B85-4FB5-B494-FC53A17E8634}"/>
    <cellStyle name="Vírgula 3 2 4 11 2" xfId="42634" xr:uid="{9EC7BB2A-A432-4B61-88F7-115B4B3B7111}"/>
    <cellStyle name="Vírgula 3 2 4 12" xfId="12016" xr:uid="{E2BE3CF2-9CDD-4F48-A05F-34E72FB18590}"/>
    <cellStyle name="Vírgula 3 2 4 12 2" xfId="32357" xr:uid="{A9701E2B-F937-4163-A56A-31AE68F52508}"/>
    <cellStyle name="Vírgula 3 2 4 13" xfId="8755" xr:uid="{CFB0B771-0729-4937-AF75-3B1C348E8CDC}"/>
    <cellStyle name="Vírgula 3 2 4 13 2" xfId="29098" xr:uid="{40CFD92E-22B5-477E-B698-BC0446F13458}"/>
    <cellStyle name="Vírgula 3 2 4 14" xfId="25600" xr:uid="{0C8DDFC7-937F-4784-B179-FB9BF6248F84}"/>
    <cellStyle name="Vírgula 3 2 4 15" xfId="45993" xr:uid="{31F054FC-CE26-4A58-BE81-FAA427AE2A3D}"/>
    <cellStyle name="Vírgula 3 2 4 16" xfId="46479" xr:uid="{DBF7D458-32B1-43C9-A846-143A4A6F0EB5}"/>
    <cellStyle name="Vírgula 3 2 4 17" xfId="46971" xr:uid="{B3C5E2D8-F1CA-43C1-9BB2-EF280E884721}"/>
    <cellStyle name="Vírgula 3 2 4 18" xfId="47369" xr:uid="{21032067-1A0F-4163-9F4A-0754BF4F86C0}"/>
    <cellStyle name="Vírgula 3 2 4 19" xfId="47495" xr:uid="{EEECF68F-958B-4D7A-82FA-32A04DE7A259}"/>
    <cellStyle name="Vírgula 3 2 4 2" xfId="366" xr:uid="{1F55EE0B-A9F0-41E3-B3BE-439777D728EC}"/>
    <cellStyle name="Vírgula 3 2 4 2 10" xfId="12131" xr:uid="{2588271E-BB14-4626-B753-AC125C56DB70}"/>
    <cellStyle name="Vírgula 3 2 4 2 10 2" xfId="32472" xr:uid="{5A119CF1-5942-4B52-A2FD-15EC2AE169DD}"/>
    <cellStyle name="Vírgula 3 2 4 2 11" xfId="8870" xr:uid="{75B5A90F-94F8-4C24-B9FF-E49E0BA1382A}"/>
    <cellStyle name="Vírgula 3 2 4 2 11 2" xfId="29213" xr:uid="{EA8E62AF-BDD0-4743-B2CA-B84DE9A09450}"/>
    <cellStyle name="Vírgula 3 2 4 2 12" xfId="25719" xr:uid="{35A79E05-3844-4C34-B6DC-C15245C6CD83}"/>
    <cellStyle name="Vírgula 3 2 4 2 13" xfId="46236" xr:uid="{F3E67638-8982-4AC6-AE6E-365E23319F74}"/>
    <cellStyle name="Vírgula 3 2 4 2 14" xfId="46722" xr:uid="{2F500E19-2242-4489-B9C8-FAD83960B78F}"/>
    <cellStyle name="Vírgula 3 2 4 2 15" xfId="47214" xr:uid="{0B68E4FA-3196-4576-9408-5D9DC2D50BBD}"/>
    <cellStyle name="Vírgula 3 2 4 2 16" xfId="48732" xr:uid="{EF260490-738E-4552-90E6-4FF35F34F719}"/>
    <cellStyle name="Vírgula 3 2 4 2 17" xfId="50402" xr:uid="{60428DDA-4736-4984-93A4-7DB59A2DF2D6}"/>
    <cellStyle name="Vírgula 3 2 4 2 18" xfId="53697" xr:uid="{5B2638DB-6221-4BBE-875A-1B7B45C1427B}"/>
    <cellStyle name="Vírgula 3 2 4 2 19" xfId="5388" xr:uid="{1DE5A17A-A1AE-494C-9C1E-7820938862D4}"/>
    <cellStyle name="Vírgula 3 2 4 2 2" xfId="1182" xr:uid="{AFDD65DA-20B6-4058-B88B-AE422517EFF6}"/>
    <cellStyle name="Vírgula 3 2 4 2 2 10" xfId="50403" xr:uid="{D9EA310A-2ACC-4B17-B48F-1D8B8E6FE62D}"/>
    <cellStyle name="Vírgula 3 2 4 2 2 11" xfId="53698" xr:uid="{8463CB38-C739-4DD8-825E-62E5D3DD0B23}"/>
    <cellStyle name="Vírgula 3 2 4 2 2 12" xfId="5952" xr:uid="{21DC1032-739B-4099-A362-218958E7C41E}"/>
    <cellStyle name="Vírgula 3 2 4 2 2 13" xfId="5111" xr:uid="{C6A673EF-A9C3-4B3E-9BF4-5707C2FDA08D}"/>
    <cellStyle name="Vírgula 3 2 4 2 2 2" xfId="2843" xr:uid="{9555849B-7DA3-404F-ABEC-8A9D3253DE9B}"/>
    <cellStyle name="Vírgula 3 2 4 2 2 2 10" xfId="7110" xr:uid="{4954A606-F4D6-442A-B91E-5E9E07383484}"/>
    <cellStyle name="Vírgula 3 2 4 2 2 2 2" xfId="17396" xr:uid="{1F1CE71C-1A1B-4610-9706-B5EB723FAF18}"/>
    <cellStyle name="Vírgula 3 2 4 2 2 2 2 2" xfId="37736" xr:uid="{A8C8A75C-D90D-45E9-8866-413D11020538}"/>
    <cellStyle name="Vírgula 3 2 4 2 2 2 3" xfId="20898" xr:uid="{ED9FCD03-8D34-4FEB-A102-37B39C65BC88}"/>
    <cellStyle name="Vírgula 3 2 4 2 2 2 3 2" xfId="41237" xr:uid="{F159D19C-8751-46AA-A1B8-47A25675A0C0}"/>
    <cellStyle name="Vírgula 3 2 4 2 2 2 4" xfId="24153" xr:uid="{0809621C-6AE3-4B4E-A9B1-6FACF5CF5730}"/>
    <cellStyle name="Vírgula 3 2 4 2 2 2 4 2" xfId="44488" xr:uid="{5FC99131-4BD2-43F0-9FE4-DD1F195D136C}"/>
    <cellStyle name="Vírgula 3 2 4 2 2 2 5" xfId="14487" xr:uid="{F0D8245B-D81A-4577-847E-598E0AB3B937}"/>
    <cellStyle name="Vírgula 3 2 4 2 2 2 5 2" xfId="34828" xr:uid="{CE6AD126-C2E0-4B8E-A8C1-260B43B53DDC}"/>
    <cellStyle name="Vírgula 3 2 4 2 2 2 6" xfId="10609" xr:uid="{C70D4703-C1B0-4B19-9FDB-B0FC142C8E72}"/>
    <cellStyle name="Vírgula 3 2 4 2 2 2 6 2" xfId="30952" xr:uid="{4E852C52-2B50-4C2D-AF2F-42964EECFDF6}"/>
    <cellStyle name="Vírgula 3 2 4 2 2 2 7" xfId="27458" xr:uid="{468C693D-1FBE-4A3A-A087-D2924AF12AC8}"/>
    <cellStyle name="Vírgula 3 2 4 2 2 2 8" xfId="52035" xr:uid="{7BF68B9F-2B47-44FE-BA55-317E6B1B2807}"/>
    <cellStyle name="Vírgula 3 2 4 2 2 2 9" xfId="55329" xr:uid="{F8E4291F-29F8-430B-A128-7A6416625A73}"/>
    <cellStyle name="Vírgula 3 2 4 2 2 3" xfId="16238" xr:uid="{89049D0A-E947-4458-98BF-76CB06F4F82A}"/>
    <cellStyle name="Vírgula 3 2 4 2 2 3 2" xfId="36578" xr:uid="{52829DB8-7297-4621-B23C-D8E8C7B6ED43}"/>
    <cellStyle name="Vírgula 3 2 4 2 2 3 3" xfId="57053" xr:uid="{33F1170E-A45A-4708-8EE5-392022C6AE98}"/>
    <cellStyle name="Vírgula 3 2 4 2 2 4" xfId="19740" xr:uid="{0EC88760-2811-49A7-9058-F24596974C37}"/>
    <cellStyle name="Vírgula 3 2 4 2 2 4 2" xfId="40079" xr:uid="{89752AE8-4E4B-4145-88D3-B61BE2BA2921}"/>
    <cellStyle name="Vírgula 3 2 4 2 2 5" xfId="22995" xr:uid="{B663D095-BF0A-4B76-9FB2-F99A04B501E3}"/>
    <cellStyle name="Vírgula 3 2 4 2 2 5 2" xfId="43330" xr:uid="{6650CB53-8EB4-4E87-B2F3-FA43CD5D9280}"/>
    <cellStyle name="Vírgula 3 2 4 2 2 6" xfId="13329" xr:uid="{A2819F36-5290-47AF-AB76-CD9888A0AE0B}"/>
    <cellStyle name="Vírgula 3 2 4 2 2 6 2" xfId="33670" xr:uid="{86000CF9-512D-4DC6-A9C5-C23CFAF87C26}"/>
    <cellStyle name="Vírgula 3 2 4 2 2 7" xfId="9451" xr:uid="{FC5A25B2-F309-4229-B5AC-501AEF6B33B5}"/>
    <cellStyle name="Vírgula 3 2 4 2 2 7 2" xfId="29794" xr:uid="{FE2FC16F-46C4-4705-8704-3DFEF716BCA4}"/>
    <cellStyle name="Vírgula 3 2 4 2 2 8" xfId="26300" xr:uid="{B8CD885D-64ED-4718-A8B7-B03D9878EFBC}"/>
    <cellStyle name="Vírgula 3 2 4 2 2 9" xfId="48733" xr:uid="{2528FA10-0BA7-48AA-8F4C-7759A2639464}"/>
    <cellStyle name="Vírgula 3 2 4 2 20" xfId="4647" xr:uid="{0796898D-76E0-4821-9C19-8E7EB0B9FC2D}"/>
    <cellStyle name="Vírgula 3 2 4 2 3" xfId="1588" xr:uid="{FCDB3AAE-AA3E-488F-848A-FC9E8EC4F015}"/>
    <cellStyle name="Vírgula 3 2 4 2 3 10" xfId="53699" xr:uid="{CE9C96CC-EAA6-46AD-9207-4A49EFC505C6}"/>
    <cellStyle name="Vírgula 3 2 4 2 3 11" xfId="6529" xr:uid="{BB2AA6A7-E783-43B5-972C-D0B37D1E08DC}"/>
    <cellStyle name="Vírgula 3 2 4 2 3 2" xfId="3248" xr:uid="{F6BBB083-80DC-406C-B9FE-2A160DA8F841}"/>
    <cellStyle name="Vírgula 3 2 4 2 3 2 2" xfId="37155" xr:uid="{28BBA755-A5B9-401B-B53C-18E08F348015}"/>
    <cellStyle name="Vírgula 3 2 4 2 3 2 3" xfId="52036" xr:uid="{F77A80F1-9C88-41B3-9EC8-FEFE6C99D9FF}"/>
    <cellStyle name="Vírgula 3 2 4 2 3 2 4" xfId="55330" xr:uid="{C01A3D91-47C9-4BAF-998A-5FEC7B9744FF}"/>
    <cellStyle name="Vírgula 3 2 4 2 3 2 5" xfId="16815" xr:uid="{76A9A164-696C-499B-BABF-3DB60AEC7A20}"/>
    <cellStyle name="Vírgula 3 2 4 2 3 3" xfId="20317" xr:uid="{1BCD28FA-9F3B-4314-99EB-A306E00EC8DF}"/>
    <cellStyle name="Vírgula 3 2 4 2 3 3 2" xfId="40656" xr:uid="{B51ABD49-D26F-4330-874E-64A0A5ADAE31}"/>
    <cellStyle name="Vírgula 3 2 4 2 3 3 3" xfId="57459" xr:uid="{82007636-7B3B-44D5-87A9-5303C0ACEC1C}"/>
    <cellStyle name="Vírgula 3 2 4 2 3 4" xfId="23572" xr:uid="{E5989448-320F-4C61-91C3-66C1C1088178}"/>
    <cellStyle name="Vírgula 3 2 4 2 3 4 2" xfId="43907" xr:uid="{8DF0560E-4B05-4CCD-9174-4F603F7E28A6}"/>
    <cellStyle name="Vírgula 3 2 4 2 3 5" xfId="13906" xr:uid="{5451A1D0-1D6B-4B60-AD52-99DF16FEC09C}"/>
    <cellStyle name="Vírgula 3 2 4 2 3 5 2" xfId="34247" xr:uid="{DF83243B-3B76-41AA-89C6-A674FC661195}"/>
    <cellStyle name="Vírgula 3 2 4 2 3 6" xfId="10028" xr:uid="{31C81336-0E67-439E-B4C4-6BC7A7B575B2}"/>
    <cellStyle name="Vírgula 3 2 4 2 3 6 2" xfId="30371" xr:uid="{C3F4DFB1-9124-4BFC-AE7E-DD8934B5DFBB}"/>
    <cellStyle name="Vírgula 3 2 4 2 3 7" xfId="26877" xr:uid="{F1D18D8D-3363-426B-AA95-5422618629E1}"/>
    <cellStyle name="Vírgula 3 2 4 2 3 8" xfId="48734" xr:uid="{F7FBBBD1-B31E-4425-8F0F-03705FFE2F15}"/>
    <cellStyle name="Vírgula 3 2 4 2 3 9" xfId="50404" xr:uid="{C5C5F394-57FC-4639-9B1C-7EDC9EA165F1}"/>
    <cellStyle name="Vírgula 3 2 4 2 4" xfId="775" xr:uid="{AFF048E9-0AFD-496C-A2F7-8541C8068E1F}"/>
    <cellStyle name="Vírgula 3 2 4 2 4 10" xfId="53700" xr:uid="{EB7CEED1-08DE-4506-B8B7-9A4D8E973EFA}"/>
    <cellStyle name="Vírgula 3 2 4 2 4 11" xfId="7693" xr:uid="{96405A7F-F262-4FCA-9056-0078BE677007}"/>
    <cellStyle name="Vírgula 3 2 4 2 4 2" xfId="2491" xr:uid="{54272D3A-122B-46BD-920C-6A0D4C9D7340}"/>
    <cellStyle name="Vírgula 3 2 4 2 4 2 2" xfId="38318" xr:uid="{F06F604E-0BE5-444E-A86F-741707726DF0}"/>
    <cellStyle name="Vírgula 3 2 4 2 4 2 3" xfId="52037" xr:uid="{A1B3F964-3FAE-4F3D-AE7C-D381A8CDB8F1}"/>
    <cellStyle name="Vírgula 3 2 4 2 4 2 4" xfId="55331" xr:uid="{BD383A57-9C80-4C85-AC9A-E6DFAF0EF7EE}"/>
    <cellStyle name="Vírgula 3 2 4 2 4 2 5" xfId="17978" xr:uid="{E43DE6C7-1791-4BAA-8393-57F6FD0BB431}"/>
    <cellStyle name="Vírgula 3 2 4 2 4 3" xfId="21480" xr:uid="{4A7E6624-ED4E-4E3D-A1FA-4ED953C9992E}"/>
    <cellStyle name="Vírgula 3 2 4 2 4 3 2" xfId="41819" xr:uid="{5477B19C-F549-43A9-8B11-CC85DACC5426}"/>
    <cellStyle name="Vírgula 3 2 4 2 4 3 3" xfId="56646" xr:uid="{B0FEEA5B-AA55-490D-B493-361E2E7C62AE}"/>
    <cellStyle name="Vírgula 3 2 4 2 4 4" xfId="24735" xr:uid="{0CFB97A8-F98C-4F20-BD33-FC3BFBB5ED1F}"/>
    <cellStyle name="Vírgula 3 2 4 2 4 4 2" xfId="45070" xr:uid="{288E0D03-1BE2-4F15-B6C9-C397C5A8B3FB}"/>
    <cellStyle name="Vírgula 3 2 4 2 4 5" xfId="15070" xr:uid="{E632663A-3449-4D31-B9F4-F57659184FC1}"/>
    <cellStyle name="Vírgula 3 2 4 2 4 5 2" xfId="35410" xr:uid="{56F1A781-493E-4813-B9A2-D0F623F57FA9}"/>
    <cellStyle name="Vírgula 3 2 4 2 4 6" xfId="11191" xr:uid="{3291C9E8-F36D-4C4C-B821-37251D1F88D2}"/>
    <cellStyle name="Vírgula 3 2 4 2 4 6 2" xfId="31534" xr:uid="{17E02C1D-8A96-49CC-8915-C79020FEF812}"/>
    <cellStyle name="Vírgula 3 2 4 2 4 7" xfId="28040" xr:uid="{98B2080D-B22C-4C1E-9B34-2489506CD14E}"/>
    <cellStyle name="Vírgula 3 2 4 2 4 8" xfId="48735" xr:uid="{5A191848-9BD8-42DC-B422-2B8BF9A0F537}"/>
    <cellStyle name="Vírgula 3 2 4 2 4 9" xfId="50405" xr:uid="{7D95BFD2-BCDF-449F-BA2F-8710023052CB}"/>
    <cellStyle name="Vírgula 3 2 4 2 5" xfId="3655" xr:uid="{EA2D7EDA-8686-4AC0-B92F-58A9492CBF6E}"/>
    <cellStyle name="Vírgula 3 2 4 2 5 2" xfId="33101" xr:uid="{78023419-C298-4FBA-9009-BE85226072A6}"/>
    <cellStyle name="Vírgula 3 2 4 2 5 3" xfId="52034" xr:uid="{66D365FB-CBA4-4D1B-8429-CEFB656566EA}"/>
    <cellStyle name="Vírgula 3 2 4 2 5 4" xfId="55328" xr:uid="{06B5C894-EF0A-44E3-AB06-8E5228009A6A}"/>
    <cellStyle name="Vírgula 3 2 4 2 5 5" xfId="12760" xr:uid="{C588CED4-91FF-415D-9910-D676C93AD30A}"/>
    <cellStyle name="Vírgula 3 2 4 2 6" xfId="4057" xr:uid="{60F04437-50EE-4869-8362-14B708087C18}"/>
    <cellStyle name="Vírgula 3 2 4 2 6 2" xfId="35997" xr:uid="{9E1D8B51-A638-4B64-A7A1-A9916E0D16C4}"/>
    <cellStyle name="Vírgula 3 2 4 2 6 3" xfId="56237" xr:uid="{8DA8B8E8-0F25-46D1-89E3-55CCF157F94A}"/>
    <cellStyle name="Vírgula 3 2 4 2 6 4" xfId="15657" xr:uid="{E499472E-2FA4-4CC9-B078-9344B90262E3}"/>
    <cellStyle name="Vírgula 3 2 4 2 7" xfId="2004" xr:uid="{DC3B57F4-64A4-4470-B121-7278C92D0A5C}"/>
    <cellStyle name="Vírgula 3 2 4 2 7 2" xfId="38911" xr:uid="{85BC6519-6364-477E-B5A7-A7DBB103D3F2}"/>
    <cellStyle name="Vírgula 3 2 4 2 7 3" xfId="18571" xr:uid="{3F17910D-F601-48A3-AD4B-48FF1E3A3EA1}"/>
    <cellStyle name="Vírgula 3 2 4 2 8" xfId="19159" xr:uid="{A01300E0-AFF7-4CB0-A201-07882DCAB008}"/>
    <cellStyle name="Vírgula 3 2 4 2 8 2" xfId="39498" xr:uid="{80D31E16-3315-4D1F-93E6-A052EAF3E951}"/>
    <cellStyle name="Vírgula 3 2 4 2 9" xfId="22414" xr:uid="{6C0CFB24-C7D4-42E0-9296-3EDCBE484EC6}"/>
    <cellStyle name="Vírgula 3 2 4 2 9 2" xfId="42749" xr:uid="{BD9CF594-F94B-49B2-ADED-B5CFF12D5C42}"/>
    <cellStyle name="Vírgula 3 2 4 20" xfId="47621" xr:uid="{8D7B626D-711D-4FBB-9D08-49F9B46B1AA6}"/>
    <cellStyle name="Vírgula 3 2 4 21" xfId="48731" xr:uid="{2E787736-9F03-4770-85B9-6BB07A36B486}"/>
    <cellStyle name="Vírgula 3 2 4 22" xfId="50401" xr:uid="{E125DCE2-855A-49B8-B4BB-BB715EBCB444}"/>
    <cellStyle name="Vírgula 3 2 4 23" xfId="53696" xr:uid="{190C0EEA-E792-4456-96F2-414E2FF99620}"/>
    <cellStyle name="Vírgula 3 2 4 24" xfId="5269" xr:uid="{17CD3B90-7722-4309-A4DA-C5D89023AC6F}"/>
    <cellStyle name="Vírgula 3 2 4 25" xfId="4458" xr:uid="{8EAD6FCA-D8CD-4078-BCF7-FD9AE23BD3CE}"/>
    <cellStyle name="Vírgula 3 2 4 3" xfId="993" xr:uid="{D330C06D-D470-4B79-B5B4-9F6F3EEA4009}"/>
    <cellStyle name="Vírgula 3 2 4 3 10" xfId="12360" xr:uid="{400F165C-2E25-4EA9-9818-E17F1A282742}"/>
    <cellStyle name="Vírgula 3 2 4 3 10 2" xfId="32701" xr:uid="{74C0FF65-5BFA-4156-9B46-C2A4C12E432E}"/>
    <cellStyle name="Vírgula 3 2 4 3 11" xfId="9099" xr:uid="{2BF7F9EC-9CD3-487D-9420-03B3F8C12EDA}"/>
    <cellStyle name="Vírgula 3 2 4 3 11 2" xfId="29442" xr:uid="{CAF5C6F0-1ACA-4CE4-8452-C60D3508F00A}"/>
    <cellStyle name="Vírgula 3 2 4 3 12" xfId="25948" xr:uid="{FD0581BB-77FD-4B83-934D-9B469483003B}"/>
    <cellStyle name="Vírgula 3 2 4 3 13" xfId="48736" xr:uid="{6D5BE57E-18E9-45AF-90C5-8FBD6DCF6258}"/>
    <cellStyle name="Vírgula 3 2 4 3 14" xfId="50406" xr:uid="{75D7205B-EF02-4EB5-84F4-A68BEE9569CF}"/>
    <cellStyle name="Vírgula 3 2 4 3 15" xfId="53701" xr:uid="{4AE642FA-5313-4E18-BC05-FE11AB70CF0F}"/>
    <cellStyle name="Vírgula 3 2 4 3 16" xfId="5609" xr:uid="{6B0452D0-B1EB-4AC3-9412-ADA17703D95D}"/>
    <cellStyle name="Vírgula 3 2 4 3 17" xfId="4892" xr:uid="{6FB285D2-91C2-4F0E-A13C-14499BA093E6}"/>
    <cellStyle name="Vírgula 3 2 4 3 2" xfId="3546" xr:uid="{CA2AFBD6-4CBC-453D-9161-305A61E25D67}"/>
    <cellStyle name="Vírgula 3 2 4 3 2 10" xfId="55332" xr:uid="{672343B2-6D22-4C1B-B4B8-34DE3C7507A0}"/>
    <cellStyle name="Vírgula 3 2 4 3 2 11" xfId="6181" xr:uid="{D3871EC7-A819-4545-A8C9-CE0A2CF5F792}"/>
    <cellStyle name="Vírgula 3 2 4 3 2 2" xfId="7339" xr:uid="{FC65F2ED-67E8-4827-9856-8FE3FECCC943}"/>
    <cellStyle name="Vírgula 3 2 4 3 2 2 2" xfId="17625" xr:uid="{4DA8238E-9884-450E-B911-0BB0D1B5BCC1}"/>
    <cellStyle name="Vírgula 3 2 4 3 2 2 2 2" xfId="37965" xr:uid="{D82F4613-D418-408A-9FBD-803CEB795D25}"/>
    <cellStyle name="Vírgula 3 2 4 3 2 2 3" xfId="21127" xr:uid="{32FCB624-A09A-40BA-BF16-48F82E2BC8E6}"/>
    <cellStyle name="Vírgula 3 2 4 3 2 2 3 2" xfId="41466" xr:uid="{9047EBE9-0F48-443C-ACEA-8316565CA056}"/>
    <cellStyle name="Vírgula 3 2 4 3 2 2 4" xfId="24382" xr:uid="{DDB0396F-07CE-4BBA-8037-999080C43923}"/>
    <cellStyle name="Vírgula 3 2 4 3 2 2 4 2" xfId="44717" xr:uid="{D14BE7CA-B6C6-41E7-9197-F79A6575643D}"/>
    <cellStyle name="Vírgula 3 2 4 3 2 2 5" xfId="14716" xr:uid="{E0C42100-5277-49B6-9DAB-7C15F02BF7F3}"/>
    <cellStyle name="Vírgula 3 2 4 3 2 2 5 2" xfId="35057" xr:uid="{1ADF8423-7B33-49C0-AFBE-44D7A3A6A386}"/>
    <cellStyle name="Vírgula 3 2 4 3 2 2 6" xfId="10838" xr:uid="{055A68D4-0661-41EC-994F-9DCD3736B278}"/>
    <cellStyle name="Vírgula 3 2 4 3 2 2 6 2" xfId="31181" xr:uid="{D6D29D2E-9F48-4E92-BA6C-561086E1F7BF}"/>
    <cellStyle name="Vírgula 3 2 4 3 2 2 7" xfId="27687" xr:uid="{63835BF0-EDBF-4A07-BE5E-8BE60AEE1F51}"/>
    <cellStyle name="Vírgula 3 2 4 3 2 3" xfId="16467" xr:uid="{7F3D134C-E0C3-4087-99A8-5243DB0501E7}"/>
    <cellStyle name="Vírgula 3 2 4 3 2 3 2" xfId="36807" xr:uid="{29B3FE78-4A68-47C3-8A1B-976150A79F3E}"/>
    <cellStyle name="Vírgula 3 2 4 3 2 4" xfId="19969" xr:uid="{F04A0DD2-6753-487C-BEE4-113D61C7601D}"/>
    <cellStyle name="Vírgula 3 2 4 3 2 4 2" xfId="40308" xr:uid="{9D4C4A4E-7364-4D65-AD8F-05C964753841}"/>
    <cellStyle name="Vírgula 3 2 4 3 2 5" xfId="23224" xr:uid="{CCB260CB-262F-4C21-BA3D-811F3EFACA90}"/>
    <cellStyle name="Vírgula 3 2 4 3 2 5 2" xfId="43559" xr:uid="{AE700829-35B7-4905-9E95-35049E450837}"/>
    <cellStyle name="Vírgula 3 2 4 3 2 6" xfId="13558" xr:uid="{5F88CBCC-0CF9-41B1-AA02-D09DDBF691EE}"/>
    <cellStyle name="Vírgula 3 2 4 3 2 6 2" xfId="33899" xr:uid="{219B9353-FD36-414F-92E8-C97E6AE7B5D5}"/>
    <cellStyle name="Vírgula 3 2 4 3 2 7" xfId="9680" xr:uid="{E443B378-49F5-4CC2-A5F5-D63ED10EEE54}"/>
    <cellStyle name="Vírgula 3 2 4 3 2 7 2" xfId="30023" xr:uid="{4D985930-71FF-4620-9775-5191444D5940}"/>
    <cellStyle name="Vírgula 3 2 4 3 2 8" xfId="26529" xr:uid="{DA9CF395-FDED-483E-917D-65DAA04462F8}"/>
    <cellStyle name="Vírgula 3 2 4 3 2 9" xfId="52038" xr:uid="{33EBB135-DAB8-44C1-B775-030D08FBB826}"/>
    <cellStyle name="Vírgula 3 2 4 3 3" xfId="4229" xr:uid="{20FC2D4A-FFC4-4108-B4EA-73074B6B24F5}"/>
    <cellStyle name="Vírgula 3 2 4 3 3 2" xfId="17044" xr:uid="{90E665E7-F7A1-4980-93A6-47FFEED0A244}"/>
    <cellStyle name="Vírgula 3 2 4 3 3 2 2" xfId="37384" xr:uid="{8145350E-8875-43BB-AD4B-FBBABFC2F1BA}"/>
    <cellStyle name="Vírgula 3 2 4 3 3 3" xfId="20546" xr:uid="{C957444C-8C35-4C01-A802-4F7EC9397AFA}"/>
    <cellStyle name="Vírgula 3 2 4 3 3 3 2" xfId="40885" xr:uid="{F26E4AAD-FD0C-453B-A26F-163DC499C49C}"/>
    <cellStyle name="Vírgula 3 2 4 3 3 4" xfId="23801" xr:uid="{83FA5126-85E3-4AB9-9504-6449232C4E43}"/>
    <cellStyle name="Vírgula 3 2 4 3 3 4 2" xfId="44136" xr:uid="{02F32A5C-D765-47CD-8A0D-BECA07FAE1D6}"/>
    <cellStyle name="Vírgula 3 2 4 3 3 5" xfId="14135" xr:uid="{3BBE78DB-31E0-46E7-96BA-A36A80EE00FD}"/>
    <cellStyle name="Vírgula 3 2 4 3 3 5 2" xfId="34476" xr:uid="{7EE6194A-4588-4F88-9F67-0B2717686EEA}"/>
    <cellStyle name="Vírgula 3 2 4 3 3 6" xfId="10257" xr:uid="{D774ACAD-322A-44C2-BE90-576D1B7DB6DA}"/>
    <cellStyle name="Vírgula 3 2 4 3 3 6 2" xfId="30600" xr:uid="{DDE5DA7B-FAB6-4713-A5CB-245658C38ACB}"/>
    <cellStyle name="Vírgula 3 2 4 3 3 7" xfId="27106" xr:uid="{9B487BD6-FF04-401E-958F-9BB9F62A60A6}"/>
    <cellStyle name="Vírgula 3 2 4 3 3 8" xfId="56864" xr:uid="{4D90713A-4D63-422D-A456-E9989AF39911}"/>
    <cellStyle name="Vírgula 3 2 4 3 3 9" xfId="6758" xr:uid="{FAC7D23B-34DE-46CD-A9AD-D0AA556F30D0}"/>
    <cellStyle name="Vírgula 3 2 4 3 4" xfId="1895" xr:uid="{9125E06F-51DB-4F3E-A8F5-13C1E360D163}"/>
    <cellStyle name="Vírgula 3 2 4 3 4 2" xfId="18207" xr:uid="{849E525D-B90B-42E1-A26D-6C835A9C3176}"/>
    <cellStyle name="Vírgula 3 2 4 3 4 2 2" xfId="38547" xr:uid="{70B563A9-D93A-4747-8354-DD2A3CEAAB27}"/>
    <cellStyle name="Vírgula 3 2 4 3 4 3" xfId="21709" xr:uid="{7529CCE0-D2FF-474F-B356-8BEBFD539689}"/>
    <cellStyle name="Vírgula 3 2 4 3 4 3 2" xfId="42048" xr:uid="{754CED16-FC8D-4832-AF29-8C95EC739D4A}"/>
    <cellStyle name="Vírgula 3 2 4 3 4 4" xfId="24964" xr:uid="{CD24AB6E-D352-448B-943B-CE1E7B04D218}"/>
    <cellStyle name="Vírgula 3 2 4 3 4 4 2" xfId="45299" xr:uid="{EAB3F8F3-B7E2-40CE-9DF8-907232D2D067}"/>
    <cellStyle name="Vírgula 3 2 4 3 4 5" xfId="15299" xr:uid="{FF0BF32F-296F-456D-A806-F8DF6C8E91CD}"/>
    <cellStyle name="Vírgula 3 2 4 3 4 5 2" xfId="35639" xr:uid="{28CD6688-6F0F-4F66-BFD0-FF894B1EEC7C}"/>
    <cellStyle name="Vírgula 3 2 4 3 4 6" xfId="11420" xr:uid="{0EEB53B3-786C-4965-AF24-8727ADBF2A07}"/>
    <cellStyle name="Vírgula 3 2 4 3 4 6 2" xfId="31763" xr:uid="{6CC9BD1E-7DD1-4172-B46F-6C6BF84B8E24}"/>
    <cellStyle name="Vírgula 3 2 4 3 4 7" xfId="28269" xr:uid="{ADEED808-217E-4DA6-880E-6A0CC0AAD3B8}"/>
    <cellStyle name="Vírgula 3 2 4 3 4 8" xfId="7922" xr:uid="{AB402A88-2F51-4A95-ADEB-319390980790}"/>
    <cellStyle name="Vírgula 3 2 4 3 5" xfId="12989" xr:uid="{DF7BF890-6D7F-4524-9475-069F6C81F24D}"/>
    <cellStyle name="Vírgula 3 2 4 3 5 2" xfId="33330" xr:uid="{D787824D-00FD-440A-86D8-BDDFF10F7CEB}"/>
    <cellStyle name="Vírgula 3 2 4 3 6" xfId="15886" xr:uid="{56B5703B-EAC1-4F15-87B0-8757FC9D3063}"/>
    <cellStyle name="Vírgula 3 2 4 3 6 2" xfId="36226" xr:uid="{1738809D-CF50-4052-B57C-B305132D1B74}"/>
    <cellStyle name="Vírgula 3 2 4 3 7" xfId="18800" xr:uid="{D22E59B7-1C6E-4CE7-B14B-9A98D51EC9AE}"/>
    <cellStyle name="Vírgula 3 2 4 3 7 2" xfId="39140" xr:uid="{BBC9D083-7C09-4908-8D81-A4A91562CE49}"/>
    <cellStyle name="Vírgula 3 2 4 3 8" xfId="19388" xr:uid="{88CEA2B8-AE45-42E9-81D4-FDB50126C13E}"/>
    <cellStyle name="Vírgula 3 2 4 3 8 2" xfId="39727" xr:uid="{192B4D95-8D96-4A5C-B1C7-F7BE77C040A2}"/>
    <cellStyle name="Vírgula 3 2 4 3 9" xfId="22643" xr:uid="{02E9DAFB-5159-4070-A817-1781BBC78E14}"/>
    <cellStyle name="Vírgula 3 2 4 3 9 2" xfId="42978" xr:uid="{4F6A61D7-A47D-4654-B7FF-B04A69DE565D}"/>
    <cellStyle name="Vírgula 3 2 4 4" xfId="1399" xr:uid="{5428F63C-2E3B-4ED0-ADD3-10DE0548EFC2}"/>
    <cellStyle name="Vírgula 3 2 4 4 10" xfId="50407" xr:uid="{03254AD2-D873-4C03-B267-03DCA850FD67}"/>
    <cellStyle name="Vírgula 3 2 4 4 11" xfId="53702" xr:uid="{54F452C7-5BFE-47D7-B032-71C08208F5E2}"/>
    <cellStyle name="Vírgula 3 2 4 4 12" xfId="5837" xr:uid="{97FB3720-CD9D-4CF1-80AB-3BE4B3DEB43C}"/>
    <cellStyle name="Vírgula 3 2 4 4 2" xfId="3764" xr:uid="{15C87D4D-C0ED-455D-886E-AD53C649FA86}"/>
    <cellStyle name="Vírgula 3 2 4 4 2 10" xfId="6995" xr:uid="{7D7BDAAC-5729-40C0-8388-BBB5E1EA2912}"/>
    <cellStyle name="Vírgula 3 2 4 4 2 2" xfId="17281" xr:uid="{F906809F-1E46-4C43-8664-A0E6A65432B8}"/>
    <cellStyle name="Vírgula 3 2 4 4 2 2 2" xfId="37621" xr:uid="{DF27CCA6-81DF-4532-A1CC-1244A042EDCE}"/>
    <cellStyle name="Vírgula 3 2 4 4 2 3" xfId="20783" xr:uid="{3E1A7E95-C6E6-462B-83FD-A9550DB45D67}"/>
    <cellStyle name="Vírgula 3 2 4 4 2 3 2" xfId="41122" xr:uid="{241CF018-B7B2-41F0-97A7-9AF58247378D}"/>
    <cellStyle name="Vírgula 3 2 4 4 2 4" xfId="24038" xr:uid="{D4873F3A-E86F-441C-B322-5BA933EFD5B5}"/>
    <cellStyle name="Vírgula 3 2 4 4 2 4 2" xfId="44373" xr:uid="{40E4399E-B0FA-472B-8F12-B1086AE179E1}"/>
    <cellStyle name="Vírgula 3 2 4 4 2 5" xfId="14372" xr:uid="{8104A055-D2EF-4C10-8A29-2C45BE2E0FDC}"/>
    <cellStyle name="Vírgula 3 2 4 4 2 5 2" xfId="34713" xr:uid="{733CD122-3C7C-4E5F-B894-97BDECBC25FD}"/>
    <cellStyle name="Vírgula 3 2 4 4 2 6" xfId="10494" xr:uid="{9C6F7AA8-58CF-49DB-A2E1-20E88FE492DE}"/>
    <cellStyle name="Vírgula 3 2 4 4 2 6 2" xfId="30837" xr:uid="{138054D1-2288-4043-A73E-517F989B26D1}"/>
    <cellStyle name="Vírgula 3 2 4 4 2 7" xfId="27343" xr:uid="{6DD3AB3E-069D-4841-8079-AA5E8E981AE3}"/>
    <cellStyle name="Vírgula 3 2 4 4 2 8" xfId="52039" xr:uid="{AC6701E9-46BA-491D-980B-C4500E4AD668}"/>
    <cellStyle name="Vírgula 3 2 4 4 2 9" xfId="55333" xr:uid="{B60A0E11-E77D-43B5-B509-FA31984382B8}"/>
    <cellStyle name="Vírgula 3 2 4 4 3" xfId="3060" xr:uid="{0B3BE855-D296-4357-A1E0-F63FE63D941D}"/>
    <cellStyle name="Vírgula 3 2 4 4 3 2" xfId="36463" xr:uid="{E1A41675-1F09-4608-A10C-CB9BAA9BB222}"/>
    <cellStyle name="Vírgula 3 2 4 4 3 3" xfId="57270" xr:uid="{B57C5C4E-94F5-44BB-B382-C5E265E63AF7}"/>
    <cellStyle name="Vírgula 3 2 4 4 3 4" xfId="16123" xr:uid="{127EBD32-A7B3-434B-ADC5-5E13743340FA}"/>
    <cellStyle name="Vírgula 3 2 4 4 4" xfId="19625" xr:uid="{C37922E5-E22D-4CA8-B275-CDD553427534}"/>
    <cellStyle name="Vírgula 3 2 4 4 4 2" xfId="39964" xr:uid="{3B3DA0D3-C5EC-4EBE-869C-E29BBE8606AF}"/>
    <cellStyle name="Vírgula 3 2 4 4 5" xfId="22880" xr:uid="{256ADB45-EFAE-46A7-9069-A21FEB151A4E}"/>
    <cellStyle name="Vírgula 3 2 4 4 5 2" xfId="43215" xr:uid="{6D4944AB-1755-4DFA-B98E-37CC86021310}"/>
    <cellStyle name="Vírgula 3 2 4 4 6" xfId="13216" xr:uid="{DA98B3EA-2479-4EA0-A68E-6F5028F47B85}"/>
    <cellStyle name="Vírgula 3 2 4 4 6 2" xfId="33557" xr:uid="{6980F1E6-47A6-45BE-9B09-271D4B60A318}"/>
    <cellStyle name="Vírgula 3 2 4 4 7" xfId="9336" xr:uid="{E7B0EBBF-E998-4B2C-A32C-BD8DC88360B3}"/>
    <cellStyle name="Vírgula 3 2 4 4 7 2" xfId="29679" xr:uid="{D8D78D98-DEF3-4561-B457-B9079B5D8730}"/>
    <cellStyle name="Vírgula 3 2 4 4 8" xfId="26185" xr:uid="{E92C6358-73E1-4B76-8CDF-F22C9EC81CFF}"/>
    <cellStyle name="Vírgula 3 2 4 4 9" xfId="48737" xr:uid="{F2EA5235-0AE7-43AC-9CC2-2A6744BBB611}"/>
    <cellStyle name="Vírgula 3 2 4 5" xfId="586" xr:uid="{3DEA3C0F-846D-4376-9AA5-C21428BEC5F1}"/>
    <cellStyle name="Vírgula 3 2 4 5 10" xfId="53703" xr:uid="{7FA4C14D-D47B-4D78-BEF2-3FF30C6490B5}"/>
    <cellStyle name="Vírgula 3 2 4 5 11" xfId="6414" xr:uid="{027C80DD-10A2-4562-863E-7375F03CCC95}"/>
    <cellStyle name="Vírgula 3 2 4 5 2" xfId="2302" xr:uid="{038751F4-91F9-48A0-84A7-01203804AAA5}"/>
    <cellStyle name="Vírgula 3 2 4 5 2 2" xfId="37040" xr:uid="{87F91FB5-4D65-4C17-B8CC-638095BC8B9F}"/>
    <cellStyle name="Vírgula 3 2 4 5 2 3" xfId="52040" xr:uid="{E9FAE820-E151-462D-BED4-3A396932798A}"/>
    <cellStyle name="Vírgula 3 2 4 5 2 4" xfId="55334" xr:uid="{0A058887-C5BD-4650-9BC8-28E9EB4F221C}"/>
    <cellStyle name="Vírgula 3 2 4 5 2 5" xfId="16700" xr:uid="{6BE08F2C-6C2E-4272-9F92-7BD05DAA67A4}"/>
    <cellStyle name="Vírgula 3 2 4 5 3" xfId="20202" xr:uid="{0F1782B4-9184-4F7F-82CF-5A32AF8CD1F3}"/>
    <cellStyle name="Vírgula 3 2 4 5 3 2" xfId="40541" xr:uid="{79C98228-62E9-4378-B27E-539DF3773205}"/>
    <cellStyle name="Vírgula 3 2 4 5 3 3" xfId="56457" xr:uid="{C1BBDFF3-6E7F-42D8-B219-8E7DE8993B45}"/>
    <cellStyle name="Vírgula 3 2 4 5 4" xfId="23457" xr:uid="{C85031F5-D11C-439D-ABEC-F6BBF962EE77}"/>
    <cellStyle name="Vírgula 3 2 4 5 4 2" xfId="43792" xr:uid="{530A24EC-C166-4A7E-B2FE-7DB165570631}"/>
    <cellStyle name="Vírgula 3 2 4 5 5" xfId="13791" xr:uid="{296A4EEA-0CB3-4A24-B317-93FC2D212586}"/>
    <cellStyle name="Vírgula 3 2 4 5 5 2" xfId="34132" xr:uid="{59F4A7D9-4172-450E-8E94-5C8223BB2D12}"/>
    <cellStyle name="Vírgula 3 2 4 5 6" xfId="9913" xr:uid="{647D25CB-AB24-4EE1-A492-0F10FA511A76}"/>
    <cellStyle name="Vírgula 3 2 4 5 6 2" xfId="30256" xr:uid="{22E53688-FEDA-4637-A8AC-C11505967AC8}"/>
    <cellStyle name="Vírgula 3 2 4 5 7" xfId="26762" xr:uid="{9C300B99-8F0C-4CC7-B968-31238EF57B51}"/>
    <cellStyle name="Vírgula 3 2 4 5 8" xfId="48738" xr:uid="{277E92AF-FAD8-4471-8F46-7DCC1BE070A7}"/>
    <cellStyle name="Vírgula 3 2 4 5 9" xfId="50408" xr:uid="{1EF1E9EE-6DBA-4262-B8F7-D7397892A71E}"/>
    <cellStyle name="Vírgula 3 2 4 6" xfId="3436" xr:uid="{9B055416-ADFC-422D-B50F-25E8BD547AD8}"/>
    <cellStyle name="Vírgula 3 2 4 6 10" xfId="7578" xr:uid="{0AECAFDF-8208-47AF-A9DB-69B021D0B788}"/>
    <cellStyle name="Vírgula 3 2 4 6 2" xfId="17863" xr:uid="{F5B7D118-023E-4C76-A3EE-47CF92A07599}"/>
    <cellStyle name="Vírgula 3 2 4 6 2 2" xfId="38203" xr:uid="{8B7309E4-808A-4F27-89AB-0056A3733E3C}"/>
    <cellStyle name="Vírgula 3 2 4 6 3" xfId="21365" xr:uid="{BB3F319A-4035-406C-BCE4-11CFE15D6B5E}"/>
    <cellStyle name="Vírgula 3 2 4 6 3 2" xfId="41704" xr:uid="{79AB4B64-1FC2-4277-B698-1E2FBAA93BA3}"/>
    <cellStyle name="Vírgula 3 2 4 6 4" xfId="24620" xr:uid="{4059312E-EE16-4596-B8A4-42F6B1F2A1BA}"/>
    <cellStyle name="Vírgula 3 2 4 6 4 2" xfId="44955" xr:uid="{7431FDD1-C679-465B-BC09-2943A0E3D94F}"/>
    <cellStyle name="Vírgula 3 2 4 6 5" xfId="14955" xr:uid="{41F5ECEC-3E3B-46C5-A9BE-F40248C5AFA8}"/>
    <cellStyle name="Vírgula 3 2 4 6 5 2" xfId="35295" xr:uid="{C339A484-769B-4515-9EE0-A89B3DECC5A4}"/>
    <cellStyle name="Vírgula 3 2 4 6 6" xfId="11076" xr:uid="{172035C1-BB2C-4F76-838D-31A14D116F0E}"/>
    <cellStyle name="Vírgula 3 2 4 6 6 2" xfId="31419" xr:uid="{D1DA9B0E-9728-46DA-9264-B3FAAD7408BA}"/>
    <cellStyle name="Vírgula 3 2 4 6 7" xfId="27925" xr:uid="{B1B75518-0B0B-4EA9-B9C0-84ACCC879CBE}"/>
    <cellStyle name="Vírgula 3 2 4 6 8" xfId="52033" xr:uid="{A80ACEA0-ED2F-4BB2-8E4A-BD6F5345DD22}"/>
    <cellStyle name="Vírgula 3 2 4 6 9" xfId="55327" xr:uid="{2C1F5414-C232-4733-896E-D1B51EE06ED0}"/>
    <cellStyle name="Vírgula 3 2 4 7" xfId="3886" xr:uid="{B7D48604-7C81-4EDE-B251-1F7D108BC09C}"/>
    <cellStyle name="Vírgula 3 2 4 7 2" xfId="22052" xr:uid="{219F38A6-E2A4-454A-BDAD-118F5D8C1433}"/>
    <cellStyle name="Vírgula 3 2 4 7 2 2" xfId="42388" xr:uid="{EA466262-9C49-4215-94BD-AB5065D634F3}"/>
    <cellStyle name="Vírgula 3 2 4 7 3" xfId="25304" xr:uid="{6E21420D-7BD9-468E-A9F8-929D42AB9817}"/>
    <cellStyle name="Vírgula 3 2 4 7 3 2" xfId="45639" xr:uid="{A0CA38D9-BF58-4E04-BAB0-15B7397DD60C}"/>
    <cellStyle name="Vírgula 3 2 4 7 4" xfId="12647" xr:uid="{D0E0931F-D479-43C0-A7C8-1FF63CEEE21D}"/>
    <cellStyle name="Vírgula 3 2 4 7 4 2" xfId="32988" xr:uid="{93B48878-F583-4CDF-B6D8-3A294B2134F4}"/>
    <cellStyle name="Vírgula 3 2 4 7 5" xfId="11761" xr:uid="{C2E9D367-7D78-4F78-9518-A105DAED658E}"/>
    <cellStyle name="Vírgula 3 2 4 7 5 2" xfId="32103" xr:uid="{43B8A712-019C-4BC7-B8C2-0D6BB6DB11F7}"/>
    <cellStyle name="Vírgula 3 2 4 7 6" xfId="28609" xr:uid="{350F8441-C058-4815-8B91-FE368EF4FF99}"/>
    <cellStyle name="Vírgula 3 2 4 7 7" xfId="56048" xr:uid="{F87D117B-613E-41C1-8CBE-FCB4DDF48D64}"/>
    <cellStyle name="Vírgula 3 2 4 7 8" xfId="8265" xr:uid="{BAD34E7E-891D-48EE-A9C1-F2CC904677EE}"/>
    <cellStyle name="Vírgula 3 2 4 8" xfId="1785" xr:uid="{8CE0B278-4109-4191-9A20-1C413F4267D9}"/>
    <cellStyle name="Vírgula 3 2 4 8 2" xfId="15542" xr:uid="{46AD82D6-4A16-46E4-9C12-B447256B2644}"/>
    <cellStyle name="Vírgula 3 2 4 8 2 2" xfId="35882" xr:uid="{0C926ADD-73E5-42A1-9551-A16346EDE1DF}"/>
    <cellStyle name="Vírgula 3 2 4 8 3" xfId="28961" xr:uid="{85A6B07F-881F-4FF3-B1EA-DD12CC84DF51}"/>
    <cellStyle name="Vírgula 3 2 4 8 4" xfId="8618" xr:uid="{38863493-92B3-4075-BA7B-451EE8FAEF2F}"/>
    <cellStyle name="Vírgula 3 2 4 9" xfId="18456" xr:uid="{C91A2B6B-CB0E-417E-9C0D-3AF1E65617B4}"/>
    <cellStyle name="Vírgula 3 2 4 9 2" xfId="38796" xr:uid="{5072FA08-4C5F-42A1-9289-C2B035554438}"/>
    <cellStyle name="Vírgula 3 2 5" xfId="203" xr:uid="{1B27A05F-25EC-46F6-847F-30B55D13331C}"/>
    <cellStyle name="Vírgula 3 2 5 10" xfId="12058" xr:uid="{D076F26D-234A-4AE3-920D-7A6D04F0B861}"/>
    <cellStyle name="Vírgula 3 2 5 10 2" xfId="32399" xr:uid="{5BF878BB-7789-42E9-9F9C-8DD0B3893DD4}"/>
    <cellStyle name="Vírgula 3 2 5 11" xfId="8797" xr:uid="{9374B59A-214C-40DC-9ECE-46637A28D572}"/>
    <cellStyle name="Vírgula 3 2 5 11 2" xfId="29140" xr:uid="{B80EBEB5-7E78-44EE-A826-AE49B3374054}"/>
    <cellStyle name="Vírgula 3 2 5 12" xfId="25646" xr:uid="{552616E5-AA18-4CD1-B97C-FF9D6CB7E9BB}"/>
    <cellStyle name="Vírgula 3 2 5 13" xfId="46069" xr:uid="{D1C665E2-E263-417F-9702-9EAD768FE875}"/>
    <cellStyle name="Vírgula 3 2 5 14" xfId="46555" xr:uid="{799BFB9D-5C9A-4114-999C-1AB13B522E7F}"/>
    <cellStyle name="Vírgula 3 2 5 15" xfId="47047" xr:uid="{AA8DBE11-DF36-41A1-858D-721C5337B819}"/>
    <cellStyle name="Vírgula 3 2 5 16" xfId="48739" xr:uid="{E95C72D8-38EF-4953-9FCD-CCFB7C583016}"/>
    <cellStyle name="Vírgula 3 2 5 17" xfId="50409" xr:uid="{D843D3E0-45E9-4D70-BD17-0EE33DF5745A}"/>
    <cellStyle name="Vírgula 3 2 5 18" xfId="53704" xr:uid="{687F0971-2094-449D-ABB1-2259961C6E67}"/>
    <cellStyle name="Vírgula 3 2 5 19" xfId="5328" xr:uid="{7A76F361-7F20-434F-8C4A-7C15DCBE5419}"/>
    <cellStyle name="Vírgula 3 2 5 2" xfId="392" xr:uid="{F2596FD8-8122-4430-8556-1F7E454E1A26}"/>
    <cellStyle name="Vírgula 3 2 5 2 10" xfId="50410" xr:uid="{08131F00-B50E-471F-A920-61C89D3978B5}"/>
    <cellStyle name="Vírgula 3 2 5 2 11" xfId="53705" xr:uid="{F784CED2-F716-420C-B8BE-3C6E5E5AA921}"/>
    <cellStyle name="Vírgula 3 2 5 2 12" xfId="5879" xr:uid="{F9B2EF6D-AB0D-42AD-B6DF-BA8D1D5558AE}"/>
    <cellStyle name="Vírgula 3 2 5 2 13" xfId="4673" xr:uid="{9D6659B5-CCA9-443C-BE5E-9E82DF40A638}"/>
    <cellStyle name="Vírgula 3 2 5 2 2" xfId="1208" xr:uid="{C9BF580E-1AB3-4043-9ADD-1D02801C2D5B}"/>
    <cellStyle name="Vírgula 3 2 5 2 2 10" xfId="53706" xr:uid="{B4487E59-96EE-43C5-983C-B70037D5F91A}"/>
    <cellStyle name="Vírgula 3 2 5 2 2 11" xfId="7037" xr:uid="{9A3D077C-F53B-4DDB-B957-0568DA4C715F}"/>
    <cellStyle name="Vírgula 3 2 5 2 2 2" xfId="2869" xr:uid="{2A672AAC-817E-4ED4-A67A-1C6735A1EC5D}"/>
    <cellStyle name="Vírgula 3 2 5 2 2 2 2" xfId="37663" xr:uid="{9947379E-6440-4794-8E9D-08E57CAFCEC2}"/>
    <cellStyle name="Vírgula 3 2 5 2 2 2 3" xfId="52043" xr:uid="{F87B5890-1CE1-4BB3-BB23-92F4E3B1CCC2}"/>
    <cellStyle name="Vírgula 3 2 5 2 2 2 4" xfId="55337" xr:uid="{2994E8CB-31DF-44B4-8548-4F68E9E615E7}"/>
    <cellStyle name="Vírgula 3 2 5 2 2 2 5" xfId="17323" xr:uid="{7B64F428-97D4-48F5-85A1-866C47AD368D}"/>
    <cellStyle name="Vírgula 3 2 5 2 2 3" xfId="20825" xr:uid="{6004C29E-0C6F-4F1D-AF3B-D96E95E842CA}"/>
    <cellStyle name="Vírgula 3 2 5 2 2 3 2" xfId="41164" xr:uid="{044E0696-6E80-4779-8DE5-26E3D7FF4DC2}"/>
    <cellStyle name="Vírgula 3 2 5 2 2 3 3" xfId="57079" xr:uid="{DDBB2E65-55B5-41EC-A28F-AF137D1DF01B}"/>
    <cellStyle name="Vírgula 3 2 5 2 2 4" xfId="24080" xr:uid="{32096C1A-2439-487D-B0BD-ADFE485E708C}"/>
    <cellStyle name="Vírgula 3 2 5 2 2 4 2" xfId="44415" xr:uid="{8F7BBD6D-DF97-4996-A434-49AD3083FF11}"/>
    <cellStyle name="Vírgula 3 2 5 2 2 5" xfId="14414" xr:uid="{F2BE43A2-5555-4ECD-BEBC-FEE5D68182C3}"/>
    <cellStyle name="Vírgula 3 2 5 2 2 5 2" xfId="34755" xr:uid="{AD01C6EE-2B67-4EE6-A604-CAAFDAAA661B}"/>
    <cellStyle name="Vírgula 3 2 5 2 2 6" xfId="10536" xr:uid="{9DA400D8-2EB7-4F74-97DF-96B0A11F8993}"/>
    <cellStyle name="Vírgula 3 2 5 2 2 6 2" xfId="30879" xr:uid="{4A158D14-45B9-493A-934F-F4C3C1F34631}"/>
    <cellStyle name="Vírgula 3 2 5 2 2 7" xfId="27385" xr:uid="{6A5268A8-CA9E-406E-A21E-7CFB9CB53251}"/>
    <cellStyle name="Vírgula 3 2 5 2 2 8" xfId="48741" xr:uid="{9362316C-3C13-4DCE-BCF0-20D6829212B9}"/>
    <cellStyle name="Vírgula 3 2 5 2 2 9" xfId="50411" xr:uid="{049D98C6-E347-435A-BEA0-AB10E589C64B}"/>
    <cellStyle name="Vírgula 3 2 5 2 3" xfId="1614" xr:uid="{8DB6C50A-870A-4561-B6D1-752B410A0583}"/>
    <cellStyle name="Vírgula 3 2 5 2 3 2" xfId="3274" xr:uid="{4076596B-CA5D-4BC2-9CDB-E341E82E32D4}"/>
    <cellStyle name="Vírgula 3 2 5 2 3 2 2" xfId="52044" xr:uid="{39B160DB-B583-46B6-8D23-0F1CF9AD5C4C}"/>
    <cellStyle name="Vírgula 3 2 5 2 3 2 3" xfId="55338" xr:uid="{EB76C605-9C4F-4357-A741-53B70EE95F82}"/>
    <cellStyle name="Vírgula 3 2 5 2 3 2 4" xfId="36505" xr:uid="{F704D5F4-EF0F-4C4F-AEA4-2102421A0D75}"/>
    <cellStyle name="Vírgula 3 2 5 2 3 3" xfId="48742" xr:uid="{923F45EC-A5A0-4591-B24D-A5ACDAE9CFFA}"/>
    <cellStyle name="Vírgula 3 2 5 2 3 3 2" xfId="57485" xr:uid="{EA578126-CD51-4E01-9371-4E1EDF267C83}"/>
    <cellStyle name="Vírgula 3 2 5 2 3 4" xfId="50412" xr:uid="{A2D2D3E5-05A6-4CD4-91B9-2898D2EDABD6}"/>
    <cellStyle name="Vírgula 3 2 5 2 3 5" xfId="53707" xr:uid="{558098F6-A600-40F4-A303-CF0C2E2866CA}"/>
    <cellStyle name="Vírgula 3 2 5 2 3 6" xfId="16165" xr:uid="{8E9F5E32-B358-43DD-BC74-D63F4AA8EF10}"/>
    <cellStyle name="Vírgula 3 2 5 2 4" xfId="801" xr:uid="{837F66DB-A3BE-4076-9791-50D71C5A38AE}"/>
    <cellStyle name="Vírgula 3 2 5 2 4 2" xfId="2517" xr:uid="{1264A6A0-AE98-4710-BC34-D67C54D3F40C}"/>
    <cellStyle name="Vírgula 3 2 5 2 4 2 2" xfId="52045" xr:uid="{E42098DE-928A-44FC-A88F-3D80DDF80E7D}"/>
    <cellStyle name="Vírgula 3 2 5 2 4 2 3" xfId="55339" xr:uid="{0DFD2739-4246-4CCC-9D46-A51ADEE25D09}"/>
    <cellStyle name="Vírgula 3 2 5 2 4 2 4" xfId="40006" xr:uid="{EAD6816E-C99A-4AEA-A482-AA9BAC839A33}"/>
    <cellStyle name="Vírgula 3 2 5 2 4 3" xfId="48743" xr:uid="{C67F9FD4-835F-4016-B5A3-E80E55850526}"/>
    <cellStyle name="Vírgula 3 2 5 2 4 3 2" xfId="56672" xr:uid="{E843B440-CDC1-48C7-B9F9-16A700CDB797}"/>
    <cellStyle name="Vírgula 3 2 5 2 4 4" xfId="50413" xr:uid="{73144A89-CB5E-4F7B-9866-90256ECA381A}"/>
    <cellStyle name="Vírgula 3 2 5 2 4 5" xfId="53708" xr:uid="{7E3ED66C-6C28-4FDD-8296-B45C70068A86}"/>
    <cellStyle name="Vírgula 3 2 5 2 4 6" xfId="19667" xr:uid="{9B86359F-CD9D-467E-8CFE-692CFC383629}"/>
    <cellStyle name="Vírgula 3 2 5 2 5" xfId="4104" xr:uid="{F910D5AA-57E7-4BDE-BE4D-8D0EEEB931A7}"/>
    <cellStyle name="Vírgula 3 2 5 2 5 2" xfId="43257" xr:uid="{8C60DF3F-5E8C-40CF-858C-76830CB12DAC}"/>
    <cellStyle name="Vírgula 3 2 5 2 5 3" xfId="52042" xr:uid="{430DF050-EB31-4FC2-B835-012F8B86034F}"/>
    <cellStyle name="Vírgula 3 2 5 2 5 4" xfId="55336" xr:uid="{9CCBB0FD-9B8D-4BB8-A1E1-51ADE758AF9F}"/>
    <cellStyle name="Vírgula 3 2 5 2 5 5" xfId="22922" xr:uid="{AE6C3E7C-CDFE-498C-B6C1-D34C41BDC18A}"/>
    <cellStyle name="Vírgula 3 2 5 2 6" xfId="2136" xr:uid="{605024FE-A6FC-42EC-A313-C10FD2F31906}"/>
    <cellStyle name="Vírgula 3 2 5 2 6 2" xfId="33599" xr:uid="{24CCED98-45BC-4C3A-8532-F408B86D4D91}"/>
    <cellStyle name="Vírgula 3 2 5 2 6 3" xfId="56263" xr:uid="{654BA379-C8D3-4597-87C6-AFDB8F53F77F}"/>
    <cellStyle name="Vírgula 3 2 5 2 6 4" xfId="13258" xr:uid="{94B811D9-9EC9-4DBE-AB2C-914E1DB905ED}"/>
    <cellStyle name="Vírgula 3 2 5 2 7" xfId="9378" xr:uid="{20EB19F3-640B-487C-9EFD-00CD06208DF1}"/>
    <cellStyle name="Vírgula 3 2 5 2 7 2" xfId="29721" xr:uid="{7669AE01-1F2D-4B52-8D53-5EF71C9C70A1}"/>
    <cellStyle name="Vírgula 3 2 5 2 8" xfId="26227" xr:uid="{3B7794C2-D1D4-44F6-BFA2-B251F99E1735}"/>
    <cellStyle name="Vírgula 3 2 5 2 9" xfId="48740" xr:uid="{1237657D-6A67-4F13-A915-43B8F5496588}"/>
    <cellStyle name="Vírgula 3 2 5 20" xfId="4484" xr:uid="{18700A71-7610-4D33-8BD8-16F4A9CDA9D8}"/>
    <cellStyle name="Vírgula 3 2 5 3" xfId="1019" xr:uid="{2EEBA30E-CD6E-4984-A2BC-8BDE467B6123}"/>
    <cellStyle name="Vírgula 3 2 5 3 10" xfId="53709" xr:uid="{FDADC576-4864-4BD0-95C2-DD59383FBD56}"/>
    <cellStyle name="Vírgula 3 2 5 3 11" xfId="6456" xr:uid="{596DF286-0F1F-4D14-ACBB-2C42B85CB469}"/>
    <cellStyle name="Vírgula 3 2 5 3 12" xfId="4969" xr:uid="{AB1EFAD0-D52E-402F-A18C-BD830455826A}"/>
    <cellStyle name="Vírgula 3 2 5 3 2" xfId="4276" xr:uid="{CE32ACDE-CC15-4689-9D10-1389C216AD9F}"/>
    <cellStyle name="Vírgula 3 2 5 3 2 2" xfId="37082" xr:uid="{4EAD751C-3478-4072-A71F-F60F91792BD5}"/>
    <cellStyle name="Vírgula 3 2 5 3 2 3" xfId="52046" xr:uid="{AC644475-3472-4451-96B5-61D738F11251}"/>
    <cellStyle name="Vírgula 3 2 5 3 2 4" xfId="55340" xr:uid="{CC994FB6-D5E1-42C5-BB38-87FF21B17CE4}"/>
    <cellStyle name="Vírgula 3 2 5 3 2 5" xfId="16742" xr:uid="{E789CFF9-9C95-4257-AC62-9F47FF5CD9D2}"/>
    <cellStyle name="Vírgula 3 2 5 3 3" xfId="2708" xr:uid="{AAB41BCC-09F9-42C8-8336-F92CE3C2B89B}"/>
    <cellStyle name="Vírgula 3 2 5 3 3 2" xfId="40583" xr:uid="{AC2F9AA1-650F-460A-B49B-D65CD9FBF6C2}"/>
    <cellStyle name="Vírgula 3 2 5 3 3 3" xfId="56890" xr:uid="{651EA2AE-BB53-4BA7-BBE4-A9FC12B1E498}"/>
    <cellStyle name="Vírgula 3 2 5 3 3 4" xfId="20244" xr:uid="{EE292891-095E-48B5-8687-3D3FD20D7A00}"/>
    <cellStyle name="Vírgula 3 2 5 3 4" xfId="23499" xr:uid="{17E10D56-0C9B-4766-B9A1-C7E629412369}"/>
    <cellStyle name="Vírgula 3 2 5 3 4 2" xfId="43834" xr:uid="{BED9F1A5-3089-4A58-A8FD-6BE1B1CBEBC5}"/>
    <cellStyle name="Vírgula 3 2 5 3 5" xfId="13833" xr:uid="{D74690AC-F71B-4AF7-8468-9F5410D8BAA9}"/>
    <cellStyle name="Vírgula 3 2 5 3 5 2" xfId="34174" xr:uid="{81AFE4D1-BA83-48ED-B2B1-61BAA87444C5}"/>
    <cellStyle name="Vírgula 3 2 5 3 6" xfId="9955" xr:uid="{87E71C36-1250-47CA-953D-1FDABD4F0819}"/>
    <cellStyle name="Vírgula 3 2 5 3 6 2" xfId="30298" xr:uid="{D1423736-ACE3-4C24-A350-8D4CE023147F}"/>
    <cellStyle name="Vírgula 3 2 5 3 7" xfId="26804" xr:uid="{744DDDA9-9E59-4809-A810-0F2F629D7B8D}"/>
    <cellStyle name="Vírgula 3 2 5 3 8" xfId="48744" xr:uid="{EA37544C-68D8-4255-9EA3-92DD720B2F6A}"/>
    <cellStyle name="Vírgula 3 2 5 3 9" xfId="50414" xr:uid="{23ECA19D-6152-4E52-8B9D-0149EE246BD8}"/>
    <cellStyle name="Vírgula 3 2 5 4" xfId="1425" xr:uid="{D72E9BD5-19B8-466B-8975-85A50B01ECCD}"/>
    <cellStyle name="Vírgula 3 2 5 4 10" xfId="53710" xr:uid="{545BA7FA-1774-4F94-AE4A-E49E0AC2FD8F}"/>
    <cellStyle name="Vírgula 3 2 5 4 11" xfId="7620" xr:uid="{9D7F3C8D-A309-4EC5-83C1-D8B367E3B4B5}"/>
    <cellStyle name="Vírgula 3 2 5 4 2" xfId="3086" xr:uid="{421D713F-6083-4B5B-915D-4999425ED87B}"/>
    <cellStyle name="Vírgula 3 2 5 4 2 2" xfId="38245" xr:uid="{09DF9852-BFA5-45BC-A190-3383476880F0}"/>
    <cellStyle name="Vírgula 3 2 5 4 2 3" xfId="52047" xr:uid="{378748D4-7731-4E5F-BCF3-DE3047419312}"/>
    <cellStyle name="Vírgula 3 2 5 4 2 4" xfId="55341" xr:uid="{3A8D03C8-A6AB-4648-BE36-8351BF551966}"/>
    <cellStyle name="Vírgula 3 2 5 4 2 5" xfId="17905" xr:uid="{F34C28BB-7127-45A6-96D5-04E4A8DCE303}"/>
    <cellStyle name="Vírgula 3 2 5 4 3" xfId="21407" xr:uid="{3279A186-302B-4E60-91E3-A4C97367ACF9}"/>
    <cellStyle name="Vírgula 3 2 5 4 3 2" xfId="41746" xr:uid="{7D88E67C-E942-46B1-B156-D990986C5BA0}"/>
    <cellStyle name="Vírgula 3 2 5 4 3 3" xfId="57296" xr:uid="{CD156D25-5DC1-4AEC-AE8E-DA49F462B3C0}"/>
    <cellStyle name="Vírgula 3 2 5 4 4" xfId="24662" xr:uid="{3DEB2D24-EA90-41A6-A80F-92B917EA3566}"/>
    <cellStyle name="Vírgula 3 2 5 4 4 2" xfId="44997" xr:uid="{E7006DB9-9BC0-4C03-930A-19EDE4D0E94C}"/>
    <cellStyle name="Vírgula 3 2 5 4 5" xfId="14997" xr:uid="{FDA64CCD-144C-45C9-9AD3-77062D231215}"/>
    <cellStyle name="Vírgula 3 2 5 4 5 2" xfId="35337" xr:uid="{ABBDCC0C-2048-4968-8883-D6848E6603AF}"/>
    <cellStyle name="Vírgula 3 2 5 4 6" xfId="11118" xr:uid="{0D334D2F-2E76-43F4-963D-E641BD727372}"/>
    <cellStyle name="Vírgula 3 2 5 4 6 2" xfId="31461" xr:uid="{D67379E8-3B1D-4676-BBCD-9D00DD3C98FF}"/>
    <cellStyle name="Vírgula 3 2 5 4 7" xfId="27967" xr:uid="{73487E63-8BC0-4661-B878-6DA13F979E3C}"/>
    <cellStyle name="Vírgula 3 2 5 4 8" xfId="48745" xr:uid="{F8607C16-B1F9-48C3-B007-9666B5044472}"/>
    <cellStyle name="Vírgula 3 2 5 4 9" xfId="50415" xr:uid="{66DDA148-7D36-4A2A-BB7F-14621B1C6345}"/>
    <cellStyle name="Vírgula 3 2 5 5" xfId="612" xr:uid="{A4BCE7C3-C628-4118-9750-A68E19C04709}"/>
    <cellStyle name="Vírgula 3 2 5 5 10" xfId="8266" xr:uid="{21600570-3BAA-44F5-87EC-66D11F710F9F}"/>
    <cellStyle name="Vírgula 3 2 5 5 2" xfId="2328" xr:uid="{727B1517-2EAC-4CB0-AB5E-5F493C37ACA5}"/>
    <cellStyle name="Vírgula 3 2 5 5 2 2" xfId="42389" xr:uid="{115DB71C-BA75-4346-BEF6-799F141F8065}"/>
    <cellStyle name="Vírgula 3 2 5 5 2 3" xfId="52048" xr:uid="{2C9C95FE-44D0-426B-A3C6-2EC3EE758091}"/>
    <cellStyle name="Vírgula 3 2 5 5 2 4" xfId="55342" xr:uid="{2D92EA73-0BDD-4A3A-9FB0-F990C26C78D6}"/>
    <cellStyle name="Vírgula 3 2 5 5 2 5" xfId="22053" xr:uid="{5244FD2E-94C0-412F-9C51-114BE62570D6}"/>
    <cellStyle name="Vírgula 3 2 5 5 3" xfId="25305" xr:uid="{20748E0A-5FA6-4E48-82FA-7E59508AE82D}"/>
    <cellStyle name="Vírgula 3 2 5 5 3 2" xfId="45640" xr:uid="{AB89423F-4B73-444E-A2F5-D9A52ACE6C23}"/>
    <cellStyle name="Vírgula 3 2 5 5 3 3" xfId="56483" xr:uid="{DBC9DE5A-7BBF-4EC0-A115-64A197B0F3BF}"/>
    <cellStyle name="Vírgula 3 2 5 5 4" xfId="12689" xr:uid="{F8B2B04A-FE65-452B-8410-705726D1A318}"/>
    <cellStyle name="Vírgula 3 2 5 5 4 2" xfId="33030" xr:uid="{99C23BAA-05C8-4942-80A7-FE4158C9A7D4}"/>
    <cellStyle name="Vírgula 3 2 5 5 5" xfId="11762" xr:uid="{B1C2DBF3-EA73-4405-93E3-BAB6917DCFB7}"/>
    <cellStyle name="Vírgula 3 2 5 5 5 2" xfId="32104" xr:uid="{84794EB3-94E6-402E-AFD9-D53DF20437CA}"/>
    <cellStyle name="Vírgula 3 2 5 5 6" xfId="28610" xr:uid="{3B36A4E1-2103-4A16-9102-459650B14DEF}"/>
    <cellStyle name="Vírgula 3 2 5 5 7" xfId="48746" xr:uid="{1B738EC2-922D-4B0C-807A-BE7BFE6E397D}"/>
    <cellStyle name="Vírgula 3 2 5 5 8" xfId="50416" xr:uid="{DE7BFDA7-B3A7-4B83-AA0E-0F60E65D77AA}"/>
    <cellStyle name="Vírgula 3 2 5 5 9" xfId="53711" xr:uid="{2E83FEF2-0976-4B0B-BB38-39F618EF77AA}"/>
    <cellStyle name="Vírgula 3 2 5 6" xfId="3601" xr:uid="{209BF694-F58D-4650-AFD2-852AF0F1F492}"/>
    <cellStyle name="Vírgula 3 2 5 6 2" xfId="35924" xr:uid="{B1E9BE43-D3A4-4019-837C-71AAE8339989}"/>
    <cellStyle name="Vírgula 3 2 5 6 3" xfId="52041" xr:uid="{CA8E4B08-D50E-4EB6-8227-1B7453BB55F6}"/>
    <cellStyle name="Vírgula 3 2 5 6 4" xfId="55335" xr:uid="{859EE072-F9DD-4857-8D14-45F3E7D2DA6B}"/>
    <cellStyle name="Vírgula 3 2 5 6 5" xfId="15584" xr:uid="{3F66BE50-C0D0-4833-A11A-35A3347E8BC1}"/>
    <cellStyle name="Vírgula 3 2 5 7" xfId="3932" xr:uid="{E9223EFA-E199-4338-8205-769BA2CBFAF1}"/>
    <cellStyle name="Vírgula 3 2 5 7 2" xfId="38838" xr:uid="{263E7BB0-2243-4C21-A68B-40541C5F89F5}"/>
    <cellStyle name="Vírgula 3 2 5 7 3" xfId="56074" xr:uid="{D5F47E2C-4962-435C-B83D-CE460A1EF7DD}"/>
    <cellStyle name="Vírgula 3 2 5 7 4" xfId="18498" xr:uid="{D79D596F-E5EC-442E-9628-0913A5B22DAA}"/>
    <cellStyle name="Vírgula 3 2 5 8" xfId="1950" xr:uid="{477F262E-3A5E-419A-92CE-166A2577102E}"/>
    <cellStyle name="Vírgula 3 2 5 8 2" xfId="39425" xr:uid="{2E0F833E-B73E-4DAD-A1B4-3FD436E00F21}"/>
    <cellStyle name="Vírgula 3 2 5 8 3" xfId="19086" xr:uid="{3EC96429-47A7-491A-8562-6720B0CA09C0}"/>
    <cellStyle name="Vírgula 3 2 5 9" xfId="22341" xr:uid="{88FE7838-713E-4C51-9102-183C0A1A7A6B}"/>
    <cellStyle name="Vírgula 3 2 5 9 2" xfId="42676" xr:uid="{DDBB60D4-DBA3-48D4-BAE4-E7EBE39500D7}"/>
    <cellStyle name="Vírgula 3 2 6" xfId="255" xr:uid="{F04486C4-D588-4A1F-BB04-B2415A119531}"/>
    <cellStyle name="Vírgula 3 2 6 10" xfId="12185" xr:uid="{6ACB069E-EABE-4BF4-8D80-F50D771785FA}"/>
    <cellStyle name="Vírgula 3 2 6 10 2" xfId="32526" xr:uid="{FBC6FCF2-5DD7-4151-8AEA-0198345B808D}"/>
    <cellStyle name="Vírgula 3 2 6 11" xfId="8924" xr:uid="{722E79F6-483B-46D9-BFD3-4D114D4BDF74}"/>
    <cellStyle name="Vírgula 3 2 6 11 2" xfId="29267" xr:uid="{372C0FDC-AB28-482E-AA47-18474EEB6099}"/>
    <cellStyle name="Vírgula 3 2 6 12" xfId="25773" xr:uid="{9F3EFF24-6DCB-4C15-A6A8-035FEE2C867D}"/>
    <cellStyle name="Vírgula 3 2 6 13" xfId="48747" xr:uid="{0F64CC2E-F16B-484F-92D9-B62FB9D0A1C5}"/>
    <cellStyle name="Vírgula 3 2 6 14" xfId="50417" xr:uid="{4A441C87-C95F-4DBC-84D1-BE08D8D9AB71}"/>
    <cellStyle name="Vírgula 3 2 6 15" xfId="53712" xr:uid="{C9BA95F4-922E-4199-8052-B703C41460D9}"/>
    <cellStyle name="Vírgula 3 2 6 16" xfId="5441" xr:uid="{72C058AE-996A-4A1D-A586-E7EFBC285E73}"/>
    <cellStyle name="Vírgula 3 2 6 17" xfId="4536" xr:uid="{321895C5-D9B8-460B-BE4E-D886C9860A7F}"/>
    <cellStyle name="Vírgula 3 2 6 2" xfId="444" xr:uid="{9439ADD5-F1CF-41A6-8881-EE7776F60DF6}"/>
    <cellStyle name="Vírgula 3 2 6 2 10" xfId="50418" xr:uid="{BF039060-C848-4108-94FA-94A8822390B4}"/>
    <cellStyle name="Vírgula 3 2 6 2 11" xfId="53713" xr:uid="{1A8B01D8-27AF-4A61-8C2A-23F7A982CAAE}"/>
    <cellStyle name="Vírgula 3 2 6 2 12" xfId="6006" xr:uid="{ECDE7C5B-262A-4C77-9F3E-78E0AC64F910}"/>
    <cellStyle name="Vírgula 3 2 6 2 13" xfId="4725" xr:uid="{A542BFFA-E3C4-4601-A931-D639C0E9F810}"/>
    <cellStyle name="Vírgula 3 2 6 2 2" xfId="1260" xr:uid="{16E3581F-ADEB-4F05-8D55-58EB2BD4F15D}"/>
    <cellStyle name="Vírgula 3 2 6 2 2 10" xfId="53714" xr:uid="{7F084F03-1322-43E8-A7B4-952F2325E2CD}"/>
    <cellStyle name="Vírgula 3 2 6 2 2 11" xfId="7164" xr:uid="{6B8C47C8-7766-47EA-82A3-92E01D7D2486}"/>
    <cellStyle name="Vírgula 3 2 6 2 2 2" xfId="2921" xr:uid="{D8D75D82-64DC-4BD4-ACFD-7FCFC8310196}"/>
    <cellStyle name="Vírgula 3 2 6 2 2 2 2" xfId="37790" xr:uid="{97A284E9-FF3A-491D-BF32-9BCEB5579D6D}"/>
    <cellStyle name="Vírgula 3 2 6 2 2 2 3" xfId="52051" xr:uid="{14E6AF26-CC68-472E-B23F-1E78AA093BCF}"/>
    <cellStyle name="Vírgula 3 2 6 2 2 2 4" xfId="55345" xr:uid="{D032F783-9026-4144-9938-E24C801B0CBE}"/>
    <cellStyle name="Vírgula 3 2 6 2 2 2 5" xfId="17450" xr:uid="{4195AE5E-6C4B-4380-BA2A-7A10DCBCE306}"/>
    <cellStyle name="Vírgula 3 2 6 2 2 3" xfId="20952" xr:uid="{074BCD0F-9AE9-4B2A-AA32-C12700B16C8D}"/>
    <cellStyle name="Vírgula 3 2 6 2 2 3 2" xfId="41291" xr:uid="{07409B90-ADC6-4F4C-B4B9-FF6520114660}"/>
    <cellStyle name="Vírgula 3 2 6 2 2 3 3" xfId="57131" xr:uid="{2F946F48-7FD7-4FCD-8074-680F8AFCADC5}"/>
    <cellStyle name="Vírgula 3 2 6 2 2 4" xfId="24207" xr:uid="{6271BBCA-5157-466A-85AB-D3672F5CAC2D}"/>
    <cellStyle name="Vírgula 3 2 6 2 2 4 2" xfId="44542" xr:uid="{5968B449-3BF3-4A6A-A032-3CB205751CFE}"/>
    <cellStyle name="Vírgula 3 2 6 2 2 5" xfId="14541" xr:uid="{88E00640-CE07-442F-9D0D-9DCDD531753B}"/>
    <cellStyle name="Vírgula 3 2 6 2 2 5 2" xfId="34882" xr:uid="{BB256FFB-268F-4076-9988-BB3113FF6486}"/>
    <cellStyle name="Vírgula 3 2 6 2 2 6" xfId="10663" xr:uid="{B0ED524A-AA1E-4C74-AC9C-429B4901154A}"/>
    <cellStyle name="Vírgula 3 2 6 2 2 6 2" xfId="31006" xr:uid="{3E3841AB-B4DE-4895-A343-E4B09253A847}"/>
    <cellStyle name="Vírgula 3 2 6 2 2 7" xfId="27512" xr:uid="{51FD2003-B19C-4DCF-8948-E014EAC0A371}"/>
    <cellStyle name="Vírgula 3 2 6 2 2 8" xfId="48749" xr:uid="{737E55B2-A39E-485C-B8FF-0F63C4B5F0F8}"/>
    <cellStyle name="Vírgula 3 2 6 2 2 9" xfId="50419" xr:uid="{BE5FF50C-D349-41DF-8F66-CAF6B383C04E}"/>
    <cellStyle name="Vírgula 3 2 6 2 3" xfId="1666" xr:uid="{06205B5D-7BE2-4DAC-9F3D-134292B4CBE4}"/>
    <cellStyle name="Vírgula 3 2 6 2 3 2" xfId="3326" xr:uid="{2BAA038C-2507-4C74-8A0F-167D16F465A1}"/>
    <cellStyle name="Vírgula 3 2 6 2 3 2 2" xfId="52052" xr:uid="{7CF5101B-85CC-4F7C-9916-9B38B008C727}"/>
    <cellStyle name="Vírgula 3 2 6 2 3 2 3" xfId="55346" xr:uid="{6CDAF8E2-A040-4F1F-823E-A3B7EA81AC55}"/>
    <cellStyle name="Vírgula 3 2 6 2 3 2 4" xfId="36632" xr:uid="{9F37CEBE-AF91-4466-B7DD-92E746EA867A}"/>
    <cellStyle name="Vírgula 3 2 6 2 3 3" xfId="48750" xr:uid="{11208029-2649-48FB-BDA9-0632152BC101}"/>
    <cellStyle name="Vírgula 3 2 6 2 3 3 2" xfId="57537" xr:uid="{560B9BC8-B2A5-442B-8B47-69559E25C79D}"/>
    <cellStyle name="Vírgula 3 2 6 2 3 4" xfId="50420" xr:uid="{E21FAD65-A24C-48DA-B813-5D0AB3FCC268}"/>
    <cellStyle name="Vírgula 3 2 6 2 3 5" xfId="53715" xr:uid="{7A263B56-8A28-496B-862B-AEC28307D8EC}"/>
    <cellStyle name="Vírgula 3 2 6 2 3 6" xfId="16292" xr:uid="{E9DFB2AF-0823-4515-BB56-EF5B1391BE64}"/>
    <cellStyle name="Vírgula 3 2 6 2 4" xfId="853" xr:uid="{F1A6AB51-F7A5-4DAE-809C-BA67561548B1}"/>
    <cellStyle name="Vírgula 3 2 6 2 4 2" xfId="2569" xr:uid="{A7D49C2D-24BA-4959-93BB-BABD24BB332D}"/>
    <cellStyle name="Vírgula 3 2 6 2 4 2 2" xfId="52053" xr:uid="{DFAC66AD-A34C-44FA-97C9-948E5BEF2E6C}"/>
    <cellStyle name="Vírgula 3 2 6 2 4 2 3" xfId="55347" xr:uid="{CE08A495-6E3B-4D03-9547-8B6455B2261F}"/>
    <cellStyle name="Vírgula 3 2 6 2 4 2 4" xfId="40133" xr:uid="{090C72FD-B755-4EE2-9D37-77E18C7EF043}"/>
    <cellStyle name="Vírgula 3 2 6 2 4 3" xfId="48751" xr:uid="{21AC1B75-DF77-448F-8F6B-18B16CC66872}"/>
    <cellStyle name="Vírgula 3 2 6 2 4 3 2" xfId="56724" xr:uid="{8FF70E2C-F88C-4D09-B836-588BCE128327}"/>
    <cellStyle name="Vírgula 3 2 6 2 4 4" xfId="50421" xr:uid="{2A8DD5A6-5A5B-48F5-B89F-D948FC13C041}"/>
    <cellStyle name="Vírgula 3 2 6 2 4 5" xfId="53716" xr:uid="{CF2EC466-529D-48FD-A042-67668EF67D97}"/>
    <cellStyle name="Vírgula 3 2 6 2 4 6" xfId="19794" xr:uid="{B99B85D6-ADF4-42DC-908D-09A2C50E3600}"/>
    <cellStyle name="Vírgula 3 2 6 2 5" xfId="2162" xr:uid="{2B121462-6DFF-4F05-813D-D55645F347EE}"/>
    <cellStyle name="Vírgula 3 2 6 2 5 2" xfId="43384" xr:uid="{48DB9894-7DAF-4DC9-9133-A86ACF2546F6}"/>
    <cellStyle name="Vírgula 3 2 6 2 5 3" xfId="52050" xr:uid="{6EFD91F9-FE13-4A9B-880E-6DF4623641AB}"/>
    <cellStyle name="Vírgula 3 2 6 2 5 4" xfId="55344" xr:uid="{9F73768F-87BD-41C3-872E-EAD5119BFE65}"/>
    <cellStyle name="Vírgula 3 2 6 2 5 5" xfId="23049" xr:uid="{3BAFE40A-432C-4E62-BC42-2D867336B479}"/>
    <cellStyle name="Vírgula 3 2 6 2 6" xfId="13383" xr:uid="{418A64F0-55CC-4473-A649-CC4D8CDE50A8}"/>
    <cellStyle name="Vírgula 3 2 6 2 6 2" xfId="33724" xr:uid="{DE165EBB-D421-4CDF-AD1F-0B9D28642E9C}"/>
    <cellStyle name="Vírgula 3 2 6 2 6 3" xfId="56315" xr:uid="{51B3B1B1-DEDA-49F4-BCC8-83CE4D3D7283}"/>
    <cellStyle name="Vírgula 3 2 6 2 7" xfId="9505" xr:uid="{A71E3FE0-720B-477D-906A-FC31813C1F6A}"/>
    <cellStyle name="Vírgula 3 2 6 2 7 2" xfId="29848" xr:uid="{8D39F8B8-E9EF-4223-A67F-057CA430B79F}"/>
    <cellStyle name="Vírgula 3 2 6 2 8" xfId="26354" xr:uid="{A2677507-4BF1-4C4B-B9B4-4852931C5082}"/>
    <cellStyle name="Vírgula 3 2 6 2 9" xfId="48748" xr:uid="{D308C8B5-07C4-4BB9-961A-2638980466A7}"/>
    <cellStyle name="Vírgula 3 2 6 3" xfId="1071" xr:uid="{CE42D1DC-64AA-40D3-8629-470DBF582D93}"/>
    <cellStyle name="Vírgula 3 2 6 3 10" xfId="53717" xr:uid="{F649CA05-4B98-41D2-9100-22BD90725209}"/>
    <cellStyle name="Vírgula 3 2 6 3 11" xfId="6583" xr:uid="{43F9DAF1-2784-470E-A769-AAC69E00AE71}"/>
    <cellStyle name="Vírgula 3 2 6 3 2" xfId="2735" xr:uid="{E47B481B-6496-4356-8D02-957BBB3EFBBC}"/>
    <cellStyle name="Vírgula 3 2 6 3 2 2" xfId="37209" xr:uid="{DE78DDF2-FE78-463A-8BE8-A4CA84AE9AC9}"/>
    <cellStyle name="Vírgula 3 2 6 3 2 3" xfId="52054" xr:uid="{E812103C-F959-4ADA-B43B-14E4D18167DA}"/>
    <cellStyle name="Vírgula 3 2 6 3 2 4" xfId="55348" xr:uid="{BC0768F5-4EB5-421C-95BD-4F10C2B39357}"/>
    <cellStyle name="Vírgula 3 2 6 3 2 5" xfId="16869" xr:uid="{40370BF5-04A3-4610-9549-DCCEBF7E228B}"/>
    <cellStyle name="Vírgula 3 2 6 3 3" xfId="20371" xr:uid="{FF2A8075-7F6A-4A29-998F-186812BC399B}"/>
    <cellStyle name="Vírgula 3 2 6 3 3 2" xfId="40710" xr:uid="{33334A1D-2C79-4C45-AD6B-F73B30C4FAA7}"/>
    <cellStyle name="Vírgula 3 2 6 3 3 3" xfId="56942" xr:uid="{22FCAC3B-DD79-4834-899C-FB3C86BDE451}"/>
    <cellStyle name="Vírgula 3 2 6 3 4" xfId="23626" xr:uid="{943721BA-D8F9-4331-AF53-DFA2C131AA90}"/>
    <cellStyle name="Vírgula 3 2 6 3 4 2" xfId="43961" xr:uid="{CE30EF54-1B5B-42FF-BB90-101313016CB9}"/>
    <cellStyle name="Vírgula 3 2 6 3 5" xfId="13960" xr:uid="{5D566B78-D7DE-4E97-9ABA-5ED9930C3E66}"/>
    <cellStyle name="Vírgula 3 2 6 3 5 2" xfId="34301" xr:uid="{683D721C-22E1-4178-BA59-050E1EDBB369}"/>
    <cellStyle name="Vírgula 3 2 6 3 6" xfId="10082" xr:uid="{24E89355-A762-449C-BF42-528182685D06}"/>
    <cellStyle name="Vírgula 3 2 6 3 6 2" xfId="30425" xr:uid="{6388D376-CCE2-4CC4-A4E0-5E5F4344B641}"/>
    <cellStyle name="Vírgula 3 2 6 3 7" xfId="26931" xr:uid="{B0177E38-DF87-4B1A-8966-773D7AD94A96}"/>
    <cellStyle name="Vírgula 3 2 6 3 8" xfId="48752" xr:uid="{55DE2136-E6FA-44DE-8C04-CA843DE72BF1}"/>
    <cellStyle name="Vírgula 3 2 6 3 9" xfId="50422" xr:uid="{113ED140-D102-4CA8-A4F7-D1AFA63C1265}"/>
    <cellStyle name="Vírgula 3 2 6 4" xfId="1477" xr:uid="{34C4FD1C-3646-4DC3-B36A-538332B56175}"/>
    <cellStyle name="Vírgula 3 2 6 4 10" xfId="53718" xr:uid="{2076FEB2-005E-41EE-A57C-670B1864569F}"/>
    <cellStyle name="Vírgula 3 2 6 4 11" xfId="7747" xr:uid="{87526947-4B2A-4BEF-82E8-FCDD340E294B}"/>
    <cellStyle name="Vírgula 3 2 6 4 2" xfId="3138" xr:uid="{1F2A71CA-8F99-4FB3-BC41-8AE17B8DDC4D}"/>
    <cellStyle name="Vírgula 3 2 6 4 2 2" xfId="38372" xr:uid="{9DE2217B-395C-4705-BE1D-978E4BFFA1C5}"/>
    <cellStyle name="Vírgula 3 2 6 4 2 3" xfId="52055" xr:uid="{9AB6DA53-6F24-4363-9DB5-D9350A1E4A48}"/>
    <cellStyle name="Vírgula 3 2 6 4 2 4" xfId="55349" xr:uid="{BBF654EA-EA73-4B93-AC4A-A96FD425AE9A}"/>
    <cellStyle name="Vírgula 3 2 6 4 2 5" xfId="18032" xr:uid="{5DD3CC6F-CE5A-4045-B958-5EC07FC7CB27}"/>
    <cellStyle name="Vírgula 3 2 6 4 3" xfId="21534" xr:uid="{706A3D4C-F614-427A-A91A-ABD4834FBC28}"/>
    <cellStyle name="Vírgula 3 2 6 4 3 2" xfId="41873" xr:uid="{2391D437-B91B-46E5-8304-F2889A405170}"/>
    <cellStyle name="Vírgula 3 2 6 4 3 3" xfId="57348" xr:uid="{2C7A6C15-90DC-4C52-AB87-909D41FA960C}"/>
    <cellStyle name="Vírgula 3 2 6 4 4" xfId="24789" xr:uid="{483826AB-5839-492A-BBA0-2572BD3A4466}"/>
    <cellStyle name="Vírgula 3 2 6 4 4 2" xfId="45124" xr:uid="{D8947CD2-C73A-498D-A691-F4420231CB93}"/>
    <cellStyle name="Vírgula 3 2 6 4 5" xfId="15124" xr:uid="{D3006415-CCDD-406F-8FDA-68DA9222A152}"/>
    <cellStyle name="Vírgula 3 2 6 4 5 2" xfId="35464" xr:uid="{E96DFB46-4D1D-4872-A198-E9AEFF6D854B}"/>
    <cellStyle name="Vírgula 3 2 6 4 6" xfId="11245" xr:uid="{B9EC4522-8F76-4B4C-806C-50A3BDE1D9C1}"/>
    <cellStyle name="Vírgula 3 2 6 4 6 2" xfId="31588" xr:uid="{EA3AEA2F-2950-4BFC-B3E9-B60DD56F970A}"/>
    <cellStyle name="Vírgula 3 2 6 4 7" xfId="28094" xr:uid="{A7FF9ED1-DD37-442D-B8EB-69F4886905E8}"/>
    <cellStyle name="Vírgula 3 2 6 4 8" xfId="48753" xr:uid="{B4FDD80F-D00A-4498-AD51-7095AB5EDB8A}"/>
    <cellStyle name="Vírgula 3 2 6 4 9" xfId="50423" xr:uid="{C172F0C6-D11F-4583-994D-A33335803FA0}"/>
    <cellStyle name="Vírgula 3 2 6 5" xfId="664" xr:uid="{3673981C-84BE-4899-9493-6AA3E274C983}"/>
    <cellStyle name="Vírgula 3 2 6 5 2" xfId="2380" xr:uid="{6FE0D585-CC5E-4995-B012-322B8DA19112}"/>
    <cellStyle name="Vírgula 3 2 6 5 2 2" xfId="52056" xr:uid="{7AAD4FC4-775A-4732-B8B3-81A4D2DBF4DF}"/>
    <cellStyle name="Vírgula 3 2 6 5 2 3" xfId="55350" xr:uid="{4B481AAA-2208-4AB6-B4A1-643D71112476}"/>
    <cellStyle name="Vírgula 3 2 6 5 2 4" xfId="33155" xr:uid="{D7DC5768-D05F-412C-9C99-8DAFB4112DA3}"/>
    <cellStyle name="Vírgula 3 2 6 5 3" xfId="48754" xr:uid="{094DF3A9-4096-4974-909C-406AD6A44C69}"/>
    <cellStyle name="Vírgula 3 2 6 5 3 2" xfId="56535" xr:uid="{CE15E3D1-3D69-4081-AEF2-9AD176D50080}"/>
    <cellStyle name="Vírgula 3 2 6 5 4" xfId="50424" xr:uid="{80B82EC7-C3BC-40B8-B812-940495AB30B5}"/>
    <cellStyle name="Vírgula 3 2 6 5 5" xfId="53719" xr:uid="{D7E36970-DE4B-405D-91BA-D69EFDBD3F57}"/>
    <cellStyle name="Vírgula 3 2 6 5 6" xfId="12814" xr:uid="{9AD4490F-989C-43F5-858E-D8BCEC428607}"/>
    <cellStyle name="Vírgula 3 2 6 6" xfId="3491" xr:uid="{6C344F25-4585-4047-A26D-6BD2B241C4A4}"/>
    <cellStyle name="Vírgula 3 2 6 6 2" xfId="36051" xr:uid="{B7CABB76-D3A3-4F86-A959-AE3D71547E11}"/>
    <cellStyle name="Vírgula 3 2 6 6 3" xfId="52049" xr:uid="{2A791221-A61D-4BA7-B6AB-B9BE61D3F610}"/>
    <cellStyle name="Vírgula 3 2 6 6 4" xfId="55343" xr:uid="{302898A1-7C78-4DF6-A4F0-B7680D6B32A4}"/>
    <cellStyle name="Vírgula 3 2 6 6 5" xfId="15711" xr:uid="{C7AA5F7E-CF4E-49E8-8157-989A804CA585}"/>
    <cellStyle name="Vírgula 3 2 6 7" xfId="3991" xr:uid="{A5E6E075-5F65-436B-86B4-316B1CC635EE}"/>
    <cellStyle name="Vírgula 3 2 6 7 2" xfId="38965" xr:uid="{F6D2D250-FCFC-4F06-B384-DF0A60C8689A}"/>
    <cellStyle name="Vírgula 3 2 6 7 3" xfId="56126" xr:uid="{AEDC0304-DFE9-4A48-8806-7427F8DCEB03}"/>
    <cellStyle name="Vírgula 3 2 6 7 4" xfId="18625" xr:uid="{C666C9DC-BD2C-4859-9B32-3E7B1A717AF3}"/>
    <cellStyle name="Vírgula 3 2 6 8" xfId="1840" xr:uid="{F1393A49-20F6-4FC3-8CC2-DD63ABC766DB}"/>
    <cellStyle name="Vírgula 3 2 6 8 2" xfId="39552" xr:uid="{7091042B-0FED-4F8E-86C5-E964C91656DF}"/>
    <cellStyle name="Vírgula 3 2 6 8 3" xfId="19213" xr:uid="{D7B23FCE-FF72-4B21-807B-02E4B48D0CDF}"/>
    <cellStyle name="Vírgula 3 2 6 9" xfId="22468" xr:uid="{8E2C7240-7E36-460D-8CC8-64569D7534E1}"/>
    <cellStyle name="Vírgula 3 2 6 9 2" xfId="42803" xr:uid="{F6952B5E-7197-4CA1-B4E2-8358DA9E7BEB}"/>
    <cellStyle name="Vírgula 3 2 7" xfId="310" xr:uid="{F3EAC064-1175-4377-BE61-1E89916A3C97}"/>
    <cellStyle name="Vírgula 3 2 7 10" xfId="12243" xr:uid="{E50CD9D9-85C3-4055-BEB2-2631288785B6}"/>
    <cellStyle name="Vírgula 3 2 7 10 2" xfId="32584" xr:uid="{8E950F53-5297-46CF-B607-2BB9B3DDBD3C}"/>
    <cellStyle name="Vírgula 3 2 7 11" xfId="8982" xr:uid="{5AA09815-3C3B-4D2C-A195-05F669951E8A}"/>
    <cellStyle name="Vírgula 3 2 7 11 2" xfId="29325" xr:uid="{DA25275D-7135-4BB9-90C4-888838D2FAB5}"/>
    <cellStyle name="Vírgula 3 2 7 12" xfId="25831" xr:uid="{14A07161-7723-409D-A65E-D56AED0B801D}"/>
    <cellStyle name="Vírgula 3 2 7 13" xfId="48755" xr:uid="{E75AD5E3-FA42-46DB-910E-299298CF44CA}"/>
    <cellStyle name="Vírgula 3 2 7 14" xfId="50425" xr:uid="{43FF30A1-7DE7-4635-B64F-1B16F7EADB70}"/>
    <cellStyle name="Vírgula 3 2 7 15" xfId="53720" xr:uid="{C57AE805-C759-4B6D-8BDA-6A122820E4C4}"/>
    <cellStyle name="Vírgula 3 2 7 16" xfId="5492" xr:uid="{6DCD7BF1-5D65-4684-8D9A-ED67748036ED}"/>
    <cellStyle name="Vírgula 3 2 7 17" xfId="4591" xr:uid="{CCDD2F58-01A9-4F8B-B6E7-D0B3323584C8}"/>
    <cellStyle name="Vírgula 3 2 7 2" xfId="1126" xr:uid="{4D905365-A15F-4AE1-A0C6-EB6A2E9A2507}"/>
    <cellStyle name="Vírgula 3 2 7 2 10" xfId="50426" xr:uid="{0425452E-490D-4EDF-8D79-1FD1AB6C24B7}"/>
    <cellStyle name="Vírgula 3 2 7 2 11" xfId="53721" xr:uid="{9B34450B-23D0-4378-BA70-D9CE88B1ECEC}"/>
    <cellStyle name="Vírgula 3 2 7 2 12" xfId="6064" xr:uid="{F3E7FA43-6264-4CA9-8925-9DC1B7289058}"/>
    <cellStyle name="Vírgula 3 2 7 2 2" xfId="2788" xr:uid="{C730F62A-E0C9-4D4F-8ECB-984A158CEFAC}"/>
    <cellStyle name="Vírgula 3 2 7 2 2 10" xfId="7222" xr:uid="{88DA3FC6-746B-4C62-9FC0-E8583DE9FE13}"/>
    <cellStyle name="Vírgula 3 2 7 2 2 2" xfId="17508" xr:uid="{EC296531-42C5-4E9D-8F0D-F2D1A500F83E}"/>
    <cellStyle name="Vírgula 3 2 7 2 2 2 2" xfId="37848" xr:uid="{C02A3338-D3C8-4903-835E-7311028EF762}"/>
    <cellStyle name="Vírgula 3 2 7 2 2 3" xfId="21010" xr:uid="{45565D91-5B62-4277-96E7-BDCC81574DAD}"/>
    <cellStyle name="Vírgula 3 2 7 2 2 3 2" xfId="41349" xr:uid="{6CC9200F-2C76-4866-A00A-E06E4AC55253}"/>
    <cellStyle name="Vírgula 3 2 7 2 2 4" xfId="24265" xr:uid="{5FEAEADF-B461-4367-967E-CDC874DE3F86}"/>
    <cellStyle name="Vírgula 3 2 7 2 2 4 2" xfId="44600" xr:uid="{6A8335CF-421A-4381-86C3-9E854F5CA571}"/>
    <cellStyle name="Vírgula 3 2 7 2 2 5" xfId="14599" xr:uid="{F532801B-6FF3-4317-9374-410FDF2232E8}"/>
    <cellStyle name="Vírgula 3 2 7 2 2 5 2" xfId="34940" xr:uid="{418A1A67-99F3-436B-A042-42E12FCBF1A0}"/>
    <cellStyle name="Vírgula 3 2 7 2 2 6" xfId="10721" xr:uid="{831DB8EE-2777-43C1-ABB7-CC68EB2E3C3C}"/>
    <cellStyle name="Vírgula 3 2 7 2 2 6 2" xfId="31064" xr:uid="{135EA41A-02F9-4984-80CD-0174C8114AED}"/>
    <cellStyle name="Vírgula 3 2 7 2 2 7" xfId="27570" xr:uid="{5EAC56B5-63F3-4BC6-A89E-A0E0A3E6C49E}"/>
    <cellStyle name="Vírgula 3 2 7 2 2 8" xfId="52058" xr:uid="{29682169-86B7-472B-B1E2-8D860DFAFF7E}"/>
    <cellStyle name="Vírgula 3 2 7 2 2 9" xfId="55352" xr:uid="{80974D29-6F39-42FD-879B-BE6AE95EB723}"/>
    <cellStyle name="Vírgula 3 2 7 2 3" xfId="16350" xr:uid="{8F4C768C-5F84-4699-97D7-8AA29178D6E3}"/>
    <cellStyle name="Vírgula 3 2 7 2 3 2" xfId="36690" xr:uid="{890FC5E0-22C1-4122-B0A5-23EC7B34C579}"/>
    <cellStyle name="Vírgula 3 2 7 2 3 3" xfId="56997" xr:uid="{90DD951A-9348-44F0-9212-533673544497}"/>
    <cellStyle name="Vírgula 3 2 7 2 4" xfId="19852" xr:uid="{86175E78-1CEC-4345-A34D-DD0AF9E89985}"/>
    <cellStyle name="Vírgula 3 2 7 2 4 2" xfId="40191" xr:uid="{EAEF8EA3-3309-489A-A54A-1571978D6820}"/>
    <cellStyle name="Vírgula 3 2 7 2 5" xfId="23107" xr:uid="{1878DF1F-3F4E-4D7F-8C96-F964321DA8A5}"/>
    <cellStyle name="Vírgula 3 2 7 2 5 2" xfId="43442" xr:uid="{D8418BAA-8961-44FA-B0CC-15F7DEAB76E9}"/>
    <cellStyle name="Vírgula 3 2 7 2 6" xfId="13441" xr:uid="{08ADCFB5-1DE0-4235-BAFD-86A934DA2D2C}"/>
    <cellStyle name="Vírgula 3 2 7 2 6 2" xfId="33782" xr:uid="{BEC9FFE2-2C55-4090-B70E-D88D8396B840}"/>
    <cellStyle name="Vírgula 3 2 7 2 7" xfId="9563" xr:uid="{F632C43D-CFB2-43E0-BE62-7C9D204435B3}"/>
    <cellStyle name="Vírgula 3 2 7 2 7 2" xfId="29906" xr:uid="{4F59B791-C2CE-4AD3-A9D3-43BDD770F8DE}"/>
    <cellStyle name="Vírgula 3 2 7 2 8" xfId="26412" xr:uid="{7501ADD1-259F-4E10-8A92-DB8D5C6B6C23}"/>
    <cellStyle name="Vírgula 3 2 7 2 9" xfId="48756" xr:uid="{5DE9722F-4096-4F45-A21A-A9A7594F513B}"/>
    <cellStyle name="Vírgula 3 2 7 3" xfId="1532" xr:uid="{D4B660DF-FCE2-437C-AF02-5F6D31802975}"/>
    <cellStyle name="Vírgula 3 2 7 3 10" xfId="53722" xr:uid="{F39DDF16-0AF2-4DE2-8CD2-2DB474A824E4}"/>
    <cellStyle name="Vírgula 3 2 7 3 11" xfId="6641" xr:uid="{D64FC8DC-7CC0-4473-898D-FBA585AA7369}"/>
    <cellStyle name="Vírgula 3 2 7 3 2" xfId="3193" xr:uid="{E2A17E75-E8CA-46C9-9155-8BCDB61240BE}"/>
    <cellStyle name="Vírgula 3 2 7 3 2 2" xfId="37267" xr:uid="{79470A92-0C51-4AE1-BC31-FF851113A5E7}"/>
    <cellStyle name="Vírgula 3 2 7 3 2 3" xfId="52059" xr:uid="{E3FD6044-0F05-4F6C-B714-3370F710F46B}"/>
    <cellStyle name="Vírgula 3 2 7 3 2 4" xfId="55353" xr:uid="{62C8C349-3A5C-4F2C-A985-87C69AACFEC2}"/>
    <cellStyle name="Vírgula 3 2 7 3 2 5" xfId="16927" xr:uid="{1FC75133-FE4E-45B6-94AF-1A8976971DCE}"/>
    <cellStyle name="Vírgula 3 2 7 3 3" xfId="20429" xr:uid="{C6A7C754-5E98-47CA-A6AA-6826428467E0}"/>
    <cellStyle name="Vírgula 3 2 7 3 3 2" xfId="40768" xr:uid="{8B3B6281-9197-4E57-9070-D5BA62C89843}"/>
    <cellStyle name="Vírgula 3 2 7 3 3 3" xfId="57403" xr:uid="{4C4CDC2A-9BA8-431B-8A55-0A26CB2C2DEE}"/>
    <cellStyle name="Vírgula 3 2 7 3 4" xfId="23684" xr:uid="{74709E23-1698-4BE1-98F3-76D769FFED71}"/>
    <cellStyle name="Vírgula 3 2 7 3 4 2" xfId="44019" xr:uid="{F9EB0A0B-A037-4F3F-A73C-686EBD357AE7}"/>
    <cellStyle name="Vírgula 3 2 7 3 5" xfId="14018" xr:uid="{DDA0A752-4440-4D68-8B2F-D0B365F855AB}"/>
    <cellStyle name="Vírgula 3 2 7 3 5 2" xfId="34359" xr:uid="{8659CAEF-F141-4A17-BAD7-E4FEAEBBDD60}"/>
    <cellStyle name="Vírgula 3 2 7 3 6" xfId="10140" xr:uid="{F44788DB-62E4-45C4-8331-B2D8F0238C4D}"/>
    <cellStyle name="Vírgula 3 2 7 3 6 2" xfId="30483" xr:uid="{0427205E-B08A-4CE4-ADE1-05E48A37324E}"/>
    <cellStyle name="Vírgula 3 2 7 3 7" xfId="26989" xr:uid="{ADF9656D-0918-4D56-ADFE-4261B46CCDC5}"/>
    <cellStyle name="Vírgula 3 2 7 3 8" xfId="48757" xr:uid="{0ECAA1C9-B9D7-463D-8674-1E2EAE8AEF36}"/>
    <cellStyle name="Vírgula 3 2 7 3 9" xfId="50427" xr:uid="{3B896668-1F50-485B-9508-CC770F49FFDA}"/>
    <cellStyle name="Vírgula 3 2 7 4" xfId="719" xr:uid="{000D83EA-DFE7-4E7A-A0C0-C4DFD455C61D}"/>
    <cellStyle name="Vírgula 3 2 7 4 10" xfId="53723" xr:uid="{390C2B6A-2E8D-4B9B-B225-43C1F0D40CCC}"/>
    <cellStyle name="Vírgula 3 2 7 4 11" xfId="7805" xr:uid="{08579A31-7B4B-4FBF-B432-031D795A895D}"/>
    <cellStyle name="Vírgula 3 2 7 4 2" xfId="2435" xr:uid="{716C4A5D-EA5D-44AB-BFAB-4BEAF5323989}"/>
    <cellStyle name="Vírgula 3 2 7 4 2 2" xfId="38430" xr:uid="{9E91C1AE-8EB7-474A-A805-0BEE4985D0F9}"/>
    <cellStyle name="Vírgula 3 2 7 4 2 3" xfId="52060" xr:uid="{A8A951DE-BB70-4C2C-A56C-92B6F4623F16}"/>
    <cellStyle name="Vírgula 3 2 7 4 2 4" xfId="55354" xr:uid="{4D26D428-533A-470A-B3C6-AB178CB2BC36}"/>
    <cellStyle name="Vírgula 3 2 7 4 2 5" xfId="18090" xr:uid="{70E66836-6C9B-4E50-B357-2847FD111D8C}"/>
    <cellStyle name="Vírgula 3 2 7 4 3" xfId="21592" xr:uid="{E2FD5DF6-67E1-4197-AF9B-B6107F9E6B55}"/>
    <cellStyle name="Vírgula 3 2 7 4 3 2" xfId="41931" xr:uid="{6E75A30A-59E0-4269-BF44-C368EE81378F}"/>
    <cellStyle name="Vírgula 3 2 7 4 3 3" xfId="56590" xr:uid="{E817CBDC-CDD2-4C31-ADBE-6B915D3C6C25}"/>
    <cellStyle name="Vírgula 3 2 7 4 4" xfId="24847" xr:uid="{20C0EC72-B844-492F-83E0-6390D35684B4}"/>
    <cellStyle name="Vírgula 3 2 7 4 4 2" xfId="45182" xr:uid="{3FB618ED-85A8-4F0D-86F3-8C46ABACC4A9}"/>
    <cellStyle name="Vírgula 3 2 7 4 5" xfId="15182" xr:uid="{240D518B-DB03-40D3-9282-5CD48014ACCA}"/>
    <cellStyle name="Vírgula 3 2 7 4 5 2" xfId="35522" xr:uid="{EAA45CAC-61A0-466D-9E44-95A4C29B902F}"/>
    <cellStyle name="Vírgula 3 2 7 4 6" xfId="11303" xr:uid="{B5775846-BE4F-497E-A662-19D16E407DC0}"/>
    <cellStyle name="Vírgula 3 2 7 4 6 2" xfId="31646" xr:uid="{1D3B5077-D8D0-4674-BE5C-200874104F06}"/>
    <cellStyle name="Vírgula 3 2 7 4 7" xfId="28152" xr:uid="{755DCF33-0F57-499D-A7BB-631264FF76CB}"/>
    <cellStyle name="Vírgula 3 2 7 4 8" xfId="48758" xr:uid="{E7831548-1E8C-4CCD-A318-AFE74B24D89A}"/>
    <cellStyle name="Vírgula 3 2 7 4 9" xfId="50428" xr:uid="{1CF3E910-3DEA-43DE-8622-3264F290ACAD}"/>
    <cellStyle name="Vírgula 3 2 7 5" xfId="3710" xr:uid="{1EA0EA1F-48D2-4DFD-979E-119AF20D7B73}"/>
    <cellStyle name="Vírgula 3 2 7 5 2" xfId="33213" xr:uid="{BE4162EB-6CFE-4E5C-BE6D-7476035F6973}"/>
    <cellStyle name="Vírgula 3 2 7 5 3" xfId="52057" xr:uid="{F1A653F6-2351-43B5-AABC-4198548D817E}"/>
    <cellStyle name="Vírgula 3 2 7 5 4" xfId="55351" xr:uid="{566A1761-89AA-4A3E-9476-46A6337F73E4}"/>
    <cellStyle name="Vírgula 3 2 7 5 5" xfId="12872" xr:uid="{1A57D784-7036-414E-9784-0994D24990A6}"/>
    <cellStyle name="Vírgula 3 2 7 6" xfId="4163" xr:uid="{39C2E504-728C-4E03-B80A-5C9B3FEB0C2A}"/>
    <cellStyle name="Vírgula 3 2 7 6 2" xfId="36109" xr:uid="{F33179EB-F469-4F72-84E2-C0F96EAAC850}"/>
    <cellStyle name="Vírgula 3 2 7 6 3" xfId="56181" xr:uid="{912C3BB6-DDD5-4032-A3C3-B597EFF19D60}"/>
    <cellStyle name="Vírgula 3 2 7 6 4" xfId="15769" xr:uid="{F133AAC7-A4C3-41FB-8105-6433F8026910}"/>
    <cellStyle name="Vírgula 3 2 7 7" xfId="2111" xr:uid="{4D6612D2-752B-4DD1-85B4-46C180D88930}"/>
    <cellStyle name="Vírgula 3 2 7 7 2" xfId="39023" xr:uid="{80AB6AF8-9D18-4698-8134-B726A7E8D69D}"/>
    <cellStyle name="Vírgula 3 2 7 7 3" xfId="18683" xr:uid="{47117013-0B16-441B-8B73-DF1DC43CFC9B}"/>
    <cellStyle name="Vírgula 3 2 7 8" xfId="19271" xr:uid="{7C675027-25D5-4FD6-A07A-A7DB988EEC2A}"/>
    <cellStyle name="Vírgula 3 2 7 8 2" xfId="39610" xr:uid="{C27E16E3-B174-44AF-A141-68154591D759}"/>
    <cellStyle name="Vírgula 3 2 7 9" xfId="22526" xr:uid="{89ECAFB9-1892-465B-BBCE-5E06FFABAD41}"/>
    <cellStyle name="Vírgula 3 2 7 9 2" xfId="42861" xr:uid="{FF7580F9-173D-4BB3-803A-BEC1285311C7}"/>
    <cellStyle name="Vírgula 3 2 8" xfId="121" xr:uid="{C9606433-4798-4DB5-AA51-23FA6360DCC9}"/>
    <cellStyle name="Vírgula 3 2 8 10" xfId="12287" xr:uid="{58C22E1A-7F09-4EF6-83F8-E960B9E76862}"/>
    <cellStyle name="Vírgula 3 2 8 10 2" xfId="32628" xr:uid="{D0EAC3EE-5D1C-4901-8A15-A607D6BBFDD1}"/>
    <cellStyle name="Vírgula 3 2 8 11" xfId="9026" xr:uid="{8C539784-264C-448E-A2FD-98F555A97B02}"/>
    <cellStyle name="Vírgula 3 2 8 11 2" xfId="29369" xr:uid="{355CE1C3-7EF9-4CE8-9304-D4B664C5B9FB}"/>
    <cellStyle name="Vírgula 3 2 8 12" xfId="25875" xr:uid="{6CF77E30-D806-48B8-9907-3AC286A5B89C}"/>
    <cellStyle name="Vírgula 3 2 8 13" xfId="48759" xr:uid="{B9AAA8B8-7EF0-471B-8BE9-5C27F2A318C7}"/>
    <cellStyle name="Vírgula 3 2 8 14" xfId="50429" xr:uid="{BE68C362-1C84-4CB0-9B1C-E82A948B5977}"/>
    <cellStyle name="Vírgula 3 2 8 15" xfId="53724" xr:uid="{D7B89028-ADC7-480D-9232-9861F3D18965}"/>
    <cellStyle name="Vírgula 3 2 8 16" xfId="5536" xr:uid="{4A9BECBA-283F-45C3-9638-3EDF4C26274F}"/>
    <cellStyle name="Vírgula 3 2 8 17" xfId="4402" xr:uid="{E7BF4AEC-B5A5-447D-962A-DBB20A24C16F}"/>
    <cellStyle name="Vírgula 3 2 8 2" xfId="937" xr:uid="{79870287-C7F0-4F20-B65B-403D336FD8E6}"/>
    <cellStyle name="Vírgula 3 2 8 2 10" xfId="50430" xr:uid="{FBCB6BC6-99E4-4C3B-96AF-AA5272292615}"/>
    <cellStyle name="Vírgula 3 2 8 2 11" xfId="53725" xr:uid="{AA87B036-5E22-4C0D-9E48-75C25868CAB4}"/>
    <cellStyle name="Vírgula 3 2 8 2 12" xfId="6108" xr:uid="{A5211C6F-C9DA-45E7-8E67-ED3E1CE47F6C}"/>
    <cellStyle name="Vírgula 3 2 8 2 2" xfId="2652" xr:uid="{C1C85602-43DA-4E60-8CC3-19B81BEACED9}"/>
    <cellStyle name="Vírgula 3 2 8 2 2 10" xfId="7266" xr:uid="{9285DAB7-4289-40D0-8E4F-B1C93D1BC6DB}"/>
    <cellStyle name="Vírgula 3 2 8 2 2 2" xfId="17552" xr:uid="{F4BCB83D-3E68-47C2-9236-6126276B26F2}"/>
    <cellStyle name="Vírgula 3 2 8 2 2 2 2" xfId="37892" xr:uid="{FD587B11-C133-484B-8793-925425DEE158}"/>
    <cellStyle name="Vírgula 3 2 8 2 2 3" xfId="21054" xr:uid="{3C5FB845-6D4D-4710-A6D9-840AF67545F6}"/>
    <cellStyle name="Vírgula 3 2 8 2 2 3 2" xfId="41393" xr:uid="{6EAFAEAA-4BA8-44D6-BD63-1B3540A198F1}"/>
    <cellStyle name="Vírgula 3 2 8 2 2 4" xfId="24309" xr:uid="{D6CCC70B-BEFF-43E7-B234-9824103FD93D}"/>
    <cellStyle name="Vírgula 3 2 8 2 2 4 2" xfId="44644" xr:uid="{9186621D-775B-4137-98B0-C3C5D539302B}"/>
    <cellStyle name="Vírgula 3 2 8 2 2 5" xfId="14643" xr:uid="{87A94923-1C43-4D37-9A40-4256DF6EC8B9}"/>
    <cellStyle name="Vírgula 3 2 8 2 2 5 2" xfId="34984" xr:uid="{68FCD2BD-F786-44D2-97C8-4BA6E6CB3C5A}"/>
    <cellStyle name="Vírgula 3 2 8 2 2 6" xfId="10765" xr:uid="{E7CC6382-CA6F-4B04-9333-825947FC5E72}"/>
    <cellStyle name="Vírgula 3 2 8 2 2 6 2" xfId="31108" xr:uid="{3ABC5070-84F4-4778-8753-0A5AC4E68322}"/>
    <cellStyle name="Vírgula 3 2 8 2 2 7" xfId="27614" xr:uid="{15F54B5E-9718-4755-B297-E48B580D3D5F}"/>
    <cellStyle name="Vírgula 3 2 8 2 2 8" xfId="52062" xr:uid="{05077A83-30BF-4A1C-817B-B505A7F2EECC}"/>
    <cellStyle name="Vírgula 3 2 8 2 2 9" xfId="55356" xr:uid="{F17A57B3-4451-43AD-BBEC-C19A4ABB1D20}"/>
    <cellStyle name="Vírgula 3 2 8 2 3" xfId="16394" xr:uid="{5BABEB91-AA97-48B8-B4E3-C02A8FB53836}"/>
    <cellStyle name="Vírgula 3 2 8 2 3 2" xfId="36734" xr:uid="{D6D717FE-68E5-43D3-9F2D-8A2C2274E717}"/>
    <cellStyle name="Vírgula 3 2 8 2 3 3" xfId="56808" xr:uid="{921B4F0A-456E-45BF-967B-460B5673A157}"/>
    <cellStyle name="Vírgula 3 2 8 2 4" xfId="19896" xr:uid="{4EABC174-C0EB-4159-99D9-9CE0427097D3}"/>
    <cellStyle name="Vírgula 3 2 8 2 4 2" xfId="40235" xr:uid="{83FD0FAA-BBD4-4AA9-B160-EB93BD9D296E}"/>
    <cellStyle name="Vírgula 3 2 8 2 5" xfId="23151" xr:uid="{8BBCA78B-20CB-472E-B31E-F9E40FF84DF2}"/>
    <cellStyle name="Vírgula 3 2 8 2 5 2" xfId="43486" xr:uid="{7B99C0A5-5B70-44A3-BA6A-483374866EC3}"/>
    <cellStyle name="Vírgula 3 2 8 2 6" xfId="13485" xr:uid="{69FF3F3D-E9A9-46CF-B361-2F5DA9D9EBA6}"/>
    <cellStyle name="Vírgula 3 2 8 2 6 2" xfId="33826" xr:uid="{F95B76A6-0A12-46F3-B513-F646576DCCD9}"/>
    <cellStyle name="Vírgula 3 2 8 2 7" xfId="9607" xr:uid="{1FE63648-ED53-417A-8964-F213180D8730}"/>
    <cellStyle name="Vírgula 3 2 8 2 7 2" xfId="29950" xr:uid="{4B10EB2D-733E-4B84-B83C-EB67D8E8B865}"/>
    <cellStyle name="Vírgula 3 2 8 2 8" xfId="26456" xr:uid="{316CA490-001E-42BA-A3D0-770BCC20B7F4}"/>
    <cellStyle name="Vírgula 3 2 8 2 9" xfId="48760" xr:uid="{84A69118-B97B-4C13-92B2-F65CA4B9E275}"/>
    <cellStyle name="Vírgula 3 2 8 3" xfId="1343" xr:uid="{5FDCFC18-08D2-42AF-BC09-5486B5F1B56E}"/>
    <cellStyle name="Vírgula 3 2 8 3 10" xfId="53726" xr:uid="{57DF24C9-20A4-4B21-B328-2DC3AAF7DABB}"/>
    <cellStyle name="Vírgula 3 2 8 3 11" xfId="6685" xr:uid="{B11D99A9-A392-4022-BE4C-4092D3CB58F0}"/>
    <cellStyle name="Vírgula 3 2 8 3 2" xfId="3004" xr:uid="{7715F202-42BE-4DD9-B9AF-C714CEB9D361}"/>
    <cellStyle name="Vírgula 3 2 8 3 2 2" xfId="37311" xr:uid="{8F1D3FFA-85D2-4F31-9A98-9DEC16CEBCB5}"/>
    <cellStyle name="Vírgula 3 2 8 3 2 3" xfId="52063" xr:uid="{EB82F6B4-1E6C-40D9-B148-6DB345BD688D}"/>
    <cellStyle name="Vírgula 3 2 8 3 2 4" xfId="55357" xr:uid="{4216CCB6-F14C-4A43-A9ED-D5A2B3907AC0}"/>
    <cellStyle name="Vírgula 3 2 8 3 2 5" xfId="16971" xr:uid="{18C43FA0-7104-44C1-8CE4-E88FF4CDB2D1}"/>
    <cellStyle name="Vírgula 3 2 8 3 3" xfId="20473" xr:uid="{C4B2AD66-3BAD-45DD-A07C-A47CC40E168A}"/>
    <cellStyle name="Vírgula 3 2 8 3 3 2" xfId="40812" xr:uid="{DFBFC6FE-2E3D-461C-8863-DD40F41049DE}"/>
    <cellStyle name="Vírgula 3 2 8 3 3 3" xfId="57214" xr:uid="{251E3B65-D53A-441F-8528-3A6FFC89C5E9}"/>
    <cellStyle name="Vírgula 3 2 8 3 4" xfId="23728" xr:uid="{4A775F63-4DE4-4C5C-99D2-6836EE537A76}"/>
    <cellStyle name="Vírgula 3 2 8 3 4 2" xfId="44063" xr:uid="{8E3E096B-38DC-4A89-B572-38EA8CA79F1D}"/>
    <cellStyle name="Vírgula 3 2 8 3 5" xfId="14062" xr:uid="{4CBC6124-069E-450B-9A6E-964BB91EA01C}"/>
    <cellStyle name="Vírgula 3 2 8 3 5 2" xfId="34403" xr:uid="{1C110D62-5ED3-4F16-8A0B-4B3C8C8C229E}"/>
    <cellStyle name="Vírgula 3 2 8 3 6" xfId="10184" xr:uid="{F8FCA772-E549-41A5-84B7-916029B68C67}"/>
    <cellStyle name="Vírgula 3 2 8 3 6 2" xfId="30527" xr:uid="{4EA5393E-68E4-4196-958F-9BCA60ED638B}"/>
    <cellStyle name="Vírgula 3 2 8 3 7" xfId="27033" xr:uid="{D6598540-B5B2-4B82-AA32-C57AE555EE6C}"/>
    <cellStyle name="Vírgula 3 2 8 3 8" xfId="48761" xr:uid="{304A3562-64C1-457F-934A-B83CF9FFD21A}"/>
    <cellStyle name="Vírgula 3 2 8 3 9" xfId="50431" xr:uid="{888EC24B-CFBF-4779-841A-FF5C5EA86AF1}"/>
    <cellStyle name="Vírgula 3 2 8 4" xfId="530" xr:uid="{D5D3F89E-913B-46B6-9264-6475115A4FF6}"/>
    <cellStyle name="Vírgula 3 2 8 4 10" xfId="53727" xr:uid="{C821E062-5C46-48D1-A6DE-0DE2E77F19AE}"/>
    <cellStyle name="Vírgula 3 2 8 4 11" xfId="7849" xr:uid="{B10725E1-0DAA-451D-948B-439371CC65CE}"/>
    <cellStyle name="Vírgula 3 2 8 4 2" xfId="2246" xr:uid="{88A3B0FA-37DF-4364-9EE1-650FD3F05EEB}"/>
    <cellStyle name="Vírgula 3 2 8 4 2 2" xfId="38474" xr:uid="{73305D61-FF3F-44C9-BFAA-F880DE0CA7B1}"/>
    <cellStyle name="Vírgula 3 2 8 4 2 3" xfId="52064" xr:uid="{2F6EEC7C-9818-41D0-80D2-08BDDF91A540}"/>
    <cellStyle name="Vírgula 3 2 8 4 2 4" xfId="55358" xr:uid="{1FA8595A-50D4-4BE1-8E42-DDA0EF520885}"/>
    <cellStyle name="Vírgula 3 2 8 4 2 5" xfId="18134" xr:uid="{6E6A0934-0A0A-4EDD-B261-57DC596569F1}"/>
    <cellStyle name="Vírgula 3 2 8 4 3" xfId="21636" xr:uid="{9FE4A5A5-DFD2-4BF1-B365-04EEF6B86F79}"/>
    <cellStyle name="Vírgula 3 2 8 4 3 2" xfId="41975" xr:uid="{6C099FF4-D527-49BC-BBBF-ABA8A6EE0477}"/>
    <cellStyle name="Vírgula 3 2 8 4 3 3" xfId="56401" xr:uid="{3CD66ACA-0DCB-4EA6-AD5D-7E186345A53A}"/>
    <cellStyle name="Vírgula 3 2 8 4 4" xfId="24891" xr:uid="{38AB4EA3-63CD-46C6-AA85-8D0202A73FDF}"/>
    <cellStyle name="Vírgula 3 2 8 4 4 2" xfId="45226" xr:uid="{86616FD7-6E93-41D0-A363-8C7E6E675331}"/>
    <cellStyle name="Vírgula 3 2 8 4 5" xfId="15226" xr:uid="{8DBFF06D-089C-4812-9D4B-081E12960764}"/>
    <cellStyle name="Vírgula 3 2 8 4 5 2" xfId="35566" xr:uid="{F365B341-1763-4CEA-922E-CDACD21DC5F7}"/>
    <cellStyle name="Vírgula 3 2 8 4 6" xfId="11347" xr:uid="{9051F3B0-9D3D-4A91-A694-53F80D3F10CB}"/>
    <cellStyle name="Vírgula 3 2 8 4 6 2" xfId="31690" xr:uid="{F9E4EFDD-5E1C-4511-A03C-DDAF9347F1DB}"/>
    <cellStyle name="Vírgula 3 2 8 4 7" xfId="28196" xr:uid="{68DF30DB-6992-4546-A926-64D214C48501}"/>
    <cellStyle name="Vírgula 3 2 8 4 8" xfId="48762" xr:uid="{B3CF9A60-4487-4F21-8DDD-35778C02FE1D}"/>
    <cellStyle name="Vírgula 3 2 8 4 9" xfId="50432" xr:uid="{89DD0F1E-ABBD-4BA5-B46B-59AF523E4DC4}"/>
    <cellStyle name="Vírgula 3 2 8 5" xfId="2078" xr:uid="{53F4A23D-8EE5-44E9-9A4F-672BB178BED4}"/>
    <cellStyle name="Vírgula 3 2 8 5 2" xfId="33257" xr:uid="{3E8044FD-30C6-41D7-A9C5-7309FD16553C}"/>
    <cellStyle name="Vírgula 3 2 8 5 3" xfId="52061" xr:uid="{43536A71-5602-45EE-9C52-952BA12FE884}"/>
    <cellStyle name="Vírgula 3 2 8 5 4" xfId="55355" xr:uid="{B099E1A6-9472-41DA-81D4-86EB72068983}"/>
    <cellStyle name="Vírgula 3 2 8 5 5" xfId="12916" xr:uid="{96CF106F-2DFF-4CE5-9862-55D499364A47}"/>
    <cellStyle name="Vírgula 3 2 8 6" xfId="15813" xr:uid="{5926C785-506B-4301-AD14-0C5F22B20C73}"/>
    <cellStyle name="Vírgula 3 2 8 6 2" xfId="36153" xr:uid="{05672D2C-337E-4EB2-B658-8D336E6B7EB3}"/>
    <cellStyle name="Vírgula 3 2 8 6 3" xfId="55992" xr:uid="{B6E2CA1F-22CB-4776-8715-481FBF39C6DF}"/>
    <cellStyle name="Vírgula 3 2 8 7" xfId="18727" xr:uid="{06E28DFB-BDFC-4E42-8DEB-C986993D7E31}"/>
    <cellStyle name="Vírgula 3 2 8 7 2" xfId="39067" xr:uid="{E2ACF7C3-A5E5-40D7-9824-9BF386E68BB8}"/>
    <cellStyle name="Vírgula 3 2 8 8" xfId="19315" xr:uid="{26501928-42A5-4110-B49D-E24820C6D8A9}"/>
    <cellStyle name="Vírgula 3 2 8 8 2" xfId="39654" xr:uid="{A2A9ED4C-3B2E-442A-908F-BE61DD7FBA87}"/>
    <cellStyle name="Vírgula 3 2 8 9" xfId="22570" xr:uid="{35CC488E-2DF6-4DA2-A0BD-A25C2C22D79F}"/>
    <cellStyle name="Vírgula 3 2 8 9 2" xfId="42905" xr:uid="{098685D2-8F14-4613-98A8-7F74AE04A0A1}"/>
    <cellStyle name="Vírgula 3 2 9" xfId="915" xr:uid="{9374235B-8E30-4E9D-BFDF-9E4215906454}"/>
    <cellStyle name="Vírgula 3 2 9 10" xfId="12416" xr:uid="{DE12561E-9452-4DAC-8B30-51D187779928}"/>
    <cellStyle name="Vírgula 3 2 9 10 2" xfId="32757" xr:uid="{983CC061-B1D1-4B97-881C-80ACDA42D477}"/>
    <cellStyle name="Vírgula 3 2 9 11" xfId="9155" xr:uid="{DA2E2EDB-AD02-40A5-AAB0-5CFD07BF829D}"/>
    <cellStyle name="Vírgula 3 2 9 11 2" xfId="29498" xr:uid="{3D48FC2E-5BFB-4308-9AFA-49E78FE42E52}"/>
    <cellStyle name="Vírgula 3 2 9 12" xfId="26004" xr:uid="{8E1C4B44-B900-46E4-A917-F1F15AD41DAB}"/>
    <cellStyle name="Vírgula 3 2 9 13" xfId="48763" xr:uid="{F5071244-8DD5-430D-92DD-2A61954C0464}"/>
    <cellStyle name="Vírgula 3 2 9 14" xfId="50433" xr:uid="{70F2DC68-38C3-43D0-986C-604127140613}"/>
    <cellStyle name="Vírgula 3 2 9 15" xfId="53728" xr:uid="{9795BA13-25B3-4374-B5B8-8F1E7ED97C6C}"/>
    <cellStyle name="Vírgula 3 2 9 16" xfId="5665" xr:uid="{14F4F4D0-DFE5-473E-81AE-4CE1F6E78BB4}"/>
    <cellStyle name="Vírgula 3 2 9 17" xfId="4799" xr:uid="{BDC642E0-7AA3-486F-821E-39B2FE67B8B5}"/>
    <cellStyle name="Vírgula 3 2 9 2" xfId="2631" xr:uid="{D26729EE-DB69-45A9-9FDC-B06CFD09DBAD}"/>
    <cellStyle name="Vírgula 3 2 9 2 10" xfId="55359" xr:uid="{2334C6AE-2D95-4772-82A4-D2EDDCFB6DAE}"/>
    <cellStyle name="Vírgula 3 2 9 2 11" xfId="6237" xr:uid="{2B8304EF-B35E-4FA7-9712-4D242A8BE16C}"/>
    <cellStyle name="Vírgula 3 2 9 2 2" xfId="7395" xr:uid="{BED36FB0-ED71-4B3A-881E-38030C240351}"/>
    <cellStyle name="Vírgula 3 2 9 2 2 2" xfId="17681" xr:uid="{505E9E77-9C46-44FA-B105-D9C31CDAC8F0}"/>
    <cellStyle name="Vírgula 3 2 9 2 2 2 2" xfId="38021" xr:uid="{2D5B3451-C9C3-4DB1-BA1B-CFC6237AB2C4}"/>
    <cellStyle name="Vírgula 3 2 9 2 2 3" xfId="21183" xr:uid="{62A6E7FB-B34D-4597-9508-50EB2F95BF30}"/>
    <cellStyle name="Vírgula 3 2 9 2 2 3 2" xfId="41522" xr:uid="{5C96BDE4-97D4-4627-A3CF-C2D5168D3780}"/>
    <cellStyle name="Vírgula 3 2 9 2 2 4" xfId="24438" xr:uid="{F6D2349E-5D47-4DAD-BE95-FF94DEC1CB0D}"/>
    <cellStyle name="Vírgula 3 2 9 2 2 4 2" xfId="44773" xr:uid="{96580682-DA59-4983-9BFF-87B1CF0A2A48}"/>
    <cellStyle name="Vírgula 3 2 9 2 2 5" xfId="14772" xr:uid="{2BE4D753-1E7A-49CC-B465-B38A2CE88D85}"/>
    <cellStyle name="Vírgula 3 2 9 2 2 5 2" xfId="35113" xr:uid="{0B7C614A-03CA-410C-9012-365D6AA1B481}"/>
    <cellStyle name="Vírgula 3 2 9 2 2 6" xfId="10894" xr:uid="{1F06FBC7-3265-4415-A29F-779B89402012}"/>
    <cellStyle name="Vírgula 3 2 9 2 2 6 2" xfId="31237" xr:uid="{93493E45-8EEB-432A-81C8-2904681E6AE6}"/>
    <cellStyle name="Vírgula 3 2 9 2 2 7" xfId="27743" xr:uid="{196A6D74-E2CC-4A87-9044-7A1E017893A5}"/>
    <cellStyle name="Vírgula 3 2 9 2 3" xfId="16523" xr:uid="{519DFFBE-0597-462A-8DE3-01DB3BD4EBF8}"/>
    <cellStyle name="Vírgula 3 2 9 2 3 2" xfId="36863" xr:uid="{635F27F0-3513-47AF-95FF-05B2CA94FA16}"/>
    <cellStyle name="Vírgula 3 2 9 2 4" xfId="20025" xr:uid="{89314B41-4684-4F2B-A96C-5E4372F03FE4}"/>
    <cellStyle name="Vírgula 3 2 9 2 4 2" xfId="40364" xr:uid="{C4C61151-4429-4CA2-8054-FD8F2D0E3B4F}"/>
    <cellStyle name="Vírgula 3 2 9 2 5" xfId="23280" xr:uid="{D9152177-1522-4C5E-A0BE-60D9EBFB95D9}"/>
    <cellStyle name="Vírgula 3 2 9 2 5 2" xfId="43615" xr:uid="{6C7B6E0F-06E5-4F28-9B9F-CAAC8D577AEE}"/>
    <cellStyle name="Vírgula 3 2 9 2 6" xfId="13614" xr:uid="{BC75DA32-2626-48A6-9375-7CC5624C1D9A}"/>
    <cellStyle name="Vírgula 3 2 9 2 6 2" xfId="33955" xr:uid="{44B1D26D-4484-4032-AB71-0F03D1339C6C}"/>
    <cellStyle name="Vírgula 3 2 9 2 7" xfId="9736" xr:uid="{44FB961D-43A0-4B98-8BFD-23EF63A71660}"/>
    <cellStyle name="Vírgula 3 2 9 2 7 2" xfId="30079" xr:uid="{65215DC2-7644-450F-B660-1EC293FE768C}"/>
    <cellStyle name="Vírgula 3 2 9 2 8" xfId="26585" xr:uid="{5465C5D5-A150-4860-8408-F7BE9B33522B}"/>
    <cellStyle name="Vírgula 3 2 9 2 9" xfId="52065" xr:uid="{32FEF091-D0CB-4CAF-B838-CAD6A58187DA}"/>
    <cellStyle name="Vírgula 3 2 9 3" xfId="6814" xr:uid="{2ABB4C53-8389-4701-B6C5-3B97E5E0ADAB}"/>
    <cellStyle name="Vírgula 3 2 9 3 2" xfId="17100" xr:uid="{F43CACE1-6058-4755-BA13-46234DB4406E}"/>
    <cellStyle name="Vírgula 3 2 9 3 2 2" xfId="37440" xr:uid="{35155FA4-3A03-4224-9459-1AF34850E6B3}"/>
    <cellStyle name="Vírgula 3 2 9 3 3" xfId="20602" xr:uid="{3252D414-3C4C-4233-A2FD-723E4668E00E}"/>
    <cellStyle name="Vírgula 3 2 9 3 3 2" xfId="40941" xr:uid="{0B09E527-6E5F-44E0-922F-829F061A786C}"/>
    <cellStyle name="Vírgula 3 2 9 3 4" xfId="23857" xr:uid="{C6537135-7AAC-4BD1-A97A-7A554AFB9D56}"/>
    <cellStyle name="Vírgula 3 2 9 3 4 2" xfId="44192" xr:uid="{2426B829-09FE-48E7-95B1-DB0BEC2DC00D}"/>
    <cellStyle name="Vírgula 3 2 9 3 5" xfId="14191" xr:uid="{1FCEA88D-9A2F-4B7E-8AAF-F9A4D4545053}"/>
    <cellStyle name="Vírgula 3 2 9 3 5 2" xfId="34532" xr:uid="{8CBADAE6-C290-4426-8CA5-BD50E4FF895C}"/>
    <cellStyle name="Vírgula 3 2 9 3 6" xfId="10313" xr:uid="{BCFDCA21-A0C8-48AB-AF3E-650FFD83755A}"/>
    <cellStyle name="Vírgula 3 2 9 3 6 2" xfId="30656" xr:uid="{3A8A6494-61BE-47D8-809B-98AEB2D89447}"/>
    <cellStyle name="Vírgula 3 2 9 3 7" xfId="27162" xr:uid="{DDD9FE43-F610-4584-B860-FD7DD90E68E5}"/>
    <cellStyle name="Vírgula 3 2 9 3 8" xfId="56786" xr:uid="{6BC6E865-C61A-414A-B428-2656D2E7D9DB}"/>
    <cellStyle name="Vírgula 3 2 9 4" xfId="7978" xr:uid="{0AAFD55B-3FEB-4996-91C8-A86281BD65E7}"/>
    <cellStyle name="Vírgula 3 2 9 4 2" xfId="18263" xr:uid="{E0937E03-B69A-4191-AA91-669E8B73C1BD}"/>
    <cellStyle name="Vírgula 3 2 9 4 2 2" xfId="38603" xr:uid="{C6543964-77FD-49A5-BE41-93116F91E607}"/>
    <cellStyle name="Vírgula 3 2 9 4 3" xfId="21765" xr:uid="{9074E08F-3CBC-408E-9AAC-94108CE2AE3A}"/>
    <cellStyle name="Vírgula 3 2 9 4 3 2" xfId="42104" xr:uid="{A72C5E3E-8597-49C9-B068-1AD05B08C433}"/>
    <cellStyle name="Vírgula 3 2 9 4 4" xfId="25020" xr:uid="{75B95EE3-2D4C-4343-AFB6-AAA2E66B1B34}"/>
    <cellStyle name="Vírgula 3 2 9 4 4 2" xfId="45355" xr:uid="{3CDCE21C-65EA-495E-ADF6-62DF28743AB9}"/>
    <cellStyle name="Vírgula 3 2 9 4 5" xfId="15355" xr:uid="{F710920D-1382-4F2F-882C-5E90DA3D0F18}"/>
    <cellStyle name="Vírgula 3 2 9 4 5 2" xfId="35695" xr:uid="{D1C59391-B91E-4AE0-A48E-178B28E7B60A}"/>
    <cellStyle name="Vírgula 3 2 9 4 6" xfId="11476" xr:uid="{CCD1EA4F-D445-49B1-840E-5FED740A2919}"/>
    <cellStyle name="Vírgula 3 2 9 4 6 2" xfId="31819" xr:uid="{31A017EE-8C0E-4AAE-B86A-A70DF4BE51A0}"/>
    <cellStyle name="Vírgula 3 2 9 4 7" xfId="28325" xr:uid="{9D8E995E-658E-4119-868D-C125D779B7A5}"/>
    <cellStyle name="Vírgula 3 2 9 5" xfId="13045" xr:uid="{F6D91948-367F-47B8-9544-41DD7E41E004}"/>
    <cellStyle name="Vírgula 3 2 9 5 2" xfId="33386" xr:uid="{6F28DB89-1632-4EED-9553-E25C5B374DBA}"/>
    <cellStyle name="Vírgula 3 2 9 6" xfId="15942" xr:uid="{A6860662-90E8-4FA2-8E34-2DA89B4376EE}"/>
    <cellStyle name="Vírgula 3 2 9 6 2" xfId="36282" xr:uid="{D1DA7FB3-C45C-45E5-897C-D82B88D090CA}"/>
    <cellStyle name="Vírgula 3 2 9 7" xfId="18856" xr:uid="{C20DFF85-1432-4664-8073-A0010D017D28}"/>
    <cellStyle name="Vírgula 3 2 9 7 2" xfId="39196" xr:uid="{A070FCBA-59D4-4254-916E-46D6A8B3B99D}"/>
    <cellStyle name="Vírgula 3 2 9 8" xfId="19444" xr:uid="{B6DA3945-549E-48A8-A514-A0E0FFD9AE18}"/>
    <cellStyle name="Vírgula 3 2 9 8 2" xfId="39783" xr:uid="{09141F82-98FB-47D8-BB5B-365C4E42B8EC}"/>
    <cellStyle name="Vírgula 3 2 9 9" xfId="22699" xr:uid="{3FA1498E-729E-4FBD-BC8C-45C324F1BC60}"/>
    <cellStyle name="Vírgula 3 2 9 9 2" xfId="43034" xr:uid="{2AC23BB9-2505-4FA9-8FAA-3B35D96232F8}"/>
    <cellStyle name="Vírgula 3 20" xfId="47674" xr:uid="{ECD5F19B-529C-408E-8012-36F3606337F2}"/>
    <cellStyle name="Vírgula 3 21" xfId="47681" xr:uid="{D8ED3524-D4FB-4D7C-961E-29EB484FACEE}"/>
    <cellStyle name="Vírgula 3 22" xfId="48640" xr:uid="{B4BEAC8F-4998-419A-9589-7218AC7CB740}"/>
    <cellStyle name="Vírgula 3 23" xfId="50310" xr:uid="{A09233A6-6DC8-4636-B191-47D5F6743273}"/>
    <cellStyle name="Vírgula 3 24" xfId="53605" xr:uid="{863BC030-77A5-40A4-A853-D85F1B48C0EC}"/>
    <cellStyle name="Vírgula 3 25" xfId="57586" xr:uid="{97B0B6C3-AE0D-4340-B1F7-F285B37B10F3}"/>
    <cellStyle name="Vírgula 3 26" xfId="4371" xr:uid="{8C9AF70F-07F2-48DB-854D-316AAF12133B}"/>
    <cellStyle name="Vírgula 3 27" xfId="57597" xr:uid="{804A0892-C78F-45DD-A61A-176EEB8B8AE7}"/>
    <cellStyle name="Vírgula 3 3" xfId="41" xr:uid="{BA393142-B243-493D-A5C2-3B19A75D581F}"/>
    <cellStyle name="Vírgula 3 3 10" xfId="503" xr:uid="{83A12C6F-5C95-4167-B9DB-4EFD78472456}"/>
    <cellStyle name="Vírgula 3 3 10 10" xfId="8267" xr:uid="{560146C8-7496-4191-B62A-7EE565A4C57C}"/>
    <cellStyle name="Vírgula 3 3 10 2" xfId="2219" xr:uid="{7A972367-F50F-4025-8D3E-14090D967D88}"/>
    <cellStyle name="Vírgula 3 3 10 2 2" xfId="42390" xr:uid="{72359673-1FE2-4CE9-B679-CCB50325EB95}"/>
    <cellStyle name="Vírgula 3 3 10 2 3" xfId="52067" xr:uid="{85690D57-EC72-4093-A46C-4ACAB1D2454D}"/>
    <cellStyle name="Vírgula 3 3 10 2 4" xfId="55361" xr:uid="{CA446B5C-7FFD-42A3-937A-8DB7AA0A96B5}"/>
    <cellStyle name="Vírgula 3 3 10 2 5" xfId="22054" xr:uid="{628899C5-B7C9-4153-9F7A-91505CAA8C0B}"/>
    <cellStyle name="Vírgula 3 3 10 3" xfId="25306" xr:uid="{6E302A3C-1E6D-4BD2-A5CF-2FE743BD6A9C}"/>
    <cellStyle name="Vírgula 3 3 10 3 2" xfId="45641" xr:uid="{45D22D5E-CE07-47C8-A373-EE0F75C5F7E9}"/>
    <cellStyle name="Vírgula 3 3 10 3 3" xfId="56374" xr:uid="{02B8EAD7-34FA-459D-A290-F6D773C42A46}"/>
    <cellStyle name="Vírgula 3 3 10 4" xfId="15515" xr:uid="{E1E6B3E2-6482-4E2E-9B3F-3F3341C08918}"/>
    <cellStyle name="Vírgula 3 3 10 4 2" xfId="35855" xr:uid="{B2043F06-BD50-422E-8B6C-2ADA21FD2C5A}"/>
    <cellStyle name="Vírgula 3 3 10 5" xfId="11763" xr:uid="{A09B1627-C9E0-4A4F-8617-81B98479DC56}"/>
    <cellStyle name="Vírgula 3 3 10 5 2" xfId="32105" xr:uid="{949283D3-18C5-4243-BBBD-B7063159366B}"/>
    <cellStyle name="Vírgula 3 3 10 6" xfId="28611" xr:uid="{4595FCB8-2EF2-4265-95DD-1180A012320A}"/>
    <cellStyle name="Vírgula 3 3 10 7" xfId="48765" xr:uid="{B4D390EF-720E-4EA7-93AA-93461C4165F0}"/>
    <cellStyle name="Vírgula 3 3 10 8" xfId="50435" xr:uid="{323E282F-0766-4121-96F0-B0971CB6E6BB}"/>
    <cellStyle name="Vírgula 3 3 10 9" xfId="53730" xr:uid="{D07CAA79-1D9C-4C4E-AEBD-3CC01B6CF7E4}"/>
    <cellStyle name="Vírgula 3 3 11" xfId="3388" xr:uid="{8B6AE4DA-995D-4EEC-B681-055764C43BA8}"/>
    <cellStyle name="Vírgula 3 3 11 2" xfId="18429" xr:uid="{BDEFC9EA-0A70-4E8D-A2DE-7D9ADE50FBE4}"/>
    <cellStyle name="Vírgula 3 3 11 2 2" xfId="38769" xr:uid="{933C92D9-110C-474D-A042-1AD76760A4E6}"/>
    <cellStyle name="Vírgula 3 3 11 3" xfId="28809" xr:uid="{C1CC4981-00D7-40BA-A55E-D22B4DBB717E}"/>
    <cellStyle name="Vírgula 3 3 11 4" xfId="52066" xr:uid="{CC6E9DB5-AAF5-4928-8BF8-D96D90467217}"/>
    <cellStyle name="Vírgula 3 3 11 5" xfId="55360" xr:uid="{93DBFC5E-9A64-443B-94EA-6C18298DBE6E}"/>
    <cellStyle name="Vírgula 3 3 11 6" xfId="8466" xr:uid="{07B8DE34-7001-4CC3-B512-51E4623F4CDD}"/>
    <cellStyle name="Vírgula 3 3 12" xfId="3825" xr:uid="{3BCAA43F-1A30-42BD-8B28-8D49323D7E70}"/>
    <cellStyle name="Vírgula 3 3 12 2" xfId="39356" xr:uid="{26E8CB33-57E7-492F-85F6-9F8378409DAE}"/>
    <cellStyle name="Vírgula 3 3 12 3" xfId="55965" xr:uid="{6F93E05D-DD9A-4538-8CC7-662864B4DEAB}"/>
    <cellStyle name="Vírgula 3 3 12 4" xfId="19017" xr:uid="{005772C8-4A9B-4ED0-8E35-161D6F3795AD}"/>
    <cellStyle name="Vírgula 3 3 13" xfId="1736" xr:uid="{F3C22543-3C2B-4678-BFF1-31C496AE40D0}"/>
    <cellStyle name="Vírgula 3 3 13 2" xfId="42607" xr:uid="{3B497794-7554-49D1-9BC5-22F78E39FE37}"/>
    <cellStyle name="Vírgula 3 3 13 3" xfId="22272" xr:uid="{5739EA1D-F7C7-4A17-8BE7-7575AB5DCD6E}"/>
    <cellStyle name="Vírgula 3 3 14" xfId="11989" xr:uid="{E70C5031-D831-4D8B-A452-A566723570FE}"/>
    <cellStyle name="Vírgula 3 3 14 2" xfId="32330" xr:uid="{CD878FE4-C886-43BF-B1B7-FEAAB25A38B6}"/>
    <cellStyle name="Vírgula 3 3 15" xfId="8728" xr:uid="{235E8BC8-063C-44B7-B0FD-0A143542462E}"/>
    <cellStyle name="Vírgula 3 3 15 2" xfId="29071" xr:uid="{C4DCEACA-32EA-497D-836C-8F71D94D6AA7}"/>
    <cellStyle name="Vírgula 3 3 16" xfId="25573" xr:uid="{DB48BE70-EDEE-4BAA-A5B3-95694BFA981C}"/>
    <cellStyle name="Vírgula 3 3 17" xfId="25484" xr:uid="{7CD59DA4-1FFE-4C5B-9D74-BEFCC53C0A7C}"/>
    <cellStyle name="Vírgula 3 3 18" xfId="45841" xr:uid="{11B8C8EB-4031-4398-8548-59107BBB8054}"/>
    <cellStyle name="Vírgula 3 3 19" xfId="46327" xr:uid="{C825B422-9ADE-4454-AF79-FC3FA897057F}"/>
    <cellStyle name="Vírgula 3 3 2" xfId="158" xr:uid="{3CDC2E14-CB55-4EC8-9793-CE06195B109E}"/>
    <cellStyle name="Vírgula 3 3 2 10" xfId="1762" xr:uid="{FBDD11DF-AB7E-4A49-8DAD-2700535912EA}"/>
    <cellStyle name="Vírgula 3 3 2 10 2" xfId="32445" xr:uid="{EBC514E3-CE84-494A-8AF2-C388B9CC3733}"/>
    <cellStyle name="Vírgula 3 3 2 10 3" xfId="12104" xr:uid="{CD64F9AC-775D-4786-8943-866559E27ED4}"/>
    <cellStyle name="Vírgula 3 3 2 11" xfId="8843" xr:uid="{CD6DE8B5-13C6-4DD6-837E-7D67DC8E27D2}"/>
    <cellStyle name="Vírgula 3 3 2 11 2" xfId="29186" xr:uid="{3E418C52-F04D-450F-9AFF-840297430979}"/>
    <cellStyle name="Vírgula 3 3 2 12" xfId="25692" xr:uid="{C218AD50-9DC0-4C71-AC3D-704B568A35AB}"/>
    <cellStyle name="Vírgula 3 3 2 13" xfId="45901" xr:uid="{967FA10C-DB2A-4BB3-BDDA-6639C24A9988}"/>
    <cellStyle name="Vírgula 3 3 2 14" xfId="46387" xr:uid="{EEF5C1B1-EDC2-4E1B-A0D0-EA049D213025}"/>
    <cellStyle name="Vírgula 3 3 2 15" xfId="46879" xr:uid="{D88FC834-2FCA-4722-B06C-362F9504F4E9}"/>
    <cellStyle name="Vírgula 3 3 2 16" xfId="47346" xr:uid="{1BF87AAF-B65A-4176-B1C2-995F147B65D9}"/>
    <cellStyle name="Vírgula 3 3 2 17" xfId="47472" xr:uid="{3588BB13-8D14-4E79-A7BE-677F8AD49F5E}"/>
    <cellStyle name="Vírgula 3 3 2 18" xfId="47598" xr:uid="{95E807F7-B08E-4447-B41E-3C266D9AE8FD}"/>
    <cellStyle name="Vírgula 3 3 2 19" xfId="48766" xr:uid="{9EF83F08-712C-4CD1-AC8A-E9D7B25E8761}"/>
    <cellStyle name="Vírgula 3 3 2 2" xfId="236" xr:uid="{21000876-85D8-400C-80BD-E6592A2DE4CE}"/>
    <cellStyle name="Vírgula 3 3 2 2 10" xfId="12491" xr:uid="{E4A46F6A-507C-47DB-B975-86071696D8F6}"/>
    <cellStyle name="Vírgula 3 3 2 2 10 2" xfId="32832" xr:uid="{F1B29B8C-03CB-4C70-8A77-C9DBF70ED16C}"/>
    <cellStyle name="Vírgula 3 3 2 2 11" xfId="9230" xr:uid="{A1388A87-4535-43C2-9DD9-7808BDAFBC6B}"/>
    <cellStyle name="Vírgula 3 3 2 2 11 2" xfId="29573" xr:uid="{09A0BB6F-D44A-4F1C-ACAE-5CCFC5933FEE}"/>
    <cellStyle name="Vírgula 3 3 2 2 12" xfId="26079" xr:uid="{52A228F0-89A3-41CC-9E61-8008A3422191}"/>
    <cellStyle name="Vírgula 3 3 2 2 13" xfId="45998" xr:uid="{74A1EED6-10B1-4749-A12C-204DBB295588}"/>
    <cellStyle name="Vírgula 3 3 2 2 14" xfId="46484" xr:uid="{8498BEA5-BDEF-489B-B361-D72F616A0034}"/>
    <cellStyle name="Vírgula 3 3 2 2 15" xfId="46976" xr:uid="{E62273B2-B524-4C7F-B387-31608A9BCFC6}"/>
    <cellStyle name="Vírgula 3 3 2 2 16" xfId="47402" xr:uid="{DC7CDA78-3375-46C4-82F3-BA55D4FAC4FE}"/>
    <cellStyle name="Vírgula 3 3 2 2 17" xfId="47528" xr:uid="{FC3F5BF4-984C-431F-9184-73A1C293C5F9}"/>
    <cellStyle name="Vírgula 3 3 2 2 18" xfId="47654" xr:uid="{6F491C0D-2CC3-4327-8BE1-96606F28F688}"/>
    <cellStyle name="Vírgula 3 3 2 2 19" xfId="48767" xr:uid="{056D507F-92BA-47AD-8137-2B8933D972DE}"/>
    <cellStyle name="Vírgula 3 3 2 2 2" xfId="425" xr:uid="{FA261347-5574-45DF-963E-4DC8DF34E00E}"/>
    <cellStyle name="Vírgula 3 3 2 2 2 10" xfId="46727" xr:uid="{7CD95804-CC34-4FC1-8226-91ACD18D32A9}"/>
    <cellStyle name="Vírgula 3 3 2 2 2 11" xfId="47219" xr:uid="{E293D689-2BFF-4AA7-AC96-66E0ABB3CC8A}"/>
    <cellStyle name="Vírgula 3 3 2 2 2 12" xfId="48768" xr:uid="{370CEA47-4C0C-41F5-AEF3-E6CC085B9AEF}"/>
    <cellStyle name="Vírgula 3 3 2 2 2 13" xfId="50438" xr:uid="{D7B0D3BC-8BAC-448C-AFAB-A6034530B38D}"/>
    <cellStyle name="Vírgula 3 3 2 2 2 14" xfId="53733" xr:uid="{7E84CD14-BD53-446F-9793-55326C9BE95E}"/>
    <cellStyle name="Vírgula 3 3 2 2 2 15" xfId="6312" xr:uid="{982C86F9-9501-42C7-853F-F0BF8465BF23}"/>
    <cellStyle name="Vírgula 3 3 2 2 2 16" xfId="4706" xr:uid="{55C871BA-E126-4BE7-88B7-4945DD6E6346}"/>
    <cellStyle name="Vírgula 3 3 2 2 2 2" xfId="1241" xr:uid="{4B2AD5EC-8884-477E-B0CF-8F0758A1B0AA}"/>
    <cellStyle name="Vírgula 3 3 2 2 2 2 10" xfId="53734" xr:uid="{F93EF266-2F7F-469B-8A76-955DB6BE3676}"/>
    <cellStyle name="Vírgula 3 3 2 2 2 2 11" xfId="7470" xr:uid="{0BC1433F-070D-4D77-A453-9797E61AEDDD}"/>
    <cellStyle name="Vírgula 3 3 2 2 2 2 2" xfId="2902" xr:uid="{F3BB3967-7EC0-434D-AD31-2122250F8726}"/>
    <cellStyle name="Vírgula 3 3 2 2 2 2 2 2" xfId="38096" xr:uid="{15CCF1D9-06F3-42C3-9A2E-187B1E1EB2EA}"/>
    <cellStyle name="Vírgula 3 3 2 2 2 2 2 3" xfId="52071" xr:uid="{989CA882-BA80-4646-AA82-17B69A41A570}"/>
    <cellStyle name="Vírgula 3 3 2 2 2 2 2 4" xfId="55365" xr:uid="{22D728A6-86F7-48AE-87FC-8FE140985D00}"/>
    <cellStyle name="Vírgula 3 3 2 2 2 2 2 5" xfId="17756" xr:uid="{9036A0E0-26F2-4048-9F76-82690F81901F}"/>
    <cellStyle name="Vírgula 3 3 2 2 2 2 3" xfId="21258" xr:uid="{F5DEA870-3C3E-4859-A14D-61FC0A9FBA8E}"/>
    <cellStyle name="Vírgula 3 3 2 2 2 2 3 2" xfId="41597" xr:uid="{CDFFE90A-2E49-4233-B354-8508FB5F6B73}"/>
    <cellStyle name="Vírgula 3 3 2 2 2 2 3 3" xfId="57112" xr:uid="{3CBEB06C-8881-4DD6-9B3B-843817F99F45}"/>
    <cellStyle name="Vírgula 3 3 2 2 2 2 4" xfId="24513" xr:uid="{A18C7EAE-BC9A-489E-9201-CB876C5F19CF}"/>
    <cellStyle name="Vírgula 3 3 2 2 2 2 4 2" xfId="44848" xr:uid="{AF9371BD-A32B-4440-8FFD-ED4B82ABB1D2}"/>
    <cellStyle name="Vírgula 3 3 2 2 2 2 5" xfId="14847" xr:uid="{5966F984-D700-429A-B931-203D713E0AEE}"/>
    <cellStyle name="Vírgula 3 3 2 2 2 2 5 2" xfId="35188" xr:uid="{D1B10D33-BFB1-49AC-B1C4-14BB011ED34B}"/>
    <cellStyle name="Vírgula 3 3 2 2 2 2 6" xfId="10969" xr:uid="{62787954-8128-456D-ABC0-A896A3253F4C}"/>
    <cellStyle name="Vírgula 3 3 2 2 2 2 6 2" xfId="31312" xr:uid="{3E3B0F06-4E97-467C-AE85-1B7ED458AFEF}"/>
    <cellStyle name="Vírgula 3 3 2 2 2 2 7" xfId="27818" xr:uid="{91BF1411-E764-4D41-A549-6A463FBA43ED}"/>
    <cellStyle name="Vírgula 3 3 2 2 2 2 8" xfId="48769" xr:uid="{F17AC355-8F6B-4E91-A45D-EA8CFC8D5925}"/>
    <cellStyle name="Vírgula 3 3 2 2 2 2 9" xfId="50439" xr:uid="{15E0EEC0-6C53-44FE-BFF3-610191060474}"/>
    <cellStyle name="Vírgula 3 3 2 2 2 3" xfId="1647" xr:uid="{73948F52-FDB7-4F58-AC18-DA248728B867}"/>
    <cellStyle name="Vírgula 3 3 2 2 2 3 2" xfId="3307" xr:uid="{4A5739BF-3E30-46B8-BE96-3D6CB6CC9C79}"/>
    <cellStyle name="Vírgula 3 3 2 2 2 3 2 2" xfId="52072" xr:uid="{54B9EF92-8E5C-4D39-A626-3BD41BC63B86}"/>
    <cellStyle name="Vírgula 3 3 2 2 2 3 2 3" xfId="55366" xr:uid="{1B6FF84D-F975-453E-B0F7-3F34848900B3}"/>
    <cellStyle name="Vírgula 3 3 2 2 2 3 2 4" xfId="36938" xr:uid="{0521BBA5-F5AE-4018-9E0B-FAB265EE28A3}"/>
    <cellStyle name="Vírgula 3 3 2 2 2 3 3" xfId="48770" xr:uid="{D7CF888E-1430-494F-A3E2-E8AFCCD568EA}"/>
    <cellStyle name="Vírgula 3 3 2 2 2 3 3 2" xfId="57518" xr:uid="{822F0032-E376-445A-A010-CF81BBE0630A}"/>
    <cellStyle name="Vírgula 3 3 2 2 2 3 4" xfId="50440" xr:uid="{A4A4D3C1-7401-4FCB-B181-1DEFF4E8F996}"/>
    <cellStyle name="Vírgula 3 3 2 2 2 3 5" xfId="53735" xr:uid="{2675FB62-C0E4-4206-800F-8BCDED1F7CC4}"/>
    <cellStyle name="Vírgula 3 3 2 2 2 3 6" xfId="16598" xr:uid="{C88AF7C1-C3AE-4943-9444-F092930B527B}"/>
    <cellStyle name="Vírgula 3 3 2 2 2 4" xfId="834" xr:uid="{B50E0A0C-B2DE-496D-B028-568967C51159}"/>
    <cellStyle name="Vírgula 3 3 2 2 2 4 2" xfId="2550" xr:uid="{799CBE9C-7741-4B9B-8DD6-7D3AE62F97DD}"/>
    <cellStyle name="Vírgula 3 3 2 2 2 4 2 2" xfId="52073" xr:uid="{863876E2-2456-4045-92F3-CA29EF4438D9}"/>
    <cellStyle name="Vírgula 3 3 2 2 2 4 2 3" xfId="55367" xr:uid="{0C0D541E-3235-4DE8-9E00-59A20B565FD3}"/>
    <cellStyle name="Vírgula 3 3 2 2 2 4 2 4" xfId="40439" xr:uid="{729FEAB7-3CBB-4706-96D6-B1FCCC6B430A}"/>
    <cellStyle name="Vírgula 3 3 2 2 2 4 3" xfId="48771" xr:uid="{25A33756-FFE5-430C-9E63-F64FA4BB2225}"/>
    <cellStyle name="Vírgula 3 3 2 2 2 4 3 2" xfId="56705" xr:uid="{64C5B4F7-F1B4-4984-B8D6-B84E033A5B10}"/>
    <cellStyle name="Vírgula 3 3 2 2 2 4 4" xfId="50441" xr:uid="{DCF0C3BC-326D-4999-9FD4-01C097F30F1F}"/>
    <cellStyle name="Vírgula 3 3 2 2 2 4 5" xfId="53736" xr:uid="{CE01D25D-B137-484B-AA7A-615DBDA38B83}"/>
    <cellStyle name="Vírgula 3 3 2 2 2 4 6" xfId="20100" xr:uid="{D7BA8437-0BAA-40C0-B0BF-6CDFABA1BA95}"/>
    <cellStyle name="Vírgula 3 3 2 2 2 5" xfId="3688" xr:uid="{D18A93E6-6B9C-4F4E-A7AA-A8CEFF75CF1E}"/>
    <cellStyle name="Vírgula 3 3 2 2 2 5 2" xfId="43690" xr:uid="{F831B241-DDBE-46DE-BE54-064267F9A752}"/>
    <cellStyle name="Vírgula 3 3 2 2 2 5 3" xfId="52070" xr:uid="{9EB07C63-078C-40FE-BDD5-4B9438F9AA9D}"/>
    <cellStyle name="Vírgula 3 3 2 2 2 5 4" xfId="55364" xr:uid="{1B95D364-C338-4B65-BDA6-F4BE2F9788B4}"/>
    <cellStyle name="Vírgula 3 3 2 2 2 5 5" xfId="23355" xr:uid="{4FABF442-3E55-411F-ACE0-6238270DD069}"/>
    <cellStyle name="Vírgula 3 3 2 2 2 6" xfId="4144" xr:uid="{C64054F8-4B54-438C-BDF7-F0839FC41B2E}"/>
    <cellStyle name="Vírgula 3 3 2 2 2 6 2" xfId="34030" xr:uid="{2B818A3B-2A37-42C5-B834-6EF43EBF52AF}"/>
    <cellStyle name="Vírgula 3 3 2 2 2 6 3" xfId="56296" xr:uid="{9B376895-F24D-44AE-9FAE-84B89B63C442}"/>
    <cellStyle name="Vírgula 3 3 2 2 2 6 4" xfId="13689" xr:uid="{45B42EA3-BFDB-4419-AAA4-671DE1515830}"/>
    <cellStyle name="Vírgula 3 3 2 2 2 7" xfId="2037" xr:uid="{AF1C90A0-D3A2-4F63-94B2-EC6F62725BDA}"/>
    <cellStyle name="Vírgula 3 3 2 2 2 7 2" xfId="30154" xr:uid="{00179559-0E02-4C70-BEB3-450C76903C26}"/>
    <cellStyle name="Vírgula 3 3 2 2 2 7 3" xfId="9811" xr:uid="{65376135-8013-4CE6-9EF0-C67294EE7DEE}"/>
    <cellStyle name="Vírgula 3 3 2 2 2 8" xfId="26660" xr:uid="{04AA8B02-4823-431D-B65F-FE3D096A38E8}"/>
    <cellStyle name="Vírgula 3 3 2 2 2 9" xfId="46241" xr:uid="{0B35B25D-CC3C-43F8-94B7-7BC98AE05F8E}"/>
    <cellStyle name="Vírgula 3 3 2 2 20" xfId="50437" xr:uid="{ACA9F2A2-994E-4BD9-A842-9AD6DF16064C}"/>
    <cellStyle name="Vírgula 3 3 2 2 21" xfId="53732" xr:uid="{7BDAA7BF-24E0-4323-A16F-C3615BAF9488}"/>
    <cellStyle name="Vírgula 3 3 2 2 22" xfId="5738" xr:uid="{761A9CD8-AD49-42A0-A659-CE851A59401B}"/>
    <cellStyle name="Vírgula 3 3 2 2 23" xfId="4517" xr:uid="{F1E53D20-58FA-4C81-AA8C-291505F4CE17}"/>
    <cellStyle name="Vírgula 3 3 2 2 3" xfId="1052" xr:uid="{0885385B-9DFF-4DFD-9A5D-0D6B9FDABBEA}"/>
    <cellStyle name="Vírgula 3 3 2 2 3 10" xfId="53737" xr:uid="{1AA91081-F4DF-4535-AC88-188659A1BCED}"/>
    <cellStyle name="Vírgula 3 3 2 2 3 11" xfId="6889" xr:uid="{7E464CF3-CF72-4AC5-B478-36D91244B0AC}"/>
    <cellStyle name="Vírgula 3 3 2 2 3 12" xfId="5116" xr:uid="{DC985CD6-56BD-4CC6-A74F-C77D916A417E}"/>
    <cellStyle name="Vírgula 3 3 2 2 3 2" xfId="3579" xr:uid="{CFBB4844-41AE-4DC5-B343-0D2ABB1F4BED}"/>
    <cellStyle name="Vírgula 3 3 2 2 3 2 2" xfId="37515" xr:uid="{B0F18D6A-BB71-49DF-8495-0AFAADF5A1C1}"/>
    <cellStyle name="Vírgula 3 3 2 2 3 2 3" xfId="52074" xr:uid="{BA373BEF-02FA-4724-86D5-B8D0589F2A6D}"/>
    <cellStyle name="Vírgula 3 3 2 2 3 2 4" xfId="55368" xr:uid="{964BDF10-B34B-4259-8444-8C9BD2C35E36}"/>
    <cellStyle name="Vírgula 3 3 2 2 3 2 5" xfId="17175" xr:uid="{B995BA0B-5FEB-4F93-8413-9F2EFB017D8D}"/>
    <cellStyle name="Vírgula 3 3 2 2 3 3" xfId="4316" xr:uid="{DF6DC194-490E-4CDE-95E0-A786DFF59A44}"/>
    <cellStyle name="Vírgula 3 3 2 2 3 3 2" xfId="41016" xr:uid="{38F51C69-8679-4425-9CFA-694C6D7CAEBE}"/>
    <cellStyle name="Vírgula 3 3 2 2 3 3 3" xfId="56923" xr:uid="{D8605CE2-AB48-4AD6-BAC4-59D6E2292341}"/>
    <cellStyle name="Vírgula 3 3 2 2 3 3 4" xfId="20677" xr:uid="{95132D43-825B-462C-8944-08910C244E82}"/>
    <cellStyle name="Vírgula 3 3 2 2 3 4" xfId="1928" xr:uid="{22530A44-9968-4BD2-82D3-896615799F45}"/>
    <cellStyle name="Vírgula 3 3 2 2 3 4 2" xfId="44267" xr:uid="{5CB954AC-3309-41E6-BBF8-04E735FA13BC}"/>
    <cellStyle name="Vírgula 3 3 2 2 3 4 3" xfId="23932" xr:uid="{E5F5E061-98CA-49DD-BB47-22113731EDD4}"/>
    <cellStyle name="Vírgula 3 3 2 2 3 5" xfId="14266" xr:uid="{0A3BA662-46CB-4CF4-81CB-E875571A0CF9}"/>
    <cellStyle name="Vírgula 3 3 2 2 3 5 2" xfId="34607" xr:uid="{5F9F1C90-31D6-4BE1-A92B-2C1BF2CC81AE}"/>
    <cellStyle name="Vírgula 3 3 2 2 3 6" xfId="10388" xr:uid="{370A74D0-EF33-4194-96C7-30B71E04F251}"/>
    <cellStyle name="Vírgula 3 3 2 2 3 6 2" xfId="30731" xr:uid="{77BA26DE-FEBA-479B-BE6D-31360C45FDF6}"/>
    <cellStyle name="Vírgula 3 3 2 2 3 7" xfId="27237" xr:uid="{5A393676-646A-4664-A80D-51ACDC88D6B5}"/>
    <cellStyle name="Vírgula 3 3 2 2 3 8" xfId="48772" xr:uid="{39F7FB5D-837B-4115-9799-B8629A1F5DB2}"/>
    <cellStyle name="Vírgula 3 3 2 2 3 9" xfId="50442" xr:uid="{C047C3A9-256E-4603-8731-14ABB64B414F}"/>
    <cellStyle name="Vírgula 3 3 2 2 4" xfId="1458" xr:uid="{D083958D-2B6C-413C-9F80-A963DEA6594B}"/>
    <cellStyle name="Vírgula 3 3 2 2 4 10" xfId="53738" xr:uid="{9B498E09-6BE2-460D-8534-8B67B23E2312}"/>
    <cellStyle name="Vírgula 3 3 2 2 4 11" xfId="8053" xr:uid="{D1AEAB80-3109-4D61-93A7-7CE8440EA747}"/>
    <cellStyle name="Vírgula 3 3 2 2 4 2" xfId="3797" xr:uid="{557075E8-6B32-4369-A14A-228F56B90ED7}"/>
    <cellStyle name="Vírgula 3 3 2 2 4 2 2" xfId="38678" xr:uid="{91309613-A8B6-4061-AEAD-E9384BDCA8CF}"/>
    <cellStyle name="Vírgula 3 3 2 2 4 2 3" xfId="52075" xr:uid="{23F929C2-2862-464C-8A4E-5A513EAED162}"/>
    <cellStyle name="Vírgula 3 3 2 2 4 2 4" xfId="55369" xr:uid="{59A3611B-C48A-40FF-98EC-9677DC8641B9}"/>
    <cellStyle name="Vírgula 3 3 2 2 4 2 5" xfId="18338" xr:uid="{5BEEA093-9D59-437A-9D79-DA937426D5DC}"/>
    <cellStyle name="Vírgula 3 3 2 2 4 3" xfId="3119" xr:uid="{2DA8B8B6-B676-4337-A432-C10547258369}"/>
    <cellStyle name="Vírgula 3 3 2 2 4 3 2" xfId="42179" xr:uid="{511B5385-8BB9-41AE-B3EB-6426F1885E86}"/>
    <cellStyle name="Vírgula 3 3 2 2 4 3 3" xfId="57329" xr:uid="{C68AA1E7-A040-4AEE-8A72-701D743810AA}"/>
    <cellStyle name="Vírgula 3 3 2 2 4 3 4" xfId="21840" xr:uid="{6E38274D-967C-47AB-8308-610C8FEEF560}"/>
    <cellStyle name="Vírgula 3 3 2 2 4 4" xfId="25095" xr:uid="{2A00B601-451C-42DE-A804-4442C9943336}"/>
    <cellStyle name="Vírgula 3 3 2 2 4 4 2" xfId="45430" xr:uid="{1EFE3FA1-0B54-4A6D-AE7E-90F36BBFC8DB}"/>
    <cellStyle name="Vírgula 3 3 2 2 4 5" xfId="15430" xr:uid="{5D8A5529-9DD3-4E6D-8120-BF9D3CF89C8C}"/>
    <cellStyle name="Vírgula 3 3 2 2 4 5 2" xfId="35770" xr:uid="{299BF8F7-E86D-47B8-BB2F-142BB3B892D1}"/>
    <cellStyle name="Vírgula 3 3 2 2 4 6" xfId="11551" xr:uid="{8DA1AE60-ED55-4848-8030-2635A7D421AA}"/>
    <cellStyle name="Vírgula 3 3 2 2 4 6 2" xfId="31894" xr:uid="{0C807A2B-0164-4A83-94AA-D7E84DA38BD4}"/>
    <cellStyle name="Vírgula 3 3 2 2 4 7" xfId="28400" xr:uid="{2EB74B55-D5A7-41D9-B298-E6F7E1A656D0}"/>
    <cellStyle name="Vírgula 3 3 2 2 4 8" xfId="48773" xr:uid="{6D5D44F3-38EC-40FD-ADCD-6ED6FC5DD348}"/>
    <cellStyle name="Vírgula 3 3 2 2 4 9" xfId="50443" xr:uid="{624C4E61-9E63-486A-8505-B6441FAB17B2}"/>
    <cellStyle name="Vírgula 3 3 2 2 5" xfId="645" xr:uid="{F2CA8DA0-689F-45E6-8A9B-93066ACEB268}"/>
    <cellStyle name="Vírgula 3 3 2 2 5 10" xfId="8269" xr:uid="{20A329CB-6E5D-4D1C-9D4F-87B8EB2AA65D}"/>
    <cellStyle name="Vírgula 3 3 2 2 5 2" xfId="2361" xr:uid="{D46505A5-A04A-4264-9E65-240A02052FEE}"/>
    <cellStyle name="Vírgula 3 3 2 2 5 2 2" xfId="42392" xr:uid="{A3FC2EBE-4A97-47E0-ABED-5D6BEE205F8B}"/>
    <cellStyle name="Vírgula 3 3 2 2 5 2 3" xfId="52076" xr:uid="{136B781B-C236-4BB0-B7EB-6537B3825857}"/>
    <cellStyle name="Vírgula 3 3 2 2 5 2 4" xfId="55370" xr:uid="{69875E37-CC7B-46D7-B9F1-2BDB3128349A}"/>
    <cellStyle name="Vírgula 3 3 2 2 5 2 5" xfId="22056" xr:uid="{ECF2AF50-89DD-4A8D-BB88-EAE8EC0DB739}"/>
    <cellStyle name="Vírgula 3 3 2 2 5 3" xfId="25308" xr:uid="{D6754773-0385-4534-AB43-7CAFD8B74D85}"/>
    <cellStyle name="Vírgula 3 3 2 2 5 3 2" xfId="45643" xr:uid="{D9C4D146-273C-4C6E-8A0F-48F7404D4394}"/>
    <cellStyle name="Vírgula 3 3 2 2 5 3 3" xfId="56516" xr:uid="{6718D8B4-853B-4200-BFB1-F91C251883EB}"/>
    <cellStyle name="Vírgula 3 3 2 2 5 4" xfId="13120" xr:uid="{E7F4994C-6A9B-4B5E-9FAA-1603DC0B8AA7}"/>
    <cellStyle name="Vírgula 3 3 2 2 5 4 2" xfId="33461" xr:uid="{780E360A-7635-4F59-AEBB-139BE7D94C8A}"/>
    <cellStyle name="Vírgula 3 3 2 2 5 5" xfId="11765" xr:uid="{91C8F04E-CB46-466D-B30A-DFC638ACB180}"/>
    <cellStyle name="Vírgula 3 3 2 2 5 5 2" xfId="32107" xr:uid="{D670958F-24E0-4B85-8E83-73C9177B4AFB}"/>
    <cellStyle name="Vírgula 3 3 2 2 5 6" xfId="28613" xr:uid="{1A137B3C-3CD9-4ABB-A8B8-E44CEFA006DD}"/>
    <cellStyle name="Vírgula 3 3 2 2 5 7" xfId="48774" xr:uid="{51A46010-AC88-4322-AFCE-CA6C37666E03}"/>
    <cellStyle name="Vírgula 3 3 2 2 5 8" xfId="50444" xr:uid="{11B407AA-D35F-40BF-A621-9E969DA9895B}"/>
    <cellStyle name="Vírgula 3 3 2 2 5 9" xfId="53739" xr:uid="{3CCC7042-B817-41E9-BF20-8E4AC7AE8F64}"/>
    <cellStyle name="Vírgula 3 3 2 2 6" xfId="3469" xr:uid="{2BC0D3ED-9627-4924-A7F2-4597CD698B25}"/>
    <cellStyle name="Vírgula 3 3 2 2 6 2" xfId="16017" xr:uid="{29D6A320-4263-4078-95A8-A61151D6E649}"/>
    <cellStyle name="Vírgula 3 3 2 2 6 2 2" xfId="36357" xr:uid="{4F3E8A8F-0858-4463-84F5-AFDEEEE1E782}"/>
    <cellStyle name="Vírgula 3 3 2 2 6 3" xfId="28966" xr:uid="{5FFFD47D-6443-4D2D-9D3C-6B6B99309C1D}"/>
    <cellStyle name="Vírgula 3 3 2 2 6 4" xfId="52069" xr:uid="{B5098DF2-C778-47C6-8234-FD7456A4E74A}"/>
    <cellStyle name="Vírgula 3 3 2 2 6 5" xfId="55363" xr:uid="{FEBFF61F-D145-4256-B67E-EBA0937F9FBC}"/>
    <cellStyle name="Vírgula 3 3 2 2 6 6" xfId="8623" xr:uid="{03C4B9B6-4A86-4020-9C6E-865FEEDC1D8B}"/>
    <cellStyle name="Vírgula 3 3 2 2 7" xfId="3972" xr:uid="{8F101C36-9C4B-49BA-814C-B8F9089193C6}"/>
    <cellStyle name="Vírgula 3 3 2 2 7 2" xfId="39271" xr:uid="{33C8AF95-C48B-43CA-99CF-4BB46A3C0CB2}"/>
    <cellStyle name="Vírgula 3 3 2 2 7 3" xfId="56107" xr:uid="{14408E26-791E-441D-AD3F-E432BCF429BC}"/>
    <cellStyle name="Vírgula 3 3 2 2 7 4" xfId="18931" xr:uid="{18FDAA36-B272-4634-BA8B-DFB5C68BE9E0}"/>
    <cellStyle name="Vírgula 3 3 2 2 8" xfId="1818" xr:uid="{EE03DA69-34A7-4910-9E71-A9F29793A929}"/>
    <cellStyle name="Vírgula 3 3 2 2 8 2" xfId="39858" xr:uid="{94B0ACD1-7494-46C8-87A4-12A0FD54D85C}"/>
    <cellStyle name="Vírgula 3 3 2 2 8 3" xfId="19519" xr:uid="{A9856528-FB34-4103-9300-58BD87B31462}"/>
    <cellStyle name="Vírgula 3 3 2 2 9" xfId="22774" xr:uid="{C8FE6973-2841-485C-B289-EB528828916C}"/>
    <cellStyle name="Vírgula 3 3 2 2 9 2" xfId="43109" xr:uid="{6687B9B7-1172-4C31-B00E-53338C52A175}"/>
    <cellStyle name="Vírgula 3 3 2 20" xfId="50436" xr:uid="{61010778-B004-4AE5-885E-2045D83E52F1}"/>
    <cellStyle name="Vírgula 3 3 2 21" xfId="53731" xr:uid="{117747E5-C651-4752-9F3A-27020A9103FA}"/>
    <cellStyle name="Vírgula 3 3 2 22" xfId="5367" xr:uid="{C15733A1-ED86-414C-A467-B5380E0F0E98}"/>
    <cellStyle name="Vírgula 3 3 2 23" xfId="4439" xr:uid="{672B46B8-B445-4F9D-837E-1F76EF2F94C5}"/>
    <cellStyle name="Vírgula 3 3 2 3" xfId="288" xr:uid="{6C03DB65-97E6-4B50-A59E-C1F876A12339}"/>
    <cellStyle name="Vírgula 3 3 2 3 10" xfId="46630" xr:uid="{66389B61-CDC9-407D-98D1-D1645B858C3B}"/>
    <cellStyle name="Vírgula 3 3 2 3 11" xfId="47122" xr:uid="{67B5094A-E6AC-4061-AEA1-14208DF1AECF}"/>
    <cellStyle name="Vírgula 3 3 2 3 12" xfId="48775" xr:uid="{FD61940A-5805-46D2-B165-5F8F39DE1C91}"/>
    <cellStyle name="Vírgula 3 3 2 3 13" xfId="50445" xr:uid="{B384C9AE-C7BA-4DC4-9C13-4532428B0470}"/>
    <cellStyle name="Vírgula 3 3 2 3 14" xfId="53740" xr:uid="{D41A17D1-4820-45F1-B5BF-4B2E786C23C7}"/>
    <cellStyle name="Vírgula 3 3 2 3 15" xfId="5925" xr:uid="{4FAB817B-2021-4B1B-A863-6E705D09B6A8}"/>
    <cellStyle name="Vírgula 3 3 2 3 16" xfId="4569" xr:uid="{DC54F584-EADB-4C49-B03B-182D624E864C}"/>
    <cellStyle name="Vírgula 3 3 2 3 2" xfId="477" xr:uid="{3A4F4705-7381-4BE5-A7DA-70E7DE86B6BB}"/>
    <cellStyle name="Vírgula 3 3 2 3 2 10" xfId="53741" xr:uid="{55CC26D4-DA79-44F5-ABCF-9B40C3D90643}"/>
    <cellStyle name="Vírgula 3 3 2 3 2 11" xfId="7083" xr:uid="{2556308A-F932-490E-8CA5-6E7D7BADFF83}"/>
    <cellStyle name="Vírgula 3 3 2 3 2 12" xfId="4758" xr:uid="{BBCC2276-D692-4B14-A445-D6C63C3B8035}"/>
    <cellStyle name="Vírgula 3 3 2 3 2 2" xfId="1293" xr:uid="{3F07EC69-161B-488D-B265-F9CD7EBC2B7D}"/>
    <cellStyle name="Vírgula 3 3 2 3 2 2 2" xfId="2954" xr:uid="{B6C010E2-A07D-477D-8BEB-23F5085E6DEC}"/>
    <cellStyle name="Vírgula 3 3 2 3 2 2 2 2" xfId="52079" xr:uid="{03EED489-C8B0-47BE-A2C0-909E7F34D633}"/>
    <cellStyle name="Vírgula 3 3 2 3 2 2 2 3" xfId="55373" xr:uid="{0756FBB9-1F7C-4792-A65E-A5882802B9A0}"/>
    <cellStyle name="Vírgula 3 3 2 3 2 2 2 4" xfId="37709" xr:uid="{EB8100AE-2037-4873-A852-BAE84045BAA1}"/>
    <cellStyle name="Vírgula 3 3 2 3 2 2 3" xfId="48777" xr:uid="{0218858E-E9C8-4ABF-8C88-D453604841DA}"/>
    <cellStyle name="Vírgula 3 3 2 3 2 2 3 2" xfId="57164" xr:uid="{5F6376F3-011F-4755-BA5A-DA574D7CDE2B}"/>
    <cellStyle name="Vírgula 3 3 2 3 2 2 4" xfId="50447" xr:uid="{12089551-66C8-4132-BA15-ECFDAFA072A5}"/>
    <cellStyle name="Vírgula 3 3 2 3 2 2 5" xfId="53742" xr:uid="{C6F45EB0-8D62-4CC8-99ED-2F835C41972D}"/>
    <cellStyle name="Vírgula 3 3 2 3 2 2 6" xfId="17369" xr:uid="{31D58DF1-00D3-4D57-85A9-013F9CA55622}"/>
    <cellStyle name="Vírgula 3 3 2 3 2 3" xfId="1699" xr:uid="{BCDAFB24-F119-4B6D-B213-6C6DF75183F9}"/>
    <cellStyle name="Vírgula 3 3 2 3 2 3 2" xfId="3359" xr:uid="{3287D98E-0C1C-4C37-8D23-7804CCF98305}"/>
    <cellStyle name="Vírgula 3 3 2 3 2 3 2 2" xfId="52080" xr:uid="{97D6051D-0C01-4DE2-9D45-1BBE60D87EF8}"/>
    <cellStyle name="Vírgula 3 3 2 3 2 3 2 3" xfId="55374" xr:uid="{95F85870-FB57-47E0-85C1-61FDF50DD799}"/>
    <cellStyle name="Vírgula 3 3 2 3 2 3 2 4" xfId="41210" xr:uid="{98F55E57-C93F-48C6-9999-22DBA678A638}"/>
    <cellStyle name="Vírgula 3 3 2 3 2 3 3" xfId="48778" xr:uid="{1EB6CB75-9706-46AD-BA19-99FD5D62EC51}"/>
    <cellStyle name="Vírgula 3 3 2 3 2 3 3 2" xfId="57570" xr:uid="{F73D6CED-1218-4AE1-986A-DDA9189342FB}"/>
    <cellStyle name="Vírgula 3 3 2 3 2 3 4" xfId="50448" xr:uid="{6A61ADB6-CF0C-4265-B6C3-BE2847099149}"/>
    <cellStyle name="Vírgula 3 3 2 3 2 3 5" xfId="53743" xr:uid="{85015EFB-973A-4A3E-AC77-54D9DE0DAF0A}"/>
    <cellStyle name="Vírgula 3 3 2 3 2 3 6" xfId="20871" xr:uid="{6459F9C5-D9CA-4257-B4D3-5B0744C70DDC}"/>
    <cellStyle name="Vírgula 3 3 2 3 2 4" xfId="886" xr:uid="{B4AA4F0C-DDA6-46C4-A077-8ECC6D49380E}"/>
    <cellStyle name="Vírgula 3 3 2 3 2 4 2" xfId="2602" xr:uid="{300DFB57-E567-4A39-AEDC-DEFB484CCBDD}"/>
    <cellStyle name="Vírgula 3 3 2 3 2 4 2 2" xfId="52081" xr:uid="{4221ECB6-9C10-40EA-B9C4-D1B9F540AAB8}"/>
    <cellStyle name="Vírgula 3 3 2 3 2 4 2 3" xfId="55375" xr:uid="{FBEB9819-A2D0-4035-AD46-9EAC45EE0B5A}"/>
    <cellStyle name="Vírgula 3 3 2 3 2 4 2 4" xfId="44461" xr:uid="{292562E1-C1D5-4D3D-9FB4-61255D08B14E}"/>
    <cellStyle name="Vírgula 3 3 2 3 2 4 3" xfId="48779" xr:uid="{E503350A-5BB0-4F29-A14B-EB94B0130B84}"/>
    <cellStyle name="Vírgula 3 3 2 3 2 4 3 2" xfId="56757" xr:uid="{4649E92D-8DEB-4A3C-86B1-3C2F68921566}"/>
    <cellStyle name="Vírgula 3 3 2 3 2 4 4" xfId="50449" xr:uid="{0C51340A-185C-4B31-8144-E90621318C80}"/>
    <cellStyle name="Vírgula 3 3 2 3 2 4 5" xfId="53744" xr:uid="{C7542F63-6910-4A10-AB64-17C0B4FBABFE}"/>
    <cellStyle name="Vírgula 3 3 2 3 2 4 6" xfId="24126" xr:uid="{31B741FC-624B-4D9C-A3BA-937D8A77166D}"/>
    <cellStyle name="Vírgula 3 3 2 3 2 5" xfId="2194" xr:uid="{847381A0-EA9A-4D01-AAC8-4EC20F807487}"/>
    <cellStyle name="Vírgula 3 3 2 3 2 5 2" xfId="34801" xr:uid="{68EE1A8B-976C-42A2-8BAA-EE65FE2AF480}"/>
    <cellStyle name="Vírgula 3 3 2 3 2 5 3" xfId="52078" xr:uid="{70195A33-9FAB-4EB1-B48B-FAF0772122FE}"/>
    <cellStyle name="Vírgula 3 3 2 3 2 5 4" xfId="55372" xr:uid="{A2EAB183-55D2-417E-B752-75D64475A52D}"/>
    <cellStyle name="Vírgula 3 3 2 3 2 5 5" xfId="14460" xr:uid="{474121C7-9659-4A9F-B460-2528AA176F19}"/>
    <cellStyle name="Vírgula 3 3 2 3 2 6" xfId="10582" xr:uid="{7F4B6464-EA5F-4E48-B763-D0D20B994583}"/>
    <cellStyle name="Vírgula 3 3 2 3 2 6 2" xfId="30925" xr:uid="{318E4E2D-636D-4DF9-85A9-67792BCFD842}"/>
    <cellStyle name="Vírgula 3 3 2 3 2 6 3" xfId="56348" xr:uid="{858EC304-EDEC-4CA0-A0E7-2747EA9C618D}"/>
    <cellStyle name="Vírgula 3 3 2 3 2 7" xfId="27431" xr:uid="{6C8047C3-E984-401B-8A6D-6D7CBB1DC651}"/>
    <cellStyle name="Vírgula 3 3 2 3 2 8" xfId="48776" xr:uid="{28EC2625-71BE-4C84-B8F7-CDDC4104204C}"/>
    <cellStyle name="Vírgula 3 3 2 3 2 9" xfId="50446" xr:uid="{A80823DA-AEDA-49AE-A7B8-7D12AD42DBEF}"/>
    <cellStyle name="Vírgula 3 3 2 3 3" xfId="1104" xr:uid="{37AE8905-A4C3-48C5-9FF5-9553E9C415C5}"/>
    <cellStyle name="Vírgula 3 3 2 3 3 10" xfId="8270" xr:uid="{324D8DCE-FB86-4649-A399-1D53D0BE9125}"/>
    <cellStyle name="Vírgula 3 3 2 3 3 11" xfId="5025" xr:uid="{F8062ED6-9B22-4E75-9874-01F242645500}"/>
    <cellStyle name="Vírgula 3 3 2 3 3 2" xfId="2767" xr:uid="{9A1ACEA4-F297-4CB4-AFAE-C9B491B65AE9}"/>
    <cellStyle name="Vírgula 3 3 2 3 3 2 2" xfId="42393" xr:uid="{6D4FD893-8F84-4696-A065-B9F62A4993A1}"/>
    <cellStyle name="Vírgula 3 3 2 3 3 2 3" xfId="52082" xr:uid="{F3907258-E934-4C85-9BE0-AF83ADE28603}"/>
    <cellStyle name="Vírgula 3 3 2 3 3 2 4" xfId="55376" xr:uid="{C72AC6EF-C42B-4EA0-9BDE-1DAE65C72399}"/>
    <cellStyle name="Vírgula 3 3 2 3 3 2 5" xfId="22057" xr:uid="{3DABA809-E355-40E0-A6C8-AAEDB22AD4E1}"/>
    <cellStyle name="Vírgula 3 3 2 3 3 3" xfId="25309" xr:uid="{946F4C36-3987-42B5-9DC9-25434FE820D6}"/>
    <cellStyle name="Vírgula 3 3 2 3 3 3 2" xfId="45644" xr:uid="{FD08060E-24DA-4BA0-BB6B-D4E0BA036A55}"/>
    <cellStyle name="Vírgula 3 3 2 3 3 3 3" xfId="56975" xr:uid="{02B21847-5FF0-4544-9C4B-5AA8D9ACCC4C}"/>
    <cellStyle name="Vírgula 3 3 2 3 3 4" xfId="16211" xr:uid="{DBA42059-08DE-4B57-9B91-EA2B0F0589C9}"/>
    <cellStyle name="Vírgula 3 3 2 3 3 4 2" xfId="36551" xr:uid="{F5CD0D98-19C1-4A1F-BEBB-81C7996DB59F}"/>
    <cellStyle name="Vírgula 3 3 2 3 3 5" xfId="11766" xr:uid="{61E84693-C06B-43B5-BE40-CBBC9AA358D3}"/>
    <cellStyle name="Vírgula 3 3 2 3 3 5 2" xfId="32108" xr:uid="{19020D0A-7AF9-4FEB-9297-1429BA568A19}"/>
    <cellStyle name="Vírgula 3 3 2 3 3 6" xfId="28614" xr:uid="{1B0A1F16-74FB-47A2-8077-68046A73C64A}"/>
    <cellStyle name="Vírgula 3 3 2 3 3 7" xfId="48780" xr:uid="{6AE9A6DA-9481-464D-9AB6-CF57337A6507}"/>
    <cellStyle name="Vírgula 3 3 2 3 3 8" xfId="50450" xr:uid="{C9E72EDE-ADE2-4472-B7FE-3AFEADEB30FF}"/>
    <cellStyle name="Vírgula 3 3 2 3 3 9" xfId="53745" xr:uid="{67CADB28-67BC-4815-9457-8A8F0E54F5FD}"/>
    <cellStyle name="Vírgula 3 3 2 3 4" xfId="1510" xr:uid="{A3478576-726C-4B8C-AB6B-E2FB97270EE4}"/>
    <cellStyle name="Vírgula 3 3 2 3 4 2" xfId="3171" xr:uid="{63BF5C13-2F08-4B26-B34C-5603CD1688EC}"/>
    <cellStyle name="Vírgula 3 3 2 3 4 2 2" xfId="52083" xr:uid="{CCD778F7-9D92-4C1F-9A61-D3708FE175D0}"/>
    <cellStyle name="Vírgula 3 3 2 3 4 2 3" xfId="55377" xr:uid="{6FC7B81C-6831-4C54-A52D-A140769F7FDA}"/>
    <cellStyle name="Vírgula 3 3 2 3 4 2 4" xfId="40052" xr:uid="{1784A0B8-55AC-4DDB-B5BF-3DDEB22CC860}"/>
    <cellStyle name="Vírgula 3 3 2 3 4 3" xfId="48781" xr:uid="{8045EA6A-A02A-4DC1-B825-429029F8A897}"/>
    <cellStyle name="Vírgula 3 3 2 3 4 3 2" xfId="57381" xr:uid="{E9B69011-93E0-49F2-A7A7-A98145A8DC8F}"/>
    <cellStyle name="Vírgula 3 3 2 3 4 4" xfId="50451" xr:uid="{0DC696A3-A888-47F9-AA25-093C549CD118}"/>
    <cellStyle name="Vírgula 3 3 2 3 4 5" xfId="53746" xr:uid="{D7C3DEB9-3451-4736-8537-7DE0F5FF8652}"/>
    <cellStyle name="Vírgula 3 3 2 3 4 6" xfId="19713" xr:uid="{BFF970BF-34E0-4120-82AB-9F63AFF41AA5}"/>
    <cellStyle name="Vírgula 3 3 2 3 5" xfId="697" xr:uid="{196CBE6B-3D30-4051-AC5A-4D51D6BF8DBF}"/>
    <cellStyle name="Vírgula 3 3 2 3 5 2" xfId="2413" xr:uid="{71743C0A-D2AA-4F23-8217-68E2F708CB43}"/>
    <cellStyle name="Vírgula 3 3 2 3 5 2 2" xfId="52084" xr:uid="{35642A64-C6D7-4ADF-ADD4-CBD3458560F6}"/>
    <cellStyle name="Vírgula 3 3 2 3 5 2 3" xfId="55378" xr:uid="{1CE59813-AE6A-4A86-815C-94B4A56CCF6E}"/>
    <cellStyle name="Vírgula 3 3 2 3 5 2 4" xfId="43303" xr:uid="{9763FF96-73B2-4F3A-9B24-F5A205F481C0}"/>
    <cellStyle name="Vírgula 3 3 2 3 5 3" xfId="48782" xr:uid="{E76E9C5E-7F72-4426-87C2-CB2E56662D42}"/>
    <cellStyle name="Vírgula 3 3 2 3 5 3 2" xfId="56568" xr:uid="{710796AB-B97C-40DA-914F-C45353A752D7}"/>
    <cellStyle name="Vírgula 3 3 2 3 5 4" xfId="50452" xr:uid="{E981F48D-77B8-4301-91CC-AF41EFE12E88}"/>
    <cellStyle name="Vírgula 3 3 2 3 5 5" xfId="53747" xr:uid="{12B4A279-73B8-4327-9022-41B426526524}"/>
    <cellStyle name="Vírgula 3 3 2 3 5 6" xfId="22968" xr:uid="{A99ED858-336B-405C-85EC-908E73463128}"/>
    <cellStyle name="Vírgula 3 3 2 3 6" xfId="3633" xr:uid="{A753FC77-F92C-4A77-B058-9D41D1941902}"/>
    <cellStyle name="Vírgula 3 3 2 3 6 2" xfId="32908" xr:uid="{48401C90-A910-4CBB-98B8-2D1AEBB3E228}"/>
    <cellStyle name="Vírgula 3 3 2 3 6 3" xfId="52077" xr:uid="{FA907642-5382-4722-AB0A-A9234454CE04}"/>
    <cellStyle name="Vírgula 3 3 2 3 6 4" xfId="55371" xr:uid="{2143EDE3-A244-47B5-93AA-D30C9582790E}"/>
    <cellStyle name="Vírgula 3 3 2 3 6 5" xfId="12567" xr:uid="{6E0A0131-95A9-4214-A3F4-BC9C95CFD827}"/>
    <cellStyle name="Vírgula 3 3 2 3 7" xfId="4031" xr:uid="{33E1610E-738B-49AF-BC3D-B69148EBDEF5}"/>
    <cellStyle name="Vírgula 3 3 2 3 7 2" xfId="29767" xr:uid="{8794C5F7-1A69-4C8D-8621-5B14189F0431}"/>
    <cellStyle name="Vírgula 3 3 2 3 7 3" xfId="56159" xr:uid="{1E9663E7-5C08-415C-BB43-ED75F5CA5873}"/>
    <cellStyle name="Vírgula 3 3 2 3 7 4" xfId="9424" xr:uid="{E2730CD5-5A5E-4009-96E0-C6AB905A4894}"/>
    <cellStyle name="Vírgula 3 3 2 3 8" xfId="1982" xr:uid="{52E167C2-D422-4065-829A-F62A5B729752}"/>
    <cellStyle name="Vírgula 3 3 2 3 8 2" xfId="26273" xr:uid="{DBB317E2-1A81-4F92-A141-470E341926D3}"/>
    <cellStyle name="Vírgula 3 3 2 3 9" xfId="46144" xr:uid="{29E95FE4-955A-4233-B5B5-9F44F9D24C13}"/>
    <cellStyle name="Vírgula 3 3 2 4" xfId="347" xr:uid="{3C222077-6547-43AC-9D98-378498AC5724}"/>
    <cellStyle name="Vírgula 3 3 2 4 10" xfId="53748" xr:uid="{263884A7-7EAB-4AD3-B1A5-1FE16C6F3807}"/>
    <cellStyle name="Vírgula 3 3 2 4 11" xfId="6502" xr:uid="{D592856E-2FD5-43B8-89C9-842001A34470}"/>
    <cellStyle name="Vírgula 3 3 2 4 12" xfId="4628" xr:uid="{DD85F6A8-71D6-4A64-9A41-5A1CBE56AFC7}"/>
    <cellStyle name="Vírgula 3 3 2 4 2" xfId="1163" xr:uid="{3E11DA19-A535-4B7C-804C-D740130BC12D}"/>
    <cellStyle name="Vírgula 3 3 2 4 2 2" xfId="2824" xr:uid="{5D4CA4F7-9B08-4FFA-8EE2-7900D74FDC84}"/>
    <cellStyle name="Vírgula 3 3 2 4 2 2 2" xfId="52086" xr:uid="{1A2CBB05-EC66-41B1-8B8B-079C55E8C8CA}"/>
    <cellStyle name="Vírgula 3 3 2 4 2 2 3" xfId="55380" xr:uid="{807D849F-944B-4585-AD44-34BF46807BAD}"/>
    <cellStyle name="Vírgula 3 3 2 4 2 2 4" xfId="37128" xr:uid="{FD000D19-6D09-4DE6-A476-F51D6D7792A5}"/>
    <cellStyle name="Vírgula 3 3 2 4 2 3" xfId="48784" xr:uid="{85F96393-ABFF-4266-8CD3-2AE9CF2AB282}"/>
    <cellStyle name="Vírgula 3 3 2 4 2 3 2" xfId="57034" xr:uid="{08D39173-806E-47DA-88BF-99564C90F4A6}"/>
    <cellStyle name="Vírgula 3 3 2 4 2 4" xfId="50454" xr:uid="{7D9A505F-1041-43EF-9D6A-601F50ACC266}"/>
    <cellStyle name="Vírgula 3 3 2 4 2 5" xfId="53749" xr:uid="{D1A30909-D5B8-41A6-B3B5-7C8FF6B2A1CE}"/>
    <cellStyle name="Vírgula 3 3 2 4 2 6" xfId="16788" xr:uid="{D23255D9-E4A8-4436-B991-B3D2AE710BF2}"/>
    <cellStyle name="Vírgula 3 3 2 4 3" xfId="1569" xr:uid="{EC4876A8-D6CF-4C22-8060-206E67F4383F}"/>
    <cellStyle name="Vírgula 3 3 2 4 3 2" xfId="3229" xr:uid="{26C99A3E-2FB4-42B4-A44B-B33D7B154CB5}"/>
    <cellStyle name="Vírgula 3 3 2 4 3 2 2" xfId="52087" xr:uid="{D8C1FA65-FAB9-4343-84A8-34B24748DB3F}"/>
    <cellStyle name="Vírgula 3 3 2 4 3 2 3" xfId="55381" xr:uid="{DFEF344E-0A91-4257-A01B-C656B2F4B85B}"/>
    <cellStyle name="Vírgula 3 3 2 4 3 2 4" xfId="40629" xr:uid="{520E2382-FF98-460C-8B53-00CA62846069}"/>
    <cellStyle name="Vírgula 3 3 2 4 3 3" xfId="48785" xr:uid="{430E6AAB-E649-45CB-B99B-E01D1169D15A}"/>
    <cellStyle name="Vírgula 3 3 2 4 3 3 2" xfId="57440" xr:uid="{6D57A136-0298-46AF-B4E2-1A3A23071D3E}"/>
    <cellStyle name="Vírgula 3 3 2 4 3 4" xfId="50455" xr:uid="{F1598BEE-84D6-420A-8565-A2768DB2E388}"/>
    <cellStyle name="Vírgula 3 3 2 4 3 5" xfId="53750" xr:uid="{6EFC6A2E-9E0C-47E6-BEC9-C7BACE8BD7C9}"/>
    <cellStyle name="Vírgula 3 3 2 4 3 6" xfId="20290" xr:uid="{C21D649A-FD6F-4070-8230-F3E779DDAB65}"/>
    <cellStyle name="Vírgula 3 3 2 4 4" xfId="756" xr:uid="{E910879D-C7A7-4985-8332-C6BDBE8926A4}"/>
    <cellStyle name="Vírgula 3 3 2 4 4 2" xfId="2472" xr:uid="{B9D30305-5A55-4DDB-AE13-C0E662CE9B96}"/>
    <cellStyle name="Vírgula 3 3 2 4 4 2 2" xfId="52088" xr:uid="{E45C954C-89ED-4B29-8BFD-859DD668CCBD}"/>
    <cellStyle name="Vírgula 3 3 2 4 4 2 3" xfId="55382" xr:uid="{E4275C05-46EF-4BF7-9154-4F40C490281A}"/>
    <cellStyle name="Vírgula 3 3 2 4 4 2 4" xfId="43880" xr:uid="{42F8523A-B5A5-42CD-8A67-343320B6F699}"/>
    <cellStyle name="Vírgula 3 3 2 4 4 3" xfId="48786" xr:uid="{B3C094D5-7D67-4072-AA9B-79FB43157857}"/>
    <cellStyle name="Vírgula 3 3 2 4 4 3 2" xfId="56627" xr:uid="{D145B201-2639-457F-BAAC-25EA30E7CA08}"/>
    <cellStyle name="Vírgula 3 3 2 4 4 4" xfId="50456" xr:uid="{0EF7A3A4-C860-4E48-8BCF-71AD9BC29613}"/>
    <cellStyle name="Vírgula 3 3 2 4 4 5" xfId="53751" xr:uid="{32B0D303-B44A-44D1-80CD-E6A934696EC6}"/>
    <cellStyle name="Vírgula 3 3 2 4 4 6" xfId="23545" xr:uid="{A9094D76-B27C-4EB2-A23D-E21F65A9946A}"/>
    <cellStyle name="Vírgula 3 3 2 4 5" xfId="3524" xr:uid="{FB0598C9-9EAF-434D-AF11-09C5482906EB}"/>
    <cellStyle name="Vírgula 3 3 2 4 5 2" xfId="34220" xr:uid="{66F21519-5F85-431C-B2F5-3E58D116DCB8}"/>
    <cellStyle name="Vírgula 3 3 2 4 5 3" xfId="52085" xr:uid="{4F03F721-D200-49B2-8A9F-13B0BC127656}"/>
    <cellStyle name="Vírgula 3 3 2 4 5 4" xfId="55379" xr:uid="{7779ED67-E55A-4B9D-8C1F-4303821F777C}"/>
    <cellStyle name="Vírgula 3 3 2 4 5 5" xfId="13879" xr:uid="{C24711C3-632F-4373-BBC7-1B60C39F7727}"/>
    <cellStyle name="Vírgula 3 3 2 4 6" xfId="4203" xr:uid="{78EF4A19-98DF-473B-997F-B171EF646CA0}"/>
    <cellStyle name="Vírgula 3 3 2 4 6 2" xfId="30344" xr:uid="{7693F2C4-11D6-41EF-8383-1989B9455AE6}"/>
    <cellStyle name="Vírgula 3 3 2 4 6 3" xfId="56218" xr:uid="{EADAFD3E-47F0-4609-BF74-F98FD5EE06D8}"/>
    <cellStyle name="Vírgula 3 3 2 4 6 4" xfId="10001" xr:uid="{29BEBE53-C4F8-4580-878B-369E742936EF}"/>
    <cellStyle name="Vírgula 3 3 2 4 7" xfId="1873" xr:uid="{A7436134-0E50-4983-B9D7-53FB04B2A682}"/>
    <cellStyle name="Vírgula 3 3 2 4 7 2" xfId="26850" xr:uid="{355AC20E-4289-4D2D-9BF7-0B2FC8E6B2CB}"/>
    <cellStyle name="Vírgula 3 3 2 4 8" xfId="48783" xr:uid="{01AC39FE-1024-4513-B88B-72067668B2EE}"/>
    <cellStyle name="Vírgula 3 3 2 4 9" xfId="50453" xr:uid="{746AB0ED-0BD9-47EF-9F4A-4FF6B665F30D}"/>
    <cellStyle name="Vírgula 3 3 2 5" xfId="974" xr:uid="{9803F31B-C8A1-4A0E-85BD-D158FFADF1D7}"/>
    <cellStyle name="Vírgula 3 3 2 5 10" xfId="53752" xr:uid="{51EAC2AA-6AEA-4628-BA97-BDBDB60B0C64}"/>
    <cellStyle name="Vírgula 3 3 2 5 11" xfId="7666" xr:uid="{8C79EE55-52EE-40F1-A301-EE0896CE411D}"/>
    <cellStyle name="Vírgula 3 3 2 5 12" xfId="4897" xr:uid="{A2AC6622-9776-4CEF-B4D7-4103FE457500}"/>
    <cellStyle name="Vírgula 3 3 2 5 2" xfId="3742" xr:uid="{3288DEA9-FB3E-4087-A396-EF9F1528563A}"/>
    <cellStyle name="Vírgula 3 3 2 5 2 2" xfId="38291" xr:uid="{D408E7A7-CD9D-47AB-B800-344707612837}"/>
    <cellStyle name="Vírgula 3 3 2 5 2 3" xfId="52089" xr:uid="{FB356926-5F89-4C9D-A182-EA49198774AC}"/>
    <cellStyle name="Vírgula 3 3 2 5 2 4" xfId="55383" xr:uid="{296BCAF2-4B58-4B78-A9EF-E508D67BC119}"/>
    <cellStyle name="Vírgula 3 3 2 5 2 5" xfId="17951" xr:uid="{992F1EB4-5A8D-4432-91AC-AD0448B1462E}"/>
    <cellStyle name="Vírgula 3 3 2 5 3" xfId="2688" xr:uid="{6D3241F8-74E5-436B-835F-D7C2FE5BA4D3}"/>
    <cellStyle name="Vírgula 3 3 2 5 3 2" xfId="41792" xr:uid="{2D6A7A96-9EF6-4D42-9AF3-E59C37A61F67}"/>
    <cellStyle name="Vírgula 3 3 2 5 3 3" xfId="56845" xr:uid="{1D05169E-4EE5-42F9-9739-B9F79F97C631}"/>
    <cellStyle name="Vírgula 3 3 2 5 3 4" xfId="21453" xr:uid="{75C85DAC-AC45-4507-90B9-A589B26F2932}"/>
    <cellStyle name="Vírgula 3 3 2 5 4" xfId="24708" xr:uid="{4C09C7C8-D8BF-44E9-A9B7-D739F84BD16B}"/>
    <cellStyle name="Vírgula 3 3 2 5 4 2" xfId="45043" xr:uid="{71905075-418F-470A-A755-4936590BE61F}"/>
    <cellStyle name="Vírgula 3 3 2 5 5" xfId="15043" xr:uid="{03431A07-029B-4499-8D12-38EBC9F88A9F}"/>
    <cellStyle name="Vírgula 3 3 2 5 5 2" xfId="35383" xr:uid="{15D662E4-AEAE-4EF8-8425-2AE07853392C}"/>
    <cellStyle name="Vírgula 3 3 2 5 6" xfId="11164" xr:uid="{910E0530-E133-4E7A-8649-68395B6564A4}"/>
    <cellStyle name="Vírgula 3 3 2 5 6 2" xfId="31507" xr:uid="{502275FC-EF0E-4768-88D9-CB79F02C9EFB}"/>
    <cellStyle name="Vírgula 3 3 2 5 7" xfId="28013" xr:uid="{FB05332A-DBCD-4705-9C7F-27C3B3A9330E}"/>
    <cellStyle name="Vírgula 3 3 2 5 8" xfId="48787" xr:uid="{292E4585-5587-47C6-842F-F70BB3B03919}"/>
    <cellStyle name="Vírgula 3 3 2 5 9" xfId="50457" xr:uid="{CD39C1C8-DA93-469A-AF0E-63FB9B86B3E2}"/>
    <cellStyle name="Vírgula 3 3 2 6" xfId="1380" xr:uid="{49EB288A-40DF-4E17-9390-F45E3AD9FD7E}"/>
    <cellStyle name="Vírgula 3 3 2 6 10" xfId="8268" xr:uid="{7BC45B6D-51FE-4F0A-B046-8F9E7FBC771E}"/>
    <cellStyle name="Vírgula 3 3 2 6 2" xfId="3041" xr:uid="{5AFF7682-D119-4145-B5E3-C2D6C15E2C07}"/>
    <cellStyle name="Vírgula 3 3 2 6 2 2" xfId="42391" xr:uid="{91908D61-8F9A-4C51-9B4C-1CE04B75E543}"/>
    <cellStyle name="Vírgula 3 3 2 6 2 3" xfId="52090" xr:uid="{E71C63E0-3A42-472D-8284-4AFD681556A6}"/>
    <cellStyle name="Vírgula 3 3 2 6 2 4" xfId="55384" xr:uid="{878C7C5A-2E75-4702-A022-F3C717070E54}"/>
    <cellStyle name="Vírgula 3 3 2 6 2 5" xfId="22055" xr:uid="{B9BB8B4C-2557-432A-9C72-0EEC9EC5CD85}"/>
    <cellStyle name="Vírgula 3 3 2 6 3" xfId="25307" xr:uid="{832FE4B1-5050-486A-A9D5-BDA42E6984B4}"/>
    <cellStyle name="Vírgula 3 3 2 6 3 2" xfId="45642" xr:uid="{2E8C2418-E09D-4A40-8C06-0DE8D30B12CB}"/>
    <cellStyle name="Vírgula 3 3 2 6 3 3" xfId="57251" xr:uid="{2ADC765F-8886-4599-A8B6-9A74D8C2FB8D}"/>
    <cellStyle name="Vírgula 3 3 2 6 4" xfId="15630" xr:uid="{9529EAEE-D49D-4C52-BA70-C07ECE9C760F}"/>
    <cellStyle name="Vírgula 3 3 2 6 4 2" xfId="35970" xr:uid="{860B8AEC-B3AE-40AB-9CD6-4EB463CAAD60}"/>
    <cellStyle name="Vírgula 3 3 2 6 5" xfId="11764" xr:uid="{24B3DF3D-CE01-4812-AA43-17AA80C81175}"/>
    <cellStyle name="Vírgula 3 3 2 6 5 2" xfId="32106" xr:uid="{21A180C6-83E7-4A95-8D74-ED1F41116AD6}"/>
    <cellStyle name="Vírgula 3 3 2 6 6" xfId="28612" xr:uid="{2917F7B3-C824-4BF8-BD69-43F08B28ECD6}"/>
    <cellStyle name="Vírgula 3 3 2 6 7" xfId="48788" xr:uid="{1FE05588-67BD-4F3F-8E5D-35D5631337BB}"/>
    <cellStyle name="Vírgula 3 3 2 6 8" xfId="50458" xr:uid="{2B3D1F5C-8ED1-478F-B955-067997820875}"/>
    <cellStyle name="Vírgula 3 3 2 6 9" xfId="53753" xr:uid="{BC8131E9-279B-49D3-9085-5E1EB50F1DB9}"/>
    <cellStyle name="Vírgula 3 3 2 7" xfId="567" xr:uid="{04DFBC6A-B0ED-45F1-87B9-5D72DD1A9153}"/>
    <cellStyle name="Vírgula 3 3 2 7 2" xfId="2283" xr:uid="{538FDB86-AD04-491D-87B7-3B25CEDC849A}"/>
    <cellStyle name="Vírgula 3 3 2 7 2 2" xfId="38884" xr:uid="{5C832479-3B5A-4A3B-822E-1291DAC48129}"/>
    <cellStyle name="Vírgula 3 3 2 7 2 3" xfId="52091" xr:uid="{C639ADB3-A6BA-4DA2-9938-3A2FBB4510DD}"/>
    <cellStyle name="Vírgula 3 3 2 7 2 4" xfId="55385" xr:uid="{F6932D77-E6C1-4A81-A266-8DCBEE990CE2}"/>
    <cellStyle name="Vírgula 3 3 2 7 2 5" xfId="18544" xr:uid="{4E4CF8E7-2DA9-44A9-8269-C4071788D849}"/>
    <cellStyle name="Vírgula 3 3 2 7 3" xfId="28869" xr:uid="{A28668F2-D0E8-433B-A837-8583547F2D88}"/>
    <cellStyle name="Vírgula 3 3 2 7 3 2" xfId="56438" xr:uid="{BCAB593B-BFCB-4BC6-8E2B-40C9D25E7D5F}"/>
    <cellStyle name="Vírgula 3 3 2 7 4" xfId="48789" xr:uid="{5E3A865B-A83C-4B37-8C7A-EF09E69E6688}"/>
    <cellStyle name="Vírgula 3 3 2 7 5" xfId="50459" xr:uid="{7CF5B409-70EE-483A-BAF4-4BBF72782644}"/>
    <cellStyle name="Vírgula 3 3 2 7 6" xfId="53754" xr:uid="{5B6E4861-E718-41DD-8470-AE1EBBCF31D2}"/>
    <cellStyle name="Vírgula 3 3 2 7 7" xfId="8526" xr:uid="{007ADE69-5AAE-4A27-B4B6-7352530E6D35}"/>
    <cellStyle name="Vírgula 3 3 2 8" xfId="3414" xr:uid="{4CD49A7F-209B-4971-A6EE-3C0B8F7A76B0}"/>
    <cellStyle name="Vírgula 3 3 2 8 2" xfId="39471" xr:uid="{AE222EC8-4805-4E08-B4D7-6100CB85E3E9}"/>
    <cellStyle name="Vírgula 3 3 2 8 3" xfId="52068" xr:uid="{EE1C7DB7-0D12-4350-8117-AB72FE7E642B}"/>
    <cellStyle name="Vírgula 3 3 2 8 4" xfId="55362" xr:uid="{D9D66C0B-C0A8-4D57-BA5A-DD46E77D2E5A}"/>
    <cellStyle name="Vírgula 3 3 2 8 5" xfId="19132" xr:uid="{9735CB5A-11C2-490E-A6E2-10F023035F18}"/>
    <cellStyle name="Vírgula 3 3 2 9" xfId="3860" xr:uid="{465D81C3-DC8A-4471-9BA1-5A4B94ECB254}"/>
    <cellStyle name="Vírgula 3 3 2 9 2" xfId="42722" xr:uid="{EDDB4E4C-79E3-4763-8161-78FAD7D5AA8E}"/>
    <cellStyle name="Vírgula 3 3 2 9 3" xfId="56029" xr:uid="{7980EDDD-5252-44D6-B612-D5AD89504573}"/>
    <cellStyle name="Vírgula 3 3 2 9 4" xfId="22387" xr:uid="{FAC9158D-5FC0-42A0-9292-2D0AD27B0B57}"/>
    <cellStyle name="Vírgula 3 3 20" xfId="46819" xr:uid="{8858F974-A5FD-4F7A-8EEF-44AAB211D9E9}"/>
    <cellStyle name="Vírgula 3 3 21" xfId="47320" xr:uid="{31154A7F-A72F-433C-AB08-EF41BE156931}"/>
    <cellStyle name="Vírgula 3 3 22" xfId="47446" xr:uid="{C9DAB0FE-6507-489C-9C43-976F62D2296C}"/>
    <cellStyle name="Vírgula 3 3 23" xfId="47572" xr:uid="{BA21E26D-D9A2-4909-881C-3BF75BB5187D}"/>
    <cellStyle name="Vírgula 3 3 24" xfId="48764" xr:uid="{9AFCEAB3-A1E7-478F-890F-B0148A916AB2}"/>
    <cellStyle name="Vírgula 3 3 25" xfId="50434" xr:uid="{C0D36FC1-90CF-444C-A3E9-784559B57B14}"/>
    <cellStyle name="Vírgula 3 3 26" xfId="53729" xr:uid="{9A926785-169C-4697-B30A-2E2A8CBE5EB4}"/>
    <cellStyle name="Vírgula 3 3 27" xfId="5244" xr:uid="{EABA6C9A-3B4A-4067-8893-7684D09CCE2A}"/>
    <cellStyle name="Vírgula 3 3 28" xfId="4375" xr:uid="{1ABA9C1B-37F5-463D-AA4C-AB447756F410}"/>
    <cellStyle name="Vírgula 3 3 3" xfId="184" xr:uid="{320F9E8B-BC50-4952-A0BF-E7BA5FC8FD81}"/>
    <cellStyle name="Vírgula 3 3 3 10" xfId="12200" xr:uid="{A4D8B077-6671-4068-876C-51B73F6045D8}"/>
    <cellStyle name="Vírgula 3 3 3 10 2" xfId="32541" xr:uid="{35FAC76C-E91C-47DC-BB5E-592076ABAF34}"/>
    <cellStyle name="Vírgula 3 3 3 11" xfId="8939" xr:uid="{F8E90F98-EB19-48B9-9C7C-22464D109773}"/>
    <cellStyle name="Vírgula 3 3 3 11 2" xfId="29282" xr:uid="{CADD1295-C920-48E5-997F-BEB48570642F}"/>
    <cellStyle name="Vírgula 3 3 3 12" xfId="25788" xr:uid="{B55245E8-D944-4180-890A-33AB438C9E5C}"/>
    <cellStyle name="Vírgula 3 3 3 13" xfId="45997" xr:uid="{3250FBC8-0687-4AB3-A939-34F111606F31}"/>
    <cellStyle name="Vírgula 3 3 3 14" xfId="46483" xr:uid="{1DC3A8EE-2E25-4A15-B5E5-9E7F9F1F8944}"/>
    <cellStyle name="Vírgula 3 3 3 15" xfId="46975" xr:uid="{353F2768-8C1F-42AB-ABAF-C393AF7FB84F}"/>
    <cellStyle name="Vírgula 3 3 3 16" xfId="47376" xr:uid="{40188797-5CBA-447F-AD3F-67E4EF4618F8}"/>
    <cellStyle name="Vírgula 3 3 3 17" xfId="47502" xr:uid="{0E72F9F6-250E-4B5A-9744-CCE22CE4B69F}"/>
    <cellStyle name="Vírgula 3 3 3 18" xfId="47628" xr:uid="{1E2C23AE-5791-459D-9195-FBA9D48C2B51}"/>
    <cellStyle name="Vírgula 3 3 3 19" xfId="48790" xr:uid="{BD236C2B-8161-4B2A-BD1D-1338BAC30625}"/>
    <cellStyle name="Vírgula 3 3 3 2" xfId="373" xr:uid="{17B7F8DB-8E27-404A-96D9-F1E779F45110}"/>
    <cellStyle name="Vírgula 3 3 3 2 10" xfId="46726" xr:uid="{7D9EA8FE-228F-4248-A178-B0F6865E27E8}"/>
    <cellStyle name="Vírgula 3 3 3 2 11" xfId="47218" xr:uid="{F207A215-465A-486A-9613-C03DC17EC832}"/>
    <cellStyle name="Vírgula 3 3 3 2 12" xfId="48791" xr:uid="{0A435699-4675-4D28-B466-31B57CF70753}"/>
    <cellStyle name="Vírgula 3 3 3 2 13" xfId="50461" xr:uid="{B55F011B-4099-4CEB-9498-CA0DEE7AC5A9}"/>
    <cellStyle name="Vírgula 3 3 3 2 14" xfId="53756" xr:uid="{C86F96B2-C359-4A43-9615-62D2A8557EE5}"/>
    <cellStyle name="Vírgula 3 3 3 2 15" xfId="6021" xr:uid="{533BD402-AD22-4CA3-9817-545ED7BC1D50}"/>
    <cellStyle name="Vírgula 3 3 3 2 16" xfId="4654" xr:uid="{29DD6ADC-7216-4154-A268-90407222F669}"/>
    <cellStyle name="Vírgula 3 3 3 2 2" xfId="1189" xr:uid="{14244AF0-61CF-4D45-A42A-629E3444F700}"/>
    <cellStyle name="Vírgula 3 3 3 2 2 10" xfId="53757" xr:uid="{1B87221F-8E24-46CD-82F2-226FAE5E4A0B}"/>
    <cellStyle name="Vírgula 3 3 3 2 2 11" xfId="7179" xr:uid="{5CE03A0D-D3C4-4CB0-927D-442C8E8BD6D8}"/>
    <cellStyle name="Vírgula 3 3 3 2 2 12" xfId="5115" xr:uid="{F8ED4542-0815-4FBF-8A2D-A46E31B3A9A0}"/>
    <cellStyle name="Vírgula 3 3 3 2 2 2" xfId="2850" xr:uid="{7FD1E132-B1C2-422F-9C31-E465C7B993CF}"/>
    <cellStyle name="Vírgula 3 3 3 2 2 2 2" xfId="37805" xr:uid="{1B966C4E-FEB6-411F-90A3-EE98B8C445F4}"/>
    <cellStyle name="Vírgula 3 3 3 2 2 2 3" xfId="52094" xr:uid="{6918E3A0-F4BE-4E52-9CBB-475CD13951DE}"/>
    <cellStyle name="Vírgula 3 3 3 2 2 2 4" xfId="55388" xr:uid="{975F1C32-A140-428B-A852-30F5078900E5}"/>
    <cellStyle name="Vírgula 3 3 3 2 2 2 5" xfId="17465" xr:uid="{E37EE519-6269-455C-90E4-6D0DEE97B4DA}"/>
    <cellStyle name="Vírgula 3 3 3 2 2 3" xfId="20967" xr:uid="{41E11B08-8D30-4E7B-AFE7-CA5D3010D50A}"/>
    <cellStyle name="Vírgula 3 3 3 2 2 3 2" xfId="41306" xr:uid="{5925A3A0-7918-4FB0-BC9A-E79DBBDB653A}"/>
    <cellStyle name="Vírgula 3 3 3 2 2 3 3" xfId="57060" xr:uid="{A0A86A21-8FCB-4EB7-B399-05649ECED118}"/>
    <cellStyle name="Vírgula 3 3 3 2 2 4" xfId="24222" xr:uid="{5D9206F7-8E8C-4A7B-9973-2C0B6300EE60}"/>
    <cellStyle name="Vírgula 3 3 3 2 2 4 2" xfId="44557" xr:uid="{537F5548-0DE1-48B6-A659-AD9607EDC404}"/>
    <cellStyle name="Vírgula 3 3 3 2 2 5" xfId="14556" xr:uid="{333A0274-9F41-4D73-B92A-1CCF6B7C8890}"/>
    <cellStyle name="Vírgula 3 3 3 2 2 5 2" xfId="34897" xr:uid="{FAFBC11F-016B-4043-AE2A-8F9B599A5755}"/>
    <cellStyle name="Vírgula 3 3 3 2 2 6" xfId="10678" xr:uid="{4A14515D-B4C7-4DDF-9541-CA182BCB23C6}"/>
    <cellStyle name="Vírgula 3 3 3 2 2 6 2" xfId="31021" xr:uid="{0FC5F033-9BE1-4735-8DB8-1750C640B07C}"/>
    <cellStyle name="Vírgula 3 3 3 2 2 7" xfId="27527" xr:uid="{9C732BCA-7D37-4048-B175-BB8AF22F70F1}"/>
    <cellStyle name="Vírgula 3 3 3 2 2 8" xfId="48792" xr:uid="{4A83432D-3618-4163-A283-2990CC869715}"/>
    <cellStyle name="Vírgula 3 3 3 2 2 9" xfId="50462" xr:uid="{0BE7A458-8D5A-403A-9AAD-06BA5CCD763D}"/>
    <cellStyle name="Vírgula 3 3 3 2 3" xfId="1595" xr:uid="{99024D54-6E96-48EE-81D6-A1BDAF7BE1F3}"/>
    <cellStyle name="Vírgula 3 3 3 2 3 2" xfId="3255" xr:uid="{E7AF1AEA-5EF4-4744-8429-1837DD387621}"/>
    <cellStyle name="Vírgula 3 3 3 2 3 2 2" xfId="52095" xr:uid="{100B4D39-BC34-4200-A98E-DD2EBF5FE698}"/>
    <cellStyle name="Vírgula 3 3 3 2 3 2 3" xfId="55389" xr:uid="{8258C3CB-7DF2-4C95-BE56-F16272C5AEB7}"/>
    <cellStyle name="Vírgula 3 3 3 2 3 2 4" xfId="36647" xr:uid="{D3F59F4D-D054-4B37-8E14-1C6B469005B3}"/>
    <cellStyle name="Vírgula 3 3 3 2 3 3" xfId="48793" xr:uid="{72554C6F-A4FD-4330-9FF9-8C22D67DD271}"/>
    <cellStyle name="Vírgula 3 3 3 2 3 3 2" xfId="57466" xr:uid="{4B877B24-F1E6-453F-8A2C-DA4C6F4B2DF8}"/>
    <cellStyle name="Vírgula 3 3 3 2 3 4" xfId="50463" xr:uid="{BF53EC33-6DFF-4BDE-98B9-B12074E44E5B}"/>
    <cellStyle name="Vírgula 3 3 3 2 3 5" xfId="53758" xr:uid="{557C76DE-3BA8-4A18-8DB6-CF8D5B461BF2}"/>
    <cellStyle name="Vírgula 3 3 3 2 3 6" xfId="16307" xr:uid="{5D2DBD01-DC5A-46DB-9107-FF2478FABB94}"/>
    <cellStyle name="Vírgula 3 3 3 2 4" xfId="782" xr:uid="{9D32F084-C3F8-4E48-906A-B12354E6650E}"/>
    <cellStyle name="Vírgula 3 3 3 2 4 2" xfId="2498" xr:uid="{8EC63E28-8859-4848-987C-D777B7FED214}"/>
    <cellStyle name="Vírgula 3 3 3 2 4 2 2" xfId="52096" xr:uid="{D946F46D-3191-4DF8-B6F4-E99DA0D46CD4}"/>
    <cellStyle name="Vírgula 3 3 3 2 4 2 3" xfId="55390" xr:uid="{736E3BEF-29B2-450A-BD74-79C9A0B277D4}"/>
    <cellStyle name="Vírgula 3 3 3 2 4 2 4" xfId="40148" xr:uid="{13680EF0-E55B-4D89-BDAD-2BA8202B36FB}"/>
    <cellStyle name="Vírgula 3 3 3 2 4 3" xfId="48794" xr:uid="{6B699EE0-5082-48C3-B9EF-1ACB23DDCB18}"/>
    <cellStyle name="Vírgula 3 3 3 2 4 3 2" xfId="56653" xr:uid="{51D9F458-3B66-4042-A7D1-59B34439A1C8}"/>
    <cellStyle name="Vírgula 3 3 3 2 4 4" xfId="50464" xr:uid="{7EFCA34C-681C-4532-9A09-FCE2D8CA594A}"/>
    <cellStyle name="Vírgula 3 3 3 2 4 5" xfId="53759" xr:uid="{CBB651BC-B2FE-4965-9565-E95662AA77C9}"/>
    <cellStyle name="Vírgula 3 3 3 2 4 6" xfId="19809" xr:uid="{9526BA19-ABC1-4662-ABBC-5DE4E8F98707}"/>
    <cellStyle name="Vírgula 3 3 3 2 5" xfId="3662" xr:uid="{783C2E57-03B9-456D-BBA3-7C0AC068EAD8}"/>
    <cellStyle name="Vírgula 3 3 3 2 5 2" xfId="43399" xr:uid="{5E76E80D-DF7E-4D0C-B5E7-519233C00312}"/>
    <cellStyle name="Vírgula 3 3 3 2 5 3" xfId="52093" xr:uid="{6C225DFC-0F44-40AA-8366-8FE4565668F7}"/>
    <cellStyle name="Vírgula 3 3 3 2 5 4" xfId="55387" xr:uid="{35DC498A-087C-4C8E-9B4B-1FE87B88B089}"/>
    <cellStyle name="Vírgula 3 3 3 2 5 5" xfId="23064" xr:uid="{54E56D8A-2341-43EE-BBDE-50C3A4D1F5B4}"/>
    <cellStyle name="Vírgula 3 3 3 2 6" xfId="4071" xr:uid="{3577C380-9A33-4D3C-987B-D70BA449F210}"/>
    <cellStyle name="Vírgula 3 3 3 2 6 2" xfId="33739" xr:uid="{591736CB-F279-4A53-A272-7DE2B2401764}"/>
    <cellStyle name="Vírgula 3 3 3 2 6 3" xfId="56244" xr:uid="{03330FE4-CACA-4B67-806F-71975B4C63F8}"/>
    <cellStyle name="Vírgula 3 3 3 2 6 4" xfId="13398" xr:uid="{8528864E-6BC6-4A03-9F31-3F2C025BD9D7}"/>
    <cellStyle name="Vírgula 3 3 3 2 7" xfId="2011" xr:uid="{8CB6028A-00A1-4E51-9410-845B83FC6469}"/>
    <cellStyle name="Vírgula 3 3 3 2 7 2" xfId="29863" xr:uid="{9E07B8D2-8CDB-4CD8-AFA0-AF675119B7AD}"/>
    <cellStyle name="Vírgula 3 3 3 2 7 3" xfId="9520" xr:uid="{880536C6-6D0C-4ECA-970F-27BF5749B636}"/>
    <cellStyle name="Vírgula 3 3 3 2 8" xfId="26369" xr:uid="{63192BC2-2A25-43CF-A9C5-769B053BD74D}"/>
    <cellStyle name="Vírgula 3 3 3 2 9" xfId="46240" xr:uid="{F97253C6-3B9A-4867-949D-502CEC264BDD}"/>
    <cellStyle name="Vírgula 3 3 3 20" xfId="50460" xr:uid="{5B801154-0DC8-45C1-85D3-9383639A085A}"/>
    <cellStyle name="Vírgula 3 3 3 21" xfId="53755" xr:uid="{42119D31-3AB3-47E6-8F21-8E0E4ED52C32}"/>
    <cellStyle name="Vírgula 3 3 3 22" xfId="5455" xr:uid="{AB87347A-6689-41C9-A590-7BB243153662}"/>
    <cellStyle name="Vírgula 3 3 3 23" xfId="4465" xr:uid="{EA1A4089-53F0-4E1E-B47F-E1F99BB51AFC}"/>
    <cellStyle name="Vírgula 3 3 3 3" xfId="1000" xr:uid="{4D3E273D-E1D5-48A6-AECA-0B673B82521B}"/>
    <cellStyle name="Vírgula 3 3 3 3 10" xfId="53760" xr:uid="{CAC74909-C7D1-46C9-A40A-E586D1CB97B7}"/>
    <cellStyle name="Vírgula 3 3 3 3 11" xfId="6598" xr:uid="{44DDD5DC-C107-4222-9F47-EDAF44FE4DC1}"/>
    <cellStyle name="Vírgula 3 3 3 3 12" xfId="4896" xr:uid="{6974BC8F-775F-49D9-88BE-5EEFE60EA667}"/>
    <cellStyle name="Vírgula 3 3 3 3 2" xfId="3553" xr:uid="{7CCDCD91-5B90-4965-A172-0AF1CA83C53C}"/>
    <cellStyle name="Vírgula 3 3 3 3 2 2" xfId="37224" xr:uid="{E737929C-BCB3-46A3-97BF-B3DF4E26AE8E}"/>
    <cellStyle name="Vírgula 3 3 3 3 2 3" xfId="52097" xr:uid="{FE6BA462-5E5F-4A6E-99AA-40CBB94E6E80}"/>
    <cellStyle name="Vírgula 3 3 3 3 2 4" xfId="55391" xr:uid="{D89CDE51-9AB0-4549-8CC9-F0A785937B71}"/>
    <cellStyle name="Vírgula 3 3 3 3 2 5" xfId="16884" xr:uid="{E43B78C0-3535-4CED-B3D9-99A26CCD91A1}"/>
    <cellStyle name="Vírgula 3 3 3 3 3" xfId="4243" xr:uid="{2C054D50-F3D5-4BA5-8DEA-1895E4836118}"/>
    <cellStyle name="Vírgula 3 3 3 3 3 2" xfId="40725" xr:uid="{2069B124-A30F-4865-917E-A299ED1CE512}"/>
    <cellStyle name="Vírgula 3 3 3 3 3 3" xfId="56871" xr:uid="{25606042-AA66-4A14-9E5B-B03A6554C079}"/>
    <cellStyle name="Vírgula 3 3 3 3 3 4" xfId="20386" xr:uid="{DE7B78F5-AC9D-4261-927A-6B37FAE64560}"/>
    <cellStyle name="Vírgula 3 3 3 3 4" xfId="1902" xr:uid="{07C3B8D7-51FC-43FE-93C7-26C8C8B4EFC3}"/>
    <cellStyle name="Vírgula 3 3 3 3 4 2" xfId="43976" xr:uid="{A296FD69-1F16-4996-813E-2824073AA30F}"/>
    <cellStyle name="Vírgula 3 3 3 3 4 3" xfId="23641" xr:uid="{E52CCB9D-4B7E-485F-B5F1-D3C809FFC114}"/>
    <cellStyle name="Vírgula 3 3 3 3 5" xfId="13975" xr:uid="{9E029AF5-C8D1-4862-8809-4BD2DFE03077}"/>
    <cellStyle name="Vírgula 3 3 3 3 5 2" xfId="34316" xr:uid="{660D134C-6B01-450F-8B7E-5013C123D56B}"/>
    <cellStyle name="Vírgula 3 3 3 3 6" xfId="10097" xr:uid="{E02C218A-747F-472A-B68D-09D2DF3BA9B8}"/>
    <cellStyle name="Vírgula 3 3 3 3 6 2" xfId="30440" xr:uid="{B1ECA9AF-37E5-4B64-8435-548384DA62F4}"/>
    <cellStyle name="Vírgula 3 3 3 3 7" xfId="26946" xr:uid="{21F3B7EA-FCF8-498E-9DEB-8776D05CE211}"/>
    <cellStyle name="Vírgula 3 3 3 3 8" xfId="48795" xr:uid="{97D0B5FA-C0FB-48A4-9CE3-974FBD00F60A}"/>
    <cellStyle name="Vírgula 3 3 3 3 9" xfId="50465" xr:uid="{E7E6914B-CDFA-4F37-86D9-EE15033A74C8}"/>
    <cellStyle name="Vírgula 3 3 3 4" xfId="1406" xr:uid="{61C219FD-DBC0-4EA4-87EF-44E839B188DC}"/>
    <cellStyle name="Vírgula 3 3 3 4 10" xfId="53761" xr:uid="{F64093AC-BDE2-4197-BEFC-335B00B019AC}"/>
    <cellStyle name="Vírgula 3 3 3 4 11" xfId="7762" xr:uid="{B624EB66-DD68-42B8-9C04-7EB3ECDBCEC5}"/>
    <cellStyle name="Vírgula 3 3 3 4 2" xfId="3771" xr:uid="{B39F89F4-34F4-42F0-AF3C-DBBABAF93457}"/>
    <cellStyle name="Vírgula 3 3 3 4 2 2" xfId="38387" xr:uid="{6A34C0FC-1235-4799-B63D-CC38A59B44C8}"/>
    <cellStyle name="Vírgula 3 3 3 4 2 3" xfId="52098" xr:uid="{45F496C2-402B-4179-BA0A-02CD14B7F634}"/>
    <cellStyle name="Vírgula 3 3 3 4 2 4" xfId="55392" xr:uid="{32844F84-6C42-403D-ADB1-D630B7F94D5B}"/>
    <cellStyle name="Vírgula 3 3 3 4 2 5" xfId="18047" xr:uid="{B432F865-548E-4D38-89C6-91460FCC6D43}"/>
    <cellStyle name="Vírgula 3 3 3 4 3" xfId="3067" xr:uid="{A0218C1C-60F4-491D-AC52-3BAE1C4B2C00}"/>
    <cellStyle name="Vírgula 3 3 3 4 3 2" xfId="41888" xr:uid="{EA5D5B91-B8CA-4696-9D77-FF2E13AF9B08}"/>
    <cellStyle name="Vírgula 3 3 3 4 3 3" xfId="57277" xr:uid="{2BF71811-D0FB-495C-94AD-0902EE3BA1B3}"/>
    <cellStyle name="Vírgula 3 3 3 4 3 4" xfId="21549" xr:uid="{6F659AE4-C4D3-4A9A-AD01-35F1DB7696E9}"/>
    <cellStyle name="Vírgula 3 3 3 4 4" xfId="24804" xr:uid="{F704022B-7F48-4AC4-A88B-C0FF32A3A60E}"/>
    <cellStyle name="Vírgula 3 3 3 4 4 2" xfId="45139" xr:uid="{2C477218-18B2-486A-B6E7-E011A0CB1F35}"/>
    <cellStyle name="Vírgula 3 3 3 4 5" xfId="15139" xr:uid="{CC3F1811-EDFF-4515-83FF-4FE8326A6FED}"/>
    <cellStyle name="Vírgula 3 3 3 4 5 2" xfId="35479" xr:uid="{22C90F8F-7587-4980-8950-9B733856AD53}"/>
    <cellStyle name="Vírgula 3 3 3 4 6" xfId="11260" xr:uid="{39109A51-917B-4749-A7DA-B1C4B856E6BD}"/>
    <cellStyle name="Vírgula 3 3 3 4 6 2" xfId="31603" xr:uid="{E7CB3595-B5A9-4A1F-82A4-DD6352C2794F}"/>
    <cellStyle name="Vírgula 3 3 3 4 7" xfId="28109" xr:uid="{5205B7BB-26D4-4C37-9C84-12D92448D411}"/>
    <cellStyle name="Vírgula 3 3 3 4 8" xfId="48796" xr:uid="{FEB82403-196D-4D26-9247-313A8A039E9D}"/>
    <cellStyle name="Vírgula 3 3 3 4 9" xfId="50466" xr:uid="{1CB6182D-516A-4A95-87CF-22944C566DD9}"/>
    <cellStyle name="Vírgula 3 3 3 5" xfId="593" xr:uid="{00EE4E65-856E-4AF0-885D-82FDB8526924}"/>
    <cellStyle name="Vírgula 3 3 3 5 10" xfId="8271" xr:uid="{A991D880-30F6-47DD-9C6F-6618C18C6A45}"/>
    <cellStyle name="Vírgula 3 3 3 5 2" xfId="2309" xr:uid="{0CDA5B7F-44B2-46FF-B470-A88F777E71E6}"/>
    <cellStyle name="Vírgula 3 3 3 5 2 2" xfId="42394" xr:uid="{6949096F-9C75-438D-8A5B-EA7AD59215CA}"/>
    <cellStyle name="Vírgula 3 3 3 5 2 3" xfId="52099" xr:uid="{CF2335D6-CB06-4EAD-87D6-44C8EF215183}"/>
    <cellStyle name="Vírgula 3 3 3 5 2 4" xfId="55393" xr:uid="{CA703D88-5E48-4CDA-8B44-758C37995C5C}"/>
    <cellStyle name="Vírgula 3 3 3 5 2 5" xfId="22058" xr:uid="{0BC8590C-BD9B-479C-9E81-0E036646F26C}"/>
    <cellStyle name="Vírgula 3 3 3 5 3" xfId="25310" xr:uid="{9D2C25A9-E196-4591-AA7B-A12885E2BCD2}"/>
    <cellStyle name="Vírgula 3 3 3 5 3 2" xfId="45645" xr:uid="{CEF6DE14-DF0F-4DDE-A319-9337713BCCD3}"/>
    <cellStyle name="Vírgula 3 3 3 5 3 3" xfId="56464" xr:uid="{A41B9CDC-8881-4A68-B4EC-76C171757501}"/>
    <cellStyle name="Vírgula 3 3 3 5 4" xfId="12829" xr:uid="{F9643468-5012-46CD-BF06-686AFAE726AB}"/>
    <cellStyle name="Vírgula 3 3 3 5 4 2" xfId="33170" xr:uid="{04673E87-B964-47BD-8366-48B7DA1BB147}"/>
    <cellStyle name="Vírgula 3 3 3 5 5" xfId="11767" xr:uid="{27973149-21EF-4719-A320-D096085C5DF4}"/>
    <cellStyle name="Vírgula 3 3 3 5 5 2" xfId="32109" xr:uid="{3E7C4005-C341-4847-8C3B-04DF8D6C1BFF}"/>
    <cellStyle name="Vírgula 3 3 3 5 6" xfId="28615" xr:uid="{F413C51A-5922-475F-9444-B30581DE044D}"/>
    <cellStyle name="Vírgula 3 3 3 5 7" xfId="48797" xr:uid="{72D7BD04-4B74-40BA-93CC-CB0C6D37E9DE}"/>
    <cellStyle name="Vírgula 3 3 3 5 8" xfId="50467" xr:uid="{D34F2EE1-5317-44FF-ACA7-5EFAE9F9DAD7}"/>
    <cellStyle name="Vírgula 3 3 3 5 9" xfId="53762" xr:uid="{F1175AA6-049C-480F-8036-97EC84AFA6CF}"/>
    <cellStyle name="Vírgula 3 3 3 6" xfId="3443" xr:uid="{1D7EF119-FFFF-44FB-848F-A9A86CA04110}"/>
    <cellStyle name="Vírgula 3 3 3 6 2" xfId="15726" xr:uid="{C7F273B2-5953-44CA-AD96-B8E63F071374}"/>
    <cellStyle name="Vírgula 3 3 3 6 2 2" xfId="36066" xr:uid="{E938CE88-D32D-4019-9712-438C30276500}"/>
    <cellStyle name="Vírgula 3 3 3 6 3" xfId="28965" xr:uid="{407C26D6-484F-4AC1-B190-C59E9350C8AB}"/>
    <cellStyle name="Vírgula 3 3 3 6 4" xfId="52092" xr:uid="{0F0BEB49-B2E7-4184-9C7E-857E125A78DA}"/>
    <cellStyle name="Vírgula 3 3 3 6 5" xfId="55386" xr:uid="{B3ADDA6B-AB74-45BA-BEF5-F9DB6F967362}"/>
    <cellStyle name="Vírgula 3 3 3 6 6" xfId="8622" xr:uid="{1E24342C-BB0A-4B0D-98F5-4FB30E0C859E}"/>
    <cellStyle name="Vírgula 3 3 3 7" xfId="3900" xr:uid="{2C77D67F-C17A-484C-9246-45C015BA2F68}"/>
    <cellStyle name="Vírgula 3 3 3 7 2" xfId="38980" xr:uid="{3FED68A4-C651-4C1F-86AB-39C08D6DB17A}"/>
    <cellStyle name="Vírgula 3 3 3 7 3" xfId="56055" xr:uid="{DCCD4408-5FA3-489C-9C50-2E0CD638EBAD}"/>
    <cellStyle name="Vírgula 3 3 3 7 4" xfId="18640" xr:uid="{70996220-9A1A-4F4C-AF79-1B9369A50DDE}"/>
    <cellStyle name="Vírgula 3 3 3 8" xfId="1792" xr:uid="{7EAF8BFF-1158-4C8D-A66E-502E9078F7DD}"/>
    <cellStyle name="Vírgula 3 3 3 8 2" xfId="39567" xr:uid="{878648D7-9F63-4787-997F-63CFA0B8C5F4}"/>
    <cellStyle name="Vírgula 3 3 3 8 3" xfId="19228" xr:uid="{5DB928AF-B55B-40E7-925D-0B5D90E252D4}"/>
    <cellStyle name="Vírgula 3 3 3 9" xfId="22483" xr:uid="{59382678-D99B-4971-A660-EC9AB28B36AF}"/>
    <cellStyle name="Vírgula 3 3 3 9 2" xfId="42818" xr:uid="{F8DA0B96-5682-4FB3-BE17-633148736702}"/>
    <cellStyle name="Vírgula 3 3 4" xfId="210" xr:uid="{191BB5B9-096B-4BA3-8059-47E29414B705}"/>
    <cellStyle name="Vírgula 3 3 4 10" xfId="12258" xr:uid="{DDF3508A-58BF-4F30-ACAA-D3D28C23A6D3}"/>
    <cellStyle name="Vírgula 3 3 4 10 2" xfId="32599" xr:uid="{1CCB6B4C-471A-4EC4-AD0F-15C44D0986C3}"/>
    <cellStyle name="Vírgula 3 3 4 11" xfId="8997" xr:uid="{530B00B9-9BBF-44CF-A4D2-546EB666ABB2}"/>
    <cellStyle name="Vírgula 3 3 4 11 2" xfId="29340" xr:uid="{5D7BEBF1-0597-4B7F-BA2A-924D7BC4FD80}"/>
    <cellStyle name="Vírgula 3 3 4 12" xfId="25846" xr:uid="{E81DBE03-DAE2-4C62-96A5-55ABB3870933}"/>
    <cellStyle name="Vírgula 3 3 4 13" xfId="46084" xr:uid="{154EC384-26B3-49FF-A8A4-54535DD61412}"/>
    <cellStyle name="Vírgula 3 3 4 14" xfId="46570" xr:uid="{EB28681A-B84D-4641-A92C-F37D825AAAB2}"/>
    <cellStyle name="Vírgula 3 3 4 15" xfId="47062" xr:uid="{22A37BD5-6630-41C5-BD44-52C95C596D8D}"/>
    <cellStyle name="Vírgula 3 3 4 16" xfId="48798" xr:uid="{1482B6FA-2494-4978-894A-8B5CC58A4546}"/>
    <cellStyle name="Vírgula 3 3 4 17" xfId="50468" xr:uid="{98106628-7FD5-4D5C-9CF3-12383566C932}"/>
    <cellStyle name="Vírgula 3 3 4 18" xfId="53763" xr:uid="{A7F47BA9-FABC-4B3D-A957-C49953596A0C}"/>
    <cellStyle name="Vírgula 3 3 4 19" xfId="5507" xr:uid="{863CE31D-F037-4A54-A0ED-489A381AFC24}"/>
    <cellStyle name="Vírgula 3 3 4 2" xfId="399" xr:uid="{5F165E8A-E63E-4FF1-8457-26B4BE2CF386}"/>
    <cellStyle name="Vírgula 3 3 4 2 10" xfId="50469" xr:uid="{B0A9E276-862D-489E-8AAB-D7DA810DA8D6}"/>
    <cellStyle name="Vírgula 3 3 4 2 11" xfId="53764" xr:uid="{16D111F3-A9F9-4D11-B29E-F02186F255FA}"/>
    <cellStyle name="Vírgula 3 3 4 2 12" xfId="6079" xr:uid="{311250F8-F630-4512-A8DB-745B984FDB03}"/>
    <cellStyle name="Vírgula 3 3 4 2 13" xfId="4680" xr:uid="{5CFFD38A-0CC4-4D34-A646-9A077EC298FD}"/>
    <cellStyle name="Vírgula 3 3 4 2 2" xfId="1215" xr:uid="{E9189D54-54D8-4182-8B36-0C8B5B6D3958}"/>
    <cellStyle name="Vírgula 3 3 4 2 2 10" xfId="53765" xr:uid="{BCF17BFB-4180-4E47-85AE-6B505E582012}"/>
    <cellStyle name="Vírgula 3 3 4 2 2 11" xfId="7237" xr:uid="{A3957A1D-F6F3-4C52-BCE1-1D4EC50FD614}"/>
    <cellStyle name="Vírgula 3 3 4 2 2 2" xfId="2876" xr:uid="{3FC68B38-0732-4700-B6C3-535AA144C849}"/>
    <cellStyle name="Vírgula 3 3 4 2 2 2 2" xfId="37863" xr:uid="{5EE651FE-449D-48E6-9E56-24F5B12CF4C6}"/>
    <cellStyle name="Vírgula 3 3 4 2 2 2 3" xfId="52102" xr:uid="{C7445807-5293-4FFE-87BA-68A525A78F3D}"/>
    <cellStyle name="Vírgula 3 3 4 2 2 2 4" xfId="55396" xr:uid="{6C6F082C-72FF-4962-8099-A2BE97E2C40B}"/>
    <cellStyle name="Vírgula 3 3 4 2 2 2 5" xfId="17523" xr:uid="{0866BA2F-3640-49A2-BCF2-03057C70ED72}"/>
    <cellStyle name="Vírgula 3 3 4 2 2 3" xfId="21025" xr:uid="{A5B633D6-52CD-4BAC-8BD8-ADEAFFEB7D88}"/>
    <cellStyle name="Vírgula 3 3 4 2 2 3 2" xfId="41364" xr:uid="{B9B6B6FC-FC51-47BB-B655-F73C35DD5F3A}"/>
    <cellStyle name="Vírgula 3 3 4 2 2 3 3" xfId="57086" xr:uid="{59AD9E90-1F5E-4339-8FBD-F8393F265A1B}"/>
    <cellStyle name="Vírgula 3 3 4 2 2 4" xfId="24280" xr:uid="{DA95A862-A14C-4C1A-9B84-31A26D467262}"/>
    <cellStyle name="Vírgula 3 3 4 2 2 4 2" xfId="44615" xr:uid="{AF53B346-EBC5-43E2-BC4E-5268F22CA32E}"/>
    <cellStyle name="Vírgula 3 3 4 2 2 5" xfId="14614" xr:uid="{39E05282-2044-45A8-AEE4-DCF577897C15}"/>
    <cellStyle name="Vírgula 3 3 4 2 2 5 2" xfId="34955" xr:uid="{D64BBE18-1C51-41E3-ADB1-EDC98424B46E}"/>
    <cellStyle name="Vírgula 3 3 4 2 2 6" xfId="10736" xr:uid="{4E025BDE-AFA2-4C3B-A1C5-07E27DF2E009}"/>
    <cellStyle name="Vírgula 3 3 4 2 2 6 2" xfId="31079" xr:uid="{25794051-9A07-4887-B413-25BA24D83647}"/>
    <cellStyle name="Vírgula 3 3 4 2 2 7" xfId="27585" xr:uid="{90E01AB8-6124-4F03-8E29-221A4B124D96}"/>
    <cellStyle name="Vírgula 3 3 4 2 2 8" xfId="48800" xr:uid="{F6C2954D-F6D5-4E41-963B-F882C76696B4}"/>
    <cellStyle name="Vírgula 3 3 4 2 2 9" xfId="50470" xr:uid="{2B482A8B-DC4C-4A7E-8227-93AD402FECEF}"/>
    <cellStyle name="Vírgula 3 3 4 2 3" xfId="1621" xr:uid="{64ADDB34-6489-4EE5-BDCE-C50932C4CFD0}"/>
    <cellStyle name="Vírgula 3 3 4 2 3 2" xfId="3281" xr:uid="{1839A935-DE53-463A-90DE-4758094461ED}"/>
    <cellStyle name="Vírgula 3 3 4 2 3 2 2" xfId="52103" xr:uid="{EAB3B881-41E5-47B3-9BAA-A71E390EB15D}"/>
    <cellStyle name="Vírgula 3 3 4 2 3 2 3" xfId="55397" xr:uid="{15B16B9D-0726-4BFE-ACA0-245C2063DEF7}"/>
    <cellStyle name="Vírgula 3 3 4 2 3 2 4" xfId="36705" xr:uid="{377608AF-AB23-42CA-89EC-F95D131CC454}"/>
    <cellStyle name="Vírgula 3 3 4 2 3 3" xfId="48801" xr:uid="{AF6A50BB-93FA-40EC-A677-E9691A69DC68}"/>
    <cellStyle name="Vírgula 3 3 4 2 3 3 2" xfId="57492" xr:uid="{4FD8C32F-B0F4-430B-B741-F8AB10E84BAE}"/>
    <cellStyle name="Vírgula 3 3 4 2 3 4" xfId="50471" xr:uid="{354B03C9-F277-47B9-8E79-C650557F44DC}"/>
    <cellStyle name="Vírgula 3 3 4 2 3 5" xfId="53766" xr:uid="{78A735E1-44AD-4EF5-B0E3-88B7C791B0F2}"/>
    <cellStyle name="Vírgula 3 3 4 2 3 6" xfId="16365" xr:uid="{A716364D-9BB2-43C9-ACD8-B4334985A041}"/>
    <cellStyle name="Vírgula 3 3 4 2 4" xfId="808" xr:uid="{65285E05-3375-40AA-BEFC-C060023D8211}"/>
    <cellStyle name="Vírgula 3 3 4 2 4 2" xfId="2524" xr:uid="{36A2572A-FB9B-4CF5-BEAC-6804497F456D}"/>
    <cellStyle name="Vírgula 3 3 4 2 4 2 2" xfId="52104" xr:uid="{D0EDC1C0-F00E-47A0-881A-931F7BC6283E}"/>
    <cellStyle name="Vírgula 3 3 4 2 4 2 3" xfId="55398" xr:uid="{6A3BD5D9-3FE8-4E3F-BD86-171B945FAC6C}"/>
    <cellStyle name="Vírgula 3 3 4 2 4 2 4" xfId="40206" xr:uid="{766A65B3-6DAF-4EC0-80B9-057CB8481FE1}"/>
    <cellStyle name="Vírgula 3 3 4 2 4 3" xfId="48802" xr:uid="{68153201-6DF5-4380-A8E5-D1B6B65B582C}"/>
    <cellStyle name="Vírgula 3 3 4 2 4 3 2" xfId="56679" xr:uid="{81AC563D-FE5C-43D1-955A-7FCAA54C2409}"/>
    <cellStyle name="Vírgula 3 3 4 2 4 4" xfId="50472" xr:uid="{C9131478-C89D-472C-87A0-C9A0F5C0EB24}"/>
    <cellStyle name="Vírgula 3 3 4 2 4 5" xfId="53767" xr:uid="{3DB7AEDA-3AA7-4BB7-9250-8F17900AD676}"/>
    <cellStyle name="Vírgula 3 3 4 2 4 6" xfId="19867" xr:uid="{CFACB3E5-31E6-4716-9099-D68E66760A68}"/>
    <cellStyle name="Vírgula 3 3 4 2 5" xfId="4109" xr:uid="{73D0C5F9-248D-4614-A809-0AEF8F345482}"/>
    <cellStyle name="Vírgula 3 3 4 2 5 2" xfId="43457" xr:uid="{158A2206-0A0E-44A2-8564-110580528BE6}"/>
    <cellStyle name="Vírgula 3 3 4 2 5 3" xfId="52101" xr:uid="{FA9A2615-578F-49FF-914C-359668FC0778}"/>
    <cellStyle name="Vírgula 3 3 4 2 5 4" xfId="55395" xr:uid="{F18644E0-6ED0-4B0D-B8FC-09FD80A83C40}"/>
    <cellStyle name="Vírgula 3 3 4 2 5 5" xfId="23122" xr:uid="{12001CDE-E9E8-4D6A-9583-DA5FB9A82370}"/>
    <cellStyle name="Vírgula 3 3 4 2 6" xfId="2142" xr:uid="{129E7152-C1CD-471D-BCE8-C3CB6569ADEC}"/>
    <cellStyle name="Vírgula 3 3 4 2 6 2" xfId="33797" xr:uid="{1C72857C-8111-4CDC-ADB0-87551CF469D7}"/>
    <cellStyle name="Vírgula 3 3 4 2 6 3" xfId="56270" xr:uid="{615B5728-EC0E-4BA2-B3B1-D7FC8D61F262}"/>
    <cellStyle name="Vírgula 3 3 4 2 6 4" xfId="13456" xr:uid="{43F54EB1-3C2A-45E0-9086-19596B674F09}"/>
    <cellStyle name="Vírgula 3 3 4 2 7" xfId="9578" xr:uid="{08075CC5-5DE8-4894-BEAC-1358F100D9BC}"/>
    <cellStyle name="Vírgula 3 3 4 2 7 2" xfId="29921" xr:uid="{09EAC564-92A5-48E7-8AF1-8BC4132ED4EA}"/>
    <cellStyle name="Vírgula 3 3 4 2 8" xfId="26427" xr:uid="{E7A12FD3-B9F5-47CF-BD3B-B933DD827062}"/>
    <cellStyle name="Vírgula 3 3 4 2 9" xfId="48799" xr:uid="{21EB8822-6C05-4A8F-A417-12C2FDBD2E1F}"/>
    <cellStyle name="Vírgula 3 3 4 20" xfId="4491" xr:uid="{57024357-72F9-4D3E-AA1F-782C4EC101F5}"/>
    <cellStyle name="Vírgula 3 3 4 3" xfId="1026" xr:uid="{5BB78F7E-AD6C-4634-BFEF-D3EA486AF01C}"/>
    <cellStyle name="Vírgula 3 3 4 3 10" xfId="53768" xr:uid="{AA67363B-F5FF-4596-8958-9BA8D300B3E5}"/>
    <cellStyle name="Vírgula 3 3 4 3 11" xfId="6656" xr:uid="{79022D2C-F84C-4116-A5C5-D2C0A018A8C6}"/>
    <cellStyle name="Vírgula 3 3 4 3 12" xfId="4980" xr:uid="{B1EE6B83-FE8C-475F-B86C-913793611B99}"/>
    <cellStyle name="Vírgula 3 3 4 3 2" xfId="4281" xr:uid="{A9088F3F-1FA1-4F88-8FE8-1EFCBB1461C5}"/>
    <cellStyle name="Vírgula 3 3 4 3 2 2" xfId="37282" xr:uid="{9DFFBC7F-6FB5-4403-89F2-AFA1AF5FBE81}"/>
    <cellStyle name="Vírgula 3 3 4 3 2 3" xfId="52105" xr:uid="{83F08778-517D-40AD-A921-80942867A0FC}"/>
    <cellStyle name="Vírgula 3 3 4 3 2 4" xfId="55399" xr:uid="{4716FCA9-35C2-4C0B-8DDB-23CF23F24B10}"/>
    <cellStyle name="Vírgula 3 3 4 3 2 5" xfId="16942" xr:uid="{584D4D9B-5CA9-4D8E-BF75-73BEC80796FF}"/>
    <cellStyle name="Vírgula 3 3 4 3 3" xfId="2714" xr:uid="{983AE3D0-1EB0-4955-96DE-B00567E68445}"/>
    <cellStyle name="Vírgula 3 3 4 3 3 2" xfId="40783" xr:uid="{29AD15F1-0B76-4AB0-87D1-6552A658BBCE}"/>
    <cellStyle name="Vírgula 3 3 4 3 3 3" xfId="56897" xr:uid="{04232993-A260-43D2-8937-DDEA2C31E65E}"/>
    <cellStyle name="Vírgula 3 3 4 3 3 4" xfId="20444" xr:uid="{8976169F-C1CE-41E4-B933-BAA67FA4F69A}"/>
    <cellStyle name="Vírgula 3 3 4 3 4" xfId="23699" xr:uid="{4B7E6076-5D15-456C-A0FA-C3CBC559B6ED}"/>
    <cellStyle name="Vírgula 3 3 4 3 4 2" xfId="44034" xr:uid="{8CB43358-1D2A-462B-90BC-88821BAF127F}"/>
    <cellStyle name="Vírgula 3 3 4 3 5" xfId="14033" xr:uid="{05D44DDB-31AE-4982-8224-62FFFEEEABEE}"/>
    <cellStyle name="Vírgula 3 3 4 3 5 2" xfId="34374" xr:uid="{F0432E64-0881-4640-B3E7-7EEEEF98667B}"/>
    <cellStyle name="Vírgula 3 3 4 3 6" xfId="10155" xr:uid="{1B8142BE-059E-4C1C-8CEE-26AFB1B8F992}"/>
    <cellStyle name="Vírgula 3 3 4 3 6 2" xfId="30498" xr:uid="{1EE9116B-99F0-4E22-A524-5753A939F031}"/>
    <cellStyle name="Vírgula 3 3 4 3 7" xfId="27004" xr:uid="{6082E261-5146-4ACF-B711-084F655A6935}"/>
    <cellStyle name="Vírgula 3 3 4 3 8" xfId="48803" xr:uid="{C786EA64-03E2-4DC0-8DFC-C5131C3A2F37}"/>
    <cellStyle name="Vírgula 3 3 4 3 9" xfId="50473" xr:uid="{3E5D9B94-F051-4600-9759-C15C3971B203}"/>
    <cellStyle name="Vírgula 3 3 4 4" xfId="1432" xr:uid="{71AD71B5-F075-4B3A-BA5A-97D92C5E8262}"/>
    <cellStyle name="Vírgula 3 3 4 4 10" xfId="53769" xr:uid="{391AB112-ED00-4C75-AF8A-CD9EAC2F0AB4}"/>
    <cellStyle name="Vírgula 3 3 4 4 11" xfId="7820" xr:uid="{25988A73-6619-4ECA-A44D-9F88D2568F7C}"/>
    <cellStyle name="Vírgula 3 3 4 4 2" xfId="3093" xr:uid="{3F5448F7-7B14-49E6-891F-66317ABEAB9A}"/>
    <cellStyle name="Vírgula 3 3 4 4 2 2" xfId="38445" xr:uid="{F92F2E9E-2B0A-4793-B85F-29000C4BECCB}"/>
    <cellStyle name="Vírgula 3 3 4 4 2 3" xfId="52106" xr:uid="{508F341A-9999-4085-9844-B0DBF95402A2}"/>
    <cellStyle name="Vírgula 3 3 4 4 2 4" xfId="55400" xr:uid="{6BD274D8-56D9-4642-ABDC-521530A53636}"/>
    <cellStyle name="Vírgula 3 3 4 4 2 5" xfId="18105" xr:uid="{A9B2CBC9-2D31-4FB8-9496-BE5B3AC66A56}"/>
    <cellStyle name="Vírgula 3 3 4 4 3" xfId="21607" xr:uid="{ABD9D2DD-098F-4954-9DCB-04230C8EB7D6}"/>
    <cellStyle name="Vírgula 3 3 4 4 3 2" xfId="41946" xr:uid="{1077F617-869E-446D-8CA1-F44153B9FDDE}"/>
    <cellStyle name="Vírgula 3 3 4 4 3 3" xfId="57303" xr:uid="{2818F69A-2AFF-443B-8104-F87B6C3870D8}"/>
    <cellStyle name="Vírgula 3 3 4 4 4" xfId="24862" xr:uid="{FAAF0F14-1CEA-49C7-BCDF-ADCD4AE4BF2B}"/>
    <cellStyle name="Vírgula 3 3 4 4 4 2" xfId="45197" xr:uid="{1EDA7CF3-A196-4FAB-8A9D-0EE8DCA7A8C3}"/>
    <cellStyle name="Vírgula 3 3 4 4 5" xfId="15197" xr:uid="{EA42DC05-2C66-480A-A76F-345A1F226BF9}"/>
    <cellStyle name="Vírgula 3 3 4 4 5 2" xfId="35537" xr:uid="{DDAED1CA-AA7D-4E31-8983-833036F0303B}"/>
    <cellStyle name="Vírgula 3 3 4 4 6" xfId="11318" xr:uid="{8879D98F-D922-4473-9067-1611DF770D71}"/>
    <cellStyle name="Vírgula 3 3 4 4 6 2" xfId="31661" xr:uid="{A84E9CEC-5155-4FF7-99E1-086E9C8AE453}"/>
    <cellStyle name="Vírgula 3 3 4 4 7" xfId="28167" xr:uid="{F0693346-7025-4F17-9C7A-D5D5B34D3D4A}"/>
    <cellStyle name="Vírgula 3 3 4 4 8" xfId="48804" xr:uid="{5801C3CB-80DB-44FE-A87C-4CAE896EBBC9}"/>
    <cellStyle name="Vírgula 3 3 4 4 9" xfId="50474" xr:uid="{A22DA8D5-B5E0-4539-B68A-1128492E1BF7}"/>
    <cellStyle name="Vírgula 3 3 4 5" xfId="619" xr:uid="{956750C6-EFE2-429E-841E-82648F93A395}"/>
    <cellStyle name="Vírgula 3 3 4 5 10" xfId="8272" xr:uid="{86DEB213-004D-43AB-995A-8969BBC593CD}"/>
    <cellStyle name="Vírgula 3 3 4 5 2" xfId="2335" xr:uid="{A5CB3A76-C9F5-47EE-80DA-0CDA3674D85A}"/>
    <cellStyle name="Vírgula 3 3 4 5 2 2" xfId="42395" xr:uid="{AD45E277-D0DD-41E5-AE2C-E0D754DA875C}"/>
    <cellStyle name="Vírgula 3 3 4 5 2 3" xfId="52107" xr:uid="{04E40F4D-B9B5-421D-AC7E-00EB565BEAC4}"/>
    <cellStyle name="Vírgula 3 3 4 5 2 4" xfId="55401" xr:uid="{DB29074C-CEF5-4CAF-A61A-A9D0C2B7FF49}"/>
    <cellStyle name="Vírgula 3 3 4 5 2 5" xfId="22059" xr:uid="{4FD3786E-9E00-4BE5-BC67-8E4EECD01EF1}"/>
    <cellStyle name="Vírgula 3 3 4 5 3" xfId="25311" xr:uid="{8A30995E-C8B8-4CE7-B84A-E0380E846ED3}"/>
    <cellStyle name="Vírgula 3 3 4 5 3 2" xfId="45646" xr:uid="{E3F9FC53-01A9-4AF8-9443-E5E67E411BB6}"/>
    <cellStyle name="Vírgula 3 3 4 5 3 3" xfId="56490" xr:uid="{6EC193E2-A190-4BD5-8D3B-9F3F5E2982EB}"/>
    <cellStyle name="Vírgula 3 3 4 5 4" xfId="12887" xr:uid="{8E9FCEC1-51A0-451F-9F61-7168EA77A161}"/>
    <cellStyle name="Vírgula 3 3 4 5 4 2" xfId="33228" xr:uid="{342E94C2-B95C-458F-9F41-9FE4D633EDBC}"/>
    <cellStyle name="Vírgula 3 3 4 5 5" xfId="11768" xr:uid="{B441BCFF-1763-402E-BF41-85EC72253F04}"/>
    <cellStyle name="Vírgula 3 3 4 5 5 2" xfId="32110" xr:uid="{3ACC2976-7812-4FAE-8677-4CD43B5F99B1}"/>
    <cellStyle name="Vírgula 3 3 4 5 6" xfId="28616" xr:uid="{DD254FB8-63CE-46DB-9F89-1AA5C724B1F0}"/>
    <cellStyle name="Vírgula 3 3 4 5 7" xfId="48805" xr:uid="{78C66094-CD04-479B-ACDF-74F1CB4866C0}"/>
    <cellStyle name="Vírgula 3 3 4 5 8" xfId="50475" xr:uid="{16393DD4-CE00-42E2-B3F7-E7C8ED4EDBBF}"/>
    <cellStyle name="Vírgula 3 3 4 5 9" xfId="53770" xr:uid="{4E2CD6FB-42AC-44BE-926E-1A20E53CFC0F}"/>
    <cellStyle name="Vírgula 3 3 4 6" xfId="3607" xr:uid="{8FDB1A7E-D9D2-4D3D-A9F7-7ABED1178143}"/>
    <cellStyle name="Vírgula 3 3 4 6 2" xfId="36124" xr:uid="{2D3A0B6C-5B98-4F7E-85EA-4AD025978356}"/>
    <cellStyle name="Vírgula 3 3 4 6 3" xfId="52100" xr:uid="{6FD10870-C16B-42C0-8AEA-C88B723189C6}"/>
    <cellStyle name="Vírgula 3 3 4 6 4" xfId="55394" xr:uid="{5CD5C8B8-205F-4170-B70A-C83D245855B2}"/>
    <cellStyle name="Vírgula 3 3 4 6 5" xfId="15784" xr:uid="{A2D8D2C4-DE27-42F7-A5FB-1767FB6D31C1}"/>
    <cellStyle name="Vírgula 3 3 4 7" xfId="3937" xr:uid="{578AEAE2-7FDA-4E88-8041-3388D230F022}"/>
    <cellStyle name="Vírgula 3 3 4 7 2" xfId="39038" xr:uid="{D0CB20A5-232E-4115-B09F-6FF9E9844A8C}"/>
    <cellStyle name="Vírgula 3 3 4 7 3" xfId="56081" xr:uid="{40BEA6DB-D113-47A3-AFFD-1BCEDE661802}"/>
    <cellStyle name="Vírgula 3 3 4 7 4" xfId="18698" xr:uid="{BA576BAE-9F38-4A52-99F4-C475236E3F86}"/>
    <cellStyle name="Vírgula 3 3 4 8" xfId="1956" xr:uid="{959FCFDB-54D2-4E01-A5D7-AC941875FCE7}"/>
    <cellStyle name="Vírgula 3 3 4 8 2" xfId="39625" xr:uid="{BCF5F78B-A117-4F4D-B6F8-F7B4221B7139}"/>
    <cellStyle name="Vírgula 3 3 4 8 3" xfId="19286" xr:uid="{0DADB0A4-E2FE-486B-967D-F5EBE9FE06DB}"/>
    <cellStyle name="Vírgula 3 3 4 9" xfId="22541" xr:uid="{1FCD51C5-5AFD-4D12-9E6A-EC73E1F9F1EC}"/>
    <cellStyle name="Vírgula 3 3 4 9 2" xfId="42876" xr:uid="{F6F01EF2-C73D-4C22-9697-4ED3267473A0}"/>
    <cellStyle name="Vírgula 3 3 5" xfId="262" xr:uid="{A4D1755A-DDE6-424F-86DC-E3F69241E957}"/>
    <cellStyle name="Vírgula 3 3 5 10" xfId="12333" xr:uid="{267F61EF-05F2-44D7-B6C6-80C097319D29}"/>
    <cellStyle name="Vírgula 3 3 5 10 2" xfId="32674" xr:uid="{05DAC8FD-E117-4965-BC79-3BC526FF5031}"/>
    <cellStyle name="Vírgula 3 3 5 11" xfId="9072" xr:uid="{9866FAD8-E822-4F7A-970E-FF16C59CC7E7}"/>
    <cellStyle name="Vírgula 3 3 5 11 2" xfId="29415" xr:uid="{C536BDDD-8107-43AB-90FA-1886ABDC7546}"/>
    <cellStyle name="Vírgula 3 3 5 12" xfId="25921" xr:uid="{1C1D10CB-B481-4A90-BAEB-DB54477043B5}"/>
    <cellStyle name="Vírgula 3 3 5 13" xfId="48806" xr:uid="{92BA7A63-3C2F-4586-B1AC-103F11C1DEB3}"/>
    <cellStyle name="Vírgula 3 3 5 14" xfId="50476" xr:uid="{6350C358-2393-4FB7-9334-A3E5867F1BAB}"/>
    <cellStyle name="Vírgula 3 3 5 15" xfId="53771" xr:uid="{E53DBC12-A1C2-474C-B922-062E5A750CE0}"/>
    <cellStyle name="Vírgula 3 3 5 16" xfId="5582" xr:uid="{6AFE0C71-2CFD-4710-B751-A7D6B05AB249}"/>
    <cellStyle name="Vírgula 3 3 5 17" xfId="4543" xr:uid="{836B88A7-5F6C-4578-8228-708BAC04F0A2}"/>
    <cellStyle name="Vírgula 3 3 5 2" xfId="451" xr:uid="{B3B8668F-E8B9-45E6-82AF-FD0936812B90}"/>
    <cellStyle name="Vírgula 3 3 5 2 10" xfId="50477" xr:uid="{1D08F243-8B14-4126-AE60-5123ED1F0D86}"/>
    <cellStyle name="Vírgula 3 3 5 2 11" xfId="53772" xr:uid="{B13ACA43-F7E3-417B-8882-CB2D14323F32}"/>
    <cellStyle name="Vírgula 3 3 5 2 12" xfId="6154" xr:uid="{703E1F52-F838-4260-A722-9F193F0FABE5}"/>
    <cellStyle name="Vírgula 3 3 5 2 13" xfId="4732" xr:uid="{9BF2FAE9-A630-4BEC-8BD7-3345BB7956F3}"/>
    <cellStyle name="Vírgula 3 3 5 2 2" xfId="1267" xr:uid="{85F447CC-C8DF-417E-85DE-C3458C025F1C}"/>
    <cellStyle name="Vírgula 3 3 5 2 2 10" xfId="53773" xr:uid="{0625C80A-AD92-4861-B894-C31090B21FA2}"/>
    <cellStyle name="Vírgula 3 3 5 2 2 11" xfId="7312" xr:uid="{C40827EC-10CB-4C76-8CDD-2F28C0FA5ED2}"/>
    <cellStyle name="Vírgula 3 3 5 2 2 2" xfId="2928" xr:uid="{BE467D5A-F04C-479C-B5DB-12E8E4A62E75}"/>
    <cellStyle name="Vírgula 3 3 5 2 2 2 2" xfId="37938" xr:uid="{F0821072-52C4-46B3-8C81-84A67759229A}"/>
    <cellStyle name="Vírgula 3 3 5 2 2 2 3" xfId="52110" xr:uid="{3484596D-DDF9-4737-8CF3-13D69A061431}"/>
    <cellStyle name="Vírgula 3 3 5 2 2 2 4" xfId="55404" xr:uid="{2E15CCF9-5352-43A9-B141-435BAD036D81}"/>
    <cellStyle name="Vírgula 3 3 5 2 2 2 5" xfId="17598" xr:uid="{31B861DE-9505-4ACB-8B52-B386FD894C21}"/>
    <cellStyle name="Vírgula 3 3 5 2 2 3" xfId="21100" xr:uid="{211B9142-892F-4BA8-AB88-C34123A11597}"/>
    <cellStyle name="Vírgula 3 3 5 2 2 3 2" xfId="41439" xr:uid="{EE7884B8-521A-4E76-9845-B19C6013F643}"/>
    <cellStyle name="Vírgula 3 3 5 2 2 3 3" xfId="57138" xr:uid="{38D83774-EE94-48D3-AC34-4BC32315017B}"/>
    <cellStyle name="Vírgula 3 3 5 2 2 4" xfId="24355" xr:uid="{C359AE10-2C7C-48E3-8BBB-D02C22E7121B}"/>
    <cellStyle name="Vírgula 3 3 5 2 2 4 2" xfId="44690" xr:uid="{E0773FF3-FD0F-4F72-8A37-B6F3B2D543C8}"/>
    <cellStyle name="Vírgula 3 3 5 2 2 5" xfId="14689" xr:uid="{10CB59F8-EF23-4DC6-9BCB-0CD1A50ACBDC}"/>
    <cellStyle name="Vírgula 3 3 5 2 2 5 2" xfId="35030" xr:uid="{F9609023-6B84-43C5-BC54-3B9443C54B5F}"/>
    <cellStyle name="Vírgula 3 3 5 2 2 6" xfId="10811" xr:uid="{17FC884B-84B4-416F-9246-2A6F44974651}"/>
    <cellStyle name="Vírgula 3 3 5 2 2 6 2" xfId="31154" xr:uid="{27B56804-DD1F-4F31-A2AB-45C9CAB1062E}"/>
    <cellStyle name="Vírgula 3 3 5 2 2 7" xfId="27660" xr:uid="{577191B2-1CE7-4340-B14E-CF79EA94B5AA}"/>
    <cellStyle name="Vírgula 3 3 5 2 2 8" xfId="48808" xr:uid="{71A1C22A-53DC-4FA6-8163-79DD99C96A53}"/>
    <cellStyle name="Vírgula 3 3 5 2 2 9" xfId="50478" xr:uid="{C542A750-69ED-4F2F-BD41-C8F00574D6DA}"/>
    <cellStyle name="Vírgula 3 3 5 2 3" xfId="1673" xr:uid="{D449FC89-6050-4651-8DA7-176D2E555E38}"/>
    <cellStyle name="Vírgula 3 3 5 2 3 2" xfId="3333" xr:uid="{5069C7A8-A450-43AA-A2FF-7DE371480259}"/>
    <cellStyle name="Vírgula 3 3 5 2 3 2 2" xfId="52111" xr:uid="{A421AAB8-14D4-4EA2-A8B1-67E96EBD36B5}"/>
    <cellStyle name="Vírgula 3 3 5 2 3 2 3" xfId="55405" xr:uid="{5556C73D-F361-456B-9B58-ACB3A8DCF6D8}"/>
    <cellStyle name="Vírgula 3 3 5 2 3 2 4" xfId="36780" xr:uid="{73543486-8098-4A2E-9624-EC9066B836BA}"/>
    <cellStyle name="Vírgula 3 3 5 2 3 3" xfId="48809" xr:uid="{EAC3BFAC-FFCA-4981-995E-B0C6AD376BBE}"/>
    <cellStyle name="Vírgula 3 3 5 2 3 3 2" xfId="57544" xr:uid="{82B011DB-307A-4825-8BD4-4AE715AE0E7B}"/>
    <cellStyle name="Vírgula 3 3 5 2 3 4" xfId="50479" xr:uid="{8988213D-1317-4470-B68C-04AB7FB3FBF9}"/>
    <cellStyle name="Vírgula 3 3 5 2 3 5" xfId="53774" xr:uid="{22EE76E8-7765-47C3-A465-666AC0E394FB}"/>
    <cellStyle name="Vírgula 3 3 5 2 3 6" xfId="16440" xr:uid="{5492A8B3-1B13-4798-B625-78E2657DBA7A}"/>
    <cellStyle name="Vírgula 3 3 5 2 4" xfId="860" xr:uid="{4BAD2237-2CE5-433D-BB76-CC85969795E6}"/>
    <cellStyle name="Vírgula 3 3 5 2 4 2" xfId="2576" xr:uid="{1CEC766F-FFB6-4080-BEEA-D2C3E9F836EB}"/>
    <cellStyle name="Vírgula 3 3 5 2 4 2 2" xfId="52112" xr:uid="{AAB2D830-DB3D-46E3-9A2A-F4C75BADA186}"/>
    <cellStyle name="Vírgula 3 3 5 2 4 2 3" xfId="55406" xr:uid="{B41D7262-D086-4FA4-BC6A-422334BD0670}"/>
    <cellStyle name="Vírgula 3 3 5 2 4 2 4" xfId="40281" xr:uid="{173B7872-EF8F-4F01-BB75-FBED7EDCD442}"/>
    <cellStyle name="Vírgula 3 3 5 2 4 3" xfId="48810" xr:uid="{17D3663D-B3E9-41A0-8405-8D3CE25D9C4D}"/>
    <cellStyle name="Vírgula 3 3 5 2 4 3 2" xfId="56731" xr:uid="{FBB4263C-BC90-4027-ADC8-4DF9972A93BF}"/>
    <cellStyle name="Vírgula 3 3 5 2 4 4" xfId="50480" xr:uid="{4C7F5852-F40F-4E07-B26E-F7D35A599DB5}"/>
    <cellStyle name="Vírgula 3 3 5 2 4 5" xfId="53775" xr:uid="{A17B27E8-38DE-4CB4-A9CF-874D95F6B329}"/>
    <cellStyle name="Vírgula 3 3 5 2 4 6" xfId="19942" xr:uid="{E397FF20-8A97-43A0-A12B-FFAA756D7F5F}"/>
    <cellStyle name="Vírgula 3 3 5 2 5" xfId="2168" xr:uid="{D2FF9AC4-0676-4C94-9DC1-B7E2DB92C0B2}"/>
    <cellStyle name="Vírgula 3 3 5 2 5 2" xfId="43532" xr:uid="{6A45AC01-35E9-4EC6-BEC5-3C0055E3DFC8}"/>
    <cellStyle name="Vírgula 3 3 5 2 5 3" xfId="52109" xr:uid="{384DED95-C8F8-4F4A-91B9-D4C2C3C5885B}"/>
    <cellStyle name="Vírgula 3 3 5 2 5 4" xfId="55403" xr:uid="{6EDE17AC-BD9D-4C7F-931D-8959991EE595}"/>
    <cellStyle name="Vírgula 3 3 5 2 5 5" xfId="23197" xr:uid="{56621FD6-B45A-4A6B-87CF-72670E939899}"/>
    <cellStyle name="Vírgula 3 3 5 2 6" xfId="13531" xr:uid="{6DB2ED7A-E82A-46B9-807B-A0D20473DB49}"/>
    <cellStyle name="Vírgula 3 3 5 2 6 2" xfId="33872" xr:uid="{42F9D75D-78C3-4169-92FE-C3958484DF56}"/>
    <cellStyle name="Vírgula 3 3 5 2 6 3" xfId="56322" xr:uid="{D7983C57-D13C-44A3-8FB1-B63A0480BF8A}"/>
    <cellStyle name="Vírgula 3 3 5 2 7" xfId="9653" xr:uid="{BF58D4D8-343F-4953-85C4-2C9DD682170F}"/>
    <cellStyle name="Vírgula 3 3 5 2 7 2" xfId="29996" xr:uid="{89C62717-01F3-4759-905C-7DF5E1830D7E}"/>
    <cellStyle name="Vírgula 3 3 5 2 8" xfId="26502" xr:uid="{A5CDA373-4AD4-4FB9-9768-05DD12BFBC08}"/>
    <cellStyle name="Vírgula 3 3 5 2 9" xfId="48807" xr:uid="{F799D7C8-F47C-4632-A3D3-8504C4B88AF8}"/>
    <cellStyle name="Vírgula 3 3 5 3" xfId="1078" xr:uid="{4DDDE422-FBEB-40D0-AA5B-0E1A9B07B0B6}"/>
    <cellStyle name="Vírgula 3 3 5 3 10" xfId="53776" xr:uid="{D5B31AE1-32FF-46F2-9E3C-E7CD093DB5B4}"/>
    <cellStyle name="Vírgula 3 3 5 3 11" xfId="6731" xr:uid="{85C9E049-E07F-4956-AE72-6BB612D5B0B5}"/>
    <cellStyle name="Vírgula 3 3 5 3 2" xfId="2741" xr:uid="{3634923C-C8E4-4DB8-A47A-863DD049575F}"/>
    <cellStyle name="Vírgula 3 3 5 3 2 2" xfId="37357" xr:uid="{E694A9E5-97C1-4974-986C-95A6ECFB77BB}"/>
    <cellStyle name="Vírgula 3 3 5 3 2 3" xfId="52113" xr:uid="{2295B74A-7CEF-402F-81D6-B2A784854ED2}"/>
    <cellStyle name="Vírgula 3 3 5 3 2 4" xfId="55407" xr:uid="{4E6B914C-CF6D-439E-9F10-B1802D4FC468}"/>
    <cellStyle name="Vírgula 3 3 5 3 2 5" xfId="17017" xr:uid="{4CDB4557-4E64-4DB0-BE27-538395768C23}"/>
    <cellStyle name="Vírgula 3 3 5 3 3" xfId="20519" xr:uid="{180F4F15-9555-4264-B3E7-DCE0B16EFF32}"/>
    <cellStyle name="Vírgula 3 3 5 3 3 2" xfId="40858" xr:uid="{B478862F-B9C9-473E-84A5-50165880C423}"/>
    <cellStyle name="Vírgula 3 3 5 3 3 3" xfId="56949" xr:uid="{7B70862D-F862-4866-ACBD-B26293B16CFA}"/>
    <cellStyle name="Vírgula 3 3 5 3 4" xfId="23774" xr:uid="{64EA54A7-D2BF-4780-8101-D400A908B4B5}"/>
    <cellStyle name="Vírgula 3 3 5 3 4 2" xfId="44109" xr:uid="{5A4B3E93-AC0B-4D5D-AE2E-82740061C69B}"/>
    <cellStyle name="Vírgula 3 3 5 3 5" xfId="14108" xr:uid="{FBAE8C20-91B3-4BB3-AD27-7910C811163C}"/>
    <cellStyle name="Vírgula 3 3 5 3 5 2" xfId="34449" xr:uid="{EBDF09C7-0600-44EF-AF80-DCC315B43365}"/>
    <cellStyle name="Vírgula 3 3 5 3 6" xfId="10230" xr:uid="{7F6A12EF-71F2-4C76-94CD-DF99C8470192}"/>
    <cellStyle name="Vírgula 3 3 5 3 6 2" xfId="30573" xr:uid="{9AC27872-8567-499A-A08B-79F30D41AF5B}"/>
    <cellStyle name="Vírgula 3 3 5 3 7" xfId="27079" xr:uid="{E67F0D85-9E87-4AE1-95A2-F6B7A43050F5}"/>
    <cellStyle name="Vírgula 3 3 5 3 8" xfId="48811" xr:uid="{259BE599-3282-4A5F-ACAA-CD8C3B735EFB}"/>
    <cellStyle name="Vírgula 3 3 5 3 9" xfId="50481" xr:uid="{998A1E5B-699C-4EE6-B539-27379E956D22}"/>
    <cellStyle name="Vírgula 3 3 5 4" xfId="1484" xr:uid="{FA34EFA1-BFDA-4B6C-B440-7E70A3F23150}"/>
    <cellStyle name="Vírgula 3 3 5 4 10" xfId="53777" xr:uid="{61C52B99-D5DD-471A-8002-E719DF2A5711}"/>
    <cellStyle name="Vírgula 3 3 5 4 11" xfId="7895" xr:uid="{6CEDE4DB-78DD-4CCC-B5F5-FCAC3213A77E}"/>
    <cellStyle name="Vírgula 3 3 5 4 2" xfId="3145" xr:uid="{A2687322-1263-4EBF-B848-648375591D1A}"/>
    <cellStyle name="Vírgula 3 3 5 4 2 2" xfId="38520" xr:uid="{4BF7E07E-0B00-4FDF-8057-4663E1F6330D}"/>
    <cellStyle name="Vírgula 3 3 5 4 2 3" xfId="52114" xr:uid="{482B2EDB-CD69-458E-90EC-B16A4DD1B26C}"/>
    <cellStyle name="Vírgula 3 3 5 4 2 4" xfId="55408" xr:uid="{9C65189F-261B-40CB-9DD6-B6F03EE3011D}"/>
    <cellStyle name="Vírgula 3 3 5 4 2 5" xfId="18180" xr:uid="{735EA29A-119D-4F62-A3F7-C746A1474B3D}"/>
    <cellStyle name="Vírgula 3 3 5 4 3" xfId="21682" xr:uid="{B25A1F8E-2E71-4C91-9B5B-9C6905850C41}"/>
    <cellStyle name="Vírgula 3 3 5 4 3 2" xfId="42021" xr:uid="{BDA6D0E5-7CC4-4EB8-B158-0B83F086D32E}"/>
    <cellStyle name="Vírgula 3 3 5 4 3 3" xfId="57355" xr:uid="{E96879AB-F3AF-4EA5-9ADF-D7C7C9124CFF}"/>
    <cellStyle name="Vírgula 3 3 5 4 4" xfId="24937" xr:uid="{549F7AF1-7697-42A9-8F1A-088B98C2AF0F}"/>
    <cellStyle name="Vírgula 3 3 5 4 4 2" xfId="45272" xr:uid="{8F5342AC-B713-48A8-BE98-8DE4981F7BD5}"/>
    <cellStyle name="Vírgula 3 3 5 4 5" xfId="15272" xr:uid="{2B158AD7-C706-4C72-A7CC-779AB5F09D71}"/>
    <cellStyle name="Vírgula 3 3 5 4 5 2" xfId="35612" xr:uid="{053206BB-E3E2-4F3D-BE50-DFAB021BE5EA}"/>
    <cellStyle name="Vírgula 3 3 5 4 6" xfId="11393" xr:uid="{88EB7718-4413-4894-9B93-5A7A217B3FAF}"/>
    <cellStyle name="Vírgula 3 3 5 4 6 2" xfId="31736" xr:uid="{19A8543C-4B47-4456-A86E-22683CE11AE7}"/>
    <cellStyle name="Vírgula 3 3 5 4 7" xfId="28242" xr:uid="{DA15CD1E-C7F7-4397-BB6C-4A8712A25242}"/>
    <cellStyle name="Vírgula 3 3 5 4 8" xfId="48812" xr:uid="{92DD3214-717D-4D57-8723-1ED0F8C353B1}"/>
    <cellStyle name="Vírgula 3 3 5 4 9" xfId="50482" xr:uid="{FA37C905-2FCD-49FF-8962-664B28B1FB49}"/>
    <cellStyle name="Vírgula 3 3 5 5" xfId="671" xr:uid="{5E655433-3D51-4D2E-BD19-258255214E51}"/>
    <cellStyle name="Vírgula 3 3 5 5 2" xfId="2387" xr:uid="{DDEA6DFA-CE1C-4030-BE2E-90EF0400353B}"/>
    <cellStyle name="Vírgula 3 3 5 5 2 2" xfId="52115" xr:uid="{A3B5B23A-57B7-44A2-B7E4-9751F64D18F5}"/>
    <cellStyle name="Vírgula 3 3 5 5 2 3" xfId="55409" xr:uid="{1E43AD31-2027-4095-BFAE-15D8145A4A23}"/>
    <cellStyle name="Vírgula 3 3 5 5 2 4" xfId="33303" xr:uid="{C9ED6B15-93D9-455C-B975-D492976B4B04}"/>
    <cellStyle name="Vírgula 3 3 5 5 3" xfId="48813" xr:uid="{77423381-A12B-45F1-A628-040A6DC246A3}"/>
    <cellStyle name="Vírgula 3 3 5 5 3 2" xfId="56542" xr:uid="{47B33167-B100-45BC-9798-F57BFD54C84C}"/>
    <cellStyle name="Vírgula 3 3 5 5 4" xfId="50483" xr:uid="{7A6E5EDA-FF59-4D68-A45C-106485D3C957}"/>
    <cellStyle name="Vírgula 3 3 5 5 5" xfId="53778" xr:uid="{64FA0F45-7C56-4486-B117-A64B71B33A70}"/>
    <cellStyle name="Vírgula 3 3 5 5 6" xfId="12962" xr:uid="{F3B0E812-3787-4826-86FA-CDACD786CF32}"/>
    <cellStyle name="Vírgula 3 3 5 6" xfId="3498" xr:uid="{8B778FA5-957D-461C-8543-1148387A750C}"/>
    <cellStyle name="Vírgula 3 3 5 6 2" xfId="36199" xr:uid="{D5B397E7-4645-4208-9AF4-20FA9BC4E5DF}"/>
    <cellStyle name="Vírgula 3 3 5 6 3" xfId="52108" xr:uid="{987D6B8B-7162-4997-B9C3-2A2FE36772E3}"/>
    <cellStyle name="Vírgula 3 3 5 6 4" xfId="55402" xr:uid="{F200E0C9-7867-416B-A31D-AF0A0008A7E6}"/>
    <cellStyle name="Vírgula 3 3 5 6 5" xfId="15859" xr:uid="{6E7DBE3E-FE19-448E-9858-8C5739A02E3A}"/>
    <cellStyle name="Vírgula 3 3 5 7" xfId="3996" xr:uid="{9CD78D09-7100-4C59-B179-2574D71256FA}"/>
    <cellStyle name="Vírgula 3 3 5 7 2" xfId="39113" xr:uid="{2B7D06E1-F44C-49EC-BF0C-5446B6640083}"/>
    <cellStyle name="Vírgula 3 3 5 7 3" xfId="56133" xr:uid="{86CF1DB8-B088-4496-A5FB-24D02885F992}"/>
    <cellStyle name="Vírgula 3 3 5 7 4" xfId="18773" xr:uid="{086AF58B-9456-4855-B4D7-49262E43CA85}"/>
    <cellStyle name="Vírgula 3 3 5 8" xfId="1847" xr:uid="{C5604A38-18A0-4D9B-8406-E00EF592B928}"/>
    <cellStyle name="Vírgula 3 3 5 8 2" xfId="39700" xr:uid="{D5ED2EEB-AA29-4AA8-964B-39601B9B916C}"/>
    <cellStyle name="Vírgula 3 3 5 8 3" xfId="19361" xr:uid="{3CD73E16-09B6-47A1-9ECF-EB113CEE47B6}"/>
    <cellStyle name="Vírgula 3 3 5 9" xfId="22616" xr:uid="{9B58D599-80B8-481B-A105-9CECAB578D11}"/>
    <cellStyle name="Vírgula 3 3 5 9 2" xfId="42951" xr:uid="{81D4EBDF-5984-4957-8856-C9D0369147BA}"/>
    <cellStyle name="Vírgula 3 3 6" xfId="318" xr:uid="{94487C38-B078-401F-A84F-3FFD30344BE7}"/>
    <cellStyle name="Vírgula 3 3 6 10" xfId="12431" xr:uid="{D8C62CF9-6156-424A-8D0F-4C81120BFAF2}"/>
    <cellStyle name="Vírgula 3 3 6 10 2" xfId="32772" xr:uid="{34981396-67FB-4D15-8CDB-74BE7F7DA202}"/>
    <cellStyle name="Vírgula 3 3 6 11" xfId="9170" xr:uid="{9B02C144-46A2-4F07-9F99-8973EB6CEE73}"/>
    <cellStyle name="Vírgula 3 3 6 11 2" xfId="29513" xr:uid="{B3703231-69CA-4346-B961-894941A46412}"/>
    <cellStyle name="Vírgula 3 3 6 12" xfId="26019" xr:uid="{595D6E46-4D89-44E8-94F9-7E1543677842}"/>
    <cellStyle name="Vírgula 3 3 6 13" xfId="48814" xr:uid="{E13AD9B9-B7B1-42FC-9DC8-A4C84437168B}"/>
    <cellStyle name="Vírgula 3 3 6 14" xfId="50484" xr:uid="{2F3CF538-F125-443A-ACCF-E55CF8B88F56}"/>
    <cellStyle name="Vírgula 3 3 6 15" xfId="53779" xr:uid="{2016BE41-209E-4C99-A931-8483F9715142}"/>
    <cellStyle name="Vírgula 3 3 6 16" xfId="5680" xr:uid="{296E180F-F750-4550-8FE9-F3DD4628873C}"/>
    <cellStyle name="Vírgula 3 3 6 17" xfId="4599" xr:uid="{99760F81-D4B3-4C34-B9FF-E765C6514AF0}"/>
    <cellStyle name="Vírgula 3 3 6 2" xfId="1134" xr:uid="{1A00E40C-E32A-42A9-BB51-CE74DC9DB8B9}"/>
    <cellStyle name="Vírgula 3 3 6 2 10" xfId="50485" xr:uid="{2B0C4347-E5DF-4530-958A-A579CF0EEE27}"/>
    <cellStyle name="Vírgula 3 3 6 2 11" xfId="53780" xr:uid="{606E69CF-01A3-4A9B-B97A-52FCD0219062}"/>
    <cellStyle name="Vírgula 3 3 6 2 12" xfId="6252" xr:uid="{AB811E5F-FE86-49D8-AEDB-1F662C468C3C}"/>
    <cellStyle name="Vírgula 3 3 6 2 2" xfId="2796" xr:uid="{50ED03DB-E18E-4CEC-8847-CB3C7E179D30}"/>
    <cellStyle name="Vírgula 3 3 6 2 2 10" xfId="7410" xr:uid="{25792790-EB5F-4571-A88C-23A967180D60}"/>
    <cellStyle name="Vírgula 3 3 6 2 2 2" xfId="17696" xr:uid="{05650B57-A409-4035-B54C-24EB0C7DB040}"/>
    <cellStyle name="Vírgula 3 3 6 2 2 2 2" xfId="38036" xr:uid="{C7D5ACC0-9A69-4554-963D-E970C2A7C7B9}"/>
    <cellStyle name="Vírgula 3 3 6 2 2 3" xfId="21198" xr:uid="{92267AC2-1F2E-47AC-BC91-E2EBE50EFD0C}"/>
    <cellStyle name="Vírgula 3 3 6 2 2 3 2" xfId="41537" xr:uid="{416C5FE7-6637-4F36-A1EE-7EEFAF2B1362}"/>
    <cellStyle name="Vírgula 3 3 6 2 2 4" xfId="24453" xr:uid="{FC10451C-44D8-4F59-BE25-0988BDC62113}"/>
    <cellStyle name="Vírgula 3 3 6 2 2 4 2" xfId="44788" xr:uid="{F7E8A0D2-CE41-4802-AF10-CCA6D2A4E717}"/>
    <cellStyle name="Vírgula 3 3 6 2 2 5" xfId="14787" xr:uid="{8C432971-C3F2-4F20-AD0B-FDC773CAF328}"/>
    <cellStyle name="Vírgula 3 3 6 2 2 5 2" xfId="35128" xr:uid="{C9CF3658-A56B-42F2-971F-6640844F6F2C}"/>
    <cellStyle name="Vírgula 3 3 6 2 2 6" xfId="10909" xr:uid="{81EA634D-BFE9-43F3-B2F7-AA210353B1C0}"/>
    <cellStyle name="Vírgula 3 3 6 2 2 6 2" xfId="31252" xr:uid="{217EC867-83F4-4FCD-AF6A-5CBD94EC094A}"/>
    <cellStyle name="Vírgula 3 3 6 2 2 7" xfId="27758" xr:uid="{02656571-C572-4170-8F42-3741C77C4FB0}"/>
    <cellStyle name="Vírgula 3 3 6 2 2 8" xfId="52117" xr:uid="{7F215B3D-0D2D-4939-9C47-C451072F1CE8}"/>
    <cellStyle name="Vírgula 3 3 6 2 2 9" xfId="55411" xr:uid="{75F905DC-7395-4BBB-A605-6F9E49C99240}"/>
    <cellStyle name="Vírgula 3 3 6 2 3" xfId="16538" xr:uid="{3E82226F-31E6-4866-9CE4-4036ED07DF55}"/>
    <cellStyle name="Vírgula 3 3 6 2 3 2" xfId="36878" xr:uid="{2215EE87-2F9E-461F-8D84-E713D55CAB76}"/>
    <cellStyle name="Vírgula 3 3 6 2 3 3" xfId="57005" xr:uid="{5F181B4E-32FA-43A4-AD73-92853C649555}"/>
    <cellStyle name="Vírgula 3 3 6 2 4" xfId="20040" xr:uid="{D48C69EA-BE8E-4D61-B808-3B02647D7655}"/>
    <cellStyle name="Vírgula 3 3 6 2 4 2" xfId="40379" xr:uid="{24F8765F-C067-4F7B-8E37-FD7BEA771B87}"/>
    <cellStyle name="Vírgula 3 3 6 2 5" xfId="23295" xr:uid="{950EACF3-F6A6-4634-8402-96C6652EE06C}"/>
    <cellStyle name="Vírgula 3 3 6 2 5 2" xfId="43630" xr:uid="{D19A7E86-53EE-41C9-8044-9BEAB8EC4A66}"/>
    <cellStyle name="Vírgula 3 3 6 2 6" xfId="13629" xr:uid="{7F1A4D9E-054B-493B-A95D-4A4A33BDA144}"/>
    <cellStyle name="Vírgula 3 3 6 2 6 2" xfId="33970" xr:uid="{F7EE9C3C-CFBF-44A8-A092-484335843712}"/>
    <cellStyle name="Vírgula 3 3 6 2 7" xfId="9751" xr:uid="{618B9197-583D-4124-8D55-7C86424AC660}"/>
    <cellStyle name="Vírgula 3 3 6 2 7 2" xfId="30094" xr:uid="{8749F1B8-6631-4DC5-B6AD-283E8F04E197}"/>
    <cellStyle name="Vírgula 3 3 6 2 8" xfId="26600" xr:uid="{4A6EBA09-EE27-47BE-850E-654BC331A8B0}"/>
    <cellStyle name="Vírgula 3 3 6 2 9" xfId="48815" xr:uid="{461B59F4-8CF5-49C8-9CF1-E594A7D09534}"/>
    <cellStyle name="Vírgula 3 3 6 3" xfId="1540" xr:uid="{4F02B617-ABA9-4C58-AF37-86BCE112B8F8}"/>
    <cellStyle name="Vírgula 3 3 6 3 10" xfId="53781" xr:uid="{F5E83257-7D7C-4024-9A2E-5252DB9EBFB4}"/>
    <cellStyle name="Vírgula 3 3 6 3 11" xfId="6829" xr:uid="{07C3AF3E-4FAF-446C-B510-BADC1FB8F289}"/>
    <cellStyle name="Vírgula 3 3 6 3 2" xfId="3201" xr:uid="{BC118434-7A8A-4AD7-8BFF-F7AC3FDDBBD5}"/>
    <cellStyle name="Vírgula 3 3 6 3 2 2" xfId="37455" xr:uid="{C45812B9-740D-431B-9EA3-9EA480619AE7}"/>
    <cellStyle name="Vírgula 3 3 6 3 2 3" xfId="52118" xr:uid="{142A3558-70D3-4D44-B8D3-F5A680E80341}"/>
    <cellStyle name="Vírgula 3 3 6 3 2 4" xfId="55412" xr:uid="{90D0B64D-49CA-42A3-9B4D-C5B025ABEB7B}"/>
    <cellStyle name="Vírgula 3 3 6 3 2 5" xfId="17115" xr:uid="{195C5443-4F47-4004-BC18-A833E51262FF}"/>
    <cellStyle name="Vírgula 3 3 6 3 3" xfId="20617" xr:uid="{FB0E4179-2D28-4C53-BE76-91917BC057E7}"/>
    <cellStyle name="Vírgula 3 3 6 3 3 2" xfId="40956" xr:uid="{19FF8E8A-B898-4792-9C62-CC0DD96E5259}"/>
    <cellStyle name="Vírgula 3 3 6 3 3 3" xfId="57411" xr:uid="{EAC31E27-AD6B-4746-9081-B956B6D9393A}"/>
    <cellStyle name="Vírgula 3 3 6 3 4" xfId="23872" xr:uid="{0B33D4E1-0C23-479C-9BD3-A0BD43EECC19}"/>
    <cellStyle name="Vírgula 3 3 6 3 4 2" xfId="44207" xr:uid="{63E8010B-DDB7-4BC7-A266-7709990AF0B5}"/>
    <cellStyle name="Vírgula 3 3 6 3 5" xfId="14206" xr:uid="{69BEF162-AFFB-44A8-9B45-E9687ACCD88D}"/>
    <cellStyle name="Vírgula 3 3 6 3 5 2" xfId="34547" xr:uid="{E0B12BF4-95C7-4BBA-B2EE-665BC0ED4BC6}"/>
    <cellStyle name="Vírgula 3 3 6 3 6" xfId="10328" xr:uid="{2B436531-F9AA-4491-B87F-87CE27E11CEB}"/>
    <cellStyle name="Vírgula 3 3 6 3 6 2" xfId="30671" xr:uid="{17DCD21D-4D62-442B-90C1-A385FCF10CC7}"/>
    <cellStyle name="Vírgula 3 3 6 3 7" xfId="27177" xr:uid="{0F84152E-C37A-4B45-846E-728A9E433283}"/>
    <cellStyle name="Vírgula 3 3 6 3 8" xfId="48816" xr:uid="{FA452E44-913B-4FF8-B757-0B92210A3138}"/>
    <cellStyle name="Vírgula 3 3 6 3 9" xfId="50486" xr:uid="{C8270A92-8152-4228-A808-547E089EAE65}"/>
    <cellStyle name="Vírgula 3 3 6 4" xfId="727" xr:uid="{5139C479-EAFC-4260-A942-7BBC8F52105A}"/>
    <cellStyle name="Vírgula 3 3 6 4 10" xfId="53782" xr:uid="{F999E637-E28A-4EF5-81B4-D6DB92967828}"/>
    <cellStyle name="Vírgula 3 3 6 4 11" xfId="7993" xr:uid="{6D2C8D84-E743-4D06-9FA6-84FF407F0BFC}"/>
    <cellStyle name="Vírgula 3 3 6 4 2" xfId="2443" xr:uid="{86C57329-34BE-4E6A-BEE0-5ECB6C61C38F}"/>
    <cellStyle name="Vírgula 3 3 6 4 2 2" xfId="38618" xr:uid="{A841F148-FFF8-46AA-B58C-E5AE4517FCB0}"/>
    <cellStyle name="Vírgula 3 3 6 4 2 3" xfId="52119" xr:uid="{C5F8DB59-0F60-4CB0-8A81-39EFD0D50A17}"/>
    <cellStyle name="Vírgula 3 3 6 4 2 4" xfId="55413" xr:uid="{0ABFF367-5F62-4871-A559-76679CFBEF53}"/>
    <cellStyle name="Vírgula 3 3 6 4 2 5" xfId="18278" xr:uid="{C0C71FAD-6118-4952-944F-243DAFF16CE8}"/>
    <cellStyle name="Vírgula 3 3 6 4 3" xfId="21780" xr:uid="{CC786880-82F2-4E74-821C-B5F22F16C4A3}"/>
    <cellStyle name="Vírgula 3 3 6 4 3 2" xfId="42119" xr:uid="{46EFEA11-0EB7-4C17-B414-BF4498EF102D}"/>
    <cellStyle name="Vírgula 3 3 6 4 3 3" xfId="56598" xr:uid="{2261FBC9-063D-4B9E-B1FF-0DDC3F86EFE7}"/>
    <cellStyle name="Vírgula 3 3 6 4 4" xfId="25035" xr:uid="{7010F370-A501-4E18-AE02-2925F73C19B2}"/>
    <cellStyle name="Vírgula 3 3 6 4 4 2" xfId="45370" xr:uid="{2C13879E-8551-47FC-9543-D0518650E935}"/>
    <cellStyle name="Vírgula 3 3 6 4 5" xfId="15370" xr:uid="{74EA5A10-4525-4C5A-93A8-F41A52DB46CA}"/>
    <cellStyle name="Vírgula 3 3 6 4 5 2" xfId="35710" xr:uid="{1FF07533-E49A-4D41-82E4-6828535E3FA1}"/>
    <cellStyle name="Vírgula 3 3 6 4 6" xfId="11491" xr:uid="{566F2F71-2B7D-4A9B-B5A7-89D9FF910BD4}"/>
    <cellStyle name="Vírgula 3 3 6 4 6 2" xfId="31834" xr:uid="{5C57142F-5293-4A4A-9D1E-C2A689C7A90C}"/>
    <cellStyle name="Vírgula 3 3 6 4 7" xfId="28340" xr:uid="{AE95AFD4-0A83-4756-9B9E-26CEE6011636}"/>
    <cellStyle name="Vírgula 3 3 6 4 8" xfId="48817" xr:uid="{0AB3D29C-73F0-4D71-B4E6-1013F073DF7B}"/>
    <cellStyle name="Vírgula 3 3 6 4 9" xfId="50487" xr:uid="{435D54AB-0C8D-4BCE-AE5A-75667A8CE318}"/>
    <cellStyle name="Vírgula 3 3 6 5" xfId="3716" xr:uid="{714D7F02-0FDB-4D24-8D92-504193E70180}"/>
    <cellStyle name="Vírgula 3 3 6 5 2" xfId="33401" xr:uid="{127CCEFF-2F1E-474C-A870-589D582A517A}"/>
    <cellStyle name="Vírgula 3 3 6 5 3" xfId="52116" xr:uid="{AE3B55E6-A261-41FE-9CC0-7CBDAD9D4062}"/>
    <cellStyle name="Vírgula 3 3 6 5 4" xfId="55410" xr:uid="{3FA24784-135E-4C1D-B4B8-59955FD2BA7C}"/>
    <cellStyle name="Vírgula 3 3 6 5 5" xfId="13060" xr:uid="{84A2143C-FDFD-4B2C-B077-A40C69045C08}"/>
    <cellStyle name="Vírgula 3 3 6 6" xfId="4168" xr:uid="{5C2A22E1-BD05-47E0-A5A6-44DC8016B19A}"/>
    <cellStyle name="Vírgula 3 3 6 6 2" xfId="36297" xr:uid="{7312D034-B353-44D1-9441-1F429AC00EE8}"/>
    <cellStyle name="Vírgula 3 3 6 6 3" xfId="56189" xr:uid="{52EF42E9-157C-42B0-8522-E8F763753CF7}"/>
    <cellStyle name="Vírgula 3 3 6 6 4" xfId="15957" xr:uid="{2458CE4B-DA24-4886-926E-61FE4146F1A2}"/>
    <cellStyle name="Vírgula 3 3 6 7" xfId="2119" xr:uid="{5534E928-7C03-4EE6-842B-904658401EA4}"/>
    <cellStyle name="Vírgula 3 3 6 7 2" xfId="39211" xr:uid="{2CC8035A-3005-494D-AAF7-B05EB009371A}"/>
    <cellStyle name="Vírgula 3 3 6 7 3" xfId="18871" xr:uid="{94044901-6F02-47EC-B82A-5C980506C1C6}"/>
    <cellStyle name="Vírgula 3 3 6 8" xfId="19459" xr:uid="{B790ADC4-44AD-484A-A57E-B70056999338}"/>
    <cellStyle name="Vírgula 3 3 6 8 2" xfId="39798" xr:uid="{2A8AECA7-78AA-41F9-A4A6-512B7B58762D}"/>
    <cellStyle name="Vírgula 3 3 6 9" xfId="22714" xr:uid="{3DB9E2E9-C948-454A-AD67-18E446328089}"/>
    <cellStyle name="Vírgula 3 3 6 9 2" xfId="43049" xr:uid="{A6C21155-D233-41A7-BEBE-B1523DDFD498}"/>
    <cellStyle name="Vírgula 3 3 7" xfId="129" xr:uid="{ACAE58D5-3EC7-49DD-9913-3664F23F13BA}"/>
    <cellStyle name="Vírgula 3 3 7 10" xfId="50488" xr:uid="{DAD8FC95-36DA-4B8C-904C-F2A99A33C6AB}"/>
    <cellStyle name="Vírgula 3 3 7 11" xfId="53783" xr:uid="{923211D0-52CC-4997-B656-70BA066E1E1B}"/>
    <cellStyle name="Vírgula 3 3 7 12" xfId="5810" xr:uid="{7188D5A9-B50A-4E77-A15E-DCCAB309A790}"/>
    <cellStyle name="Vírgula 3 3 7 13" xfId="4410" xr:uid="{7F49A20E-E928-44A4-ADAE-B4C80AAF8AEC}"/>
    <cellStyle name="Vírgula 3 3 7 2" xfId="945" xr:uid="{A79A4EE6-3246-4CC6-A056-BEF722C9B76C}"/>
    <cellStyle name="Vírgula 3 3 7 2 10" xfId="53784" xr:uid="{D3CA3341-4444-4EC1-9E10-127FA4EF09B3}"/>
    <cellStyle name="Vírgula 3 3 7 2 11" xfId="6968" xr:uid="{DF98A1C3-60F4-4635-869C-89893090BF77}"/>
    <cellStyle name="Vírgula 3 3 7 2 2" xfId="2660" xr:uid="{67859014-652A-469C-9E94-C19163204A46}"/>
    <cellStyle name="Vírgula 3 3 7 2 2 2" xfId="37594" xr:uid="{8C0A8700-6949-4EF3-85A5-CC1DCA396589}"/>
    <cellStyle name="Vírgula 3 3 7 2 2 3" xfId="52121" xr:uid="{E5F72AF2-7CD3-4B26-88AD-5657EF96ECEB}"/>
    <cellStyle name="Vírgula 3 3 7 2 2 4" xfId="55415" xr:uid="{268432EF-C355-4BBD-B6F7-618F2C6050BF}"/>
    <cellStyle name="Vírgula 3 3 7 2 2 5" xfId="17254" xr:uid="{32E2C04A-02E3-4AED-9F9B-753EF919E587}"/>
    <cellStyle name="Vírgula 3 3 7 2 3" xfId="20756" xr:uid="{CD6EF040-C267-4879-8A1D-971EFDD09145}"/>
    <cellStyle name="Vírgula 3 3 7 2 3 2" xfId="41095" xr:uid="{24844A7C-B7CF-4A22-B3E5-76FD59323AC9}"/>
    <cellStyle name="Vírgula 3 3 7 2 3 3" xfId="56816" xr:uid="{13494374-EBFE-4CEE-99EC-306AC1704DFD}"/>
    <cellStyle name="Vírgula 3 3 7 2 4" xfId="24011" xr:uid="{98FEBA5B-BA73-4975-82A6-A9B6624B437C}"/>
    <cellStyle name="Vírgula 3 3 7 2 4 2" xfId="44346" xr:uid="{347FE2C7-2E96-410D-A330-AADDE30B563E}"/>
    <cellStyle name="Vírgula 3 3 7 2 5" xfId="14345" xr:uid="{DB0C4411-AC7E-4034-8413-0CF98B6346B4}"/>
    <cellStyle name="Vírgula 3 3 7 2 5 2" xfId="34686" xr:uid="{AF30F330-8857-41DD-B353-884A56A9B564}"/>
    <cellStyle name="Vírgula 3 3 7 2 6" xfId="10467" xr:uid="{AD08AF0B-FCDD-4BD9-9E78-2D9105D35D22}"/>
    <cellStyle name="Vírgula 3 3 7 2 6 2" xfId="30810" xr:uid="{92E2D977-9F65-4CD2-8FCD-B360F76DDC2F}"/>
    <cellStyle name="Vírgula 3 3 7 2 7" xfId="27316" xr:uid="{1440FA56-D49F-4A8D-835B-8C0F50E49EC4}"/>
    <cellStyle name="Vírgula 3 3 7 2 8" xfId="48819" xr:uid="{65E4397F-D491-4D2A-8A47-3812C8CA13A1}"/>
    <cellStyle name="Vírgula 3 3 7 2 9" xfId="50489" xr:uid="{41EE15DE-BED6-4B4A-871E-9842A20A293B}"/>
    <cellStyle name="Vírgula 3 3 7 3" xfId="1351" xr:uid="{D6ACB9BB-ABE7-4F0C-BB1C-821FE18808E2}"/>
    <cellStyle name="Vírgula 3 3 7 3 2" xfId="3012" xr:uid="{1AD7E167-4CF5-4134-B385-D0E5C101765A}"/>
    <cellStyle name="Vírgula 3 3 7 3 2 2" xfId="52122" xr:uid="{898284CC-9573-4548-9AA3-BC1A77A718F5}"/>
    <cellStyle name="Vírgula 3 3 7 3 2 3" xfId="55416" xr:uid="{449C77A0-AAA7-41DA-96BE-037678E9DC7F}"/>
    <cellStyle name="Vírgula 3 3 7 3 2 4" xfId="36436" xr:uid="{1341AC31-6540-4AEF-AF0B-EC46C99862A6}"/>
    <cellStyle name="Vírgula 3 3 7 3 3" xfId="48820" xr:uid="{6DCB8385-E156-4E66-9DF9-D41BBCB84C85}"/>
    <cellStyle name="Vírgula 3 3 7 3 3 2" xfId="57222" xr:uid="{7204066D-905D-43A6-9CDB-6BC2A891F5EB}"/>
    <cellStyle name="Vírgula 3 3 7 3 4" xfId="50490" xr:uid="{B54E1AD4-6107-4994-9BCF-029EC943E0ED}"/>
    <cellStyle name="Vírgula 3 3 7 3 5" xfId="53785" xr:uid="{1E550ECA-3D8A-4642-9E25-0548165EB8C5}"/>
    <cellStyle name="Vírgula 3 3 7 3 6" xfId="16096" xr:uid="{FEA07B4A-B4C6-4500-AAC5-A415BF7E3B56}"/>
    <cellStyle name="Vírgula 3 3 7 4" xfId="538" xr:uid="{03479DD6-6001-439D-A037-B77023D87CCE}"/>
    <cellStyle name="Vírgula 3 3 7 4 2" xfId="2254" xr:uid="{63FFD6C5-EDFF-4DAC-83DE-61CC4546F0AD}"/>
    <cellStyle name="Vírgula 3 3 7 4 2 2" xfId="52123" xr:uid="{3C5D026F-1419-4000-AF2F-86AE101AECF4}"/>
    <cellStyle name="Vírgula 3 3 7 4 2 3" xfId="55417" xr:uid="{5C26CFB1-6A28-4C97-B223-BCC933793702}"/>
    <cellStyle name="Vírgula 3 3 7 4 2 4" xfId="39937" xr:uid="{EA2A923C-02DA-46F2-AEB6-F204ABC4D836}"/>
    <cellStyle name="Vírgula 3 3 7 4 3" xfId="48821" xr:uid="{A2170B57-7A46-4097-9554-2F14D1F5597B}"/>
    <cellStyle name="Vírgula 3 3 7 4 3 2" xfId="56409" xr:uid="{F7FC6A15-62AE-483E-8648-A0B55CCCC2DB}"/>
    <cellStyle name="Vírgula 3 3 7 4 4" xfId="50491" xr:uid="{09A937F5-9229-44A1-8E91-2608AE627C3F}"/>
    <cellStyle name="Vírgula 3 3 7 4 5" xfId="53786" xr:uid="{BFFCE87A-AD6B-4278-BDEC-0B14C36D6543}"/>
    <cellStyle name="Vírgula 3 3 7 4 6" xfId="19598" xr:uid="{892B0C84-2E2B-44FA-BA41-C7D466DF4369}"/>
    <cellStyle name="Vírgula 3 3 7 5" xfId="2093" xr:uid="{3059AFEC-EDC4-4123-8067-27BFE1226AB0}"/>
    <cellStyle name="Vírgula 3 3 7 5 2" xfId="43188" xr:uid="{674E1764-E48F-43D4-997E-292EF45273D2}"/>
    <cellStyle name="Vírgula 3 3 7 5 3" xfId="52120" xr:uid="{5B701654-9082-43F7-8274-972156B6ABB5}"/>
    <cellStyle name="Vírgula 3 3 7 5 4" xfId="55414" xr:uid="{24FB479E-0641-49C1-ADBC-4CD4D5AC5E99}"/>
    <cellStyle name="Vírgula 3 3 7 5 5" xfId="22853" xr:uid="{89626E76-E5F3-44A6-966B-6982292BB9FD}"/>
    <cellStyle name="Vírgula 3 3 7 6" xfId="12541" xr:uid="{FCE0F718-CBD3-42F3-8A90-4D19A9886C91}"/>
    <cellStyle name="Vírgula 3 3 7 6 2" xfId="32882" xr:uid="{2CFE36F7-01CC-45E4-B9E7-226175BA5597}"/>
    <cellStyle name="Vírgula 3 3 7 6 3" xfId="56000" xr:uid="{F6B8888C-850C-4DA5-A64B-C001356B09DA}"/>
    <cellStyle name="Vírgula 3 3 7 7" xfId="9309" xr:uid="{419F78E7-FD98-4E84-84E3-DE09DC204BD4}"/>
    <cellStyle name="Vírgula 3 3 7 7 2" xfId="29652" xr:uid="{643870C3-2269-45D9-84D4-C09EC066B0BA}"/>
    <cellStyle name="Vírgula 3 3 7 8" xfId="26158" xr:uid="{7E7D791B-E056-45B4-86FA-CB39B5071C01}"/>
    <cellStyle name="Vírgula 3 3 7 9" xfId="48818" xr:uid="{1C5A9556-D15E-4890-81E4-267750650A70}"/>
    <cellStyle name="Vírgula 3 3 8" xfId="910" xr:uid="{02140C26-31E1-40AC-B7A0-599C1E38B2DE}"/>
    <cellStyle name="Vírgula 3 3 8 10" xfId="53787" xr:uid="{88D14876-335F-4A01-A15C-8D4D9986F134}"/>
    <cellStyle name="Vírgula 3 3 8 11" xfId="6387" xr:uid="{2632A367-291E-423D-97A7-830864DED0E4}"/>
    <cellStyle name="Vírgula 3 3 8 12" xfId="4813" xr:uid="{E6C84400-7E53-4F7D-8000-80E59F271795}"/>
    <cellStyle name="Vírgula 3 3 8 2" xfId="2626" xr:uid="{C44F8041-7FF9-478F-8D10-F23CD25EA3C3}"/>
    <cellStyle name="Vírgula 3 3 8 2 2" xfId="37013" xr:uid="{BA1837F1-3150-4D70-8E2D-F1DEA11ADCB8}"/>
    <cellStyle name="Vírgula 3 3 8 2 3" xfId="52124" xr:uid="{93869E90-1D88-475E-8D00-D8A8463D9FFF}"/>
    <cellStyle name="Vírgula 3 3 8 2 4" xfId="55418" xr:uid="{996E8BF0-BCA8-4E46-87F1-0EAB5326AEF1}"/>
    <cellStyle name="Vírgula 3 3 8 2 5" xfId="16673" xr:uid="{03AB5EC7-5D27-4229-9769-588552DF1066}"/>
    <cellStyle name="Vírgula 3 3 8 3" xfId="20175" xr:uid="{BD8009AE-33D8-4998-BA59-9FEFC8884CAA}"/>
    <cellStyle name="Vírgula 3 3 8 3 2" xfId="40514" xr:uid="{FB978EF4-28EE-4D3F-A89C-B4ACFE999243}"/>
    <cellStyle name="Vírgula 3 3 8 3 3" xfId="56781" xr:uid="{9F0AFDEE-2B8A-4EDB-8DD8-761804706B40}"/>
    <cellStyle name="Vírgula 3 3 8 4" xfId="23430" xr:uid="{BC078833-D64C-4DE2-890E-711971672984}"/>
    <cellStyle name="Vírgula 3 3 8 4 2" xfId="43765" xr:uid="{CB533B68-6E2F-422C-8492-A9D02B353DB2}"/>
    <cellStyle name="Vírgula 3 3 8 5" xfId="13764" xr:uid="{6B6ABCD3-49B6-4339-A253-A0F8F579CB18}"/>
    <cellStyle name="Vírgula 3 3 8 5 2" xfId="34105" xr:uid="{BDF1DEAE-B5E4-4D66-8D11-7EF80C5D7CEE}"/>
    <cellStyle name="Vírgula 3 3 8 6" xfId="9886" xr:uid="{88F59018-0D70-42ED-9DE1-9DCB7C4E6C20}"/>
    <cellStyle name="Vírgula 3 3 8 6 2" xfId="30229" xr:uid="{DD2181DD-85B1-4128-81C6-479B977F8A4F}"/>
    <cellStyle name="Vírgula 3 3 8 7" xfId="26735" xr:uid="{7900D369-1BDB-4FAB-B2F2-BCDB1D9E0874}"/>
    <cellStyle name="Vírgula 3 3 8 8" xfId="48822" xr:uid="{80D71827-4AF5-4DB1-9F30-5B944DED4111}"/>
    <cellStyle name="Vírgula 3 3 8 9" xfId="50492" xr:uid="{6F693D45-F283-4825-8044-E685D20474B9}"/>
    <cellStyle name="Vírgula 3 3 9" xfId="1316" xr:uid="{162D5E7F-C661-44A8-AA82-59AFC4CA1507}"/>
    <cellStyle name="Vírgula 3 3 9 10" xfId="53788" xr:uid="{9DD3641E-E9EA-4AB4-8C90-92E7AF7124D0}"/>
    <cellStyle name="Vírgula 3 3 9 11" xfId="7551" xr:uid="{94CB5A8A-2DD2-49FB-97A7-1FFDFE87084D}"/>
    <cellStyle name="Vírgula 3 3 9 2" xfId="2977" xr:uid="{F4A62CDA-96C4-48FA-9DE6-1E28F7871BA4}"/>
    <cellStyle name="Vírgula 3 3 9 2 2" xfId="38176" xr:uid="{4C6B4CFC-ADC9-4056-B574-A5E21F25A000}"/>
    <cellStyle name="Vírgula 3 3 9 2 3" xfId="52125" xr:uid="{58CD381F-C4E5-477F-9607-05A337705365}"/>
    <cellStyle name="Vírgula 3 3 9 2 4" xfId="55419" xr:uid="{60E8865D-3F31-445A-8045-EFC644E6F79B}"/>
    <cellStyle name="Vírgula 3 3 9 2 5" xfId="17836" xr:uid="{70E89730-4206-4B64-A52A-D569B6D609BF}"/>
    <cellStyle name="Vírgula 3 3 9 3" xfId="21338" xr:uid="{475F9081-0EFE-4EA2-97B9-1D99DE505514}"/>
    <cellStyle name="Vírgula 3 3 9 3 2" xfId="41677" xr:uid="{B68363BA-50BA-4840-AC08-6FA0FE930BCE}"/>
    <cellStyle name="Vírgula 3 3 9 3 3" xfId="57187" xr:uid="{1A41C6F8-67F9-4AAB-B655-63B346B8E0F1}"/>
    <cellStyle name="Vírgula 3 3 9 4" xfId="24593" xr:uid="{FD6528FE-ACF3-4EE0-993B-36E06C3191CA}"/>
    <cellStyle name="Vírgula 3 3 9 4 2" xfId="44928" xr:uid="{3064F19F-BEAB-4043-8FB1-3BF771731E99}"/>
    <cellStyle name="Vírgula 3 3 9 5" xfId="14928" xr:uid="{9EE774B4-934F-4B6B-A9EE-AC364A081A2A}"/>
    <cellStyle name="Vírgula 3 3 9 5 2" xfId="35268" xr:uid="{20C94C12-0B2C-48BD-8BBE-2082B7E34248}"/>
    <cellStyle name="Vírgula 3 3 9 6" xfId="11049" xr:uid="{2AD87A57-3A5B-46EC-A4AD-6600D97581DD}"/>
    <cellStyle name="Vírgula 3 3 9 6 2" xfId="31392" xr:uid="{DDAA4755-2C23-496F-BD23-458A534C040C}"/>
    <cellStyle name="Vírgula 3 3 9 7" xfId="27898" xr:uid="{CC6CBE4E-19AA-46AA-AF7C-4C40AA110944}"/>
    <cellStyle name="Vírgula 3 3 9 8" xfId="48823" xr:uid="{A761C918-24CD-45DF-8F8D-BDF452D455CF}"/>
    <cellStyle name="Vírgula 3 3 9 9" xfId="50493" xr:uid="{FFE9D810-595F-42D7-B38E-763BFE3EE911}"/>
    <cellStyle name="Vírgula 3 4" xfId="55" xr:uid="{8DBFD533-19B2-4026-94F9-726BD3147D65}"/>
    <cellStyle name="Vírgula 3 4 10" xfId="3834" xr:uid="{051C7D35-9A85-44AA-8612-84D16558A62E}"/>
    <cellStyle name="Vírgula 3 4 10 2" xfId="39328" xr:uid="{CBAFE425-774E-4B28-A6F8-2B95FAD4442C}"/>
    <cellStyle name="Vírgula 3 4 10 3" xfId="55976" xr:uid="{D4563F07-A7A2-4EEB-9BC3-272BBA662D71}"/>
    <cellStyle name="Vírgula 3 4 10 4" xfId="18989" xr:uid="{F2738815-6D1F-4DF2-A15B-6C866CB3809F}"/>
    <cellStyle name="Vírgula 3 4 11" xfId="1749" xr:uid="{3E92238C-8BF3-4654-9A9C-3F131A828950}"/>
    <cellStyle name="Vírgula 3 4 11 2" xfId="42579" xr:uid="{925CACFF-7D37-4EC1-9CCE-6C3655955030}"/>
    <cellStyle name="Vírgula 3 4 11 3" xfId="22244" xr:uid="{156D27B2-39C0-4A27-89E7-BE3165A2E117}"/>
    <cellStyle name="Vírgula 3 4 12" xfId="11961" xr:uid="{40AD0EE0-18D2-4D03-8385-CB1F248BD323}"/>
    <cellStyle name="Vírgula 3 4 12 2" xfId="32302" xr:uid="{5A12B7F0-7B78-4F02-8517-3C6F643EBA31}"/>
    <cellStyle name="Vírgula 3 4 13" xfId="8700" xr:uid="{A4D8DB28-2FB4-4C96-9644-266E0DAF3AE0}"/>
    <cellStyle name="Vírgula 3 4 13 2" xfId="29043" xr:uid="{8A583257-DBA2-4078-8C94-861B1CF72125}"/>
    <cellStyle name="Vírgula 3 4 14" xfId="25545" xr:uid="{1A902BEF-6685-4ADB-823F-1F5DE406E45E}"/>
    <cellStyle name="Vírgula 3 4 15" xfId="25498" xr:uid="{00996F52-49E5-434C-A852-603F0EBD0202}"/>
    <cellStyle name="Vírgula 3 4 16" xfId="45873" xr:uid="{066ECC8C-161B-4C76-952B-3D0E15A3B317}"/>
    <cellStyle name="Vírgula 3 4 17" xfId="46359" xr:uid="{BBD0926F-C4B7-4BFD-B110-E8FCDB4FB928}"/>
    <cellStyle name="Vírgula 3 4 18" xfId="46851" xr:uid="{A38E72FA-6F1A-4B17-9C0D-0A193E6BAA0E}"/>
    <cellStyle name="Vírgula 3 4 19" xfId="47333" xr:uid="{7D68883A-D0BB-40B4-A23B-A0271DCDB484}"/>
    <cellStyle name="Vírgula 3 4 2" xfId="223" xr:uid="{5C4C5A90-624E-48A3-A15C-13F4B0D9C6EE}"/>
    <cellStyle name="Vírgula 3 4 2 10" xfId="12076" xr:uid="{4EFAC4AC-2470-4BFA-8420-9E345E903BD4}"/>
    <cellStyle name="Vírgula 3 4 2 10 2" xfId="32417" xr:uid="{FD5E90BA-6D95-409F-8C43-BD7322DAC4EC}"/>
    <cellStyle name="Vírgula 3 4 2 11" xfId="8815" xr:uid="{060C870A-B21E-4891-A316-6FD9D686A9F9}"/>
    <cellStyle name="Vírgula 3 4 2 11 2" xfId="29158" xr:uid="{5CE0CB9E-909E-4A7C-A4C0-610C2DABE2DB}"/>
    <cellStyle name="Vírgula 3 4 2 12" xfId="25664" xr:uid="{77EF14AD-7F8A-41EB-9CE6-70A48DA6FB81}"/>
    <cellStyle name="Vírgula 3 4 2 13" xfId="45999" xr:uid="{D7EBFDB7-B37A-45B6-8E84-34514478082B}"/>
    <cellStyle name="Vírgula 3 4 2 14" xfId="46485" xr:uid="{90B43AF5-3CCF-487D-BADA-A8D4D210E589}"/>
    <cellStyle name="Vírgula 3 4 2 15" xfId="46977" xr:uid="{E6E5E6EA-E26A-43CE-9FBE-173811A385AA}"/>
    <cellStyle name="Vírgula 3 4 2 16" xfId="47389" xr:uid="{D3A99218-17A0-4F56-9738-4CB8C44D2202}"/>
    <cellStyle name="Vírgula 3 4 2 17" xfId="47515" xr:uid="{3CD355B5-C7C8-4C5F-814C-D150977C468E}"/>
    <cellStyle name="Vírgula 3 4 2 18" xfId="47641" xr:uid="{17759B4B-BC5D-4C08-9D4D-A92F426BE535}"/>
    <cellStyle name="Vírgula 3 4 2 19" xfId="48825" xr:uid="{F445278A-715B-48F1-A9F0-63523E7D8C1C}"/>
    <cellStyle name="Vírgula 3 4 2 2" xfId="412" xr:uid="{B1A23613-EFCD-42E5-926E-C3727C8975A9}"/>
    <cellStyle name="Vírgula 3 4 2 2 10" xfId="46728" xr:uid="{E7EFD338-AC3D-4AC1-9FCB-0F396D31463C}"/>
    <cellStyle name="Vírgula 3 4 2 2 11" xfId="47220" xr:uid="{B2A21607-98BB-4BA0-88DA-4F7C87C9846A}"/>
    <cellStyle name="Vírgula 3 4 2 2 12" xfId="48826" xr:uid="{40277103-D62A-4550-BFF1-20AA51EFCB88}"/>
    <cellStyle name="Vírgula 3 4 2 2 13" xfId="50496" xr:uid="{44979648-CB2B-426E-A516-69A85080887C}"/>
    <cellStyle name="Vírgula 3 4 2 2 14" xfId="53791" xr:uid="{011B172B-A7B8-4259-B14A-D1505A4BB816}"/>
    <cellStyle name="Vírgula 3 4 2 2 15" xfId="5897" xr:uid="{7DA90C14-8180-4265-8F91-0AE9AA64E2FF}"/>
    <cellStyle name="Vírgula 3 4 2 2 16" xfId="4693" xr:uid="{6B77556B-5532-449D-998C-14C569302033}"/>
    <cellStyle name="Vírgula 3 4 2 2 2" xfId="1228" xr:uid="{10098776-E46B-44EF-BA1E-3978FC9CEA81}"/>
    <cellStyle name="Vírgula 3 4 2 2 2 10" xfId="53792" xr:uid="{F4A7F80C-49D7-4C41-9495-5199765A11AF}"/>
    <cellStyle name="Vírgula 3 4 2 2 2 11" xfId="7055" xr:uid="{EC82D2BE-C693-42A0-A948-BC673F30E040}"/>
    <cellStyle name="Vírgula 3 4 2 2 2 2" xfId="2889" xr:uid="{9CBB3CCB-4368-449A-8B69-676DD75F85E2}"/>
    <cellStyle name="Vírgula 3 4 2 2 2 2 2" xfId="37681" xr:uid="{7D46CFC5-72A1-49FF-BE64-A216981B58E7}"/>
    <cellStyle name="Vírgula 3 4 2 2 2 2 3" xfId="52129" xr:uid="{148DC0A3-86D1-4BB0-A53F-26FEB7274639}"/>
    <cellStyle name="Vírgula 3 4 2 2 2 2 4" xfId="55423" xr:uid="{D405BE20-49F3-46F9-AA22-195F709351B3}"/>
    <cellStyle name="Vírgula 3 4 2 2 2 2 5" xfId="17341" xr:uid="{82F6193D-5EDD-4A74-B353-6257C2241638}"/>
    <cellStyle name="Vírgula 3 4 2 2 2 3" xfId="20843" xr:uid="{32FF66F5-1209-401C-A8E3-516CEA65409C}"/>
    <cellStyle name="Vírgula 3 4 2 2 2 3 2" xfId="41182" xr:uid="{0B6A61A2-CDD6-4D42-AF45-16147AA7D577}"/>
    <cellStyle name="Vírgula 3 4 2 2 2 3 3" xfId="57099" xr:uid="{441EB53A-F137-46AC-970A-B05535FE1554}"/>
    <cellStyle name="Vírgula 3 4 2 2 2 4" xfId="24098" xr:uid="{F760D940-CD92-4FE5-8EC9-6DC6D063B36B}"/>
    <cellStyle name="Vírgula 3 4 2 2 2 4 2" xfId="44433" xr:uid="{0D73ACA2-1CE9-46F8-BF61-756960667C3A}"/>
    <cellStyle name="Vírgula 3 4 2 2 2 5" xfId="14432" xr:uid="{468C5F27-FA59-4729-80A9-657CC8749E5E}"/>
    <cellStyle name="Vírgula 3 4 2 2 2 5 2" xfId="34773" xr:uid="{75A807B8-CEC0-4788-A052-442308FC2811}"/>
    <cellStyle name="Vírgula 3 4 2 2 2 6" xfId="10554" xr:uid="{98AA63C5-D11D-4464-9707-87B0EFCB89E8}"/>
    <cellStyle name="Vírgula 3 4 2 2 2 6 2" xfId="30897" xr:uid="{EBFC860E-B00D-4C57-A152-93E10C685E66}"/>
    <cellStyle name="Vírgula 3 4 2 2 2 7" xfId="27403" xr:uid="{549512EA-7425-460F-998B-01CB5FEB6CCD}"/>
    <cellStyle name="Vírgula 3 4 2 2 2 8" xfId="48827" xr:uid="{46229623-F932-461B-A4EE-0AA8CC5701D9}"/>
    <cellStyle name="Vírgula 3 4 2 2 2 9" xfId="50497" xr:uid="{3F8E57C6-44A1-4CD9-87C3-15BCC8B7C7EB}"/>
    <cellStyle name="Vírgula 3 4 2 2 3" xfId="1634" xr:uid="{18072F38-D8B7-4181-A31E-E49378B70DF6}"/>
    <cellStyle name="Vírgula 3 4 2 2 3 2" xfId="3294" xr:uid="{C83AE78E-D075-478A-9B31-555A3F81D115}"/>
    <cellStyle name="Vírgula 3 4 2 2 3 2 2" xfId="52130" xr:uid="{22BC5D37-FC50-44A3-8871-537A07CBF9A7}"/>
    <cellStyle name="Vírgula 3 4 2 2 3 2 3" xfId="55424" xr:uid="{2D53B858-A7E1-420A-B547-96CFE405C954}"/>
    <cellStyle name="Vírgula 3 4 2 2 3 2 4" xfId="36523" xr:uid="{E2E11F48-46B9-40A9-B1B4-49053F050606}"/>
    <cellStyle name="Vírgula 3 4 2 2 3 3" xfId="48828" xr:uid="{3BB08050-2B17-4B91-A3C0-E9CDC4030546}"/>
    <cellStyle name="Vírgula 3 4 2 2 3 3 2" xfId="57505" xr:uid="{F161A053-254D-46DB-90C6-AC5CD64D06E7}"/>
    <cellStyle name="Vírgula 3 4 2 2 3 4" xfId="50498" xr:uid="{9068887A-C6EF-4B7B-9CDE-60319C67EFF6}"/>
    <cellStyle name="Vírgula 3 4 2 2 3 5" xfId="53793" xr:uid="{694689AE-27EE-4221-AC3D-84D3C900DD54}"/>
    <cellStyle name="Vírgula 3 4 2 2 3 6" xfId="16183" xr:uid="{BF638D4D-C712-4B41-B605-E51537BBD877}"/>
    <cellStyle name="Vírgula 3 4 2 2 4" xfId="821" xr:uid="{ED32FD23-82D7-4690-B8BA-75801B121711}"/>
    <cellStyle name="Vírgula 3 4 2 2 4 2" xfId="2537" xr:uid="{B239E88A-F1B1-4A8D-AF4A-7AB10D433DF1}"/>
    <cellStyle name="Vírgula 3 4 2 2 4 2 2" xfId="52131" xr:uid="{A2FC0DD4-1A52-4554-9538-AAB71E874A4C}"/>
    <cellStyle name="Vírgula 3 4 2 2 4 2 3" xfId="55425" xr:uid="{0714F790-CFCA-4966-9AB0-9162C5F49E74}"/>
    <cellStyle name="Vírgula 3 4 2 2 4 2 4" xfId="40024" xr:uid="{421A303B-CF69-45F2-8914-D9DADC8F6929}"/>
    <cellStyle name="Vírgula 3 4 2 2 4 3" xfId="48829" xr:uid="{A549FE9D-FB1F-461C-889E-298A4FCBB74E}"/>
    <cellStyle name="Vírgula 3 4 2 2 4 3 2" xfId="56692" xr:uid="{C87B4331-7284-46B1-94F8-9CF6BED6CA33}"/>
    <cellStyle name="Vírgula 3 4 2 2 4 4" xfId="50499" xr:uid="{6E2545BC-7732-47C3-838F-7946D12D6C52}"/>
    <cellStyle name="Vírgula 3 4 2 2 4 5" xfId="53794" xr:uid="{9B613DCC-1798-42A8-9A61-47CB78465872}"/>
    <cellStyle name="Vírgula 3 4 2 2 4 6" xfId="19685" xr:uid="{FFACBEE0-CF85-43D2-8D0B-2D86ADC325C8}"/>
    <cellStyle name="Vírgula 3 4 2 2 5" xfId="3675" xr:uid="{6931EAEE-1E3C-4C59-B458-818A4661DF71}"/>
    <cellStyle name="Vírgula 3 4 2 2 5 2" xfId="43275" xr:uid="{7BF55D0F-436F-4CA8-85B6-23984D064EEF}"/>
    <cellStyle name="Vírgula 3 4 2 2 5 3" xfId="52128" xr:uid="{7E2A1F6C-AE02-4297-B717-BD25D32AE043}"/>
    <cellStyle name="Vírgula 3 4 2 2 5 4" xfId="55422" xr:uid="{CDB1C567-326A-41AA-A0B7-8A71047E27DA}"/>
    <cellStyle name="Vírgula 3 4 2 2 5 5" xfId="22940" xr:uid="{E2BB3ECD-FE08-44A5-A61F-BDF8B5F4A004}"/>
    <cellStyle name="Vírgula 3 4 2 2 6" xfId="4118" xr:uid="{3407344E-A456-41A4-BB01-51F8B8B004DF}"/>
    <cellStyle name="Vírgula 3 4 2 2 6 2" xfId="33617" xr:uid="{EC97D259-7FAD-42F0-8094-056C56F5F37F}"/>
    <cellStyle name="Vírgula 3 4 2 2 6 3" xfId="56283" xr:uid="{9E0C542A-3217-448D-B2C9-7AE85E8E2C31}"/>
    <cellStyle name="Vírgula 3 4 2 2 6 4" xfId="13276" xr:uid="{ABC3B7A3-A2E0-4E2F-BA3B-06121D05ADAD}"/>
    <cellStyle name="Vírgula 3 4 2 2 7" xfId="2024" xr:uid="{65577EDA-031D-499E-BEDD-947F8AD509EC}"/>
    <cellStyle name="Vírgula 3 4 2 2 7 2" xfId="29739" xr:uid="{2AF9EC96-32C2-42DA-9590-79748AA0B7C2}"/>
    <cellStyle name="Vírgula 3 4 2 2 7 3" xfId="9396" xr:uid="{AD766044-B910-40A7-8A49-5BB0E62EAE94}"/>
    <cellStyle name="Vírgula 3 4 2 2 8" xfId="26245" xr:uid="{286F3B9E-25E3-4C8B-8307-10FE46940A2F}"/>
    <cellStyle name="Vírgula 3 4 2 2 9" xfId="46242" xr:uid="{F59A1F0A-071E-4A75-B60B-A5BCA8FDD80C}"/>
    <cellStyle name="Vírgula 3 4 2 20" xfId="50495" xr:uid="{E23FF73E-4D2D-4022-A998-B3E0C72FD9CA}"/>
    <cellStyle name="Vírgula 3 4 2 21" xfId="53790" xr:uid="{662234F1-F758-4169-A52D-E0E8B9B68119}"/>
    <cellStyle name="Vírgula 3 4 2 22" xfId="5345" xr:uid="{8F57F510-1E3C-468C-8581-B6D1FA87457D}"/>
    <cellStyle name="Vírgula 3 4 2 23" xfId="4504" xr:uid="{13A4BFE3-31F5-4E0A-9E46-1F05B5AA15A1}"/>
    <cellStyle name="Vírgula 3 4 2 3" xfId="1039" xr:uid="{7E62882D-8A50-4984-A936-10490C9B9346}"/>
    <cellStyle name="Vírgula 3 4 2 3 10" xfId="53795" xr:uid="{65C489CC-9AEE-4DA9-96C9-E5B41B6FBB96}"/>
    <cellStyle name="Vírgula 3 4 2 3 11" xfId="6474" xr:uid="{28E838A5-5F4A-46D0-A0C3-CFBE647E4CB1}"/>
    <cellStyle name="Vírgula 3 4 2 3 12" xfId="5117" xr:uid="{83F016E4-7B91-418B-B6FE-1E3FA14EFC0B}"/>
    <cellStyle name="Vírgula 3 4 2 3 2" xfId="3566" xr:uid="{1AB83A5B-89E9-4EF8-A8C7-5234B2FE2DC7}"/>
    <cellStyle name="Vírgula 3 4 2 3 2 2" xfId="37100" xr:uid="{B243836E-BCB3-4EB5-AD9E-5A5C4059E5E2}"/>
    <cellStyle name="Vírgula 3 4 2 3 2 3" xfId="52132" xr:uid="{AB6DD229-ED2B-42B6-B088-E8C60079E726}"/>
    <cellStyle name="Vírgula 3 4 2 3 2 4" xfId="55426" xr:uid="{585F4C32-EE53-4626-8C8E-75183D6A4C3A}"/>
    <cellStyle name="Vírgula 3 4 2 3 2 5" xfId="16760" xr:uid="{8EB63747-4D7E-41C5-A6DC-9E3073F9DA17}"/>
    <cellStyle name="Vírgula 3 4 2 3 3" xfId="4290" xr:uid="{9095551B-1549-4BD6-8630-DF12D2290D0D}"/>
    <cellStyle name="Vírgula 3 4 2 3 3 2" xfId="40601" xr:uid="{F638ADB4-C017-4B5B-9A7A-9C8F7420986F}"/>
    <cellStyle name="Vírgula 3 4 2 3 3 3" xfId="56910" xr:uid="{B92132E5-2A0D-432A-B055-E65CEF8B494C}"/>
    <cellStyle name="Vírgula 3 4 2 3 3 4" xfId="20262" xr:uid="{246A2D9C-E8A5-48A3-87F5-195F2377B183}"/>
    <cellStyle name="Vírgula 3 4 2 3 4" xfId="1915" xr:uid="{9661EB8E-11BB-4A0D-8B1B-1FC4B342F18C}"/>
    <cellStyle name="Vírgula 3 4 2 3 4 2" xfId="43852" xr:uid="{40AE8F9F-23CF-4264-B185-EB88A37555B7}"/>
    <cellStyle name="Vírgula 3 4 2 3 4 3" xfId="23517" xr:uid="{A3660DF8-5799-45BB-B7B8-0D9A8D27D8D4}"/>
    <cellStyle name="Vírgula 3 4 2 3 5" xfId="13851" xr:uid="{1AC014FD-76B4-4BF6-B70A-7EFED395E0D3}"/>
    <cellStyle name="Vírgula 3 4 2 3 5 2" xfId="34192" xr:uid="{66B9D92D-C345-4AA9-A993-97E2FF673A37}"/>
    <cellStyle name="Vírgula 3 4 2 3 6" xfId="9973" xr:uid="{2469EC45-4352-4590-9DAB-C16C7BB8EE84}"/>
    <cellStyle name="Vírgula 3 4 2 3 6 2" xfId="30316" xr:uid="{7EAD87E9-82AB-4A51-9F20-8E4D0F05403F}"/>
    <cellStyle name="Vírgula 3 4 2 3 7" xfId="26822" xr:uid="{36402260-551D-41CC-A4D5-3376686FE201}"/>
    <cellStyle name="Vírgula 3 4 2 3 8" xfId="48830" xr:uid="{BFA68A64-FC34-4F57-83E4-6D38D2BFDE14}"/>
    <cellStyle name="Vírgula 3 4 2 3 9" xfId="50500" xr:uid="{07C2D58E-704F-463D-9D89-C00D7E02ABA6}"/>
    <cellStyle name="Vírgula 3 4 2 4" xfId="1445" xr:uid="{F2A30B80-1378-445D-B2F7-15F5C241F3BD}"/>
    <cellStyle name="Vírgula 3 4 2 4 10" xfId="53796" xr:uid="{33741E36-81B1-4A03-8F4D-E2AC2F4CFDE1}"/>
    <cellStyle name="Vírgula 3 4 2 4 11" xfId="7638" xr:uid="{34EA8CDA-6AB6-4070-95EF-04B1C6237F99}"/>
    <cellStyle name="Vírgula 3 4 2 4 2" xfId="3784" xr:uid="{5670AC6D-71A0-41AB-8DAB-64486D52AB82}"/>
    <cellStyle name="Vírgula 3 4 2 4 2 2" xfId="38263" xr:uid="{B800AE97-81E2-4E9E-B7CC-2C039B2515A5}"/>
    <cellStyle name="Vírgula 3 4 2 4 2 3" xfId="52133" xr:uid="{A9F09CD4-A4A9-480E-AEE8-DBDB87351E56}"/>
    <cellStyle name="Vírgula 3 4 2 4 2 4" xfId="55427" xr:uid="{CEB88FDF-847A-44D9-BDA3-28AD1FD19123}"/>
    <cellStyle name="Vírgula 3 4 2 4 2 5" xfId="17923" xr:uid="{9306AF64-2BF6-493C-A035-462C48A9B1E6}"/>
    <cellStyle name="Vírgula 3 4 2 4 3" xfId="3106" xr:uid="{36F61C88-2FE2-4DB7-BBBE-D8C2B1EDFC4B}"/>
    <cellStyle name="Vírgula 3 4 2 4 3 2" xfId="41764" xr:uid="{032E803E-7EF8-44AC-9B14-92E48C9AADF8}"/>
    <cellStyle name="Vírgula 3 4 2 4 3 3" xfId="57316" xr:uid="{C3D9674C-89B5-4371-A511-EDC5EC2BC650}"/>
    <cellStyle name="Vírgula 3 4 2 4 3 4" xfId="21425" xr:uid="{D93DF7BE-40C6-48F4-A97F-8E9846CCABF7}"/>
    <cellStyle name="Vírgula 3 4 2 4 4" xfId="24680" xr:uid="{5D52607F-E86E-4C11-B1C8-7995BEC5BE14}"/>
    <cellStyle name="Vírgula 3 4 2 4 4 2" xfId="45015" xr:uid="{FAF86F89-70A4-47E0-B7B7-FDDD1D0F80BA}"/>
    <cellStyle name="Vírgula 3 4 2 4 5" xfId="15015" xr:uid="{BEC0FE05-37F2-463F-90E1-ED85DFF7046A}"/>
    <cellStyle name="Vírgula 3 4 2 4 5 2" xfId="35355" xr:uid="{BE683C19-FF37-4F2F-841B-735AB5FE3E17}"/>
    <cellStyle name="Vírgula 3 4 2 4 6" xfId="11136" xr:uid="{8C99A233-942A-40AF-924A-13DE2ED41FDB}"/>
    <cellStyle name="Vírgula 3 4 2 4 6 2" xfId="31479" xr:uid="{56835CDF-CD38-4F3D-83E8-CE5BE8223288}"/>
    <cellStyle name="Vírgula 3 4 2 4 7" xfId="27985" xr:uid="{E0C07C5C-8BD4-4E2A-8657-C4EF6CE1A162}"/>
    <cellStyle name="Vírgula 3 4 2 4 8" xfId="48831" xr:uid="{3453647C-0A2D-4A0D-937B-22CF1D6FE5C1}"/>
    <cellStyle name="Vírgula 3 4 2 4 9" xfId="50501" xr:uid="{59853AC8-05A2-4A97-97D5-F44A2A08F8F3}"/>
    <cellStyle name="Vírgula 3 4 2 5" xfId="632" xr:uid="{BE3ADED2-7884-48C7-9DE3-2B60783D9C67}"/>
    <cellStyle name="Vírgula 3 4 2 5 10" xfId="8274" xr:uid="{07681A98-CFE7-4017-A1AE-449ABB8A6762}"/>
    <cellStyle name="Vírgula 3 4 2 5 2" xfId="2348" xr:uid="{12DAB5F9-E682-4C84-8A70-B31F7E21074B}"/>
    <cellStyle name="Vírgula 3 4 2 5 2 2" xfId="42397" xr:uid="{E912A419-655F-4191-AB7D-5802A0761D2B}"/>
    <cellStyle name="Vírgula 3 4 2 5 2 3" xfId="52134" xr:uid="{92CA9FA3-B81C-4501-A61C-B3A258ABA658}"/>
    <cellStyle name="Vírgula 3 4 2 5 2 4" xfId="55428" xr:uid="{CEF51F0D-5CA0-488A-B036-D67981D421C1}"/>
    <cellStyle name="Vírgula 3 4 2 5 2 5" xfId="22061" xr:uid="{D20B5B11-798C-4EB9-935B-7A9E9A508977}"/>
    <cellStyle name="Vírgula 3 4 2 5 3" xfId="25313" xr:uid="{BE80F911-C764-4C83-B684-AE5FF172F78E}"/>
    <cellStyle name="Vírgula 3 4 2 5 3 2" xfId="45648" xr:uid="{7443F62B-71E4-432E-9D95-39D2C4C9E7BB}"/>
    <cellStyle name="Vírgula 3 4 2 5 3 3" xfId="56503" xr:uid="{7C562EA1-ED2E-44D0-BDE2-7A8841A8CB01}"/>
    <cellStyle name="Vírgula 3 4 2 5 4" xfId="12707" xr:uid="{B6B3273B-88E9-4097-A971-A3355E11344E}"/>
    <cellStyle name="Vírgula 3 4 2 5 4 2" xfId="33048" xr:uid="{8476070D-1F6D-4E7F-9B45-06E04CAB5C35}"/>
    <cellStyle name="Vírgula 3 4 2 5 5" xfId="11770" xr:uid="{59D2290D-6304-410D-BC8F-3A52DEAE5D9F}"/>
    <cellStyle name="Vírgula 3 4 2 5 5 2" xfId="32112" xr:uid="{49CF0278-FFEC-40B0-8067-1B5E8A69AC7F}"/>
    <cellStyle name="Vírgula 3 4 2 5 6" xfId="28618" xr:uid="{91BFB1FA-6CBE-42B6-897C-3274E83E9BD7}"/>
    <cellStyle name="Vírgula 3 4 2 5 7" xfId="48832" xr:uid="{9DD895DC-B0A0-4018-9ED1-39628BD02199}"/>
    <cellStyle name="Vírgula 3 4 2 5 8" xfId="50502" xr:uid="{C2B83FBB-9A9F-4514-820F-A1D80AC14213}"/>
    <cellStyle name="Vírgula 3 4 2 5 9" xfId="53797" xr:uid="{3C73393E-2C4E-4B74-A489-2FA572611ACF}"/>
    <cellStyle name="Vírgula 3 4 2 6" xfId="3456" xr:uid="{D6F6840F-16F3-4561-BE87-20D08757F24E}"/>
    <cellStyle name="Vírgula 3 4 2 6 2" xfId="15602" xr:uid="{84F5351E-23DD-4A2B-9CB7-23EF3F2DDBEE}"/>
    <cellStyle name="Vírgula 3 4 2 6 2 2" xfId="35942" xr:uid="{AEDC1A5F-6440-4F0F-BFED-35EA59C81881}"/>
    <cellStyle name="Vírgula 3 4 2 6 3" xfId="28967" xr:uid="{47856607-8A8F-4BEF-AF5C-EEE63BA1DB99}"/>
    <cellStyle name="Vírgula 3 4 2 6 4" xfId="52127" xr:uid="{1B87C2F5-1767-4BE6-9509-FB1C2F0FA03A}"/>
    <cellStyle name="Vírgula 3 4 2 6 5" xfId="55421" xr:uid="{385B5552-7698-4CF5-8CCF-8C20AF1E5BD0}"/>
    <cellStyle name="Vírgula 3 4 2 6 6" xfId="8624" xr:uid="{0072F320-8E98-4369-816E-00980A5001FF}"/>
    <cellStyle name="Vírgula 3 4 2 7" xfId="3946" xr:uid="{F59FCC33-8AD7-4C8F-AA7B-049BE9DEDA6F}"/>
    <cellStyle name="Vírgula 3 4 2 7 2" xfId="38856" xr:uid="{630C0897-E42F-45B5-98AE-7C921B12C7D4}"/>
    <cellStyle name="Vírgula 3 4 2 7 3" xfId="56094" xr:uid="{4A143833-7822-4910-87ED-42C8AFEBD7D5}"/>
    <cellStyle name="Vírgula 3 4 2 7 4" xfId="18516" xr:uid="{1AD99FFD-75EA-47C4-B7F7-96457E48CE4D}"/>
    <cellStyle name="Vírgula 3 4 2 8" xfId="1805" xr:uid="{49C8EB72-1276-4F3C-9846-EC03627AE3E7}"/>
    <cellStyle name="Vírgula 3 4 2 8 2" xfId="39443" xr:uid="{52321228-E5CE-46D5-B525-10A2C19DE8E6}"/>
    <cellStyle name="Vírgula 3 4 2 8 3" xfId="19104" xr:uid="{079780D2-A125-4895-B7B4-F601A67BFB22}"/>
    <cellStyle name="Vírgula 3 4 2 9" xfId="22359" xr:uid="{49EC49D3-9297-479C-8B50-CC1AA22BE99D}"/>
    <cellStyle name="Vírgula 3 4 2 9 2" xfId="42694" xr:uid="{0107B42C-A4BF-4AA9-8C93-95AB2712B3F6}"/>
    <cellStyle name="Vírgula 3 4 20" xfId="47459" xr:uid="{6F74456A-FF20-4869-8FEF-9E58200F948C}"/>
    <cellStyle name="Vírgula 3 4 21" xfId="47585" xr:uid="{286EF462-F76F-4137-B5D0-86CB811A5C90}"/>
    <cellStyle name="Vírgula 3 4 22" xfId="48824" xr:uid="{2163102B-3EBB-462A-9DE5-E9C8665D09ED}"/>
    <cellStyle name="Vírgula 3 4 23" xfId="50494" xr:uid="{2FB2E0C9-FBF5-47CB-9629-03F43AB2828D}"/>
    <cellStyle name="Vírgula 3 4 24" xfId="53789" xr:uid="{0A670B5E-8934-4A49-B421-2832DFAA032A}"/>
    <cellStyle name="Vírgula 3 4 25" xfId="5223" xr:uid="{0883801C-DC14-45CA-958A-6AD3543A704D}"/>
    <cellStyle name="Vírgula 3 4 26" xfId="4386" xr:uid="{816F5CBE-55EB-4AC7-B0D4-2B213108888F}"/>
    <cellStyle name="Vírgula 3 4 3" xfId="275" xr:uid="{9E50130E-0CA5-457B-8DAB-AFE96F44CC16}"/>
    <cellStyle name="Vírgula 3 4 3 10" xfId="12305" xr:uid="{346E9D2F-CD81-4D4C-94C8-E90A5E122F4C}"/>
    <cellStyle name="Vírgula 3 4 3 10 2" xfId="32646" xr:uid="{C6F086DF-0E66-4283-B6EA-2CD898A87DAD}"/>
    <cellStyle name="Vírgula 3 4 3 11" xfId="9044" xr:uid="{753B9712-884A-40AD-B0E2-6A9EAAC77E15}"/>
    <cellStyle name="Vírgula 3 4 3 11 2" xfId="29387" xr:uid="{EA658807-1024-44B7-8103-8CDD52EE245A}"/>
    <cellStyle name="Vírgula 3 4 3 12" xfId="25893" xr:uid="{0525B24F-63F6-44F2-B6A0-E5F9AC458A71}"/>
    <cellStyle name="Vírgula 3 4 3 13" xfId="46116" xr:uid="{690E6668-837E-4C6E-92D8-4A7FF6E4A233}"/>
    <cellStyle name="Vírgula 3 4 3 14" xfId="46602" xr:uid="{49834A60-0D0C-4F4B-B8A9-A51D16DF2DE7}"/>
    <cellStyle name="Vírgula 3 4 3 15" xfId="47094" xr:uid="{AC18AE09-9B10-4B71-AD0D-E19C53DC11C0}"/>
    <cellStyle name="Vírgula 3 4 3 16" xfId="48833" xr:uid="{4C64F10C-0035-47FF-943F-63926D2C7B4F}"/>
    <cellStyle name="Vírgula 3 4 3 17" xfId="50503" xr:uid="{8890C0D2-DF7A-4635-9473-26A90C68BF6A}"/>
    <cellStyle name="Vírgula 3 4 3 18" xfId="53798" xr:uid="{619B25AF-9F4B-4659-BD6D-8B869A43D46F}"/>
    <cellStyle name="Vírgula 3 4 3 19" xfId="5554" xr:uid="{317F4B17-C171-4D56-A169-359F0F4B8914}"/>
    <cellStyle name="Vírgula 3 4 3 2" xfId="464" xr:uid="{BB645F4A-4B06-42A4-B4A2-D5A8FC9B20CB}"/>
    <cellStyle name="Vírgula 3 4 3 2 10" xfId="50504" xr:uid="{FFA09FB8-E755-4FCF-9EDB-0C2B5D5F4860}"/>
    <cellStyle name="Vírgula 3 4 3 2 11" xfId="53799" xr:uid="{379F2A6E-7B11-48F3-82C7-585C5F982D4D}"/>
    <cellStyle name="Vírgula 3 4 3 2 12" xfId="6126" xr:uid="{CA7D42F9-ACD9-4A45-8DCE-0650D99DB348}"/>
    <cellStyle name="Vírgula 3 4 3 2 13" xfId="4745" xr:uid="{754CE3DF-F6B6-468A-AC18-3A4D1A155A15}"/>
    <cellStyle name="Vírgula 3 4 3 2 2" xfId="1280" xr:uid="{E84F7FD4-33AD-463C-BC89-0562BC2F755A}"/>
    <cellStyle name="Vírgula 3 4 3 2 2 10" xfId="53800" xr:uid="{C9FE5472-9FF7-4495-8345-7A377125E943}"/>
    <cellStyle name="Vírgula 3 4 3 2 2 11" xfId="7284" xr:uid="{3DD55630-ADB4-4C3F-BD9C-096BCD3AC3F5}"/>
    <cellStyle name="Vírgula 3 4 3 2 2 2" xfId="2941" xr:uid="{E9CE4442-C45A-4DC4-89A3-110285E03583}"/>
    <cellStyle name="Vírgula 3 4 3 2 2 2 2" xfId="37910" xr:uid="{41EC6A80-A8AF-42B2-A0A9-696DB0B4176C}"/>
    <cellStyle name="Vírgula 3 4 3 2 2 2 3" xfId="52137" xr:uid="{184BE4CF-F52B-4446-ADE6-64C2E3A65021}"/>
    <cellStyle name="Vírgula 3 4 3 2 2 2 4" xfId="55431" xr:uid="{BE16FC8A-B1CF-4A4F-A376-F5E9C7846D77}"/>
    <cellStyle name="Vírgula 3 4 3 2 2 2 5" xfId="17570" xr:uid="{3CFD9229-9D61-42D8-B6A3-64832D57CF70}"/>
    <cellStyle name="Vírgula 3 4 3 2 2 3" xfId="21072" xr:uid="{CB92F360-59EF-4E82-8C6C-F75330A45438}"/>
    <cellStyle name="Vírgula 3 4 3 2 2 3 2" xfId="41411" xr:uid="{A753285D-347B-495C-AC39-62917D1B9DDF}"/>
    <cellStyle name="Vírgula 3 4 3 2 2 3 3" xfId="57151" xr:uid="{7B5595C1-5E97-4D86-A1E6-48CDAA39553D}"/>
    <cellStyle name="Vírgula 3 4 3 2 2 4" xfId="24327" xr:uid="{6AD29D58-5329-4BB2-8F2C-C071F4BF01BA}"/>
    <cellStyle name="Vírgula 3 4 3 2 2 4 2" xfId="44662" xr:uid="{7F4BB117-15C7-450D-A115-F6514570E13E}"/>
    <cellStyle name="Vírgula 3 4 3 2 2 5" xfId="14661" xr:uid="{F5F62A80-6350-4873-880A-37A9010147DF}"/>
    <cellStyle name="Vírgula 3 4 3 2 2 5 2" xfId="35002" xr:uid="{FADEC026-EB87-46B7-91E8-2220B148CBFD}"/>
    <cellStyle name="Vírgula 3 4 3 2 2 6" xfId="10783" xr:uid="{29CDC461-004E-4CB2-B244-64F0377B2522}"/>
    <cellStyle name="Vírgula 3 4 3 2 2 6 2" xfId="31126" xr:uid="{A773C90E-5418-4308-A80B-A606A682D77D}"/>
    <cellStyle name="Vírgula 3 4 3 2 2 7" xfId="27632" xr:uid="{8A076DAE-CD50-4194-A163-2FE1875F9BF3}"/>
    <cellStyle name="Vírgula 3 4 3 2 2 8" xfId="48835" xr:uid="{B749ECB5-1A13-4B28-A6CF-78F96CDFAE2D}"/>
    <cellStyle name="Vírgula 3 4 3 2 2 9" xfId="50505" xr:uid="{D128E835-EE12-4926-9447-33AC2BD8AAF3}"/>
    <cellStyle name="Vírgula 3 4 3 2 3" xfId="1686" xr:uid="{E29CFAFF-09FF-4A68-98E0-462BF2C0827F}"/>
    <cellStyle name="Vírgula 3 4 3 2 3 2" xfId="3346" xr:uid="{0FC29BF5-88B0-4526-96D3-DC116694B30D}"/>
    <cellStyle name="Vírgula 3 4 3 2 3 2 2" xfId="52138" xr:uid="{9BC83897-BF2B-473A-9E56-170B5A89B75E}"/>
    <cellStyle name="Vírgula 3 4 3 2 3 2 3" xfId="55432" xr:uid="{C603F1ED-8B68-4F65-BD5C-D642D1FE91E2}"/>
    <cellStyle name="Vírgula 3 4 3 2 3 2 4" xfId="36752" xr:uid="{CDF4B999-50F5-4EF8-ABD9-9D8B6DAB5F27}"/>
    <cellStyle name="Vírgula 3 4 3 2 3 3" xfId="48836" xr:uid="{906A6E09-6F1F-47F7-85CA-3EFE1E067F99}"/>
    <cellStyle name="Vírgula 3 4 3 2 3 3 2" xfId="57557" xr:uid="{308FFFC0-ECAE-4BB2-AACC-7CFCEC585C71}"/>
    <cellStyle name="Vírgula 3 4 3 2 3 4" xfId="50506" xr:uid="{5BA0F3B8-B428-4611-9258-6EC7E09F0075}"/>
    <cellStyle name="Vírgula 3 4 3 2 3 5" xfId="53801" xr:uid="{4BA82F97-CB10-48EB-B9B9-49D3577644F5}"/>
    <cellStyle name="Vírgula 3 4 3 2 3 6" xfId="16412" xr:uid="{1FEE616E-E55B-4D58-B239-48258322BF57}"/>
    <cellStyle name="Vírgula 3 4 3 2 4" xfId="873" xr:uid="{FD5F6FE2-54A1-4064-AB1F-315896EC7BEA}"/>
    <cellStyle name="Vírgula 3 4 3 2 4 2" xfId="2589" xr:uid="{E498FB4B-5E52-4BBC-A564-4E575E327137}"/>
    <cellStyle name="Vírgula 3 4 3 2 4 2 2" xfId="52139" xr:uid="{8C61CAAD-12E3-4757-8317-3868225EE535}"/>
    <cellStyle name="Vírgula 3 4 3 2 4 2 3" xfId="55433" xr:uid="{3DE7F7A0-3657-47E3-8B0A-2382DB96E0E4}"/>
    <cellStyle name="Vírgula 3 4 3 2 4 2 4" xfId="40253" xr:uid="{7A33048A-EE85-4096-9742-33455DC85837}"/>
    <cellStyle name="Vírgula 3 4 3 2 4 3" xfId="48837" xr:uid="{52DDF6C7-0595-4106-9789-63D33E6B5D6F}"/>
    <cellStyle name="Vírgula 3 4 3 2 4 3 2" xfId="56744" xr:uid="{7722C716-E1F6-4592-B056-D39863DB0618}"/>
    <cellStyle name="Vírgula 3 4 3 2 4 4" xfId="50507" xr:uid="{9BE8FD32-25CE-4C9D-8B48-648C54D311F8}"/>
    <cellStyle name="Vírgula 3 4 3 2 4 5" xfId="53802" xr:uid="{7EBFB0F2-4917-45A1-927C-836911FA8281}"/>
    <cellStyle name="Vírgula 3 4 3 2 4 6" xfId="19914" xr:uid="{E23DCB8E-EF94-439D-AF2F-1241D32A1808}"/>
    <cellStyle name="Vírgula 3 4 3 2 5" xfId="2181" xr:uid="{7762FCBC-D4FB-4C35-9F82-38FFB4391342}"/>
    <cellStyle name="Vírgula 3 4 3 2 5 2" xfId="43504" xr:uid="{6F156563-C69E-4E48-B3B0-77E7FF573D00}"/>
    <cellStyle name="Vírgula 3 4 3 2 5 3" xfId="52136" xr:uid="{BC9C345F-C973-4BC9-AC46-2B29BB3F84DB}"/>
    <cellStyle name="Vírgula 3 4 3 2 5 4" xfId="55430" xr:uid="{16EC0B32-8731-40AB-9C5E-68B4BE64D303}"/>
    <cellStyle name="Vírgula 3 4 3 2 5 5" xfId="23169" xr:uid="{92868A54-0B10-45FA-B803-2B8E0543094A}"/>
    <cellStyle name="Vírgula 3 4 3 2 6" xfId="13503" xr:uid="{90C99C02-6C9E-4F92-BAE2-BB9CB910A041}"/>
    <cellStyle name="Vírgula 3 4 3 2 6 2" xfId="33844" xr:uid="{AB7DC981-C625-4E9C-8A25-7CDB1ADCBA54}"/>
    <cellStyle name="Vírgula 3 4 3 2 6 3" xfId="56335" xr:uid="{2D3EC235-F9F6-4F7A-B223-2FED1C11D0CB}"/>
    <cellStyle name="Vírgula 3 4 3 2 7" xfId="9625" xr:uid="{BCE86FB1-6E54-4334-A8D4-3509DA65708C}"/>
    <cellStyle name="Vírgula 3 4 3 2 7 2" xfId="29968" xr:uid="{EAD2D348-0A57-47F3-A09C-B15DDC9E1D2A}"/>
    <cellStyle name="Vírgula 3 4 3 2 8" xfId="26474" xr:uid="{F460A409-9F79-4C22-B423-DC24502E5404}"/>
    <cellStyle name="Vírgula 3 4 3 2 9" xfId="48834" xr:uid="{7193F58C-2E6A-444E-97E6-35FCCC0F592C}"/>
    <cellStyle name="Vírgula 3 4 3 20" xfId="4556" xr:uid="{A2063F1C-4411-4C75-9099-5389052C64DB}"/>
    <cellStyle name="Vírgula 3 4 3 3" xfId="1091" xr:uid="{A016F4E6-383A-4DAF-B1FD-1793600BEEF1}"/>
    <cellStyle name="Vírgula 3 4 3 3 10" xfId="53803" xr:uid="{8D38E933-CC7E-465E-B310-6FBC234231AD}"/>
    <cellStyle name="Vírgula 3 4 3 3 11" xfId="6703" xr:uid="{67F0E54D-5FF2-4147-864A-4C09D0B59437}"/>
    <cellStyle name="Vírgula 3 4 3 3 12" xfId="5004" xr:uid="{D9B55354-9856-494D-AE5B-00A77E5FCD20}"/>
    <cellStyle name="Vírgula 3 4 3 3 2" xfId="2754" xr:uid="{D622981C-08E4-4545-94F3-B8DD605C1ACC}"/>
    <cellStyle name="Vírgula 3 4 3 3 2 2" xfId="37329" xr:uid="{A6FF1C8F-EF59-4394-BB17-54FF6B173BA2}"/>
    <cellStyle name="Vírgula 3 4 3 3 2 3" xfId="52140" xr:uid="{6CA9321F-B257-42B8-9EAE-1777662B130B}"/>
    <cellStyle name="Vírgula 3 4 3 3 2 4" xfId="55434" xr:uid="{4B2301BE-0FED-4815-88E8-3DFF2FE2EA20}"/>
    <cellStyle name="Vírgula 3 4 3 3 2 5" xfId="16989" xr:uid="{5E3C550B-F6F0-4BCD-A1B9-E52E215C03E7}"/>
    <cellStyle name="Vírgula 3 4 3 3 3" xfId="20491" xr:uid="{A73D7840-86A5-4E9D-9E71-33B936BB6284}"/>
    <cellStyle name="Vírgula 3 4 3 3 3 2" xfId="40830" xr:uid="{1C09BFB1-44DC-4EC2-BAFA-46EE92448FCD}"/>
    <cellStyle name="Vírgula 3 4 3 3 3 3" xfId="56962" xr:uid="{71F528D8-DB04-4A11-8825-7F4DC3C0BC63}"/>
    <cellStyle name="Vírgula 3 4 3 3 4" xfId="23746" xr:uid="{A2AB5B80-6774-4DC2-A663-9F82D7EE8B72}"/>
    <cellStyle name="Vírgula 3 4 3 3 4 2" xfId="44081" xr:uid="{CB9AD211-4B72-4734-80EB-1DDDB4B3671C}"/>
    <cellStyle name="Vírgula 3 4 3 3 5" xfId="14080" xr:uid="{8EC6CACC-2A19-406C-8D31-1C2A106DF94E}"/>
    <cellStyle name="Vírgula 3 4 3 3 5 2" xfId="34421" xr:uid="{8CCC1768-F436-4987-8B1E-74436D9A2AC1}"/>
    <cellStyle name="Vírgula 3 4 3 3 6" xfId="10202" xr:uid="{79BC1462-029B-4E36-831B-4E2E76FE6ED6}"/>
    <cellStyle name="Vírgula 3 4 3 3 6 2" xfId="30545" xr:uid="{84FD42D4-29BA-452F-B51A-51ACBE294558}"/>
    <cellStyle name="Vírgula 3 4 3 3 7" xfId="27051" xr:uid="{BDE87FBF-0D32-4EA2-92C5-CB5C54388CD4}"/>
    <cellStyle name="Vírgula 3 4 3 3 8" xfId="48838" xr:uid="{9D9E3157-E5B7-4352-A01E-7D35CC881C68}"/>
    <cellStyle name="Vírgula 3 4 3 3 9" xfId="50508" xr:uid="{A8935EC5-BC67-40F3-8627-B5B8CA7B0ADA}"/>
    <cellStyle name="Vírgula 3 4 3 4" xfId="1497" xr:uid="{93B199CC-047D-4857-8C3C-F5DF17AD94E1}"/>
    <cellStyle name="Vírgula 3 4 3 4 10" xfId="53804" xr:uid="{8132E192-0088-4AA3-8BC4-E84FF0D8B72B}"/>
    <cellStyle name="Vírgula 3 4 3 4 11" xfId="7867" xr:uid="{1912FD37-EF52-489C-94C2-478A1F6275CE}"/>
    <cellStyle name="Vírgula 3 4 3 4 2" xfId="3158" xr:uid="{95AB9445-EFEB-4990-89D4-486E99A74FC0}"/>
    <cellStyle name="Vírgula 3 4 3 4 2 2" xfId="38492" xr:uid="{86F31254-ADA5-4B77-9B67-7817485EAEC4}"/>
    <cellStyle name="Vírgula 3 4 3 4 2 3" xfId="52141" xr:uid="{78532099-FFF9-4157-BC5D-01D154540850}"/>
    <cellStyle name="Vírgula 3 4 3 4 2 4" xfId="55435" xr:uid="{3AFFCD3B-2349-44EE-B3AB-BCA615E45896}"/>
    <cellStyle name="Vírgula 3 4 3 4 2 5" xfId="18152" xr:uid="{8CD0D66F-0ACE-4D5A-B3ED-94ECFE8BB219}"/>
    <cellStyle name="Vírgula 3 4 3 4 3" xfId="21654" xr:uid="{F7D50DD9-4AF7-49B9-B37E-5A9E66D74AF8}"/>
    <cellStyle name="Vírgula 3 4 3 4 3 2" xfId="41993" xr:uid="{1E13D5FB-D9F7-402E-99C6-1E5CE1900CD5}"/>
    <cellStyle name="Vírgula 3 4 3 4 3 3" xfId="57368" xr:uid="{56FE6CD1-87BE-4DDE-B5C6-434DB00D0B73}"/>
    <cellStyle name="Vírgula 3 4 3 4 4" xfId="24909" xr:uid="{1CEB2164-A5BE-4A9A-8FD3-9B989EE7AFAE}"/>
    <cellStyle name="Vírgula 3 4 3 4 4 2" xfId="45244" xr:uid="{B616B741-B3E3-4398-A1CD-08DE7C60049F}"/>
    <cellStyle name="Vírgula 3 4 3 4 5" xfId="15244" xr:uid="{9ABE5CBC-3773-4A45-B7AE-CDC0F873AA5C}"/>
    <cellStyle name="Vírgula 3 4 3 4 5 2" xfId="35584" xr:uid="{5C259C1F-49F7-4CE8-A38C-BD870834D3D8}"/>
    <cellStyle name="Vírgula 3 4 3 4 6" xfId="11365" xr:uid="{B62FBA87-E71A-4E72-A79A-EAB883EFF6FD}"/>
    <cellStyle name="Vírgula 3 4 3 4 6 2" xfId="31708" xr:uid="{E88674B5-5FDE-4B6B-A203-A7F752CF2C24}"/>
    <cellStyle name="Vírgula 3 4 3 4 7" xfId="28214" xr:uid="{041B0199-6A20-45A6-A374-6ACE04671346}"/>
    <cellStyle name="Vírgula 3 4 3 4 8" xfId="48839" xr:uid="{E7FFBA06-20DC-4EF0-BF0C-C21B4D1BE3E8}"/>
    <cellStyle name="Vírgula 3 4 3 4 9" xfId="50509" xr:uid="{5388779F-14F4-457C-9254-0133706069D0}"/>
    <cellStyle name="Vírgula 3 4 3 5" xfId="684" xr:uid="{74BE01AF-0343-439E-A93A-75A8E4CA69C5}"/>
    <cellStyle name="Vírgula 3 4 3 5 10" xfId="8275" xr:uid="{4B7607F4-C98F-4531-A68E-DD5F7D6DB96A}"/>
    <cellStyle name="Vírgula 3 4 3 5 2" xfId="2400" xr:uid="{FF297A09-39B2-4B2C-B815-DB5A4CACF8B3}"/>
    <cellStyle name="Vírgula 3 4 3 5 2 2" xfId="42398" xr:uid="{79E94DF7-57BD-4A1B-9CDE-90CA78B5BCB4}"/>
    <cellStyle name="Vírgula 3 4 3 5 2 3" xfId="52142" xr:uid="{57432D96-D67B-495C-81C8-23324E8DF477}"/>
    <cellStyle name="Vírgula 3 4 3 5 2 4" xfId="55436" xr:uid="{65AC1CEC-4328-41ED-9CA6-E9D61021B345}"/>
    <cellStyle name="Vírgula 3 4 3 5 2 5" xfId="22062" xr:uid="{2BE88E00-871E-46B1-82E3-513EEF24BF91}"/>
    <cellStyle name="Vírgula 3 4 3 5 3" xfId="25314" xr:uid="{CE5D95AC-9617-4E58-BF6B-E1E933E22DBE}"/>
    <cellStyle name="Vírgula 3 4 3 5 3 2" xfId="45649" xr:uid="{61BE8C02-BF30-4F39-A87C-78EF8DB81187}"/>
    <cellStyle name="Vírgula 3 4 3 5 3 3" xfId="56555" xr:uid="{E486789C-BCD9-445F-B897-F7DE6F5A6C0F}"/>
    <cellStyle name="Vírgula 3 4 3 5 4" xfId="12934" xr:uid="{07A3AE3E-6029-4715-A1FE-5D0E69F66B0C}"/>
    <cellStyle name="Vírgula 3 4 3 5 4 2" xfId="33275" xr:uid="{BF0DFF90-39C8-4833-A281-6D93CE89AD99}"/>
    <cellStyle name="Vírgula 3 4 3 5 5" xfId="11771" xr:uid="{DB4EA0B7-8CA1-414C-ABCE-0FCE2358174E}"/>
    <cellStyle name="Vírgula 3 4 3 5 5 2" xfId="32113" xr:uid="{7B3995C9-56A8-48FE-BECB-8A230C19299C}"/>
    <cellStyle name="Vírgula 3 4 3 5 6" xfId="28619" xr:uid="{33A92398-BFD7-4E88-98C6-D5F5FAF31493}"/>
    <cellStyle name="Vírgula 3 4 3 5 7" xfId="48840" xr:uid="{8E407B19-44CD-4354-806E-6134C2A2304B}"/>
    <cellStyle name="Vírgula 3 4 3 5 8" xfId="50510" xr:uid="{A71FA646-A8C7-492C-BE83-1AAC6AE21E21}"/>
    <cellStyle name="Vírgula 3 4 3 5 9" xfId="53805" xr:uid="{1E95A67F-EFD3-4FF5-A774-6EEC5F516081}"/>
    <cellStyle name="Vírgula 3 4 3 6" xfId="3620" xr:uid="{E543EB54-53F9-47B0-A068-B33B8D2BBA05}"/>
    <cellStyle name="Vírgula 3 4 3 6 2" xfId="36171" xr:uid="{1F080F44-28FD-4624-A641-433613ACE99A}"/>
    <cellStyle name="Vírgula 3 4 3 6 3" xfId="52135" xr:uid="{D514594E-D5E5-468E-BE41-51924421982F}"/>
    <cellStyle name="Vírgula 3 4 3 6 4" xfId="55429" xr:uid="{26422F53-1756-4895-B6A4-9B7E8EFEAD4E}"/>
    <cellStyle name="Vírgula 3 4 3 6 5" xfId="15831" xr:uid="{B930809E-9538-4E74-BA0E-5287865A9E19}"/>
    <cellStyle name="Vírgula 3 4 3 7" xfId="4005" xr:uid="{8CCD90A3-58AF-41E2-A873-FF5C33BF5D32}"/>
    <cellStyle name="Vírgula 3 4 3 7 2" xfId="39085" xr:uid="{68085040-382A-4B69-9123-BEB1932337DC}"/>
    <cellStyle name="Vírgula 3 4 3 7 3" xfId="56146" xr:uid="{0D7AA943-238B-4951-8C47-14D96E7F6021}"/>
    <cellStyle name="Vírgula 3 4 3 7 4" xfId="18745" xr:uid="{FC936545-F3D4-4497-9F34-4FA06A41301C}"/>
    <cellStyle name="Vírgula 3 4 3 8" xfId="1969" xr:uid="{117053E9-051F-4CC9-9DBA-C6BA9117DE3B}"/>
    <cellStyle name="Vírgula 3 4 3 8 2" xfId="39672" xr:uid="{905DF94B-2F81-42F6-9CE8-AD9C3754B635}"/>
    <cellStyle name="Vírgula 3 4 3 8 3" xfId="19333" xr:uid="{F9478F27-6C46-4CC5-84E1-3428BD8BF03E}"/>
    <cellStyle name="Vírgula 3 4 3 9" xfId="22588" xr:uid="{54A35F95-EAE9-4379-9060-8353466EF819}"/>
    <cellStyle name="Vírgula 3 4 3 9 2" xfId="42923" xr:uid="{223BF1AF-C00A-4951-95F5-7A5ADBACD2EB}"/>
    <cellStyle name="Vírgula 3 4 4" xfId="333" xr:uid="{17CC8728-C943-475D-BA2F-15B98F02B5AA}"/>
    <cellStyle name="Vírgula 3 4 4 10" xfId="12463" xr:uid="{1DB9CF6B-07EB-4A12-8005-FBAECC44A0E6}"/>
    <cellStyle name="Vírgula 3 4 4 10 2" xfId="32804" xr:uid="{F2ADD728-9070-4742-A5B6-7430C1E23F3B}"/>
    <cellStyle name="Vírgula 3 4 4 11" xfId="9202" xr:uid="{4A301CE4-762F-4797-911A-8BC0848ADD83}"/>
    <cellStyle name="Vírgula 3 4 4 11 2" xfId="29545" xr:uid="{54662C70-B58A-4833-BF25-63205D35835A}"/>
    <cellStyle name="Vírgula 3 4 4 12" xfId="26051" xr:uid="{B1A5E1CC-13F8-461E-9461-043075254DCC}"/>
    <cellStyle name="Vírgula 3 4 4 13" xfId="48841" xr:uid="{F3AF0018-610C-4D3B-A4B5-AE40459AFC55}"/>
    <cellStyle name="Vírgula 3 4 4 14" xfId="50511" xr:uid="{3D697BCC-2A1E-498F-B2AF-A9B47DDC018F}"/>
    <cellStyle name="Vírgula 3 4 4 15" xfId="53806" xr:uid="{41392504-516B-4985-ABD2-6E92269F2697}"/>
    <cellStyle name="Vírgula 3 4 4 16" xfId="5712" xr:uid="{2C69E2B2-322B-4276-8043-30CCBC350DC8}"/>
    <cellStyle name="Vírgula 3 4 4 17" xfId="4614" xr:uid="{99BE4FCD-48EC-4173-A6FF-A1B7C97EB519}"/>
    <cellStyle name="Vírgula 3 4 4 2" xfId="1149" xr:uid="{D778C358-0A4E-46AA-B908-A4A5DFA7164B}"/>
    <cellStyle name="Vírgula 3 4 4 2 10" xfId="50512" xr:uid="{BB11299F-3CAF-4181-8847-CBCE7820E406}"/>
    <cellStyle name="Vírgula 3 4 4 2 11" xfId="53807" xr:uid="{7CA3CB89-469D-4892-A557-CB15566BE491}"/>
    <cellStyle name="Vírgula 3 4 4 2 12" xfId="6284" xr:uid="{E5A05F3B-419E-430E-8331-529218771C40}"/>
    <cellStyle name="Vírgula 3 4 4 2 2" xfId="2810" xr:uid="{D47FA5EE-2B1F-440F-A635-3FF8ADD0F096}"/>
    <cellStyle name="Vírgula 3 4 4 2 2 10" xfId="7442" xr:uid="{465DBC73-9099-4531-A41B-A61B435C02AA}"/>
    <cellStyle name="Vírgula 3 4 4 2 2 2" xfId="17728" xr:uid="{C193E6A7-0D29-414D-B27D-EC594824666C}"/>
    <cellStyle name="Vírgula 3 4 4 2 2 2 2" xfId="38068" xr:uid="{526CF168-1879-4470-9111-A4535636E69B}"/>
    <cellStyle name="Vírgula 3 4 4 2 2 3" xfId="21230" xr:uid="{A853C56B-EAF5-4FE7-9366-78C00B5892CB}"/>
    <cellStyle name="Vírgula 3 4 4 2 2 3 2" xfId="41569" xr:uid="{0FADEF2C-6AD9-42C7-918B-8CDA2967E76D}"/>
    <cellStyle name="Vírgula 3 4 4 2 2 4" xfId="24485" xr:uid="{777E74DE-0C84-4994-83EB-C64AC929BA59}"/>
    <cellStyle name="Vírgula 3 4 4 2 2 4 2" xfId="44820" xr:uid="{4E2ED735-CB49-4B64-BB5C-75CBA78B8446}"/>
    <cellStyle name="Vírgula 3 4 4 2 2 5" xfId="14819" xr:uid="{A346E42B-D20A-48B5-9DA4-C368160702CE}"/>
    <cellStyle name="Vírgula 3 4 4 2 2 5 2" xfId="35160" xr:uid="{2D514704-5265-4608-AEC4-9C69A31A0DED}"/>
    <cellStyle name="Vírgula 3 4 4 2 2 6" xfId="10941" xr:uid="{AF0701DF-49A3-40A4-848D-D574A945C75A}"/>
    <cellStyle name="Vírgula 3 4 4 2 2 6 2" xfId="31284" xr:uid="{2DBC06DF-EDBA-4703-BDF9-95177698ACC9}"/>
    <cellStyle name="Vírgula 3 4 4 2 2 7" xfId="27790" xr:uid="{C10B1D56-CC9E-4E7F-B9BA-1BEE56475E2A}"/>
    <cellStyle name="Vírgula 3 4 4 2 2 8" xfId="52144" xr:uid="{28B2AFFD-5E41-4DD0-9995-77EAACB0F34A}"/>
    <cellStyle name="Vírgula 3 4 4 2 2 9" xfId="55438" xr:uid="{8BD9B144-9866-4C51-B4FC-0E0325CD4270}"/>
    <cellStyle name="Vírgula 3 4 4 2 3" xfId="16570" xr:uid="{5C5B5E02-2CB2-439F-B3D9-420E33828759}"/>
    <cellStyle name="Vírgula 3 4 4 2 3 2" xfId="36910" xr:uid="{167907EC-9849-4E32-8622-EA87FE98E703}"/>
    <cellStyle name="Vírgula 3 4 4 2 3 3" xfId="57020" xr:uid="{45435F82-F733-4F32-92F5-3C3BECD503BE}"/>
    <cellStyle name="Vírgula 3 4 4 2 4" xfId="20072" xr:uid="{03E186F0-C7CE-431D-923F-03A56C8FCA09}"/>
    <cellStyle name="Vírgula 3 4 4 2 4 2" xfId="40411" xr:uid="{F63F6B8C-1E36-4BC4-9156-2F2EDC19BE1D}"/>
    <cellStyle name="Vírgula 3 4 4 2 5" xfId="23327" xr:uid="{654043FD-3627-497B-AA18-03573B6812FF}"/>
    <cellStyle name="Vírgula 3 4 4 2 5 2" xfId="43662" xr:uid="{F640BDB6-68FF-4DF2-8B62-BEE2120E2A8F}"/>
    <cellStyle name="Vírgula 3 4 4 2 6" xfId="13661" xr:uid="{678707D9-AD45-4D84-A1A0-ED944876687E}"/>
    <cellStyle name="Vírgula 3 4 4 2 6 2" xfId="34002" xr:uid="{D42C85B4-DD4B-43CD-A821-39A6930CB5B7}"/>
    <cellStyle name="Vírgula 3 4 4 2 7" xfId="9783" xr:uid="{AFC03A8E-1D37-4866-9303-1D2F2D7CFF3F}"/>
    <cellStyle name="Vírgula 3 4 4 2 7 2" xfId="30126" xr:uid="{8BBFC3C8-4D30-4C8A-98ED-A4A1163CF862}"/>
    <cellStyle name="Vírgula 3 4 4 2 8" xfId="26632" xr:uid="{34FC646B-39C7-4300-BD52-920C084C9AC8}"/>
    <cellStyle name="Vírgula 3 4 4 2 9" xfId="48842" xr:uid="{6B06B05B-0577-423A-BB99-F5C185C8520E}"/>
    <cellStyle name="Vírgula 3 4 4 3" xfId="1555" xr:uid="{71341A9C-4A0D-4392-952E-C239A686491D}"/>
    <cellStyle name="Vírgula 3 4 4 3 10" xfId="53808" xr:uid="{CE7B6E18-B376-4B76-B392-DE8893CDF896}"/>
    <cellStyle name="Vírgula 3 4 4 3 11" xfId="6861" xr:uid="{54AC4AC4-CE93-4DFD-8E53-EA8A896B8505}"/>
    <cellStyle name="Vírgula 3 4 4 3 2" xfId="3215" xr:uid="{76AE0738-A385-435E-8139-F1DA33470811}"/>
    <cellStyle name="Vírgula 3 4 4 3 2 2" xfId="37487" xr:uid="{A8B33731-AFF4-475E-9CF8-D65D1A10BF77}"/>
    <cellStyle name="Vírgula 3 4 4 3 2 3" xfId="52145" xr:uid="{B296F91C-968B-484B-912B-B1B1C8B61570}"/>
    <cellStyle name="Vírgula 3 4 4 3 2 4" xfId="55439" xr:uid="{8D3EFB4E-5C1E-42B7-9323-04136BA6AC61}"/>
    <cellStyle name="Vírgula 3 4 4 3 2 5" xfId="17147" xr:uid="{7DE6ED43-B4C9-4303-A09D-06016666B4E6}"/>
    <cellStyle name="Vírgula 3 4 4 3 3" xfId="20649" xr:uid="{10EAF6BD-B64D-4492-87D5-C3ADE9E2DEC4}"/>
    <cellStyle name="Vírgula 3 4 4 3 3 2" xfId="40988" xr:uid="{B10315DA-0342-4B1F-AEB1-5D9DE535A987}"/>
    <cellStyle name="Vírgula 3 4 4 3 3 3" xfId="57426" xr:uid="{E412C48D-8D9D-4473-B2A2-13ECFB3376D1}"/>
    <cellStyle name="Vírgula 3 4 4 3 4" xfId="23904" xr:uid="{BEE81CD6-9492-4D86-92CF-4648DDC3419C}"/>
    <cellStyle name="Vírgula 3 4 4 3 4 2" xfId="44239" xr:uid="{D627AA0D-8BC5-44D5-98E4-CBB8C6205772}"/>
    <cellStyle name="Vírgula 3 4 4 3 5" xfId="14238" xr:uid="{85AE3207-FA43-41E2-8550-A5B413F0BACB}"/>
    <cellStyle name="Vírgula 3 4 4 3 5 2" xfId="34579" xr:uid="{5964DD4B-BB09-47AA-993E-19556AC59CCE}"/>
    <cellStyle name="Vírgula 3 4 4 3 6" xfId="10360" xr:uid="{1286CC47-60B9-4DFD-AD39-2ED967D8C4A7}"/>
    <cellStyle name="Vírgula 3 4 4 3 6 2" xfId="30703" xr:uid="{67467374-9945-498A-BDAD-1688A791FD55}"/>
    <cellStyle name="Vírgula 3 4 4 3 7" xfId="27209" xr:uid="{51456D99-99D0-404A-9A9B-7C88933D5FE4}"/>
    <cellStyle name="Vírgula 3 4 4 3 8" xfId="48843" xr:uid="{E585E32E-E6B1-4891-9781-5D2267652892}"/>
    <cellStyle name="Vírgula 3 4 4 3 9" xfId="50513" xr:uid="{DFEDECC9-35F6-4307-961F-A19015935882}"/>
    <cellStyle name="Vírgula 3 4 4 4" xfId="742" xr:uid="{53FB7603-C883-416B-988A-9B6CF0D0B600}"/>
    <cellStyle name="Vírgula 3 4 4 4 10" xfId="53809" xr:uid="{CA03EDD0-46E9-4623-912B-D4CBB88C6B38}"/>
    <cellStyle name="Vírgula 3 4 4 4 11" xfId="8025" xr:uid="{7D9BDA47-F5E7-4624-9E55-C9C85BE134B5}"/>
    <cellStyle name="Vírgula 3 4 4 4 2" xfId="2458" xr:uid="{11DF163D-92B9-4351-9A12-E054317D8843}"/>
    <cellStyle name="Vírgula 3 4 4 4 2 2" xfId="38650" xr:uid="{28A9413A-7523-463D-88AD-73BF11A51DDF}"/>
    <cellStyle name="Vírgula 3 4 4 4 2 3" xfId="52146" xr:uid="{A3177D5D-B340-453B-B7CB-E8A3850EEE34}"/>
    <cellStyle name="Vírgula 3 4 4 4 2 4" xfId="55440" xr:uid="{567F3814-DA14-4D8E-BEE0-2648BA350A7A}"/>
    <cellStyle name="Vírgula 3 4 4 4 2 5" xfId="18310" xr:uid="{6EB2E52D-4F99-431A-9678-0AEF4CAEC630}"/>
    <cellStyle name="Vírgula 3 4 4 4 3" xfId="21812" xr:uid="{E6A4D08D-7DAE-4DB0-B386-B426F14EEDCF}"/>
    <cellStyle name="Vírgula 3 4 4 4 3 2" xfId="42151" xr:uid="{44864FD8-B70E-4DDA-9FD2-947ED2D8C8EE}"/>
    <cellStyle name="Vírgula 3 4 4 4 3 3" xfId="56613" xr:uid="{D1CC28CB-6AB7-457C-A690-020FF46B0E51}"/>
    <cellStyle name="Vírgula 3 4 4 4 4" xfId="25067" xr:uid="{BB934B79-619A-4379-BFD0-A341B66E916E}"/>
    <cellStyle name="Vírgula 3 4 4 4 4 2" xfId="45402" xr:uid="{13FDC718-2986-42FC-9A00-C3DC71FB9AA4}"/>
    <cellStyle name="Vírgula 3 4 4 4 5" xfId="15402" xr:uid="{C0D63048-096A-4AFA-A04D-39685A03ABAB}"/>
    <cellStyle name="Vírgula 3 4 4 4 5 2" xfId="35742" xr:uid="{E12C8461-56C0-4F8C-8B0B-7AD9435D1147}"/>
    <cellStyle name="Vírgula 3 4 4 4 6" xfId="11523" xr:uid="{F5F44FB4-1EA3-452E-B2A7-60A1F7B177C0}"/>
    <cellStyle name="Vírgula 3 4 4 4 6 2" xfId="31866" xr:uid="{D10B76E4-7648-485B-896A-79F2DDAE9D09}"/>
    <cellStyle name="Vírgula 3 4 4 4 7" xfId="28372" xr:uid="{68D8E1EE-ACBC-43BE-9619-B586DC20C7D7}"/>
    <cellStyle name="Vírgula 3 4 4 4 8" xfId="48844" xr:uid="{909470BC-82C8-4115-8FAF-79A0BECD16B0}"/>
    <cellStyle name="Vírgula 3 4 4 4 9" xfId="50514" xr:uid="{DBB9D528-B61C-4207-BCFB-335116CC5DC0}"/>
    <cellStyle name="Vírgula 3 4 4 5" xfId="3511" xr:uid="{3054F42E-862A-46D4-80FF-CD4458A4648C}"/>
    <cellStyle name="Vírgula 3 4 4 5 2" xfId="33433" xr:uid="{A85A3C92-3F4E-41C4-B4EB-F58721B69CB8}"/>
    <cellStyle name="Vírgula 3 4 4 5 3" xfId="52143" xr:uid="{C4A680BF-F68F-4373-A1EA-64B1F365DA5D}"/>
    <cellStyle name="Vírgula 3 4 4 5 4" xfId="55437" xr:uid="{0FA1F330-6B01-4188-B637-2D222B9B21CF}"/>
    <cellStyle name="Vírgula 3 4 4 5 5" xfId="13092" xr:uid="{360BAEB4-6295-4FE9-B29A-9BADDA46B59E}"/>
    <cellStyle name="Vírgula 3 4 4 6" xfId="4177" xr:uid="{3E04BE84-66DD-411D-B1C8-6C16167DE969}"/>
    <cellStyle name="Vírgula 3 4 4 6 2" xfId="36329" xr:uid="{89C9A925-0A96-422F-B7D1-73444520A284}"/>
    <cellStyle name="Vírgula 3 4 4 6 3" xfId="56204" xr:uid="{07175AF1-587E-46B8-8A44-A45C72B94AA4}"/>
    <cellStyle name="Vírgula 3 4 4 6 4" xfId="15989" xr:uid="{70314488-52DD-4FC9-9CDD-1C2EB336CDDD}"/>
    <cellStyle name="Vírgula 3 4 4 7" xfId="1860" xr:uid="{059371FA-9EBD-4520-89DD-309FA6FBBA2D}"/>
    <cellStyle name="Vírgula 3 4 4 7 2" xfId="39243" xr:uid="{F1B379E8-D823-4B81-A6B0-93B0496B7170}"/>
    <cellStyle name="Vírgula 3 4 4 7 3" xfId="18903" xr:uid="{D9CE01CD-D1E5-464A-ABA3-8028E488AC8B}"/>
    <cellStyle name="Vírgula 3 4 4 8" xfId="19491" xr:uid="{98A46588-7B18-4E64-A5E5-D8F7FBE34A30}"/>
    <cellStyle name="Vírgula 3 4 4 8 2" xfId="39830" xr:uid="{B843B1E8-C7A8-4850-9996-571481726A38}"/>
    <cellStyle name="Vírgula 3 4 4 9" xfId="22746" xr:uid="{59CF880D-51E4-4546-A156-0EC689519D89}"/>
    <cellStyle name="Vírgula 3 4 4 9 2" xfId="43081" xr:uid="{A72C473E-F031-44A0-8D16-B863D83BA124}"/>
    <cellStyle name="Vírgula 3 4 5" xfId="144" xr:uid="{2D6BD2E8-4FBE-4FDD-9068-E908203161A8}"/>
    <cellStyle name="Vírgula 3 4 5 10" xfId="50515" xr:uid="{8C99ED91-E391-454D-8ECD-761E73EA678A}"/>
    <cellStyle name="Vírgula 3 4 5 11" xfId="53810" xr:uid="{15269758-7345-4FAC-8C9A-760B85A03CBE}"/>
    <cellStyle name="Vírgula 3 4 5 12" xfId="5782" xr:uid="{CF8ACB31-3C27-4C06-8AD8-BBCDCAC0C89D}"/>
    <cellStyle name="Vírgula 3 4 5 13" xfId="4425" xr:uid="{7F5B6018-AE6D-450A-8693-D9E65C156369}"/>
    <cellStyle name="Vírgula 3 4 5 2" xfId="960" xr:uid="{9970DF2B-EDC7-4D51-B70C-EE0285B98446}"/>
    <cellStyle name="Vírgula 3 4 5 2 10" xfId="53811" xr:uid="{305DF9BE-594B-4D7E-BA69-7957244DBFAE}"/>
    <cellStyle name="Vírgula 3 4 5 2 11" xfId="6940" xr:uid="{4213B9CA-92EA-48F3-A470-BA94E3A1DF37}"/>
    <cellStyle name="Vírgula 3 4 5 2 2" xfId="2675" xr:uid="{841E383C-9CCD-47A2-944D-9DD79116BB13}"/>
    <cellStyle name="Vírgula 3 4 5 2 2 2" xfId="37566" xr:uid="{3C7C0A37-8EFB-4B2F-B310-F1AAF669F871}"/>
    <cellStyle name="Vírgula 3 4 5 2 2 3" xfId="52148" xr:uid="{519DA8A7-97BF-4F4B-ACAE-510A64485A9E}"/>
    <cellStyle name="Vírgula 3 4 5 2 2 4" xfId="55442" xr:uid="{99166004-42FA-44A7-9211-88C909DA053A}"/>
    <cellStyle name="Vírgula 3 4 5 2 2 5" xfId="17226" xr:uid="{FAF5E48F-5182-4C5F-B682-3BA266267E42}"/>
    <cellStyle name="Vírgula 3 4 5 2 3" xfId="20728" xr:uid="{EC5CD467-DCC2-4893-BBCA-F531B9253529}"/>
    <cellStyle name="Vírgula 3 4 5 2 3 2" xfId="41067" xr:uid="{1201A4E2-69F9-4A84-A88A-FA4EEB76095F}"/>
    <cellStyle name="Vírgula 3 4 5 2 3 3" xfId="56831" xr:uid="{BA09A4AE-9E70-43D6-87E0-2FD703FD47DA}"/>
    <cellStyle name="Vírgula 3 4 5 2 4" xfId="23983" xr:uid="{D1F8E66A-11C8-4715-88E9-3E89B1A2E7E9}"/>
    <cellStyle name="Vírgula 3 4 5 2 4 2" xfId="44318" xr:uid="{58EDD9E5-2B0D-4CB4-B41D-6E435D37DB14}"/>
    <cellStyle name="Vírgula 3 4 5 2 5" xfId="14317" xr:uid="{6C2B9D8B-81C1-4722-8CDE-65161E6D4A1B}"/>
    <cellStyle name="Vírgula 3 4 5 2 5 2" xfId="34658" xr:uid="{30820255-FA47-4C7F-9579-FD72A8450203}"/>
    <cellStyle name="Vírgula 3 4 5 2 6" xfId="10439" xr:uid="{58BEE5B1-D061-409F-8747-B8375E570BB0}"/>
    <cellStyle name="Vírgula 3 4 5 2 6 2" xfId="30782" xr:uid="{F0BB7063-12A6-4767-A936-2ABC88501359}"/>
    <cellStyle name="Vírgula 3 4 5 2 7" xfId="27288" xr:uid="{68E1F291-D3C9-41E9-8139-D1FDC2DD2096}"/>
    <cellStyle name="Vírgula 3 4 5 2 8" xfId="48846" xr:uid="{04C4F6CC-8C77-40FF-AA88-BBF2E8202A5F}"/>
    <cellStyle name="Vírgula 3 4 5 2 9" xfId="50516" xr:uid="{7BDCFE3C-F227-4452-99CD-FEADA7359023}"/>
    <cellStyle name="Vírgula 3 4 5 3" xfId="1366" xr:uid="{9DA7E138-DA99-4A48-8347-4B419AC92A5C}"/>
    <cellStyle name="Vírgula 3 4 5 3 2" xfId="3027" xr:uid="{1233F58D-43CA-4DBE-B586-7C5A79534369}"/>
    <cellStyle name="Vírgula 3 4 5 3 2 2" xfId="52149" xr:uid="{4045562C-23DD-46F2-8EC3-42CFFF57DB5C}"/>
    <cellStyle name="Vírgula 3 4 5 3 2 3" xfId="55443" xr:uid="{046F7655-78B7-4A4B-88CC-D19DD624A245}"/>
    <cellStyle name="Vírgula 3 4 5 3 2 4" xfId="36408" xr:uid="{DD390989-48E6-49FB-B044-636664426EF8}"/>
    <cellStyle name="Vírgula 3 4 5 3 3" xfId="48847" xr:uid="{5914D3E7-0C72-4E09-9A3C-4F0797EA640C}"/>
    <cellStyle name="Vírgula 3 4 5 3 3 2" xfId="57237" xr:uid="{B90E7185-5DE8-4100-9A6C-9232F9195AC9}"/>
    <cellStyle name="Vírgula 3 4 5 3 4" xfId="50517" xr:uid="{29EEAF08-2371-4676-89E2-D87A41F24797}"/>
    <cellStyle name="Vírgula 3 4 5 3 5" xfId="53812" xr:uid="{B258A65E-6E6F-45D8-A553-9BA29F9B0F10}"/>
    <cellStyle name="Vírgula 3 4 5 3 6" xfId="16068" xr:uid="{B0F3E4EC-4659-4969-B016-4F9BCEF4FE5E}"/>
    <cellStyle name="Vírgula 3 4 5 4" xfId="553" xr:uid="{A44909EB-C38E-4B54-AEE7-1D143603CDC5}"/>
    <cellStyle name="Vírgula 3 4 5 4 2" xfId="2269" xr:uid="{061991E8-DA03-40AE-BFA9-C66F69999F54}"/>
    <cellStyle name="Vírgula 3 4 5 4 2 2" xfId="52150" xr:uid="{DB33A4E1-678C-412E-92BD-E028ABC8E738}"/>
    <cellStyle name="Vírgula 3 4 5 4 2 3" xfId="55444" xr:uid="{02B8A8DA-8C8B-4AD1-B6AE-3698E94BB2FD}"/>
    <cellStyle name="Vírgula 3 4 5 4 2 4" xfId="39909" xr:uid="{B58C3D97-A647-490F-A7CF-08BC4BE77137}"/>
    <cellStyle name="Vírgula 3 4 5 4 3" xfId="48848" xr:uid="{5E0430ED-BE62-4C01-9B79-E93C32F36D0B}"/>
    <cellStyle name="Vírgula 3 4 5 4 3 2" xfId="56424" xr:uid="{F5E5FD98-C688-470A-98A5-4F099F23C7CC}"/>
    <cellStyle name="Vírgula 3 4 5 4 4" xfId="50518" xr:uid="{01064D0A-CB8E-42A0-B9E3-FF2DB4653DEC}"/>
    <cellStyle name="Vírgula 3 4 5 4 5" xfId="53813" xr:uid="{07A01943-C3DB-405F-B827-338499507533}"/>
    <cellStyle name="Vírgula 3 4 5 4 6" xfId="19570" xr:uid="{5F3D65A6-769F-4373-8A21-D38C7C8A3883}"/>
    <cellStyle name="Vírgula 3 4 5 5" xfId="3729" xr:uid="{EA8422C6-FBC0-49B3-8D34-293B3F3A0460}"/>
    <cellStyle name="Vírgula 3 4 5 5 2" xfId="43160" xr:uid="{BB15A740-CEC3-4047-9E95-0E55E5C00B1A}"/>
    <cellStyle name="Vírgula 3 4 5 5 3" xfId="52147" xr:uid="{5367B4B5-5C21-49A0-B7FD-6B75B202262E}"/>
    <cellStyle name="Vírgula 3 4 5 5 4" xfId="55441" xr:uid="{85BEFFFF-8C6C-4BEF-B335-E94573C0A794}"/>
    <cellStyle name="Vírgula 3 4 5 5 5" xfId="22825" xr:uid="{A208BE6A-B665-4119-B79A-EE547A6DEDEA}"/>
    <cellStyle name="Vírgula 3 4 5 6" xfId="2076" xr:uid="{2ABD01E0-D1AE-46A6-BC6F-696C9C1F3EBA}"/>
    <cellStyle name="Vírgula 3 4 5 6 2" xfId="32895" xr:uid="{80D26225-547F-4752-BF62-CBF25442AA90}"/>
    <cellStyle name="Vírgula 3 4 5 6 3" xfId="56015" xr:uid="{737CB658-8F18-47D8-AC40-F7228C50F879}"/>
    <cellStyle name="Vírgula 3 4 5 6 4" xfId="12554" xr:uid="{3805020A-BF4F-4F9E-8FB3-69BE00AD2EEA}"/>
    <cellStyle name="Vírgula 3 4 5 7" xfId="9281" xr:uid="{4D0AAA62-653F-4A5D-BB7A-D3BC69D251A1}"/>
    <cellStyle name="Vírgula 3 4 5 7 2" xfId="29624" xr:uid="{6E0D2C13-5CAE-4578-BA10-AF50F2EFE89E}"/>
    <cellStyle name="Vírgula 3 4 5 8" xfId="26130" xr:uid="{6C6B15E4-DCE0-41E5-A8B6-6444190379AD}"/>
    <cellStyle name="Vírgula 3 4 5 9" xfId="48845" xr:uid="{8772F66B-7D88-4A6C-A2E6-11AA7E09EA57}"/>
    <cellStyle name="Vírgula 3 4 6" xfId="921" xr:uid="{04BF92DD-82B0-4E95-AA9B-D35A27C0BF82}"/>
    <cellStyle name="Vírgula 3 4 6 10" xfId="53814" xr:uid="{35BB425B-84B4-4BA0-B361-A6B443ECFD08}"/>
    <cellStyle name="Vírgula 3 4 6 11" xfId="6359" xr:uid="{16574F1B-52FB-423D-816A-39FBF8E30351}"/>
    <cellStyle name="Vírgula 3 4 6 12" xfId="4898" xr:uid="{B5BA838B-A251-401D-8481-41E6AADCDD47}"/>
    <cellStyle name="Vírgula 3 4 6 2" xfId="2637" xr:uid="{8F2BA508-BDEA-4D75-8AEA-F7EC87CA53C4}"/>
    <cellStyle name="Vírgula 3 4 6 2 2" xfId="36985" xr:uid="{92AD8888-34BD-4CC6-95C4-FD1D927B7D0E}"/>
    <cellStyle name="Vírgula 3 4 6 2 3" xfId="52151" xr:uid="{FDFC2001-8A9C-46A0-94EC-9240AA75F696}"/>
    <cellStyle name="Vírgula 3 4 6 2 4" xfId="55445" xr:uid="{3D9D9BD7-D4DD-4F5A-A021-1B6492E559B5}"/>
    <cellStyle name="Vírgula 3 4 6 2 5" xfId="16645" xr:uid="{A7BA5022-3249-425A-99C5-6B8B515F3D40}"/>
    <cellStyle name="Vírgula 3 4 6 3" xfId="20147" xr:uid="{8DFF8722-4901-4F98-AC28-FC5186B9941C}"/>
    <cellStyle name="Vírgula 3 4 6 3 2" xfId="40486" xr:uid="{385A0D8C-219E-4EEA-A720-107460C78962}"/>
    <cellStyle name="Vírgula 3 4 6 3 3" xfId="56792" xr:uid="{B15912B7-5B66-4DC8-9DD2-5B3BB7F850DB}"/>
    <cellStyle name="Vírgula 3 4 6 4" xfId="23402" xr:uid="{582B53D0-0F87-4CD8-A683-65BC1E8B9E0A}"/>
    <cellStyle name="Vírgula 3 4 6 4 2" xfId="43737" xr:uid="{6BD62698-B4DD-4FB2-887F-0F88080EDFF8}"/>
    <cellStyle name="Vírgula 3 4 6 5" xfId="13736" xr:uid="{1D8A0F4E-0412-459A-A578-F940BCDE307F}"/>
    <cellStyle name="Vírgula 3 4 6 5 2" xfId="34077" xr:uid="{D2036DAC-571E-4471-82DD-A5BAECA2BAE0}"/>
    <cellStyle name="Vírgula 3 4 6 6" xfId="9858" xr:uid="{D927357D-F483-49A7-A25A-4E4C2F168B02}"/>
    <cellStyle name="Vírgula 3 4 6 6 2" xfId="30201" xr:uid="{B99A7A96-2F0B-4DC4-B899-ADA38E93BC2A}"/>
    <cellStyle name="Vírgula 3 4 6 7" xfId="26707" xr:uid="{3D708A08-D993-46C4-8803-C823145E78EF}"/>
    <cellStyle name="Vírgula 3 4 6 8" xfId="48849" xr:uid="{2BE8ECEA-FEFC-446D-B343-C671929B3EC7}"/>
    <cellStyle name="Vírgula 3 4 6 9" xfId="50519" xr:uid="{E0BEDE49-7BF0-43E2-9809-3972920F8957}"/>
    <cellStyle name="Vírgula 3 4 7" xfId="1327" xr:uid="{EE848DDA-D847-4176-A854-0B571C37BE5A}"/>
    <cellStyle name="Vírgula 3 4 7 10" xfId="53815" xr:uid="{8BF513B4-2F29-4A75-AB7E-135C76CF6121}"/>
    <cellStyle name="Vírgula 3 4 7 11" xfId="7523" xr:uid="{C151A9F6-7537-4EF4-AF69-337299D6C108}"/>
    <cellStyle name="Vírgula 3 4 7 2" xfId="2988" xr:uid="{BF24C4F4-604B-4A12-B547-0A9EA4D31773}"/>
    <cellStyle name="Vírgula 3 4 7 2 2" xfId="38148" xr:uid="{453A6912-3C28-469B-86E1-EF75669A32FC}"/>
    <cellStyle name="Vírgula 3 4 7 2 3" xfId="52152" xr:uid="{ADEEFB1E-00A7-4BA1-B957-8BD6502A3132}"/>
    <cellStyle name="Vírgula 3 4 7 2 4" xfId="55446" xr:uid="{E889AE54-95DF-41E6-A89E-DA6215987619}"/>
    <cellStyle name="Vírgula 3 4 7 2 5" xfId="17808" xr:uid="{D5F9315C-5A68-4C93-9E26-D656EB3B304F}"/>
    <cellStyle name="Vírgula 3 4 7 3" xfId="21310" xr:uid="{065811A8-08A2-4C2B-A43F-128703489C54}"/>
    <cellStyle name="Vírgula 3 4 7 3 2" xfId="41649" xr:uid="{7873AC1B-44C8-441C-B976-66AD36486F04}"/>
    <cellStyle name="Vírgula 3 4 7 3 3" xfId="57198" xr:uid="{2D460682-1B5B-4D22-8426-748EFE01B9BE}"/>
    <cellStyle name="Vírgula 3 4 7 4" xfId="24565" xr:uid="{71F47725-3555-49BB-B1CC-E54F7156C269}"/>
    <cellStyle name="Vírgula 3 4 7 4 2" xfId="44900" xr:uid="{5522FE5B-A897-4136-AD86-E36A2E371853}"/>
    <cellStyle name="Vírgula 3 4 7 5" xfId="14900" xr:uid="{FB109770-73D2-4261-BF01-02590EBA834F}"/>
    <cellStyle name="Vírgula 3 4 7 5 2" xfId="35240" xr:uid="{14E91E23-6BD2-4FB3-A457-A401FA64F0BE}"/>
    <cellStyle name="Vírgula 3 4 7 6" xfId="11021" xr:uid="{3ED7461F-E73F-4486-B826-F8D48E2050E1}"/>
    <cellStyle name="Vírgula 3 4 7 6 2" xfId="31364" xr:uid="{B5449B95-1649-425D-B1EF-095ACE41806A}"/>
    <cellStyle name="Vírgula 3 4 7 7" xfId="27870" xr:uid="{62DA61F9-8039-4D69-A267-6BAFB8DE699A}"/>
    <cellStyle name="Vírgula 3 4 7 8" xfId="48850" xr:uid="{4ED7543B-A604-4440-A670-1F0A9C3A7A94}"/>
    <cellStyle name="Vírgula 3 4 7 9" xfId="50520" xr:uid="{4099E2D6-88D7-4C28-8899-2BE6DB4E4D5E}"/>
    <cellStyle name="Vírgula 3 4 8" xfId="514" xr:uid="{1162C94C-667B-463F-84B3-5B20E487ACCE}"/>
    <cellStyle name="Vírgula 3 4 8 10" xfId="8273" xr:uid="{E2443B0C-8AF7-40E4-980A-EC0F24B4AB2D}"/>
    <cellStyle name="Vírgula 3 4 8 2" xfId="2230" xr:uid="{82506FA5-25C9-45DF-9ED7-83B46F65E237}"/>
    <cellStyle name="Vírgula 3 4 8 2 2" xfId="42396" xr:uid="{F540E17C-E1BA-4440-9F8E-D97594658B21}"/>
    <cellStyle name="Vírgula 3 4 8 2 3" xfId="52153" xr:uid="{C6A63B8B-A12F-4BB9-A63B-0419C0206EFD}"/>
    <cellStyle name="Vírgula 3 4 8 2 4" xfId="55447" xr:uid="{8B9048BB-702D-47DA-A334-859B4C0AC955}"/>
    <cellStyle name="Vírgula 3 4 8 2 5" xfId="22060" xr:uid="{88CF4AF1-2173-4630-8955-04A54987F306}"/>
    <cellStyle name="Vírgula 3 4 8 3" xfId="25312" xr:uid="{02DC5D0B-B96B-4268-B4B6-6DE0DC1E1AA6}"/>
    <cellStyle name="Vírgula 3 4 8 3 2" xfId="45647" xr:uid="{CE2B21D4-F410-4EC9-A108-A52EDEFD8FB9}"/>
    <cellStyle name="Vírgula 3 4 8 3 3" xfId="56385" xr:uid="{267F4230-1576-4D7A-8C8B-738D921CF3EB}"/>
    <cellStyle name="Vírgula 3 4 8 4" xfId="15487" xr:uid="{C429C399-BDB7-4B91-A748-CA35F10945B3}"/>
    <cellStyle name="Vírgula 3 4 8 4 2" xfId="35827" xr:uid="{4EE26071-B969-467B-9027-BC55A2D8F930}"/>
    <cellStyle name="Vírgula 3 4 8 5" xfId="11769" xr:uid="{CE1ACC6C-84A7-4935-AD59-31DD5E5CFB5B}"/>
    <cellStyle name="Vírgula 3 4 8 5 2" xfId="32111" xr:uid="{1CFEB7D4-5DAC-452B-8972-F62C77C604BD}"/>
    <cellStyle name="Vírgula 3 4 8 6" xfId="28617" xr:uid="{EDF81F15-6FFF-4D28-A253-4425CA380FDB}"/>
    <cellStyle name="Vírgula 3 4 8 7" xfId="48851" xr:uid="{8F33BEAE-2DEE-48FA-A352-0A7FF459C2C7}"/>
    <cellStyle name="Vírgula 3 4 8 8" xfId="50521" xr:uid="{2D65D68B-A706-4E5F-84AE-77889B604578}"/>
    <cellStyle name="Vírgula 3 4 8 9" xfId="53816" xr:uid="{AEB8086C-61F5-4DD3-BDBB-FF8B442D82F2}"/>
    <cellStyle name="Vírgula 3 4 9" xfId="3401" xr:uid="{5A3267AD-21F6-4105-A823-913CACCC0EB4}"/>
    <cellStyle name="Vírgula 3 4 9 2" xfId="18401" xr:uid="{595FBBCA-B310-4AA7-B110-F0832C5F27AE}"/>
    <cellStyle name="Vírgula 3 4 9 2 2" xfId="38741" xr:uid="{3D49A628-1210-4BEA-BDD5-1D720D44B31C}"/>
    <cellStyle name="Vírgula 3 4 9 3" xfId="28841" xr:uid="{2C22BA31-3390-43F7-B01D-DDF93708F93B}"/>
    <cellStyle name="Vírgula 3 4 9 4" xfId="52126" xr:uid="{0167FCC2-84C3-4539-B893-81530124ED9C}"/>
    <cellStyle name="Vírgula 3 4 9 5" xfId="55420" xr:uid="{6D780765-0D8B-4D66-9BB6-73D26AFF1901}"/>
    <cellStyle name="Vírgula 3 4 9 6" xfId="8498" xr:uid="{077AA1EF-E0D2-4BAC-A908-A0B21AE49AF1}"/>
    <cellStyle name="Vírgula 3 5" xfId="171" xr:uid="{538D03C3-8D96-4BAE-8813-2781CF3833DE}"/>
    <cellStyle name="Vírgula 3 5 10" xfId="12172" xr:uid="{D6EE30D2-2C08-4162-AD6E-129F69F36F52}"/>
    <cellStyle name="Vírgula 3 5 10 2" xfId="32513" xr:uid="{4EFE3A41-DB8A-468E-9D78-C8E809DF9C0B}"/>
    <cellStyle name="Vírgula 3 5 11" xfId="8911" xr:uid="{1D92002C-1191-404B-8F2B-637134D43AC7}"/>
    <cellStyle name="Vírgula 3 5 11 2" xfId="29254" xr:uid="{9894C344-0C9C-4BA4-B69D-E19685B72C1F}"/>
    <cellStyle name="Vírgula 3 5 12" xfId="25760" xr:uid="{67BB30CB-F873-4D0B-9FC1-C8679E5261EB}"/>
    <cellStyle name="Vírgula 3 5 13" xfId="45992" xr:uid="{D06694F3-76AF-4289-8097-2954BF7D4FD5}"/>
    <cellStyle name="Vírgula 3 5 14" xfId="46478" xr:uid="{B41AEB2A-E421-4A0F-8DDB-F11A07136D61}"/>
    <cellStyle name="Vírgula 3 5 15" xfId="46970" xr:uid="{EEC9F847-4765-4D05-9F8B-B717A5555966}"/>
    <cellStyle name="Vírgula 3 5 16" xfId="47362" xr:uid="{9C7E2929-6EB8-4257-AACF-2ACF3681A8DE}"/>
    <cellStyle name="Vírgula 3 5 17" xfId="47488" xr:uid="{CDF19D95-6A9A-477F-B870-9F8B71C59B78}"/>
    <cellStyle name="Vírgula 3 5 18" xfId="47614" xr:uid="{7FAF3CCD-AE25-4646-B579-B9B99216DDFE}"/>
    <cellStyle name="Vírgula 3 5 19" xfId="48852" xr:uid="{C6AD0A35-766C-4C00-A15C-D807A1F85FAB}"/>
    <cellStyle name="Vírgula 3 5 2" xfId="360" xr:uid="{EA8E6627-3ABE-4D61-B9C4-2019BF931269}"/>
    <cellStyle name="Vírgula 3 5 2 10" xfId="46721" xr:uid="{330DBBA1-1D4C-473A-86E5-85EF087D1663}"/>
    <cellStyle name="Vírgula 3 5 2 11" xfId="47213" xr:uid="{EF71CA68-0F48-4475-AF93-E5118FAC90DD}"/>
    <cellStyle name="Vírgula 3 5 2 12" xfId="48853" xr:uid="{47892C28-E8CA-4725-A6BC-73313D897F67}"/>
    <cellStyle name="Vírgula 3 5 2 13" xfId="50523" xr:uid="{066DC804-C26B-43CD-B966-854A6E90E22F}"/>
    <cellStyle name="Vírgula 3 5 2 14" xfId="53818" xr:uid="{6AFA8C89-BF53-46E7-8D2B-A2BA2BD8BBE3}"/>
    <cellStyle name="Vírgula 3 5 2 15" xfId="5993" xr:uid="{EC96AD40-500F-4880-A93B-42F295750CB7}"/>
    <cellStyle name="Vírgula 3 5 2 16" xfId="4641" xr:uid="{08D9D4D0-11E1-42CF-BCC0-CCD2FC336B65}"/>
    <cellStyle name="Vírgula 3 5 2 2" xfId="1176" xr:uid="{61E8E827-88C9-4B50-8AF1-37468D0D1888}"/>
    <cellStyle name="Vírgula 3 5 2 2 10" xfId="53819" xr:uid="{EED77016-0D6F-4740-A6DD-A5891CCE91FD}"/>
    <cellStyle name="Vírgula 3 5 2 2 11" xfId="7151" xr:uid="{297A1811-832A-46ED-8788-121EBA26F40F}"/>
    <cellStyle name="Vírgula 3 5 2 2 12" xfId="5110" xr:uid="{C1437C57-5E04-49B2-A359-5412B20F4563}"/>
    <cellStyle name="Vírgula 3 5 2 2 2" xfId="2837" xr:uid="{756E8AD2-7A28-405A-BE3B-0F2742A39026}"/>
    <cellStyle name="Vírgula 3 5 2 2 2 2" xfId="37777" xr:uid="{C4441404-55ED-4CEC-AF52-F9423B6EFD7A}"/>
    <cellStyle name="Vírgula 3 5 2 2 2 3" xfId="52156" xr:uid="{4701FEC4-8B36-4A0A-8AFA-1187759C3E54}"/>
    <cellStyle name="Vírgula 3 5 2 2 2 4" xfId="55450" xr:uid="{010273BE-8520-416D-9855-E1D7CF1D6DA9}"/>
    <cellStyle name="Vírgula 3 5 2 2 2 5" xfId="17437" xr:uid="{6D1B10B2-7114-4EFD-B3E2-C7EB827EDE6E}"/>
    <cellStyle name="Vírgula 3 5 2 2 3" xfId="20939" xr:uid="{9229E930-CA6D-4DA0-9EA0-CB2BBE930CCD}"/>
    <cellStyle name="Vírgula 3 5 2 2 3 2" xfId="41278" xr:uid="{C56CD52E-7748-4FEC-97D2-240AF535508E}"/>
    <cellStyle name="Vírgula 3 5 2 2 3 3" xfId="57047" xr:uid="{3A18CA5F-12FC-43D5-929D-97B169E4C57F}"/>
    <cellStyle name="Vírgula 3 5 2 2 4" xfId="24194" xr:uid="{367CAD6B-6014-482A-9080-1CADE3265337}"/>
    <cellStyle name="Vírgula 3 5 2 2 4 2" xfId="44529" xr:uid="{61F40EBB-A3CB-4694-AAA8-97239D8CF128}"/>
    <cellStyle name="Vírgula 3 5 2 2 5" xfId="14528" xr:uid="{5F2F7BFF-676D-486B-9CAC-017E524B3920}"/>
    <cellStyle name="Vírgula 3 5 2 2 5 2" xfId="34869" xr:uid="{D8ECDF84-AB3A-4BCE-8784-846A61478D32}"/>
    <cellStyle name="Vírgula 3 5 2 2 6" xfId="10650" xr:uid="{3D2CC24C-C9E0-4004-9620-6310C7BDD8FD}"/>
    <cellStyle name="Vírgula 3 5 2 2 6 2" xfId="30993" xr:uid="{12BB12AD-7788-4D14-ABCA-9C6FA4279AE8}"/>
    <cellStyle name="Vírgula 3 5 2 2 7" xfId="27499" xr:uid="{DAC8F497-3485-4384-8C6A-CBB6432E78D2}"/>
    <cellStyle name="Vírgula 3 5 2 2 8" xfId="48854" xr:uid="{2C8A0192-247F-4D7E-82B5-E45D3310E33F}"/>
    <cellStyle name="Vírgula 3 5 2 2 9" xfId="50524" xr:uid="{0217FE8C-EE96-4E90-8CE6-CB1BFA50DB77}"/>
    <cellStyle name="Vírgula 3 5 2 3" xfId="1582" xr:uid="{3A2AC14C-26D9-4DB2-9A30-84F0EED97CA4}"/>
    <cellStyle name="Vírgula 3 5 2 3 2" xfId="3242" xr:uid="{A2B3C821-E806-47DD-9628-C1D3A86335B4}"/>
    <cellStyle name="Vírgula 3 5 2 3 2 2" xfId="52157" xr:uid="{EAAB359C-0201-438D-B503-D798DC6D7B49}"/>
    <cellStyle name="Vírgula 3 5 2 3 2 3" xfId="55451" xr:uid="{D085B75C-E88B-4C3B-AE5B-767C8EC3E526}"/>
    <cellStyle name="Vírgula 3 5 2 3 2 4" xfId="36619" xr:uid="{AE3700F1-9DEA-49C6-ACB1-352AFC257230}"/>
    <cellStyle name="Vírgula 3 5 2 3 3" xfId="48855" xr:uid="{26DB214F-17CD-47F9-BEB8-4975E33543C5}"/>
    <cellStyle name="Vírgula 3 5 2 3 3 2" xfId="57453" xr:uid="{B655CB52-5C5C-4D35-97AC-7338B15A7690}"/>
    <cellStyle name="Vírgula 3 5 2 3 4" xfId="50525" xr:uid="{E1003594-60A7-4F2A-9C65-8D08A1195A13}"/>
    <cellStyle name="Vírgula 3 5 2 3 5" xfId="53820" xr:uid="{509A33F4-85C9-4843-96E9-20E2823AAA11}"/>
    <cellStyle name="Vírgula 3 5 2 3 6" xfId="16279" xr:uid="{551D2C77-4506-49A6-9DBC-11EC9F99D853}"/>
    <cellStyle name="Vírgula 3 5 2 4" xfId="769" xr:uid="{AAFC475F-A3FF-4E2B-BAD5-47B1C366A395}"/>
    <cellStyle name="Vírgula 3 5 2 4 2" xfId="2485" xr:uid="{658B7A19-1A1F-4381-BD05-AC09A1401591}"/>
    <cellStyle name="Vírgula 3 5 2 4 2 2" xfId="52158" xr:uid="{0D868F53-B8F0-459E-8446-4C596C72426A}"/>
    <cellStyle name="Vírgula 3 5 2 4 2 3" xfId="55452" xr:uid="{53C77F7F-E90B-4A38-BD54-28BFEAE34F31}"/>
    <cellStyle name="Vírgula 3 5 2 4 2 4" xfId="40120" xr:uid="{46FAF164-F2A4-4908-A80E-F3F1D39AD004}"/>
    <cellStyle name="Vírgula 3 5 2 4 3" xfId="48856" xr:uid="{CF96D8BD-BCC9-4FB3-B0AC-4DCC9AF36D30}"/>
    <cellStyle name="Vírgula 3 5 2 4 3 2" xfId="56640" xr:uid="{027F6720-708A-4C1A-B967-69657B1AFF59}"/>
    <cellStyle name="Vírgula 3 5 2 4 4" xfId="50526" xr:uid="{A16F6E16-0AD4-44B0-8C1A-1C8D1AB27F7F}"/>
    <cellStyle name="Vírgula 3 5 2 4 5" xfId="53821" xr:uid="{5949ECC1-9A21-49A4-8186-E9614E0B061E}"/>
    <cellStyle name="Vírgula 3 5 2 4 6" xfId="19781" xr:uid="{809DF05F-5A7C-4594-902E-3AED6CE33614}"/>
    <cellStyle name="Vírgula 3 5 2 5" xfId="3648" xr:uid="{29DB165D-EDBD-42A3-A215-1E03B48E9090}"/>
    <cellStyle name="Vírgula 3 5 2 5 2" xfId="43371" xr:uid="{C7307096-B3D7-4141-961B-11633EC92F21}"/>
    <cellStyle name="Vírgula 3 5 2 5 3" xfId="52155" xr:uid="{D2BD879D-F9F1-4DDA-B70E-4D0474EA62D1}"/>
    <cellStyle name="Vírgula 3 5 2 5 4" xfId="55449" xr:uid="{DCBF248A-2F98-4FFF-ABA9-01EE558B2AFA}"/>
    <cellStyle name="Vírgula 3 5 2 5 5" xfId="23036" xr:uid="{F512E4FE-D828-4032-A96D-288A93C68794}"/>
    <cellStyle name="Vírgula 3 5 2 6" xfId="4045" xr:uid="{73291143-69A9-4861-9BD5-1A4B4465DFE9}"/>
    <cellStyle name="Vírgula 3 5 2 6 2" xfId="33711" xr:uid="{A6EE1615-D6F6-45B3-AC65-3616D849B70F}"/>
    <cellStyle name="Vírgula 3 5 2 6 3" xfId="56231" xr:uid="{DF89D57B-AEC1-4826-A33C-17BB30591200}"/>
    <cellStyle name="Vírgula 3 5 2 6 4" xfId="13370" xr:uid="{5EC786BB-4F70-4170-BDB5-736E9CD69142}"/>
    <cellStyle name="Vírgula 3 5 2 7" xfId="1997" xr:uid="{0A0902AB-1905-4992-AD62-EE59002F237E}"/>
    <cellStyle name="Vírgula 3 5 2 7 2" xfId="29835" xr:uid="{8B850EED-C486-4CDD-8CA5-72D76BBA6146}"/>
    <cellStyle name="Vírgula 3 5 2 7 3" xfId="9492" xr:uid="{A2276AB3-FC97-4CAD-8ED6-38C446A3D5AF}"/>
    <cellStyle name="Vírgula 3 5 2 8" xfId="26341" xr:uid="{832125D8-D9AF-4069-93AA-88FF6954A6D7}"/>
    <cellStyle name="Vírgula 3 5 2 9" xfId="46235" xr:uid="{985F46D2-AAD9-49A3-831D-64206DCBBF34}"/>
    <cellStyle name="Vírgula 3 5 20" xfId="50522" xr:uid="{8C504717-3C28-4E0A-84B6-B7ECFA832A51}"/>
    <cellStyle name="Vírgula 3 5 21" xfId="53817" xr:uid="{0F37725A-6FC5-4B5C-B319-16D128098D90}"/>
    <cellStyle name="Vírgula 3 5 22" xfId="5429" xr:uid="{A3DEB054-F93E-443A-A6E2-8E754A4D81D8}"/>
    <cellStyle name="Vírgula 3 5 23" xfId="4452" xr:uid="{2EABCBC3-AC97-431F-8681-97AA7108DF75}"/>
    <cellStyle name="Vírgula 3 5 3" xfId="987" xr:uid="{CE78F6FE-6776-4153-913A-C495D37EBFE9}"/>
    <cellStyle name="Vírgula 3 5 3 10" xfId="53822" xr:uid="{47F16896-170D-44A3-B60F-C35C8ABDF1A5}"/>
    <cellStyle name="Vírgula 3 5 3 11" xfId="6570" xr:uid="{82C9D728-0727-4F48-898C-DF0066DE8A0C}"/>
    <cellStyle name="Vírgula 3 5 3 12" xfId="4891" xr:uid="{508BCF83-F7F9-4BFB-9EF4-9EF325DB5C6B}"/>
    <cellStyle name="Vírgula 3 5 3 2" xfId="3539" xr:uid="{015DF26A-6644-4716-A68F-575CF68C9822}"/>
    <cellStyle name="Vírgula 3 5 3 2 2" xfId="37196" xr:uid="{9F334B57-8450-486F-90F8-BF6C609642F1}"/>
    <cellStyle name="Vírgula 3 5 3 2 3" xfId="52159" xr:uid="{57795BE9-A76E-4A62-8A61-2ECECAA0D5C3}"/>
    <cellStyle name="Vírgula 3 5 3 2 4" xfId="55453" xr:uid="{C87D1102-5812-457E-A1CB-3B06AB9DAEFE}"/>
    <cellStyle name="Vírgula 3 5 3 2 5" xfId="16856" xr:uid="{9FC7B2EC-C4BC-497D-9EC5-8985E491FEC1}"/>
    <cellStyle name="Vírgula 3 5 3 3" xfId="4217" xr:uid="{3B7BE134-3BC6-4ABB-A98C-2CE0C34BEF94}"/>
    <cellStyle name="Vírgula 3 5 3 3 2" xfId="40697" xr:uid="{8C9162F6-F8B2-47FB-BF99-FECBB94FF0B8}"/>
    <cellStyle name="Vírgula 3 5 3 3 3" xfId="56858" xr:uid="{CC546EA2-C145-46CC-A473-09B67421D981}"/>
    <cellStyle name="Vírgula 3 5 3 3 4" xfId="20358" xr:uid="{630C8CBC-BBA5-4216-A489-9361D72C741E}"/>
    <cellStyle name="Vírgula 3 5 3 4" xfId="1888" xr:uid="{CB4D1A0F-C43D-4C0B-B7C5-FB71C60B47AA}"/>
    <cellStyle name="Vírgula 3 5 3 4 2" xfId="43948" xr:uid="{6F4C47E8-1CF3-4A37-86EB-F38E971A138D}"/>
    <cellStyle name="Vírgula 3 5 3 4 3" xfId="23613" xr:uid="{186DF5B7-5D25-4704-B669-9BD36431AB29}"/>
    <cellStyle name="Vírgula 3 5 3 5" xfId="13947" xr:uid="{69DB5558-5487-4186-AF4A-B9CC56A78E29}"/>
    <cellStyle name="Vírgula 3 5 3 5 2" xfId="34288" xr:uid="{FD09E4C9-CF5F-4092-A2F4-3C5CC043079D}"/>
    <cellStyle name="Vírgula 3 5 3 6" xfId="10069" xr:uid="{677A13B4-93F0-42F3-88D1-53EDB3CA386E}"/>
    <cellStyle name="Vírgula 3 5 3 6 2" xfId="30412" xr:uid="{620348C3-9A8D-41E4-B6E0-A8E7011465E9}"/>
    <cellStyle name="Vírgula 3 5 3 7" xfId="26918" xr:uid="{3664C813-F6A1-492E-976D-D8775CBC2A7D}"/>
    <cellStyle name="Vírgula 3 5 3 8" xfId="48857" xr:uid="{959F22FB-3442-4F4A-8256-560AB5A9880C}"/>
    <cellStyle name="Vírgula 3 5 3 9" xfId="50527" xr:uid="{1AFF12A1-FC50-482D-B768-D24AF1680FBB}"/>
    <cellStyle name="Vírgula 3 5 4" xfId="1393" xr:uid="{3D396F60-4A4A-4510-AE2E-2F228FE95E53}"/>
    <cellStyle name="Vírgula 3 5 4 10" xfId="53823" xr:uid="{12D1DFD7-7FCD-49F5-B786-731BD25FFEAA}"/>
    <cellStyle name="Vírgula 3 5 4 11" xfId="7734" xr:uid="{D41DE9C9-39EB-4B18-83A5-88D8D4FCE007}"/>
    <cellStyle name="Vírgula 3 5 4 2" xfId="3757" xr:uid="{0A82F8C8-4031-48D0-AA84-9EA980A28280}"/>
    <cellStyle name="Vírgula 3 5 4 2 2" xfId="38359" xr:uid="{F70FC108-4F43-4930-9428-880CABA60793}"/>
    <cellStyle name="Vírgula 3 5 4 2 3" xfId="52160" xr:uid="{9F62E0F4-9D45-480E-A9BC-D9817F8992C6}"/>
    <cellStyle name="Vírgula 3 5 4 2 4" xfId="55454" xr:uid="{EB8E2AEB-CFEF-460D-A484-107BEF92CA58}"/>
    <cellStyle name="Vírgula 3 5 4 2 5" xfId="18019" xr:uid="{1F5303BA-FC32-4FBC-AD93-7C3F36E8704B}"/>
    <cellStyle name="Vírgula 3 5 4 3" xfId="3054" xr:uid="{D763A35B-DCFB-4DFE-BF6A-F0BBA27497BB}"/>
    <cellStyle name="Vírgula 3 5 4 3 2" xfId="41860" xr:uid="{FA11019C-5238-472B-B0C4-A6D4CE3B8270}"/>
    <cellStyle name="Vírgula 3 5 4 3 3" xfId="57264" xr:uid="{85957D9B-9998-48A1-962E-D1F72125FBA3}"/>
    <cellStyle name="Vírgula 3 5 4 3 4" xfId="21521" xr:uid="{74F4755E-5D6D-4619-8478-C6B45559C3E6}"/>
    <cellStyle name="Vírgula 3 5 4 4" xfId="24776" xr:uid="{80662B3B-24D3-4CC0-B51C-F936354BDFF3}"/>
    <cellStyle name="Vírgula 3 5 4 4 2" xfId="45111" xr:uid="{80A576B7-26B9-4CB4-B0FF-D59834B9F63D}"/>
    <cellStyle name="Vírgula 3 5 4 5" xfId="15111" xr:uid="{905B1CCF-F726-4FB5-AE46-ADA4A1BE25A4}"/>
    <cellStyle name="Vírgula 3 5 4 5 2" xfId="35451" xr:uid="{3B19475B-34DC-464E-8423-E3B06A0BE32A}"/>
    <cellStyle name="Vírgula 3 5 4 6" xfId="11232" xr:uid="{D0D16B4B-6496-46DD-938B-C159247B9419}"/>
    <cellStyle name="Vírgula 3 5 4 6 2" xfId="31575" xr:uid="{36AD144C-2862-4FC1-9831-EA8E726F41EE}"/>
    <cellStyle name="Vírgula 3 5 4 7" xfId="28081" xr:uid="{B171E525-0D52-4C0C-9E15-7779D273FF2B}"/>
    <cellStyle name="Vírgula 3 5 4 8" xfId="48858" xr:uid="{8E67C334-F32E-44C1-89F1-F6313B2360C0}"/>
    <cellStyle name="Vírgula 3 5 4 9" xfId="50528" xr:uid="{0632D7F4-DFBE-41EC-BC3C-E417EE3EE220}"/>
    <cellStyle name="Vírgula 3 5 5" xfId="580" xr:uid="{B33AE906-D3E0-48D1-A5B8-F716D1164D5E}"/>
    <cellStyle name="Vírgula 3 5 5 10" xfId="8276" xr:uid="{2AAC025A-AEB1-4A06-B019-39A748925C5D}"/>
    <cellStyle name="Vírgula 3 5 5 2" xfId="2296" xr:uid="{90E81625-B330-4C2E-8E33-2DEBE3551CF6}"/>
    <cellStyle name="Vírgula 3 5 5 2 2" xfId="42399" xr:uid="{9564BA2C-B6BC-4408-A577-C9DA18AADDB1}"/>
    <cellStyle name="Vírgula 3 5 5 2 3" xfId="52161" xr:uid="{30AC9A46-8349-4571-A6EB-3C4CF5F495B9}"/>
    <cellStyle name="Vírgula 3 5 5 2 4" xfId="55455" xr:uid="{DAA34FBD-F00D-4B6F-BCD9-3B3E1278A9C5}"/>
    <cellStyle name="Vírgula 3 5 5 2 5" xfId="22063" xr:uid="{CF246A05-525D-46BE-A515-B104C1BB2279}"/>
    <cellStyle name="Vírgula 3 5 5 3" xfId="25315" xr:uid="{97C9E2A6-A1D0-45BE-BF3C-09E8DEF8EA43}"/>
    <cellStyle name="Vírgula 3 5 5 3 2" xfId="45650" xr:uid="{ED4CE680-54EB-4A3A-A71B-E0EED565713B}"/>
    <cellStyle name="Vírgula 3 5 5 3 3" xfId="56451" xr:uid="{4CD636E1-79C4-4D4B-A683-5F3F3F4F209A}"/>
    <cellStyle name="Vírgula 3 5 5 4" xfId="12801" xr:uid="{1C3DD65C-FEB1-48D2-85B0-5F0CB7DC26C2}"/>
    <cellStyle name="Vírgula 3 5 5 4 2" xfId="33142" xr:uid="{26A2C17A-0A20-43FA-8A72-38728962F52D}"/>
    <cellStyle name="Vírgula 3 5 5 5" xfId="11772" xr:uid="{DB6A91BB-3FCA-4A3B-8251-1F3CDB714C69}"/>
    <cellStyle name="Vírgula 3 5 5 5 2" xfId="32114" xr:uid="{C3970F0B-F3D6-4AE8-B4A4-6103177C0B77}"/>
    <cellStyle name="Vírgula 3 5 5 6" xfId="28620" xr:uid="{6A002D74-29D8-4582-B5D8-3D0151922AB6}"/>
    <cellStyle name="Vírgula 3 5 5 7" xfId="48859" xr:uid="{83CDEDA1-52E1-46D3-B97D-C36B99F0DE80}"/>
    <cellStyle name="Vírgula 3 5 5 8" xfId="50529" xr:uid="{49598DB8-AF4E-40F2-B2B9-0D0DB88CB825}"/>
    <cellStyle name="Vírgula 3 5 5 9" xfId="53824" xr:uid="{B4DFFEA8-8078-454C-89CE-750D4B873AC3}"/>
    <cellStyle name="Vírgula 3 5 6" xfId="3429" xr:uid="{94F1A818-F6F4-4567-8146-CF0D382F20D9}"/>
    <cellStyle name="Vírgula 3 5 6 2" xfId="15698" xr:uid="{731B4D5B-62EA-449C-822C-3BE90D852B84}"/>
    <cellStyle name="Vírgula 3 5 6 2 2" xfId="36038" xr:uid="{754C0DCD-6A5D-4781-8DCC-DDF5C0BCAC68}"/>
    <cellStyle name="Vírgula 3 5 6 3" xfId="28960" xr:uid="{5CA58432-013A-4A7D-92C0-009604C1E15D}"/>
    <cellStyle name="Vírgula 3 5 6 4" xfId="52154" xr:uid="{36B3DDBA-22AB-49BF-80B7-BE863F3A4E65}"/>
    <cellStyle name="Vírgula 3 5 6 5" xfId="55448" xr:uid="{7F6EAAB0-1A5A-42F1-A99E-90E37227045F}"/>
    <cellStyle name="Vírgula 3 5 6 6" xfId="8617" xr:uid="{DD371DFA-BBEB-4224-A084-DF635EE80B33}"/>
    <cellStyle name="Vírgula 3 5 7" xfId="3874" xr:uid="{BB615885-20B7-4087-B7B8-644FD322DFFD}"/>
    <cellStyle name="Vírgula 3 5 7 2" xfId="38952" xr:uid="{A76D8E9C-048D-4586-BCD9-A3A0625E2A3D}"/>
    <cellStyle name="Vírgula 3 5 7 3" xfId="56042" xr:uid="{D3818D72-799F-4E93-8530-8C5F36D458B2}"/>
    <cellStyle name="Vírgula 3 5 7 4" xfId="18612" xr:uid="{3C163843-459B-4F60-8F98-56EA74A47069}"/>
    <cellStyle name="Vírgula 3 5 8" xfId="1778" xr:uid="{5028E827-1B73-48CE-A659-D90BD1E94397}"/>
    <cellStyle name="Vírgula 3 5 8 2" xfId="39539" xr:uid="{64456F81-EC44-444C-B91A-6ECEBC7E64C4}"/>
    <cellStyle name="Vírgula 3 5 8 3" xfId="19200" xr:uid="{6A5894BF-B8B1-4743-BF85-7FD17081E65C}"/>
    <cellStyle name="Vírgula 3 5 9" xfId="22455" xr:uid="{B5EDDF29-7014-40B2-9289-918F3359EF0E}"/>
    <cellStyle name="Vírgula 3 5 9 2" xfId="42790" xr:uid="{0928DB9A-9380-47FB-B3F5-175511F96033}"/>
    <cellStyle name="Vírgula 3 6" xfId="197" xr:uid="{D25E59C0-44A2-49A1-9054-C26B3D823200}"/>
    <cellStyle name="Vírgula 3 6 10" xfId="12230" xr:uid="{3D33FE90-FC8A-4C89-98B8-37A1C7C2ECCC}"/>
    <cellStyle name="Vírgula 3 6 10 2" xfId="32571" xr:uid="{8168C013-A06A-4DD6-84B1-A388CEB52F8D}"/>
    <cellStyle name="Vírgula 3 6 11" xfId="8969" xr:uid="{CA5DD056-FACE-4FEF-8CE1-4C1CDCACC70E}"/>
    <cellStyle name="Vírgula 3 6 11 2" xfId="29312" xr:uid="{F526B615-0592-47B1-8B44-030FB650E3AD}"/>
    <cellStyle name="Vírgula 3 6 12" xfId="25818" xr:uid="{7FEFD547-216A-48CF-A0E0-F98A3B9340CE}"/>
    <cellStyle name="Vírgula 3 6 13" xfId="46056" xr:uid="{787092CD-79AD-4C6A-9F2F-A314877BACC0}"/>
    <cellStyle name="Vírgula 3 6 14" xfId="46542" xr:uid="{5338D60C-A5EC-45C5-9BAC-B49E5CC75E37}"/>
    <cellStyle name="Vírgula 3 6 15" xfId="47034" xr:uid="{C6DFF80C-6552-44FC-8F43-6E34CE9ACAF6}"/>
    <cellStyle name="Vírgula 3 6 16" xfId="48860" xr:uid="{964E908C-B425-462B-B65B-72973F50DD87}"/>
    <cellStyle name="Vírgula 3 6 17" xfId="50530" xr:uid="{0F85BA69-D570-48FA-9D7B-295437AE3B12}"/>
    <cellStyle name="Vírgula 3 6 18" xfId="53825" xr:uid="{5DFD4DC6-0E57-4358-A962-8B543A3FED85}"/>
    <cellStyle name="Vírgula 3 6 19" xfId="5479" xr:uid="{8FC7BF9A-7012-49A3-8DA2-5C55A1231FEC}"/>
    <cellStyle name="Vírgula 3 6 2" xfId="386" xr:uid="{2DEED522-6EE4-45F9-B47D-0DE656681669}"/>
    <cellStyle name="Vírgula 3 6 2 10" xfId="50531" xr:uid="{EA623013-BF3E-4BCC-8C51-6DA1E8095E89}"/>
    <cellStyle name="Vírgula 3 6 2 11" xfId="53826" xr:uid="{7598AF53-2BE4-4367-8D9D-EFC025820234}"/>
    <cellStyle name="Vírgula 3 6 2 12" xfId="6051" xr:uid="{B49B1509-1181-4E35-854D-27C85006C29B}"/>
    <cellStyle name="Vírgula 3 6 2 13" xfId="4667" xr:uid="{D0752E70-C898-4ECB-AF29-9F79DADC1339}"/>
    <cellStyle name="Vírgula 3 6 2 2" xfId="1202" xr:uid="{204CBD47-2D08-41BF-A5B7-5C40E08323E5}"/>
    <cellStyle name="Vírgula 3 6 2 2 10" xfId="53827" xr:uid="{91E7FA03-9F45-42CE-A7C2-A8D3E08A2D07}"/>
    <cellStyle name="Vírgula 3 6 2 2 11" xfId="7209" xr:uid="{A5C0ED7A-DCC0-4973-80D9-DA675EFBA405}"/>
    <cellStyle name="Vírgula 3 6 2 2 2" xfId="2863" xr:uid="{2E616C15-4131-4267-834E-D29E96125CEF}"/>
    <cellStyle name="Vírgula 3 6 2 2 2 2" xfId="37835" xr:uid="{158EF46A-EA63-41E3-A026-4A0FD8AABBE9}"/>
    <cellStyle name="Vírgula 3 6 2 2 2 3" xfId="52164" xr:uid="{A98B7B76-C9CB-4DF6-BDCF-BF8DF10456F5}"/>
    <cellStyle name="Vírgula 3 6 2 2 2 4" xfId="55458" xr:uid="{1C9825CA-7348-4BE6-961E-9FA024A2464D}"/>
    <cellStyle name="Vírgula 3 6 2 2 2 5" xfId="17495" xr:uid="{5BCA5E2B-165F-4AAE-88F6-84E5D89AD857}"/>
    <cellStyle name="Vírgula 3 6 2 2 3" xfId="20997" xr:uid="{16DE76C6-E8AB-4F6C-AB78-DA5348D748CE}"/>
    <cellStyle name="Vírgula 3 6 2 2 3 2" xfId="41336" xr:uid="{8D40386F-FEA1-4550-8DCC-2A3230B21C09}"/>
    <cellStyle name="Vírgula 3 6 2 2 3 3" xfId="57073" xr:uid="{A69D210C-C0A2-4F33-9D29-93BB0BD37290}"/>
    <cellStyle name="Vírgula 3 6 2 2 4" xfId="24252" xr:uid="{CA12DAF6-0C39-4B42-AAED-7178AC0D8D3C}"/>
    <cellStyle name="Vírgula 3 6 2 2 4 2" xfId="44587" xr:uid="{75433FEA-27AC-4099-A676-5AC5DF6E8E28}"/>
    <cellStyle name="Vírgula 3 6 2 2 5" xfId="14586" xr:uid="{45B9B865-F0F4-4AE9-803C-42D07CDD2EF4}"/>
    <cellStyle name="Vírgula 3 6 2 2 5 2" xfId="34927" xr:uid="{4494B7A1-4EEE-43F5-84DE-1A1124A07F53}"/>
    <cellStyle name="Vírgula 3 6 2 2 6" xfId="10708" xr:uid="{B8DECEF5-F922-4DB6-827F-9A2CD080D3BA}"/>
    <cellStyle name="Vírgula 3 6 2 2 6 2" xfId="31051" xr:uid="{A128B93E-D152-47BD-8A3A-AE31559E59A0}"/>
    <cellStyle name="Vírgula 3 6 2 2 7" xfId="27557" xr:uid="{49106E13-F938-46CB-A0CD-86E3989664F0}"/>
    <cellStyle name="Vírgula 3 6 2 2 8" xfId="48862" xr:uid="{B1CAEFD7-7547-45E1-8E26-64396C70E0AE}"/>
    <cellStyle name="Vírgula 3 6 2 2 9" xfId="50532" xr:uid="{56F4F0D1-1CE5-4A0B-92C6-8C957ED07FEC}"/>
    <cellStyle name="Vírgula 3 6 2 3" xfId="1608" xr:uid="{2734AD19-8EB0-4FB7-BDC0-DC2725D8ACF3}"/>
    <cellStyle name="Vírgula 3 6 2 3 2" xfId="3268" xr:uid="{9625442D-43D2-43CC-ABFB-67E6E8FA132E}"/>
    <cellStyle name="Vírgula 3 6 2 3 2 2" xfId="52165" xr:uid="{0BEBEAED-9CFB-4F4B-829A-1034F6D4D66D}"/>
    <cellStyle name="Vírgula 3 6 2 3 2 3" xfId="55459" xr:uid="{404D6AF0-B187-4C6B-997D-1E70313E559C}"/>
    <cellStyle name="Vírgula 3 6 2 3 2 4" xfId="36677" xr:uid="{74020FDF-4A4C-4011-97D1-0B81E7EC8EB6}"/>
    <cellStyle name="Vírgula 3 6 2 3 3" xfId="48863" xr:uid="{F24AD31F-468F-42E6-8E3C-6691CA2A8599}"/>
    <cellStyle name="Vírgula 3 6 2 3 3 2" xfId="57479" xr:uid="{A1FCCE6D-F8C7-4FFB-8913-E289F774820C}"/>
    <cellStyle name="Vírgula 3 6 2 3 4" xfId="50533" xr:uid="{FA2367F2-7E50-4704-8DDF-19DF72AA3523}"/>
    <cellStyle name="Vírgula 3 6 2 3 5" xfId="53828" xr:uid="{F241579B-47B8-4D7D-85F2-943C1767BF4A}"/>
    <cellStyle name="Vírgula 3 6 2 3 6" xfId="16337" xr:uid="{79586DBD-C978-4BF2-9929-19B2AD330E1D}"/>
    <cellStyle name="Vírgula 3 6 2 4" xfId="795" xr:uid="{B1849CA0-2456-4BB9-B3CC-B7C683168E30}"/>
    <cellStyle name="Vírgula 3 6 2 4 2" xfId="2511" xr:uid="{B507A8B5-01FB-40C8-A2B0-051CD3A0F074}"/>
    <cellStyle name="Vírgula 3 6 2 4 2 2" xfId="52166" xr:uid="{56D5FFD8-23CB-430D-B158-AF6AD3A7F7D4}"/>
    <cellStyle name="Vírgula 3 6 2 4 2 3" xfId="55460" xr:uid="{0CDD4E34-FD7E-4296-A4B7-DD651D07CAF4}"/>
    <cellStyle name="Vírgula 3 6 2 4 2 4" xfId="40178" xr:uid="{B4F635EE-F4F5-44CC-9056-247B215A69D8}"/>
    <cellStyle name="Vírgula 3 6 2 4 3" xfId="48864" xr:uid="{CDA0342D-2A14-4C3C-8BB8-3AEA1DC974EF}"/>
    <cellStyle name="Vírgula 3 6 2 4 3 2" xfId="56666" xr:uid="{49DAB9D0-EE22-4D0C-99DE-512D63612E5B}"/>
    <cellStyle name="Vírgula 3 6 2 4 4" xfId="50534" xr:uid="{0DCFA77D-A2E8-4709-BCEF-C1AC9BE1E9AE}"/>
    <cellStyle name="Vírgula 3 6 2 4 5" xfId="53829" xr:uid="{9B95FA18-592C-4077-B610-6BD8B875CED7}"/>
    <cellStyle name="Vírgula 3 6 2 4 6" xfId="19839" xr:uid="{DD25E765-24F6-4018-A160-107A5100E2FE}"/>
    <cellStyle name="Vírgula 3 6 2 5" xfId="4100" xr:uid="{97C300A9-FBF0-4DEF-893B-307DB4C2D6EB}"/>
    <cellStyle name="Vírgula 3 6 2 5 2" xfId="43429" xr:uid="{5C5B0444-9BE2-4D50-8D00-06B9FFA02338}"/>
    <cellStyle name="Vírgula 3 6 2 5 3" xfId="52163" xr:uid="{F196CCF9-A82F-44FA-8188-40F37705FD6B}"/>
    <cellStyle name="Vírgula 3 6 2 5 4" xfId="55457" xr:uid="{19E63421-1FF9-46AD-A07D-C44FAC69879A}"/>
    <cellStyle name="Vírgula 3 6 2 5 5" xfId="23094" xr:uid="{A18BBC93-0F48-4568-850F-7F3E4FA85C96}"/>
    <cellStyle name="Vírgula 3 6 2 6" xfId="2132" xr:uid="{DA62FCA3-F264-4FD4-BFB1-CB2185225BDA}"/>
    <cellStyle name="Vírgula 3 6 2 6 2" xfId="33769" xr:uid="{0954DCC5-EE0D-4B65-A7EF-B39E9FA74CB8}"/>
    <cellStyle name="Vírgula 3 6 2 6 3" xfId="56257" xr:uid="{ACA662CF-9B5F-476B-86E1-114F739B9145}"/>
    <cellStyle name="Vírgula 3 6 2 6 4" xfId="13428" xr:uid="{0D887C56-E4CB-40B9-B754-C36172E59B86}"/>
    <cellStyle name="Vírgula 3 6 2 7" xfId="9550" xr:uid="{D3C02BE4-D17E-4954-8632-EA3D1BB908C1}"/>
    <cellStyle name="Vírgula 3 6 2 7 2" xfId="29893" xr:uid="{C8D66070-37DB-4CBF-9962-3C901C77F303}"/>
    <cellStyle name="Vírgula 3 6 2 8" xfId="26399" xr:uid="{A151782D-1086-497D-98F8-0DDD258614ED}"/>
    <cellStyle name="Vírgula 3 6 2 9" xfId="48861" xr:uid="{97807A8E-DC5C-4B90-A275-479EBA6B5DA0}"/>
    <cellStyle name="Vírgula 3 6 20" xfId="4478" xr:uid="{FB40DAE0-AF14-4AE0-9FA6-3351121C967E}"/>
    <cellStyle name="Vírgula 3 6 3" xfId="1013" xr:uid="{72998481-0086-4DC8-BD3C-CD941E5CE5C0}"/>
    <cellStyle name="Vírgula 3 6 3 10" xfId="53830" xr:uid="{9F9332BC-0668-4BBC-8171-4B044C9C1F24}"/>
    <cellStyle name="Vírgula 3 6 3 11" xfId="6628" xr:uid="{45C04ADD-0F47-4186-94D5-0EFAE6DED9A7}"/>
    <cellStyle name="Vírgula 3 6 3 12" xfId="4958" xr:uid="{2CE37C5C-C550-4879-92E8-958B54FFCC0A}"/>
    <cellStyle name="Vírgula 3 6 3 2" xfId="4272" xr:uid="{375660E4-DCCA-4B70-96BE-F4104C43FE85}"/>
    <cellStyle name="Vírgula 3 6 3 2 2" xfId="37254" xr:uid="{A41A8589-EDDB-43E8-93FE-7EE27851E574}"/>
    <cellStyle name="Vírgula 3 6 3 2 3" xfId="52167" xr:uid="{F14D4B1A-F32C-456F-8086-07F41B186249}"/>
    <cellStyle name="Vírgula 3 6 3 2 4" xfId="55461" xr:uid="{7C7F34D1-9E46-4072-BD88-1A83E97172F5}"/>
    <cellStyle name="Vírgula 3 6 3 2 5" xfId="16914" xr:uid="{A3BFE73A-7584-498B-B456-DC96DD266B74}"/>
    <cellStyle name="Vírgula 3 6 3 3" xfId="2702" xr:uid="{740358E0-9F5F-4A39-8B6E-509BA5FECA5F}"/>
    <cellStyle name="Vírgula 3 6 3 3 2" xfId="40755" xr:uid="{D0884B19-36EB-4059-8698-EBBC09FA2DEE}"/>
    <cellStyle name="Vírgula 3 6 3 3 3" xfId="56884" xr:uid="{938C6878-0F49-4276-B1E4-ECBDEBB1BDDE}"/>
    <cellStyle name="Vírgula 3 6 3 3 4" xfId="20416" xr:uid="{C562E8CF-73F7-4425-9EC4-A03186DD3300}"/>
    <cellStyle name="Vírgula 3 6 3 4" xfId="23671" xr:uid="{A62DF079-5620-423C-91A1-499A3CF43668}"/>
    <cellStyle name="Vírgula 3 6 3 4 2" xfId="44006" xr:uid="{DC3E1DDC-D7C8-4A33-BAB2-63127BEAAE44}"/>
    <cellStyle name="Vírgula 3 6 3 5" xfId="14005" xr:uid="{AE647AF0-F523-42EE-9E66-DFED502AA1AB}"/>
    <cellStyle name="Vírgula 3 6 3 5 2" xfId="34346" xr:uid="{92E61F0D-6063-4DA7-9977-8FFD29D3D042}"/>
    <cellStyle name="Vírgula 3 6 3 6" xfId="10127" xr:uid="{EB147BA0-5041-4011-BBDC-E78A9F8DB860}"/>
    <cellStyle name="Vírgula 3 6 3 6 2" xfId="30470" xr:uid="{8821C51B-6CDD-4D72-A300-207EFC11BEF3}"/>
    <cellStyle name="Vírgula 3 6 3 7" xfId="26976" xr:uid="{9A07DDAF-34CD-445B-8B9D-636BBB5CAB3A}"/>
    <cellStyle name="Vírgula 3 6 3 8" xfId="48865" xr:uid="{F03598FF-9077-47F9-8AC8-F7250A392DB1}"/>
    <cellStyle name="Vírgula 3 6 3 9" xfId="50535" xr:uid="{CFFBF5BD-479A-4E1B-886B-1D63E6B913BB}"/>
    <cellStyle name="Vírgula 3 6 4" xfId="1419" xr:uid="{331EBDEF-9524-444C-897C-8DDC5AEDA805}"/>
    <cellStyle name="Vírgula 3 6 4 10" xfId="53831" xr:uid="{5F09B424-CC9C-4D74-9D21-E97294E9F61B}"/>
    <cellStyle name="Vírgula 3 6 4 11" xfId="7792" xr:uid="{A3B5DEF9-8FFA-45BE-B712-85DFA3735E55}"/>
    <cellStyle name="Vírgula 3 6 4 2" xfId="3080" xr:uid="{D24BDE60-B136-48D0-BD92-A95387487CC3}"/>
    <cellStyle name="Vírgula 3 6 4 2 2" xfId="38417" xr:uid="{A3FE8D29-A1D2-4D3C-91E7-0D0D6AB8E6B0}"/>
    <cellStyle name="Vírgula 3 6 4 2 3" xfId="52168" xr:uid="{4654D18F-3809-49B4-BB09-BECDF89F2796}"/>
    <cellStyle name="Vírgula 3 6 4 2 4" xfId="55462" xr:uid="{30F8CDB8-2E4C-49D8-88DF-F54F42A37109}"/>
    <cellStyle name="Vírgula 3 6 4 2 5" xfId="18077" xr:uid="{712F1137-DB81-4404-B8CB-27835ECCEA59}"/>
    <cellStyle name="Vírgula 3 6 4 3" xfId="21579" xr:uid="{FB8E14E6-AE47-4EE3-8CD0-13FE3036322E}"/>
    <cellStyle name="Vírgula 3 6 4 3 2" xfId="41918" xr:uid="{4136E019-51E4-4907-BC5F-69313483C703}"/>
    <cellStyle name="Vírgula 3 6 4 3 3" xfId="57290" xr:uid="{0D86DFA0-3D57-4521-B79F-8915EE356F24}"/>
    <cellStyle name="Vírgula 3 6 4 4" xfId="24834" xr:uid="{05EACBA2-374D-4F8A-A32B-2DC0FF878050}"/>
    <cellStyle name="Vírgula 3 6 4 4 2" xfId="45169" xr:uid="{955D986E-F18C-4AFE-820C-77C2662EE944}"/>
    <cellStyle name="Vírgula 3 6 4 5" xfId="15169" xr:uid="{8EF8A911-9197-45C1-8240-8A32DAAC756A}"/>
    <cellStyle name="Vírgula 3 6 4 5 2" xfId="35509" xr:uid="{9E21C0F9-596F-4CB4-B0BD-8DBC30DEDCE1}"/>
    <cellStyle name="Vírgula 3 6 4 6" xfId="11290" xr:uid="{3050C98D-C425-41EE-AE90-CCEE2829C8A7}"/>
    <cellStyle name="Vírgula 3 6 4 6 2" xfId="31633" xr:uid="{7C61F1D9-3E7E-4CEE-B01A-E6F41E752130}"/>
    <cellStyle name="Vírgula 3 6 4 7" xfId="28139" xr:uid="{CBD18C3B-B43A-4FD2-810F-14FC75B871F9}"/>
    <cellStyle name="Vírgula 3 6 4 8" xfId="48866" xr:uid="{6DF4CA73-1D82-48AE-B1A1-7775E8270A50}"/>
    <cellStyle name="Vírgula 3 6 4 9" xfId="50536" xr:uid="{756B4237-285F-4DB3-84B4-FD5ADDAFB467}"/>
    <cellStyle name="Vírgula 3 6 5" xfId="606" xr:uid="{2760883D-E4CF-4557-B30F-4CB3A1A8842D}"/>
    <cellStyle name="Vírgula 3 6 5 10" xfId="8277" xr:uid="{7EA52F8C-C353-43C5-8CA5-0DAC5D645B07}"/>
    <cellStyle name="Vírgula 3 6 5 2" xfId="2322" xr:uid="{2B8550DF-8111-4E20-ADDE-9DA174B42A84}"/>
    <cellStyle name="Vírgula 3 6 5 2 2" xfId="42400" xr:uid="{3C83D369-7420-44A7-813B-9C6E2D37A42D}"/>
    <cellStyle name="Vírgula 3 6 5 2 3" xfId="52169" xr:uid="{7E20C6D2-43F8-48E7-8EBA-A7B2CBDF3C2C}"/>
    <cellStyle name="Vírgula 3 6 5 2 4" xfId="55463" xr:uid="{05576ED9-08C4-4958-AB64-AC2B290D9E03}"/>
    <cellStyle name="Vírgula 3 6 5 2 5" xfId="22064" xr:uid="{993CEE1E-82B1-4872-AC53-D1B28E1EB449}"/>
    <cellStyle name="Vírgula 3 6 5 3" xfId="25316" xr:uid="{98A72D4F-5510-46C2-8FD2-4BEA45661BA1}"/>
    <cellStyle name="Vírgula 3 6 5 3 2" xfId="45651" xr:uid="{D68BC648-1CBD-458F-95C6-E73F7F5C5F28}"/>
    <cellStyle name="Vírgula 3 6 5 3 3" xfId="56477" xr:uid="{9ADB9B46-B282-4C57-BB7B-B0D81F240576}"/>
    <cellStyle name="Vírgula 3 6 5 4" xfId="12859" xr:uid="{3541C208-B1A2-4C67-8E6E-BC1816C2AAB5}"/>
    <cellStyle name="Vírgula 3 6 5 4 2" xfId="33200" xr:uid="{7AB9DBF8-17A6-43B3-BDDF-159C513150B5}"/>
    <cellStyle name="Vírgula 3 6 5 5" xfId="11773" xr:uid="{D8915603-B55D-493F-8937-B1F01D891639}"/>
    <cellStyle name="Vírgula 3 6 5 5 2" xfId="32115" xr:uid="{185D37F5-3A0A-4CD6-AA99-E09E189D1CF7}"/>
    <cellStyle name="Vírgula 3 6 5 6" xfId="28621" xr:uid="{1390301F-DFA3-4B35-8C38-CFFB452FB8C9}"/>
    <cellStyle name="Vírgula 3 6 5 7" xfId="48867" xr:uid="{9F6EF277-9140-4E9D-9F81-444F2B0AEA65}"/>
    <cellStyle name="Vírgula 3 6 5 8" xfId="50537" xr:uid="{36132B16-09C2-4E5B-A7BF-5413B4B6522C}"/>
    <cellStyle name="Vírgula 3 6 5 9" xfId="53832" xr:uid="{A237D4DC-0CDF-4BB2-85DE-F2A11E33A7A9}"/>
    <cellStyle name="Vírgula 3 6 6" xfId="3595" xr:uid="{B977684A-8EB1-411A-A429-6EB2B7C4608F}"/>
    <cellStyle name="Vírgula 3 6 6 2" xfId="36096" xr:uid="{0D79570A-FCF1-4D48-8A99-38118E2167BB}"/>
    <cellStyle name="Vírgula 3 6 6 3" xfId="52162" xr:uid="{297D5A97-3CDD-4203-958D-8C816073E2B4}"/>
    <cellStyle name="Vírgula 3 6 6 4" xfId="55456" xr:uid="{9CC95157-5B97-4D76-89F2-8E3B08D4EB60}"/>
    <cellStyle name="Vírgula 3 6 6 5" xfId="15756" xr:uid="{839CC35C-6705-4BA7-94C9-0A9F26842355}"/>
    <cellStyle name="Vírgula 3 6 7" xfId="3928" xr:uid="{6FCA5171-9778-4ADC-881F-2735E9523716}"/>
    <cellStyle name="Vírgula 3 6 7 2" xfId="39010" xr:uid="{F78C04A6-635A-4311-9497-9E6BEB4614EC}"/>
    <cellStyle name="Vírgula 3 6 7 3" xfId="56068" xr:uid="{102D0C93-DD0A-4708-879C-8F1058DB34AC}"/>
    <cellStyle name="Vírgula 3 6 7 4" xfId="18670" xr:uid="{5B36ADA7-E928-4CD1-A140-55C154483601}"/>
    <cellStyle name="Vírgula 3 6 8" xfId="1944" xr:uid="{EB5189A3-7EC8-4142-A76F-059C838C47EC}"/>
    <cellStyle name="Vírgula 3 6 8 2" xfId="39597" xr:uid="{809BEF57-E58A-4021-BCC6-4842EF44B667}"/>
    <cellStyle name="Vírgula 3 6 8 3" xfId="19258" xr:uid="{104FBB79-5E5B-4ED3-8BAA-40357947BBA6}"/>
    <cellStyle name="Vírgula 3 6 9" xfId="22513" xr:uid="{CB5DA93A-D794-43EF-8F9D-7BADD75A58C6}"/>
    <cellStyle name="Vírgula 3 6 9 2" xfId="42848" xr:uid="{89A62E80-15F9-481C-8A1F-4786D106185F}"/>
    <cellStyle name="Vírgula 3 7" xfId="249" xr:uid="{7A0063AC-1978-49FD-83AD-C94898285152}"/>
    <cellStyle name="Vírgula 3 7 10" xfId="12403" xr:uid="{3AE1FF15-2A96-4749-A2BC-F059F2ECCA01}"/>
    <cellStyle name="Vírgula 3 7 10 2" xfId="32744" xr:uid="{A4302DEA-DB26-4CF5-9077-DF98D8D2C16F}"/>
    <cellStyle name="Vírgula 3 7 11" xfId="9142" xr:uid="{F1CD981B-83B6-4D93-990B-89F98F0FA454}"/>
    <cellStyle name="Vírgula 3 7 11 2" xfId="29485" xr:uid="{CACA6AC2-C9DE-4BF5-8BB0-02A40D2988EC}"/>
    <cellStyle name="Vírgula 3 7 12" xfId="25991" xr:uid="{A750E295-8F7E-44CD-BF57-6E5E8D9C9C96}"/>
    <cellStyle name="Vírgula 3 7 13" xfId="47275" xr:uid="{A6D5C677-0241-4BC5-AFFE-0AD0A7DCE4BE}"/>
    <cellStyle name="Vírgula 3 7 14" xfId="48868" xr:uid="{6AC6E464-FEF6-4C68-9715-05A42F960AD0}"/>
    <cellStyle name="Vírgula 3 7 15" xfId="50538" xr:uid="{F0C0DC9F-1DB9-44DA-A26F-13C67B03A4E4}"/>
    <cellStyle name="Vírgula 3 7 16" xfId="53833" xr:uid="{236EEB52-C04E-4566-A037-738E49E98235}"/>
    <cellStyle name="Vírgula 3 7 17" xfId="5652" xr:uid="{9AEF37FC-ADFB-465E-BDE9-17715369830A}"/>
    <cellStyle name="Vírgula 3 7 18" xfId="4530" xr:uid="{182AFF8A-CF33-46BD-A552-1784A0B6FFEC}"/>
    <cellStyle name="Vírgula 3 7 2" xfId="438" xr:uid="{2AD4AA75-E78C-48FF-AF32-83ED5FFC1D2A}"/>
    <cellStyle name="Vírgula 3 7 2 10" xfId="50539" xr:uid="{9FCB136F-2A61-4D01-A8F6-4E5B4CF0863F}"/>
    <cellStyle name="Vírgula 3 7 2 11" xfId="53834" xr:uid="{A6D607EC-9565-40BB-9886-86ED48B23BF8}"/>
    <cellStyle name="Vírgula 3 7 2 12" xfId="6224" xr:uid="{3A0B61CB-92C4-4CDF-858D-752476510C4A}"/>
    <cellStyle name="Vírgula 3 7 2 13" xfId="4719" xr:uid="{2F1CED55-1168-4CFA-B9DD-1A03EA6F0910}"/>
    <cellStyle name="Vírgula 3 7 2 2" xfId="1254" xr:uid="{1132E77F-5198-4D68-8E04-D6069AFDB106}"/>
    <cellStyle name="Vírgula 3 7 2 2 10" xfId="53835" xr:uid="{02A4A928-E31F-4F2B-84C0-CA714D9CA53F}"/>
    <cellStyle name="Vírgula 3 7 2 2 11" xfId="7382" xr:uid="{B7056B83-2B07-47BC-922F-7CC4D6C95E38}"/>
    <cellStyle name="Vírgula 3 7 2 2 2" xfId="2915" xr:uid="{A0BF38C2-4B78-4B7A-8CA7-99335DA9FE69}"/>
    <cellStyle name="Vírgula 3 7 2 2 2 2" xfId="38008" xr:uid="{225D7E1A-6E3F-4123-8A25-AF9296F47CE2}"/>
    <cellStyle name="Vírgula 3 7 2 2 2 3" xfId="52172" xr:uid="{9D5BA14D-2478-4436-8A35-685353036608}"/>
    <cellStyle name="Vírgula 3 7 2 2 2 4" xfId="55466" xr:uid="{318C570C-0EDE-4306-A941-9073CA1DE6A1}"/>
    <cellStyle name="Vírgula 3 7 2 2 2 5" xfId="17668" xr:uid="{AF5975EF-DA6F-47B8-9C0F-AD92D1D54224}"/>
    <cellStyle name="Vírgula 3 7 2 2 3" xfId="21170" xr:uid="{16B25F1D-29C2-4124-BAC3-A8BF8522D5E9}"/>
    <cellStyle name="Vírgula 3 7 2 2 3 2" xfId="41509" xr:uid="{C3E858DD-A75E-4053-A983-3C6A9DF156F9}"/>
    <cellStyle name="Vírgula 3 7 2 2 3 3" xfId="57125" xr:uid="{1D780104-1832-440F-A41B-4C6D5CB77EC2}"/>
    <cellStyle name="Vírgula 3 7 2 2 4" xfId="24425" xr:uid="{F5272BC5-0313-498C-A66F-78B055B07F5F}"/>
    <cellStyle name="Vírgula 3 7 2 2 4 2" xfId="44760" xr:uid="{1CE839E5-132F-4B5C-AB34-EEAE3166E62B}"/>
    <cellStyle name="Vírgula 3 7 2 2 5" xfId="14759" xr:uid="{4C1670DE-A7B2-4CC0-B6D4-DE1DF717EEE0}"/>
    <cellStyle name="Vírgula 3 7 2 2 5 2" xfId="35100" xr:uid="{4670E2F3-359D-470D-91B6-B2FE300C3A60}"/>
    <cellStyle name="Vírgula 3 7 2 2 6" xfId="10881" xr:uid="{0F162D73-2B84-489B-AC42-4F72BF1208B5}"/>
    <cellStyle name="Vírgula 3 7 2 2 6 2" xfId="31224" xr:uid="{051B2BD6-F5C9-4738-8990-F8CE2045A0E9}"/>
    <cellStyle name="Vírgula 3 7 2 2 7" xfId="27730" xr:uid="{91CB640F-1D0F-4A35-AC77-177D913EC1FC}"/>
    <cellStyle name="Vírgula 3 7 2 2 8" xfId="48870" xr:uid="{38154854-3CB0-4922-B6E0-097B046B1A3E}"/>
    <cellStyle name="Vírgula 3 7 2 2 9" xfId="50540" xr:uid="{D600C228-B9BE-44F1-AC01-1D9EB9E1A703}"/>
    <cellStyle name="Vírgula 3 7 2 3" xfId="1660" xr:uid="{7085A442-E607-4C19-B157-3864809909B3}"/>
    <cellStyle name="Vírgula 3 7 2 3 2" xfId="3320" xr:uid="{1FE461D9-E8CE-415C-9C52-F48B62883E6B}"/>
    <cellStyle name="Vírgula 3 7 2 3 2 2" xfId="52173" xr:uid="{716C61F4-5AD1-4D09-9155-79346FF87568}"/>
    <cellStyle name="Vírgula 3 7 2 3 2 3" xfId="55467" xr:uid="{E949891F-0A97-406B-A99C-EED9E65E45C4}"/>
    <cellStyle name="Vírgula 3 7 2 3 2 4" xfId="36850" xr:uid="{18C0AC27-8C48-4A0A-A772-D5AF5D40AC8B}"/>
    <cellStyle name="Vírgula 3 7 2 3 3" xfId="48871" xr:uid="{D373B0EF-87CC-4540-9B2F-3178300DCA3D}"/>
    <cellStyle name="Vírgula 3 7 2 3 3 2" xfId="57531" xr:uid="{7EB6A989-EFF0-40EC-8E97-A24C0A249122}"/>
    <cellStyle name="Vírgula 3 7 2 3 4" xfId="50541" xr:uid="{0985155D-9AB9-4483-BE73-E3C18133D444}"/>
    <cellStyle name="Vírgula 3 7 2 3 5" xfId="53836" xr:uid="{4E07D815-9217-4B36-B890-6E661E904B33}"/>
    <cellStyle name="Vírgula 3 7 2 3 6" xfId="16510" xr:uid="{9BF0A1DA-959B-4E75-9D4C-CE9EB747E45B}"/>
    <cellStyle name="Vírgula 3 7 2 4" xfId="847" xr:uid="{FB68E92C-9623-4C81-BC46-0894FB747F78}"/>
    <cellStyle name="Vírgula 3 7 2 4 2" xfId="2563" xr:uid="{57CFD795-CC63-41E8-A23E-C6558ADA0716}"/>
    <cellStyle name="Vírgula 3 7 2 4 2 2" xfId="52174" xr:uid="{218EAC32-6F9A-42B1-9CC4-79DD74B99DD0}"/>
    <cellStyle name="Vírgula 3 7 2 4 2 3" xfId="55468" xr:uid="{B54E2580-3594-4B5B-8EA5-AA899D8B3D77}"/>
    <cellStyle name="Vírgula 3 7 2 4 2 4" xfId="40351" xr:uid="{D278C715-722C-4936-AADF-0ADA4EC2D032}"/>
    <cellStyle name="Vírgula 3 7 2 4 3" xfId="48872" xr:uid="{7D659480-A568-4AE1-B60D-32F35ADACE77}"/>
    <cellStyle name="Vírgula 3 7 2 4 3 2" xfId="56718" xr:uid="{02A9F892-5657-4BB0-AFF1-D50CFB0831CF}"/>
    <cellStyle name="Vírgula 3 7 2 4 4" xfId="50542" xr:uid="{5F27C9A4-F691-44C6-9638-231DEE129B2F}"/>
    <cellStyle name="Vírgula 3 7 2 4 5" xfId="53837" xr:uid="{D1093781-B316-4226-8C3B-FA73BE1B0C93}"/>
    <cellStyle name="Vírgula 3 7 2 4 6" xfId="20012" xr:uid="{73160187-C881-4633-A8F4-BB6E4C57920A}"/>
    <cellStyle name="Vírgula 3 7 2 5" xfId="2156" xr:uid="{DF3EB35D-A9FA-4CC8-95FE-E9DF45AB45ED}"/>
    <cellStyle name="Vírgula 3 7 2 5 2" xfId="43602" xr:uid="{AAF426F6-E63B-48A6-930B-56AD2949A38F}"/>
    <cellStyle name="Vírgula 3 7 2 5 3" xfId="52171" xr:uid="{120C57E9-C44B-47A5-A5A4-0E6E97F028D5}"/>
    <cellStyle name="Vírgula 3 7 2 5 4" xfId="55465" xr:uid="{90AB54F1-4ECF-46D9-840F-4936E38029EB}"/>
    <cellStyle name="Vírgula 3 7 2 5 5" xfId="23267" xr:uid="{D76036F7-D3DD-473D-8488-1361AADE6915}"/>
    <cellStyle name="Vírgula 3 7 2 6" xfId="13601" xr:uid="{2680ACCD-FC65-4968-B805-D1C79DB40322}"/>
    <cellStyle name="Vírgula 3 7 2 6 2" xfId="33942" xr:uid="{42DF59AD-1551-45FF-B02F-C4D60042BDB9}"/>
    <cellStyle name="Vírgula 3 7 2 6 3" xfId="56309" xr:uid="{06162AE6-4B76-4FA4-A194-EED4D1EA635A}"/>
    <cellStyle name="Vírgula 3 7 2 7" xfId="9723" xr:uid="{ABF6628C-6D31-47F3-BE2C-B5D21D7B4516}"/>
    <cellStyle name="Vírgula 3 7 2 7 2" xfId="30066" xr:uid="{6DD21CEF-8231-45A4-8703-1A7FC1519759}"/>
    <cellStyle name="Vírgula 3 7 2 8" xfId="26572" xr:uid="{C831206E-F908-4B00-9514-0C54DBEDABC3}"/>
    <cellStyle name="Vírgula 3 7 2 9" xfId="48869" xr:uid="{E18D19AD-34F5-4776-B628-05A7E89307DB}"/>
    <cellStyle name="Vírgula 3 7 3" xfId="1065" xr:uid="{C2477C94-55A0-482A-A297-5A7BD51A6871}"/>
    <cellStyle name="Vírgula 3 7 3 10" xfId="53838" xr:uid="{44D5F3D4-0833-4B21-BC29-169EC44CC068}"/>
    <cellStyle name="Vírgula 3 7 3 11" xfId="6801" xr:uid="{D50F12F5-B423-4416-AA56-B1C89795EB59}"/>
    <cellStyle name="Vírgula 3 7 3 2" xfId="2729" xr:uid="{2CB707D6-3C66-49D0-8965-381E7374DFAA}"/>
    <cellStyle name="Vírgula 3 7 3 2 2" xfId="37427" xr:uid="{316BF945-BACD-4334-99B3-F9BE005B3019}"/>
    <cellStyle name="Vírgula 3 7 3 2 3" xfId="52175" xr:uid="{B22BC802-D433-4B5F-80F3-BAF4CA21F957}"/>
    <cellStyle name="Vírgula 3 7 3 2 4" xfId="55469" xr:uid="{FE14A98C-0EC3-4E3F-A0E2-25007E3DD974}"/>
    <cellStyle name="Vírgula 3 7 3 2 5" xfId="17087" xr:uid="{AB2921A2-3D49-48BB-9E49-2D238F3FE245}"/>
    <cellStyle name="Vírgula 3 7 3 3" xfId="20589" xr:uid="{4D40A77E-93EC-414A-BA72-27828E31AFE3}"/>
    <cellStyle name="Vírgula 3 7 3 3 2" xfId="40928" xr:uid="{0C9BB123-FB49-4A68-84D3-D083EDB9AA8B}"/>
    <cellStyle name="Vírgula 3 7 3 3 3" xfId="56936" xr:uid="{03586E5F-BBA9-4871-8127-387E2AD3FED3}"/>
    <cellStyle name="Vírgula 3 7 3 4" xfId="23844" xr:uid="{97C1DA4E-6DD2-421D-B8D0-368591564E2C}"/>
    <cellStyle name="Vírgula 3 7 3 4 2" xfId="44179" xr:uid="{230398DC-CDA8-4756-8B88-BE0C13EBCDEE}"/>
    <cellStyle name="Vírgula 3 7 3 5" xfId="14178" xr:uid="{602B9DD8-3B09-4B92-834B-859F4F5EFADA}"/>
    <cellStyle name="Vírgula 3 7 3 5 2" xfId="34519" xr:uid="{E3C7E115-A007-494B-A3A4-98345A1E817E}"/>
    <cellStyle name="Vírgula 3 7 3 6" xfId="10300" xr:uid="{9A1259E7-3AE8-430F-881D-3FCF902046C6}"/>
    <cellStyle name="Vírgula 3 7 3 6 2" xfId="30643" xr:uid="{C1F3E1DC-C5FA-4721-AFB3-36739EA36AB6}"/>
    <cellStyle name="Vírgula 3 7 3 7" xfId="27149" xr:uid="{40C94501-4ED3-40E0-A51A-D21652C2BDAB}"/>
    <cellStyle name="Vírgula 3 7 3 8" xfId="48873" xr:uid="{505C1C87-976E-4ED2-8C63-1D10C6795EB9}"/>
    <cellStyle name="Vírgula 3 7 3 9" xfId="50543" xr:uid="{86B75BB5-EC72-4300-A043-7CC8242B1D6A}"/>
    <cellStyle name="Vírgula 3 7 4" xfId="1471" xr:uid="{FE06E253-BF5C-49CD-89F8-919ADF9C3CD5}"/>
    <cellStyle name="Vírgula 3 7 4 10" xfId="53839" xr:uid="{52CBCE78-F3CE-46B2-AA25-3501BDC1B1AB}"/>
    <cellStyle name="Vírgula 3 7 4 11" xfId="7965" xr:uid="{846F6252-EE9C-42F4-B00A-3CB77FD5BC49}"/>
    <cellStyle name="Vírgula 3 7 4 2" xfId="3132" xr:uid="{842D2D04-0E7F-474D-8B12-B0FB401A3059}"/>
    <cellStyle name="Vírgula 3 7 4 2 2" xfId="38590" xr:uid="{87E9AB7C-6CB4-4380-B7D0-6CACBF8D5C5E}"/>
    <cellStyle name="Vírgula 3 7 4 2 3" xfId="52176" xr:uid="{91A4D1EC-2AB6-43ED-8F02-89319C608C81}"/>
    <cellStyle name="Vírgula 3 7 4 2 4" xfId="55470" xr:uid="{46FC9CDA-2174-4F66-8903-2019A8333246}"/>
    <cellStyle name="Vírgula 3 7 4 2 5" xfId="18250" xr:uid="{7457D52E-3588-4527-87BF-5DC53059CBB6}"/>
    <cellStyle name="Vírgula 3 7 4 3" xfId="21752" xr:uid="{AFF791A0-505E-4AAE-9CFA-2A90CADE9329}"/>
    <cellStyle name="Vírgula 3 7 4 3 2" xfId="42091" xr:uid="{5E485EBA-6448-4CC1-A4DF-76FCC88625D7}"/>
    <cellStyle name="Vírgula 3 7 4 3 3" xfId="57342" xr:uid="{1E064BFC-1A37-454B-9903-29368B87B922}"/>
    <cellStyle name="Vírgula 3 7 4 4" xfId="25007" xr:uid="{B12EFBF1-66E6-49D3-99EA-83EE42AA684E}"/>
    <cellStyle name="Vírgula 3 7 4 4 2" xfId="45342" xr:uid="{6D8BBD7E-0BE9-4E5C-994D-6EE11499B54A}"/>
    <cellStyle name="Vírgula 3 7 4 5" xfId="15342" xr:uid="{E8B489FE-D99F-41EE-982A-5761373E0AF4}"/>
    <cellStyle name="Vírgula 3 7 4 5 2" xfId="35682" xr:uid="{2275DE56-114E-4D04-9D67-9BAAC254E256}"/>
    <cellStyle name="Vírgula 3 7 4 6" xfId="11463" xr:uid="{188EB4D7-4F4E-4B8F-853B-4A6B869B8762}"/>
    <cellStyle name="Vírgula 3 7 4 6 2" xfId="31806" xr:uid="{95658E28-B52E-4DE0-9B9D-5CB4096406EB}"/>
    <cellStyle name="Vírgula 3 7 4 7" xfId="28312" xr:uid="{9F7C9494-F4A8-4AED-899C-0B9AF9F9E509}"/>
    <cellStyle name="Vírgula 3 7 4 8" xfId="48874" xr:uid="{1D699510-D001-4211-8B1A-D433D585AE5A}"/>
    <cellStyle name="Vírgula 3 7 4 9" xfId="50544" xr:uid="{55A255AF-6DEC-43CD-82A9-78C57FA0505C}"/>
    <cellStyle name="Vírgula 3 7 5" xfId="658" xr:uid="{9F6068E6-13C5-49A2-9C82-90E348FD255B}"/>
    <cellStyle name="Vírgula 3 7 5 2" xfId="2374" xr:uid="{BD808FC7-E89D-48A3-9E1E-BFF096DEBAFD}"/>
    <cellStyle name="Vírgula 3 7 5 2 2" xfId="52177" xr:uid="{2723D32A-BCEF-4927-9AB8-25F72F6A0645}"/>
    <cellStyle name="Vírgula 3 7 5 2 3" xfId="55471" xr:uid="{9414137F-85B1-4E2A-BCAE-8F6AD7E952B3}"/>
    <cellStyle name="Vírgula 3 7 5 2 4" xfId="33373" xr:uid="{1DFF1969-C022-4040-A770-8D8C4AA20C17}"/>
    <cellStyle name="Vírgula 3 7 5 3" xfId="48875" xr:uid="{104E9A1F-5117-4894-977A-A45D21041FE4}"/>
    <cellStyle name="Vírgula 3 7 5 3 2" xfId="56529" xr:uid="{FC0D81D1-07A7-4395-995D-6B10659F3FE4}"/>
    <cellStyle name="Vírgula 3 7 5 4" xfId="50545" xr:uid="{FD19DB9F-13C8-43D3-99AD-7A6E0146EF0C}"/>
    <cellStyle name="Vírgula 3 7 5 5" xfId="53840" xr:uid="{258FF010-7B4D-4F89-B7B6-157ED8E6CBCD}"/>
    <cellStyle name="Vírgula 3 7 5 6" xfId="13032" xr:uid="{B9FB5922-4E78-4C79-9F74-4E9345A2A3FE}"/>
    <cellStyle name="Vírgula 3 7 6" xfId="3485" xr:uid="{993F3001-1EE0-479F-9554-C7D7B26A7BF0}"/>
    <cellStyle name="Vírgula 3 7 6 2" xfId="36269" xr:uid="{3B077983-0F31-4D05-847D-D93CD292FB56}"/>
    <cellStyle name="Vírgula 3 7 6 3" xfId="52170" xr:uid="{2AD86DFA-2498-4447-85D9-986F9D1F9BF8}"/>
    <cellStyle name="Vírgula 3 7 6 4" xfId="55464" xr:uid="{14E78F1E-EB34-4966-A005-7FFFED07B533}"/>
    <cellStyle name="Vírgula 3 7 6 5" xfId="15929" xr:uid="{2ED38014-5F57-4F40-B6B2-D1D2D0951555}"/>
    <cellStyle name="Vírgula 3 7 7" xfId="3986" xr:uid="{75D2DF41-41A9-4FC4-9EEB-636EC2DACF3C}"/>
    <cellStyle name="Vírgula 3 7 7 2" xfId="39183" xr:uid="{7FCB21F9-486E-43B2-BDB9-235955ACC6CA}"/>
    <cellStyle name="Vírgula 3 7 7 3" xfId="56120" xr:uid="{5C085CF5-D2EA-4B66-B00C-19ACE599175F}"/>
    <cellStyle name="Vírgula 3 7 7 4" xfId="18843" xr:uid="{2EEE27BB-4810-4E72-9153-C2830925E040}"/>
    <cellStyle name="Vírgula 3 7 8" xfId="1834" xr:uid="{7043A964-CFED-42E2-8A63-09C2202A1999}"/>
    <cellStyle name="Vírgula 3 7 8 2" xfId="39770" xr:uid="{08D3D173-A4DC-4317-9C3E-0236CDB3282C}"/>
    <cellStyle name="Vírgula 3 7 8 3" xfId="19431" xr:uid="{59D06843-B59A-4EA9-B797-E7450141A0BB}"/>
    <cellStyle name="Vírgula 3 7 9" xfId="22686" xr:uid="{AD560EFF-182E-43ED-8BB1-E54FFBEC6CE4}"/>
    <cellStyle name="Vírgula 3 7 9 2" xfId="43021" xr:uid="{4EA86461-71DF-42DC-9420-DD61BAC47BEE}"/>
    <cellStyle name="Vírgula 3 8" xfId="304" xr:uid="{ADF7DE0D-F443-4A61-9B66-FBCDE753A913}"/>
    <cellStyle name="Vírgula 3 8 10" xfId="48876" xr:uid="{C0905DC2-DB66-4CD5-B522-884FA66512AA}"/>
    <cellStyle name="Vírgula 3 8 11" xfId="50546" xr:uid="{766E625A-3F4C-4017-9D95-2263955D3067}"/>
    <cellStyle name="Vírgula 3 8 12" xfId="53841" xr:uid="{93FF2AE4-7462-45C2-8894-2BCBBD7A1243}"/>
    <cellStyle name="Vírgula 3 8 13" xfId="7498" xr:uid="{37F17DED-52B1-43C7-BEED-BF3A0B395D7C}"/>
    <cellStyle name="Vírgula 3 8 14" xfId="4585" xr:uid="{00DDB53B-0936-4C63-9795-41F54992A766}"/>
    <cellStyle name="Vírgula 3 8 2" xfId="1120" xr:uid="{44444B26-6B21-412A-889C-8CABAA161830}"/>
    <cellStyle name="Vírgula 3 8 2 2" xfId="2782" xr:uid="{78547733-9E60-4D27-8945-6B84F84E97E3}"/>
    <cellStyle name="Vírgula 3 8 2 2 2" xfId="52179" xr:uid="{1A3380BE-FBDE-4976-86E4-E945EC0E9DCF}"/>
    <cellStyle name="Vírgula 3 8 2 2 3" xfId="55473" xr:uid="{441C6552-2841-437E-8F33-DB88D7758B8B}"/>
    <cellStyle name="Vírgula 3 8 2 2 4" xfId="35215" xr:uid="{E046F5EF-129C-4F57-93D2-838356021822}"/>
    <cellStyle name="Vírgula 3 8 2 3" xfId="48877" xr:uid="{D9A18A7D-9997-4E23-9456-BA8D55DBD301}"/>
    <cellStyle name="Vírgula 3 8 2 3 2" xfId="56991" xr:uid="{D3B2124B-6213-4896-97B2-4B35F9841ACF}"/>
    <cellStyle name="Vírgula 3 8 2 4" xfId="50547" xr:uid="{04B2403A-FC08-4CE7-AE59-B4E40316923D}"/>
    <cellStyle name="Vírgula 3 8 2 5" xfId="53842" xr:uid="{27200260-636C-43AB-80BE-AD3A16720008}"/>
    <cellStyle name="Vírgula 3 8 2 6" xfId="14875" xr:uid="{866573CC-80CA-4B7B-A97F-5FC03B76C547}"/>
    <cellStyle name="Vírgula 3 8 3" xfId="1526" xr:uid="{4404F0DC-6274-49F1-A8A8-D1BA982E04FA}"/>
    <cellStyle name="Vírgula 3 8 3 2" xfId="3187" xr:uid="{BCF420E8-C0AB-4DCF-8011-1A9BE60758E9}"/>
    <cellStyle name="Vírgula 3 8 3 2 2" xfId="52180" xr:uid="{8A523781-AD1F-4B05-A589-AA403F68BBAA}"/>
    <cellStyle name="Vírgula 3 8 3 2 3" xfId="55474" xr:uid="{5F11988D-2F37-4F91-99B4-DA4BB7B654B3}"/>
    <cellStyle name="Vírgula 3 8 3 2 4" xfId="38123" xr:uid="{F5C8CF2C-478F-4AFD-86F3-6F0D0E3C2F1B}"/>
    <cellStyle name="Vírgula 3 8 3 3" xfId="48878" xr:uid="{9C2746FE-953A-4A92-8536-1BBA2DE8E798}"/>
    <cellStyle name="Vírgula 3 8 3 3 2" xfId="57397" xr:uid="{A30FC7EE-0610-4CD0-A7D5-3299B3B9A386}"/>
    <cellStyle name="Vírgula 3 8 3 4" xfId="50548" xr:uid="{89BB8DDB-9644-4503-A3AD-120C127A7317}"/>
    <cellStyle name="Vírgula 3 8 3 5" xfId="53843" xr:uid="{304929F8-7D83-4BB5-B32D-57C8A58BD514}"/>
    <cellStyle name="Vírgula 3 8 3 6" xfId="17783" xr:uid="{8FAE086D-0FE8-47BC-B103-72DA810A791E}"/>
    <cellStyle name="Vírgula 3 8 4" xfId="713" xr:uid="{A1B84470-BC85-4DF4-B682-E9111948EE60}"/>
    <cellStyle name="Vírgula 3 8 4 2" xfId="2429" xr:uid="{C66EE7BA-0D20-458C-AF7E-756E389E82BD}"/>
    <cellStyle name="Vírgula 3 8 4 2 2" xfId="52181" xr:uid="{30275BCF-5434-493F-B7AE-EB11515F2B0F}"/>
    <cellStyle name="Vírgula 3 8 4 2 3" xfId="55475" xr:uid="{4FEE7058-9B12-4224-B92C-1DE0AEC53C9A}"/>
    <cellStyle name="Vírgula 3 8 4 2 4" xfId="38716" xr:uid="{8DD33B07-DCE1-46E0-B04A-E7FB99E617BE}"/>
    <cellStyle name="Vírgula 3 8 4 3" xfId="48879" xr:uid="{203963ED-9A6C-4022-AA40-40D270AC2EC8}"/>
    <cellStyle name="Vírgula 3 8 4 3 2" xfId="56584" xr:uid="{200EA05E-2FC2-40F0-89CF-A89A12852855}"/>
    <cellStyle name="Vírgula 3 8 4 4" xfId="50549" xr:uid="{74682AB2-2E89-4958-B143-0A926E3397E5}"/>
    <cellStyle name="Vírgula 3 8 4 5" xfId="53844" xr:uid="{C11BB0AC-A364-4A65-A2F1-C23DF132E1B0}"/>
    <cellStyle name="Vírgula 3 8 4 6" xfId="18376" xr:uid="{43C22795-8737-4A81-9D4B-1DB7201D6236}"/>
    <cellStyle name="Vírgula 3 8 5" xfId="3704" xr:uid="{28081A7F-1D9E-4AA2-B903-7FB2DA0E42ED}"/>
    <cellStyle name="Vírgula 3 8 5 2" xfId="41624" xr:uid="{AAE33591-7A1C-45E2-82E2-1EB62DB4B78E}"/>
    <cellStyle name="Vírgula 3 8 5 3" xfId="52178" xr:uid="{CBBC5AB8-4EF6-4446-A304-F03FBCABA8C9}"/>
    <cellStyle name="Vírgula 3 8 5 4" xfId="55472" xr:uid="{E9D2234E-834E-497B-B59E-BBCA1F9E3ED4}"/>
    <cellStyle name="Vírgula 3 8 5 5" xfId="21285" xr:uid="{97FEE525-FF8B-475E-BD76-39D30959BA36}"/>
    <cellStyle name="Vírgula 3 8 6" xfId="4158" xr:uid="{7F66021E-AC3A-4BFB-8662-DCD13A6CFAA5}"/>
    <cellStyle name="Vírgula 3 8 6 2" xfId="44875" xr:uid="{9E8C6EDC-2BB5-40B3-8442-6D765DF2C9F7}"/>
    <cellStyle name="Vírgula 3 8 6 3" xfId="56175" xr:uid="{3488CB2B-B9DE-4C0B-ACDA-E83BE7E11BD1}"/>
    <cellStyle name="Vírgula 3 8 6 4" xfId="24540" xr:uid="{DE46EDE3-C8EE-4979-9EDE-D85E6569417A}"/>
    <cellStyle name="Vírgula 3 8 7" xfId="2105" xr:uid="{C80B72D0-EBA5-4888-9A5A-BB008F2441D1}"/>
    <cellStyle name="Vírgula 3 8 7 2" xfId="32277" xr:uid="{A2730311-C601-473F-B62B-D2A87B7EB0D7}"/>
    <cellStyle name="Vírgula 3 8 7 3" xfId="11936" xr:uid="{14B989D1-53E4-4511-8382-1D922D439F1C}"/>
    <cellStyle name="Vírgula 3 8 8" xfId="10996" xr:uid="{40B0C63D-6B2B-4C76-A1B5-288192BB6BB9}"/>
    <cellStyle name="Vírgula 3 8 8 2" xfId="31339" xr:uid="{6024A86E-5EB5-4C71-BFD6-2C7B21444571}"/>
    <cellStyle name="Vírgula 3 8 9" xfId="27845" xr:uid="{934664C7-A998-4AB5-946E-76A4B7FF08BE}"/>
    <cellStyle name="Vírgula 3 9" xfId="113" xr:uid="{E78213C9-400C-4F36-BFD3-1C7BA6E5EC65}"/>
    <cellStyle name="Vírgula 3 9 10" xfId="8254" xr:uid="{DEE581CB-2B79-4387-9645-8BF9F1545547}"/>
    <cellStyle name="Vírgula 3 9 11" xfId="4396" xr:uid="{A2549350-3F29-41FD-89E3-08EBD361274B}"/>
    <cellStyle name="Vírgula 3 9 2" xfId="931" xr:uid="{8C7E5584-50EA-4F88-9E06-7A47A9E32BE6}"/>
    <cellStyle name="Vírgula 3 9 2 2" xfId="2646" xr:uid="{1C6DB4D4-E9A6-4EF4-9C38-9417C1EB624B}"/>
    <cellStyle name="Vírgula 3 9 2 2 2" xfId="52183" xr:uid="{D996C537-812F-4899-8F78-700939C4CCC9}"/>
    <cellStyle name="Vírgula 3 9 2 2 3" xfId="55477" xr:uid="{9DA2E02A-7B4E-4B9F-941D-12CB38C5B194}"/>
    <cellStyle name="Vírgula 3 9 2 2 4" xfId="42377" xr:uid="{C72053A6-82D7-4104-AC2B-463B2C45ACAD}"/>
    <cellStyle name="Vírgula 3 9 2 3" xfId="48881" xr:uid="{F471EDE7-4964-488B-A298-F0E8F06F612A}"/>
    <cellStyle name="Vírgula 3 9 2 3 2" xfId="56802" xr:uid="{02273608-21C7-4166-B02A-D66BFDF8759F}"/>
    <cellStyle name="Vírgula 3 9 2 4" xfId="50551" xr:uid="{5EAEDE0C-A8F4-497C-9E67-FCF4CAE281C0}"/>
    <cellStyle name="Vírgula 3 9 2 5" xfId="53846" xr:uid="{C6B01594-5362-457A-ABCB-970B4FB71F2A}"/>
    <cellStyle name="Vírgula 3 9 2 6" xfId="22041" xr:uid="{700952C7-B746-4347-960E-20C53F1DE43B}"/>
    <cellStyle name="Vírgula 3 9 3" xfId="1337" xr:uid="{CEC8B979-AEDD-457F-AF22-5C4347A2CD6C}"/>
    <cellStyle name="Vírgula 3 9 3 2" xfId="2998" xr:uid="{FAA3E604-2444-466A-BF58-616AC019F7A3}"/>
    <cellStyle name="Vírgula 3 9 3 2 2" xfId="52184" xr:uid="{B247DA34-5D11-452B-82A8-289E062F7FD8}"/>
    <cellStyle name="Vírgula 3 9 3 2 3" xfId="55478" xr:uid="{5A6961F1-1A2A-40DF-87A1-6D5CDF238F29}"/>
    <cellStyle name="Vírgula 3 9 3 2 4" xfId="45628" xr:uid="{56B85177-B664-4113-B157-41D14CD43EE8}"/>
    <cellStyle name="Vírgula 3 9 3 3" xfId="48882" xr:uid="{892851CE-8C28-40F0-AC12-1B3C7C6C4EEB}"/>
    <cellStyle name="Vírgula 3 9 3 3 2" xfId="57208" xr:uid="{EBA7806E-1143-4EFE-927B-3F39EDF92286}"/>
    <cellStyle name="Vírgula 3 9 3 4" xfId="50552" xr:uid="{B491D71F-303E-4C86-B6E4-53E03C15E909}"/>
    <cellStyle name="Vírgula 3 9 3 5" xfId="53847" xr:uid="{A3105013-D1DA-441E-A3DE-3DA43B0673B1}"/>
    <cellStyle name="Vírgula 3 9 3 6" xfId="25293" xr:uid="{37A90892-D898-418B-8ED3-195345D77549}"/>
    <cellStyle name="Vírgula 3 9 4" xfId="524" xr:uid="{2423B163-AA46-4970-96CF-6C35BD77091E}"/>
    <cellStyle name="Vírgula 3 9 4 2" xfId="2240" xr:uid="{5CC199D2-50F2-48C0-97A3-80993EF7C900}"/>
    <cellStyle name="Vírgula 3 9 4 2 2" xfId="52185" xr:uid="{790A5445-6BA6-4BBA-9EC6-302C9DA52356}"/>
    <cellStyle name="Vírgula 3 9 4 2 3" xfId="55479" xr:uid="{A4B03C9B-01AF-463F-9247-AE17342DE03E}"/>
    <cellStyle name="Vírgula 3 9 4 2 4" xfId="32869" xr:uid="{6E19E6FA-C42B-4F7B-A723-243C36F74D04}"/>
    <cellStyle name="Vírgula 3 9 4 3" xfId="48883" xr:uid="{663DE6BF-3598-4EC7-B8E6-C3289F4191DC}"/>
    <cellStyle name="Vírgula 3 9 4 3 2" xfId="56395" xr:uid="{9F9F2DA0-8176-4B25-94D7-65A4025CC916}"/>
    <cellStyle name="Vírgula 3 9 4 4" xfId="50553" xr:uid="{E749DF5B-2916-4849-B86E-82E3D7983760}"/>
    <cellStyle name="Vírgula 3 9 4 5" xfId="53848" xr:uid="{BE53DABB-56D9-460C-8719-A73BFF34E64B}"/>
    <cellStyle name="Vírgula 3 9 4 6" xfId="12528" xr:uid="{EC9DD549-BAAA-4BEA-B889-0321850146F4}"/>
    <cellStyle name="Vírgula 3 9 5" xfId="2057" xr:uid="{297BA02C-435D-48DE-868E-C4A370BD1FE9}"/>
    <cellStyle name="Vírgula 3 9 5 2" xfId="32092" xr:uid="{BAF1E6F3-77B1-4827-AD85-C4A5033E461E}"/>
    <cellStyle name="Vírgula 3 9 5 3" xfId="52182" xr:uid="{D41B5CBF-03CD-4721-A630-9C24B0711357}"/>
    <cellStyle name="Vírgula 3 9 5 4" xfId="55476" xr:uid="{8BE88642-0C01-4B3D-A528-BF6876CFA679}"/>
    <cellStyle name="Vírgula 3 9 5 5" xfId="11750" xr:uid="{216B44F0-64FA-4A4D-A502-ABC5B224F259}"/>
    <cellStyle name="Vírgula 3 9 6" xfId="28598" xr:uid="{9DC1F070-4BC4-4D1B-945D-EB7D43CE4B24}"/>
    <cellStyle name="Vírgula 3 9 6 2" xfId="55986" xr:uid="{0363BF4F-B871-4A00-827D-B529BEF71CF2}"/>
    <cellStyle name="Vírgula 3 9 7" xfId="48880" xr:uid="{9E03CC04-8752-49A4-A0DC-0C780E45A24A}"/>
    <cellStyle name="Vírgula 3 9 8" xfId="50550" xr:uid="{66013A80-CFE5-4A9C-AD53-2F210E04C3B0}"/>
    <cellStyle name="Vírgula 3 9 9" xfId="53845" xr:uid="{EA59E6FC-211C-4292-9889-742ABE52CFE0}"/>
    <cellStyle name="Vírgula 30" xfId="4338" xr:uid="{4362D773-CDDF-417C-AFE7-6CCF4B01C978}"/>
    <cellStyle name="Vírgula 30 2" xfId="29022" xr:uid="{8B268181-9A0F-44C9-8CA8-D78AF75AB6B2}"/>
    <cellStyle name="Vírgula 30 3" xfId="8679" xr:uid="{CA5D612C-AC0B-4B3E-AAF9-6A480EC984ED}"/>
    <cellStyle name="Vírgula 31" xfId="4343" xr:uid="{BA90AE02-AAF1-40DE-923F-CA4E07D63CFF}"/>
    <cellStyle name="Vírgula 31 2" xfId="25524" xr:uid="{5CF4E1C4-469E-4E01-A3A5-47D27997862C}"/>
    <cellStyle name="Vírgula 32" xfId="4348" xr:uid="{50D12DFF-5186-41BC-A94E-8B71A002BD82}"/>
    <cellStyle name="Vírgula 32 2" xfId="25474" xr:uid="{C425A72F-62B3-4081-8620-5426CE47E9C2}"/>
    <cellStyle name="Vírgula 33" xfId="4350" xr:uid="{8C29050C-5109-44AC-BA89-80760709F9BC}"/>
    <cellStyle name="Vírgula 33 2" xfId="45806" xr:uid="{12586367-4404-4851-A2A9-80E5205F34A2}"/>
    <cellStyle name="Vírgula 34" xfId="14" xr:uid="{9FCE7B61-4859-4648-B086-32497781287E}"/>
    <cellStyle name="Vírgula 34 2" xfId="45808" xr:uid="{295E33FD-BB3C-4C32-8FB4-82DE6068A1DB}"/>
    <cellStyle name="Vírgula 35" xfId="4361" xr:uid="{6EB8BD0C-41F3-4034-AD1F-7B6CCF3613A3}"/>
    <cellStyle name="Vírgula 35 2" xfId="45811" xr:uid="{D32F8848-556B-42AC-A4D4-346F24ADBE24}"/>
    <cellStyle name="Vírgula 36" xfId="46297" xr:uid="{99D4EDF9-3740-42F1-BDEA-D2A929EA17D3}"/>
    <cellStyle name="Vírgula 37" xfId="46783" xr:uid="{1D407602-BECD-423B-AF3F-196AA5019095}"/>
    <cellStyle name="Vírgula 38" xfId="46786" xr:uid="{A0CDC1BA-99B6-4727-8DF7-CCBEBE1CD846}"/>
    <cellStyle name="Vírgula 39" xfId="46789" xr:uid="{90702F63-856E-41C8-BAA9-2BF570980CF9}"/>
    <cellStyle name="Vírgula 4" xfId="11" xr:uid="{AC670EAD-66DB-44D9-A13F-019185A05304}"/>
    <cellStyle name="Vírgula 4 10" xfId="49" xr:uid="{0D686A65-58FB-4393-AF53-4FD319E227B9}"/>
    <cellStyle name="Vírgula 4 10 10" xfId="12405" xr:uid="{64C7108C-92CB-4974-8D2B-81C43EABAFAE}"/>
    <cellStyle name="Vírgula 4 10 10 2" xfId="32746" xr:uid="{C53C121D-CD88-495B-AFF8-03A6772A2495}"/>
    <cellStyle name="Vírgula 4 10 11" xfId="9144" xr:uid="{786A52F0-76BB-4ECC-8C72-9A25DFA4DB3D}"/>
    <cellStyle name="Vírgula 4 10 11 2" xfId="29487" xr:uid="{ACACCA40-C572-4DB6-8570-54EF7FAB38CD}"/>
    <cellStyle name="Vírgula 4 10 12" xfId="25993" xr:uid="{72283058-AA80-41C9-BD33-7974C2827AEF}"/>
    <cellStyle name="Vírgula 4 10 13" xfId="48885" xr:uid="{AAE08ADC-6F29-46F6-958A-5B6C099A18D3}"/>
    <cellStyle name="Vírgula 4 10 14" xfId="50555" xr:uid="{F9B0BCE6-535F-42EF-8A27-0D2A8D6BA442}"/>
    <cellStyle name="Vírgula 4 10 15" xfId="53850" xr:uid="{0478E119-CECD-4653-B4BC-845EA129472E}"/>
    <cellStyle name="Vírgula 4 10 16" xfId="5654" xr:uid="{D49560B4-F119-4D1E-A574-C086A33861B6}"/>
    <cellStyle name="Vírgula 4 10 17" xfId="4780" xr:uid="{D3FBFA7B-6742-4E1C-A8F5-2629FC1C5DF1}"/>
    <cellStyle name="Vírgula 4 10 2" xfId="917" xr:uid="{15F550CB-8591-47CD-BD76-2EA30B455203}"/>
    <cellStyle name="Vírgula 4 10 2 10" xfId="50556" xr:uid="{38571656-BA52-41F7-8679-ACBD633A9EC6}"/>
    <cellStyle name="Vírgula 4 10 2 11" xfId="53851" xr:uid="{6E723CC1-1ED5-47A6-A53D-C7C589B89E7F}"/>
    <cellStyle name="Vírgula 4 10 2 12" xfId="6226" xr:uid="{0EDD4E25-0E20-47A7-879A-9AE3F2A3B207}"/>
    <cellStyle name="Vírgula 4 10 2 2" xfId="2633" xr:uid="{2EBEDCEC-E4E6-4DAB-9942-C5A729D78D5B}"/>
    <cellStyle name="Vírgula 4 10 2 2 10" xfId="7384" xr:uid="{E0877E67-B81B-49E2-9E68-673EEB453D62}"/>
    <cellStyle name="Vírgula 4 10 2 2 2" xfId="17670" xr:uid="{04A9A858-E1F4-42F3-B76F-B6E723691C1B}"/>
    <cellStyle name="Vírgula 4 10 2 2 2 2" xfId="38010" xr:uid="{B683F123-66AA-4B52-9061-19F296B25664}"/>
    <cellStyle name="Vírgula 4 10 2 2 3" xfId="21172" xr:uid="{4369478E-BF9A-440F-B48A-AC90FF537CBE}"/>
    <cellStyle name="Vírgula 4 10 2 2 3 2" xfId="41511" xr:uid="{029FBA71-35CD-4463-AF03-BAD8AD463FCD}"/>
    <cellStyle name="Vírgula 4 10 2 2 4" xfId="24427" xr:uid="{05D9FD97-33F9-41A9-A120-1A6A8B0147A8}"/>
    <cellStyle name="Vírgula 4 10 2 2 4 2" xfId="44762" xr:uid="{4165EE8C-482F-4AC9-92AD-926CFA32F8D9}"/>
    <cellStyle name="Vírgula 4 10 2 2 5" xfId="14761" xr:uid="{DF06FAEF-9A3F-401E-AD54-8F8780535144}"/>
    <cellStyle name="Vírgula 4 10 2 2 5 2" xfId="35102" xr:uid="{822DD30D-FF36-4536-A186-68D8C7A59DA8}"/>
    <cellStyle name="Vírgula 4 10 2 2 6" xfId="10883" xr:uid="{966EE6E4-2117-466D-9B9A-1FC5CE78E148}"/>
    <cellStyle name="Vírgula 4 10 2 2 6 2" xfId="31226" xr:uid="{6CB85A7B-287A-46C4-A7C2-E53F53846944}"/>
    <cellStyle name="Vírgula 4 10 2 2 7" xfId="27732" xr:uid="{46398813-29CC-432D-91C8-C90D2477EDBA}"/>
    <cellStyle name="Vírgula 4 10 2 2 8" xfId="52188" xr:uid="{240E5DA7-8D8B-4BD6-9D4C-3254662E0832}"/>
    <cellStyle name="Vírgula 4 10 2 2 9" xfId="55482" xr:uid="{47340191-EF8E-4890-983F-00D238EBEC5B}"/>
    <cellStyle name="Vírgula 4 10 2 3" xfId="16512" xr:uid="{14B36472-932A-40DE-B7E3-C3FE7BA0C66E}"/>
    <cellStyle name="Vírgula 4 10 2 3 2" xfId="36852" xr:uid="{4BA5D038-6836-496D-8BCF-EBAB0059D36F}"/>
    <cellStyle name="Vírgula 4 10 2 3 3" xfId="56788" xr:uid="{4563426B-5EFD-4BB9-BADE-BB4DF8A35EF1}"/>
    <cellStyle name="Vírgula 4 10 2 4" xfId="20014" xr:uid="{FF946CAA-9C68-4609-9A7F-7F311EC41D23}"/>
    <cellStyle name="Vírgula 4 10 2 4 2" xfId="40353" xr:uid="{BFBA963B-3B18-4893-8E6E-620999B39AAC}"/>
    <cellStyle name="Vírgula 4 10 2 5" xfId="23269" xr:uid="{23E77AB9-EE77-4850-80F1-738D74D1315D}"/>
    <cellStyle name="Vírgula 4 10 2 5 2" xfId="43604" xr:uid="{3F4ECF52-719B-46E9-B8BC-6F697638828D}"/>
    <cellStyle name="Vírgula 4 10 2 6" xfId="13603" xr:uid="{2910BBDF-ACDE-4519-8854-B5F406984FC2}"/>
    <cellStyle name="Vírgula 4 10 2 6 2" xfId="33944" xr:uid="{6165835C-A1E5-46DF-99F4-DA6AA84310F6}"/>
    <cellStyle name="Vírgula 4 10 2 7" xfId="9725" xr:uid="{F395A596-A299-4E71-9F94-D5B192818AC3}"/>
    <cellStyle name="Vírgula 4 10 2 7 2" xfId="30068" xr:uid="{B97BB3C3-6FF9-4E0E-AF4B-BE8D0F634003}"/>
    <cellStyle name="Vírgula 4 10 2 8" xfId="26574" xr:uid="{553A2F2A-F524-4BA8-A7C8-CC2C72B4A4B6}"/>
    <cellStyle name="Vírgula 4 10 2 9" xfId="48886" xr:uid="{1826DABF-5679-4C81-9A36-D00E11DE6719}"/>
    <cellStyle name="Vírgula 4 10 3" xfId="1323" xr:uid="{4884B06A-294A-4B1F-8FCE-D5391A1CA847}"/>
    <cellStyle name="Vírgula 4 10 3 10" xfId="53852" xr:uid="{D0ADCD59-27DB-4BF9-9C59-DBED297C4BD0}"/>
    <cellStyle name="Vírgula 4 10 3 11" xfId="6803" xr:uid="{2C3C6081-16AD-41CB-A712-6C15D3016BD1}"/>
    <cellStyle name="Vírgula 4 10 3 2" xfId="2984" xr:uid="{2E439F6B-4834-4BDB-8126-0F92C7EA1A50}"/>
    <cellStyle name="Vírgula 4 10 3 2 2" xfId="37429" xr:uid="{EAE0E878-7B8B-4679-A94A-54C876BF9C07}"/>
    <cellStyle name="Vírgula 4 10 3 2 3" xfId="52189" xr:uid="{374A6CA9-E768-4296-8942-70815DA6B2F7}"/>
    <cellStyle name="Vírgula 4 10 3 2 4" xfId="55483" xr:uid="{BBC90212-BEA5-4B24-802D-AC368D6DAD9F}"/>
    <cellStyle name="Vírgula 4 10 3 2 5" xfId="17089" xr:uid="{97AF56FA-49DB-44BE-B15F-6C0C255B7362}"/>
    <cellStyle name="Vírgula 4 10 3 3" xfId="20591" xr:uid="{4AD77965-4298-49DB-B918-429431CB7C5A}"/>
    <cellStyle name="Vírgula 4 10 3 3 2" xfId="40930" xr:uid="{D5FABC3F-A9CA-47FF-9EFE-723FBC5B1807}"/>
    <cellStyle name="Vírgula 4 10 3 3 3" xfId="57194" xr:uid="{98C7ED97-4277-4E01-B889-9F81FD272347}"/>
    <cellStyle name="Vírgula 4 10 3 4" xfId="23846" xr:uid="{CC000B54-0616-4710-A62F-30875F77540F}"/>
    <cellStyle name="Vírgula 4 10 3 4 2" xfId="44181" xr:uid="{1D597AED-8607-43AC-B4EC-0DE4A56C06BB}"/>
    <cellStyle name="Vírgula 4 10 3 5" xfId="14180" xr:uid="{00E72CB4-1259-420A-89CE-E17856F080A1}"/>
    <cellStyle name="Vírgula 4 10 3 5 2" xfId="34521" xr:uid="{3EA48E84-86ED-43D6-B09F-8419B0F05E98}"/>
    <cellStyle name="Vírgula 4 10 3 6" xfId="10302" xr:uid="{8F1B80B6-9946-4B49-BFFE-BA635E3DEEF1}"/>
    <cellStyle name="Vírgula 4 10 3 6 2" xfId="30645" xr:uid="{9E560175-F36A-41D7-9F0A-A4A89E38C801}"/>
    <cellStyle name="Vírgula 4 10 3 7" xfId="27151" xr:uid="{1571CD39-9106-452F-B297-81CF694E1A27}"/>
    <cellStyle name="Vírgula 4 10 3 8" xfId="48887" xr:uid="{80EDFDD1-8716-4A99-A772-64CFE5C8253F}"/>
    <cellStyle name="Vírgula 4 10 3 9" xfId="50557" xr:uid="{A888B9AC-94EB-44A5-8323-B7EC9C61E268}"/>
    <cellStyle name="Vírgula 4 10 4" xfId="510" xr:uid="{DE5288F8-4886-4C82-B7D5-18F3DE75EE3C}"/>
    <cellStyle name="Vírgula 4 10 4 10" xfId="53853" xr:uid="{29F7478F-8A38-4C98-8B75-DDD0421767E8}"/>
    <cellStyle name="Vírgula 4 10 4 11" xfId="7967" xr:uid="{76EB5175-B266-4BEA-B3AD-5DBEAB92D983}"/>
    <cellStyle name="Vírgula 4 10 4 2" xfId="2226" xr:uid="{78F5CD30-725E-4A6A-A256-DAE089ED1FFE}"/>
    <cellStyle name="Vírgula 4 10 4 2 2" xfId="38592" xr:uid="{C9FC6B6B-D49B-44EE-A866-3DC32FB4EF1D}"/>
    <cellStyle name="Vírgula 4 10 4 2 3" xfId="52190" xr:uid="{1EE42B71-8DD1-4875-92E7-D113688D271E}"/>
    <cellStyle name="Vírgula 4 10 4 2 4" xfId="55484" xr:uid="{F51BE6B3-D499-4B2F-9985-1D150B460C8C}"/>
    <cellStyle name="Vírgula 4 10 4 2 5" xfId="18252" xr:uid="{7FE1E44E-0E92-4D70-8DC3-9DCF68C80C0A}"/>
    <cellStyle name="Vírgula 4 10 4 3" xfId="21754" xr:uid="{DD15B450-2CC4-4E2B-AE23-311C173C3643}"/>
    <cellStyle name="Vírgula 4 10 4 3 2" xfId="42093" xr:uid="{73B0FA19-8B68-4BA2-B9AB-439984AE6E4C}"/>
    <cellStyle name="Vírgula 4 10 4 3 3" xfId="56381" xr:uid="{DA9A6843-468C-4EA3-BFB9-38C601592FD0}"/>
    <cellStyle name="Vírgula 4 10 4 4" xfId="25009" xr:uid="{5FA4D6FD-4ACB-4DD7-B1D3-38060438EDE3}"/>
    <cellStyle name="Vírgula 4 10 4 4 2" xfId="45344" xr:uid="{E2AF007A-879F-423A-9866-25649496131D}"/>
    <cellStyle name="Vírgula 4 10 4 5" xfId="15344" xr:uid="{A20F1165-6952-4BE0-8CB8-16AF7CCDD3DD}"/>
    <cellStyle name="Vírgula 4 10 4 5 2" xfId="35684" xr:uid="{BF1F58CF-F36A-445B-91D0-09167F3A69CB}"/>
    <cellStyle name="Vírgula 4 10 4 6" xfId="11465" xr:uid="{C49B7691-6C44-40AA-AB87-D941472B679A}"/>
    <cellStyle name="Vírgula 4 10 4 6 2" xfId="31808" xr:uid="{8A81D22E-E07D-421A-8F24-A4F36A79E3F9}"/>
    <cellStyle name="Vírgula 4 10 4 7" xfId="28314" xr:uid="{E4B08DA6-5FA7-4E7C-9D38-10F2AFB62053}"/>
    <cellStyle name="Vírgula 4 10 4 8" xfId="48888" xr:uid="{62DEA47E-A928-4661-82D8-E165D975722B}"/>
    <cellStyle name="Vírgula 4 10 4 9" xfId="50558" xr:uid="{191263D0-3AC5-477A-AD1E-5505FA23064E}"/>
    <cellStyle name="Vírgula 4 10 5" xfId="4161" xr:uid="{79E855FC-3D3D-4B49-AC97-484DF78076D7}"/>
    <cellStyle name="Vírgula 4 10 5 2" xfId="33375" xr:uid="{15F62D0A-1043-44DA-A3AC-6400FAE8305F}"/>
    <cellStyle name="Vírgula 4 10 5 3" xfId="52187" xr:uid="{B8B077BF-C825-4EEB-BC5C-856BB6FC8EA4}"/>
    <cellStyle name="Vírgula 4 10 5 4" xfId="55481" xr:uid="{5A8464B0-DA34-4B75-9E00-8BF646870830}"/>
    <cellStyle name="Vírgula 4 10 5 5" xfId="13034" xr:uid="{4E944D04-B4EA-424D-AE9D-77C55E23FA13}"/>
    <cellStyle name="Vírgula 4 10 6" xfId="2054" xr:uid="{37906007-AF50-4D46-91F3-AF02AB6C9A7A}"/>
    <cellStyle name="Vírgula 4 10 6 2" xfId="36271" xr:uid="{3C2AE9AB-47D1-44FB-9013-E30D701AB3B4}"/>
    <cellStyle name="Vírgula 4 10 6 3" xfId="55972" xr:uid="{0FC487AA-7053-4732-AA34-54728ECBE6CE}"/>
    <cellStyle name="Vírgula 4 10 6 4" xfId="15931" xr:uid="{7677D068-471B-4B6D-B7B0-7AAEDB0EFF9B}"/>
    <cellStyle name="Vírgula 4 10 7" xfId="18845" xr:uid="{F816BD36-C56B-40D3-8199-054671B7CF05}"/>
    <cellStyle name="Vírgula 4 10 7 2" xfId="39185" xr:uid="{3B4D2066-1BB4-472A-A4B1-2E9D83F1FAE5}"/>
    <cellStyle name="Vírgula 4 10 8" xfId="19433" xr:uid="{D926701D-26AC-4F49-9CEE-EE09A72BE443}"/>
    <cellStyle name="Vírgula 4 10 8 2" xfId="39772" xr:uid="{F9D53909-C14F-4562-A1DF-B3B38003A9EB}"/>
    <cellStyle name="Vírgula 4 10 9" xfId="22688" xr:uid="{AFB9BC95-3798-4B1E-B61B-E53E5E857F66}"/>
    <cellStyle name="Vírgula 4 10 9 2" xfId="43023" xr:uid="{947CB9A0-9E6B-4F6A-A52C-599DD903794D}"/>
    <cellStyle name="Vírgula 4 11" xfId="492" xr:uid="{8933F8BF-CBFE-4CD8-8C45-B72203973C0A}"/>
    <cellStyle name="Vírgula 4 11 10" xfId="50559" xr:uid="{56E7686B-5C01-4D4F-9C64-AD5C3EC1B951}"/>
    <cellStyle name="Vírgula 4 11 11" xfId="53854" xr:uid="{E22EF5D6-0253-425F-BF19-00937A1E15FE}"/>
    <cellStyle name="Vírgula 4 11 12" xfId="5768" xr:uid="{A4C5F903-52DB-4F63-BC89-69CC35259CCC}"/>
    <cellStyle name="Vírgula 4 11 2" xfId="1711" xr:uid="{E4F9B9E8-A833-4475-B87F-CD3EFA6E063E}"/>
    <cellStyle name="Vírgula 4 11 2 10" xfId="53855" xr:uid="{6CB5EB8D-4CDE-4AFC-9EFA-0594945A357E}"/>
    <cellStyle name="Vírgula 4 11 2 11" xfId="6926" xr:uid="{243EB72C-614E-4E77-A57B-FF4A428D1CCE}"/>
    <cellStyle name="Vírgula 4 11 2 2" xfId="3371" xr:uid="{C4399A56-AAE4-4DDB-8D5C-C090B4CB91F9}"/>
    <cellStyle name="Vírgula 4 11 2 2 2" xfId="37552" xr:uid="{7F915D6E-82AE-4008-BAD4-106E56FB5E9E}"/>
    <cellStyle name="Vírgula 4 11 2 2 3" xfId="52192" xr:uid="{BE381F3E-6A34-48AA-90A4-601A7D0F3606}"/>
    <cellStyle name="Vírgula 4 11 2 2 4" xfId="55486" xr:uid="{FECD24A3-A0B1-4BD4-A396-21C4BF22F052}"/>
    <cellStyle name="Vírgula 4 11 2 2 5" xfId="17212" xr:uid="{518B9893-D425-4252-B2F0-58ACCDE39D8A}"/>
    <cellStyle name="Vírgula 4 11 2 3" xfId="20714" xr:uid="{C93A1780-16E6-4819-9D3C-26E4D2E2723C}"/>
    <cellStyle name="Vírgula 4 11 2 3 2" xfId="41053" xr:uid="{FD0FA012-1360-407A-8007-80FA9AE979F6}"/>
    <cellStyle name="Vírgula 4 11 2 3 3" xfId="57582" xr:uid="{40A28B9E-1886-4DEE-82A6-D3892F6059A7}"/>
    <cellStyle name="Vírgula 4 11 2 4" xfId="23969" xr:uid="{3F0303BC-3BF5-470E-8191-C0B7062F643C}"/>
    <cellStyle name="Vírgula 4 11 2 4 2" xfId="44304" xr:uid="{94A92A09-D1B5-46F7-A35D-06C6DA916DD9}"/>
    <cellStyle name="Vírgula 4 11 2 5" xfId="14303" xr:uid="{F8A83D6F-6B9D-49BD-AE34-712296DAD90B}"/>
    <cellStyle name="Vírgula 4 11 2 5 2" xfId="34644" xr:uid="{242D2971-2961-4A86-8407-6BA078FFD378}"/>
    <cellStyle name="Vírgula 4 11 2 6" xfId="10425" xr:uid="{EB499213-2E4E-43D6-A36E-DD6F3F3266BA}"/>
    <cellStyle name="Vírgula 4 11 2 6 2" xfId="30768" xr:uid="{A90FD455-EB7D-4D3D-9C47-2C3704D61C56}"/>
    <cellStyle name="Vírgula 4 11 2 7" xfId="27274" xr:uid="{A7C51372-2F8C-4215-939D-35D5AD768071}"/>
    <cellStyle name="Vírgula 4 11 2 8" xfId="48890" xr:uid="{26AE7107-9D00-4736-9B26-5DE7B0C54AFD}"/>
    <cellStyle name="Vírgula 4 11 2 9" xfId="50560" xr:uid="{64A9ADDF-BDB7-4711-854E-FF3A2D7C2CA9}"/>
    <cellStyle name="Vírgula 4 11 3" xfId="2208" xr:uid="{56E35C98-5A3B-4C2B-AD8D-FEF50B2E8D88}"/>
    <cellStyle name="Vírgula 4 11 3 2" xfId="36394" xr:uid="{4E5294D1-0308-42F1-B449-0115921F458B}"/>
    <cellStyle name="Vírgula 4 11 3 3" xfId="52191" xr:uid="{48A63EB1-C64D-4B4D-AAEB-875343148317}"/>
    <cellStyle name="Vírgula 4 11 3 4" xfId="55485" xr:uid="{635C9506-C3F4-48F6-9907-E1EC59B8644C}"/>
    <cellStyle name="Vírgula 4 11 3 5" xfId="16054" xr:uid="{E74722A8-A9E1-402F-A75D-A45803524FF5}"/>
    <cellStyle name="Vírgula 4 11 4" xfId="19556" xr:uid="{FF80F4B7-EC89-4B6C-A166-839D4338D8AA}"/>
    <cellStyle name="Vírgula 4 11 4 2" xfId="39895" xr:uid="{A84EC151-4735-4855-8A22-46F925241B7D}"/>
    <cellStyle name="Vírgula 4 11 4 3" xfId="56363" xr:uid="{662E9583-4550-48C4-AB8B-3C310A8DD4C9}"/>
    <cellStyle name="Vírgula 4 11 5" xfId="22811" xr:uid="{81B70B07-4A7F-481E-8DE0-D92634BE3995}"/>
    <cellStyle name="Vírgula 4 11 5 2" xfId="43146" xr:uid="{374C88E0-0DF7-492E-83E1-3892B1D1410C}"/>
    <cellStyle name="Vírgula 4 11 6" xfId="12531" xr:uid="{8DA14A47-AAB7-4F48-B447-417B4D7BECE5}"/>
    <cellStyle name="Vírgula 4 11 6 2" xfId="32872" xr:uid="{90C2C43D-38A5-49BC-A507-62E2FAF0E259}"/>
    <cellStyle name="Vírgula 4 11 7" xfId="9267" xr:uid="{12BE4832-B759-4115-91E0-AB3898B03008}"/>
    <cellStyle name="Vírgula 4 11 7 2" xfId="29610" xr:uid="{77C37947-A925-4420-8714-7D4867D3D7C3}"/>
    <cellStyle name="Vírgula 4 11 8" xfId="26116" xr:uid="{4B681D6E-A206-4ADA-AAC9-92EFA56E8182}"/>
    <cellStyle name="Vírgula 4 11 9" xfId="48889" xr:uid="{80FF2E22-A82B-4FE8-985D-FD117FF04F7B}"/>
    <cellStyle name="Vírgula 4 12" xfId="899" xr:uid="{E73F04DC-711D-48B4-B7E9-E2FAC8EB4140}"/>
    <cellStyle name="Vírgula 4 12 10" xfId="53856" xr:uid="{775CD326-C474-43F6-9A26-3F51BDFD5C68}"/>
    <cellStyle name="Vírgula 4 12 11" xfId="6345" xr:uid="{11ECBA85-EF15-4026-92A1-8A6DDEF5AE26}"/>
    <cellStyle name="Vírgula 4 12 2" xfId="2615" xr:uid="{0DF27487-C234-4199-AC6A-835C66DD1512}"/>
    <cellStyle name="Vírgula 4 12 2 2" xfId="36971" xr:uid="{1448ACF9-D417-4919-85D8-BB56C770FA37}"/>
    <cellStyle name="Vírgula 4 12 2 3" xfId="52193" xr:uid="{33898A5A-3327-4055-B86C-C65DD6276658}"/>
    <cellStyle name="Vírgula 4 12 2 4" xfId="55487" xr:uid="{EA3C945A-4C7D-4D1E-9F5C-AA51FFF48474}"/>
    <cellStyle name="Vírgula 4 12 2 5" xfId="16631" xr:uid="{78E52DBC-CF90-4B59-B1E3-0066880EEEB1}"/>
    <cellStyle name="Vírgula 4 12 3" xfId="20133" xr:uid="{B955EDC2-8C6C-4031-BB00-20EB048361F8}"/>
    <cellStyle name="Vírgula 4 12 3 2" xfId="40472" xr:uid="{39426F32-8B6E-4422-8C39-3BA4540BA3EB}"/>
    <cellStyle name="Vírgula 4 12 3 3" xfId="56770" xr:uid="{F383FC07-F1B9-4EBC-AFCC-2610C55ED564}"/>
    <cellStyle name="Vírgula 4 12 4" xfId="23388" xr:uid="{04AF4B46-4437-460A-91B0-B6B6AD0D314B}"/>
    <cellStyle name="Vírgula 4 12 4 2" xfId="43723" xr:uid="{3A28C235-3FF0-4027-A310-0B8A27E4C191}"/>
    <cellStyle name="Vírgula 4 12 5" xfId="13722" xr:uid="{6D7EF5E5-3C93-4375-9E6E-C57E3D6F9BF6}"/>
    <cellStyle name="Vírgula 4 12 5 2" xfId="34063" xr:uid="{B835B62D-6EDB-4707-891F-3D10A22ED480}"/>
    <cellStyle name="Vírgula 4 12 6" xfId="9844" xr:uid="{19B7BD75-070F-466B-B687-897401818C38}"/>
    <cellStyle name="Vírgula 4 12 6 2" xfId="30187" xr:uid="{194DF2D7-DF64-4DB7-B486-EAC4F7D4687A}"/>
    <cellStyle name="Vírgula 4 12 7" xfId="26693" xr:uid="{6F2EF186-972C-41B6-8303-2D1186C21A46}"/>
    <cellStyle name="Vírgula 4 12 8" xfId="48891" xr:uid="{3A5764D6-D1CE-4C1D-818D-A5C1B5F56105}"/>
    <cellStyle name="Vírgula 4 12 9" xfId="50561" xr:uid="{62746CAE-B7A9-4620-8058-3D69AE093947}"/>
    <cellStyle name="Vírgula 4 13" xfId="1306" xr:uid="{80AA7AF7-23CD-4222-A237-F085455FFD8A}"/>
    <cellStyle name="Vírgula 4 13 10" xfId="53857" xr:uid="{E4F6883F-F8B3-4884-B00A-74369AE50399}"/>
    <cellStyle name="Vírgula 4 13 11" xfId="7509" xr:uid="{9664AA28-46E8-4C45-9B5F-74D524D7696F}"/>
    <cellStyle name="Vírgula 4 13 2" xfId="2967" xr:uid="{CCD876A5-AA0A-46DD-91D1-C179ABAF57D5}"/>
    <cellStyle name="Vírgula 4 13 2 2" xfId="38134" xr:uid="{7598C41F-2257-4C21-A728-ADEDC13104DA}"/>
    <cellStyle name="Vírgula 4 13 2 3" xfId="52194" xr:uid="{24D90666-D7D3-4DB6-8743-BC6CCF0929DF}"/>
    <cellStyle name="Vírgula 4 13 2 4" xfId="55488" xr:uid="{66F6B7DB-1F3F-4F37-AEA6-124FD4EFD2CD}"/>
    <cellStyle name="Vírgula 4 13 2 5" xfId="17794" xr:uid="{E1300738-D84B-4C89-97B9-809E2B1A90B0}"/>
    <cellStyle name="Vírgula 4 13 3" xfId="21296" xr:uid="{913AB0E1-D644-4E26-B8E6-FDEED69A18B3}"/>
    <cellStyle name="Vírgula 4 13 3 2" xfId="41635" xr:uid="{FE783E4A-E093-44EF-A47C-A7EA17A20AFD}"/>
    <cellStyle name="Vírgula 4 13 3 3" xfId="57177" xr:uid="{7BD13604-B641-4669-95F1-B38BBEE03856}"/>
    <cellStyle name="Vírgula 4 13 4" xfId="24551" xr:uid="{2C423F0D-F3AC-4500-84BC-2D16F10810DF}"/>
    <cellStyle name="Vírgula 4 13 4 2" xfId="44886" xr:uid="{8736F63B-1B8D-4037-8AC5-26D5478AE098}"/>
    <cellStyle name="Vírgula 4 13 5" xfId="14886" xr:uid="{37BEF91F-B0D1-4EAE-A197-80A0471D9DD6}"/>
    <cellStyle name="Vírgula 4 13 5 2" xfId="35226" xr:uid="{235808FD-3BAD-4DD5-901E-D3AFEA790FC2}"/>
    <cellStyle name="Vírgula 4 13 6" xfId="11007" xr:uid="{FC01F863-B15A-4BA9-ABBF-45DA12F7BD08}"/>
    <cellStyle name="Vírgula 4 13 6 2" xfId="31350" xr:uid="{087B9EFD-5B55-453F-9841-3EF3828970D0}"/>
    <cellStyle name="Vírgula 4 13 7" xfId="27856" xr:uid="{8F5C0358-575B-4B87-B518-6D98A03011D4}"/>
    <cellStyle name="Vírgula 4 13 8" xfId="48892" xr:uid="{CDD6157C-1825-4292-9193-8D21FE6BCE88}"/>
    <cellStyle name="Vírgula 4 13 9" xfId="50562" xr:uid="{2091A8A4-EA50-41F3-A2AC-FADF1E45E65E}"/>
    <cellStyle name="Vírgula 4 14" xfId="490" xr:uid="{C0BEEA9E-0DB3-49BE-8009-DD5C9BD610F4}"/>
    <cellStyle name="Vírgula 4 14 10" xfId="8278" xr:uid="{8589EA11-901E-465E-871D-EAC83B198BD6}"/>
    <cellStyle name="Vírgula 4 14 2" xfId="2206" xr:uid="{C5D993F9-55C7-49E9-B4FC-D57E4E75F0AF}"/>
    <cellStyle name="Vírgula 4 14 2 2" xfId="42401" xr:uid="{B061A9EB-91F0-4ECC-B4BA-74D5D92B3AC1}"/>
    <cellStyle name="Vírgula 4 14 2 3" xfId="52195" xr:uid="{31C890C1-94DA-446F-B4D4-82444463A2C7}"/>
    <cellStyle name="Vírgula 4 14 2 4" xfId="55489" xr:uid="{EAD1BC71-06D8-49EC-8FA4-B16574FEFD27}"/>
    <cellStyle name="Vírgula 4 14 2 5" xfId="22065" xr:uid="{9FCEAC5A-ED52-493A-8511-1E8521B57E47}"/>
    <cellStyle name="Vírgula 4 14 3" xfId="25317" xr:uid="{7B1D4B4B-6F00-41D2-A4A7-53586C97BE74}"/>
    <cellStyle name="Vírgula 4 14 3 2" xfId="45652" xr:uid="{998170A5-B8F0-4E8D-8C13-3207CC4CA724}"/>
    <cellStyle name="Vírgula 4 14 3 3" xfId="56361" xr:uid="{3449B4F5-BBC1-4CBA-9AF3-A532DE680518}"/>
    <cellStyle name="Vírgula 4 14 4" xfId="15473" xr:uid="{A3F1713D-BEE6-4485-A462-E802F75FF7B3}"/>
    <cellStyle name="Vírgula 4 14 4 2" xfId="35813" xr:uid="{DF03E81A-138E-4B00-8CDB-CF13EB24591E}"/>
    <cellStyle name="Vírgula 4 14 5" xfId="11774" xr:uid="{D4866F61-CC87-4EA7-9B35-8D1CEA11F932}"/>
    <cellStyle name="Vírgula 4 14 5 2" xfId="32116" xr:uid="{93657984-408F-4AEA-AE90-BC2A1E6764CD}"/>
    <cellStyle name="Vírgula 4 14 6" xfId="28622" xr:uid="{8F935311-279B-477F-A692-893E0C840BE9}"/>
    <cellStyle name="Vírgula 4 14 7" xfId="48893" xr:uid="{FB697333-DAD0-4D73-A704-4FE42ABA691A}"/>
    <cellStyle name="Vírgula 4 14 8" xfId="50563" xr:uid="{397F934C-18DF-490F-97D2-0E2F6EC9A216}"/>
    <cellStyle name="Vírgula 4 14 9" xfId="53858" xr:uid="{674A5365-4403-444E-BD25-EDF984238E44}"/>
    <cellStyle name="Vírgula 4 15" xfId="25" xr:uid="{499BB4BB-7D97-4642-9A31-319265B72FE1}"/>
    <cellStyle name="Vírgula 4 15 2" xfId="2070" xr:uid="{CE3CDEB4-DA2E-44A2-AF40-ECFCD445513F}"/>
    <cellStyle name="Vírgula 4 15 2 2" xfId="38727" xr:uid="{F441536A-86DC-49D3-8D3B-5FDFE8D5E87C}"/>
    <cellStyle name="Vírgula 4 15 2 3" xfId="18387" xr:uid="{77E833FF-B280-4421-A82B-1F74B44D625C}"/>
    <cellStyle name="Vírgula 4 15 3" xfId="28783" xr:uid="{08685696-8182-43C9-8585-20DD91D37FF6}"/>
    <cellStyle name="Vírgula 4 15 4" xfId="52186" xr:uid="{32284AE5-127F-4BD0-8F99-635DA501F7A7}"/>
    <cellStyle name="Vírgula 4 15 5" xfId="55480" xr:uid="{CBC316CD-791A-4C04-886B-B4DB7FA8F0E5}"/>
    <cellStyle name="Vírgula 4 15 6" xfId="8440" xr:uid="{0DE66092-485C-4D57-A13C-3B8BBA162489}"/>
    <cellStyle name="Vírgula 4 16" xfId="3379" xr:uid="{16812224-C8EF-4521-89BD-F1ECC23EBA70}"/>
    <cellStyle name="Vírgula 4 16 2" xfId="4333" xr:uid="{737C04AD-527F-4E05-A98F-03AE2FD581CB}"/>
    <cellStyle name="Vírgula 4 16 2 2" xfId="39314" xr:uid="{AEE98F69-F82F-4A0D-9C49-30EDAF836204}"/>
    <cellStyle name="Vírgula 4 16 3" xfId="4342" xr:uid="{BF7252C3-8384-46EE-9343-8B201889DA28}"/>
    <cellStyle name="Vírgula 4 16 3 2" xfId="55955" xr:uid="{0E2B3453-90C6-4D3E-A60B-8C6F48D628FD}"/>
    <cellStyle name="Vírgula 4 16 4" xfId="4347" xr:uid="{6E66A59A-A010-468B-B05E-07D691203C3B}"/>
    <cellStyle name="Vírgula 4 16 5" xfId="18975" xr:uid="{29A3C50B-EFD2-46D7-80CB-A5FFC68C50C0}"/>
    <cellStyle name="Vírgula 4 17" xfId="3818" xr:uid="{71CE7E4F-AEB1-4CE6-85EB-F1978A3E0398}"/>
    <cellStyle name="Vírgula 4 17 2" xfId="42565" xr:uid="{0D0BC92F-1323-469F-AF5A-4D60DF7787A2}"/>
    <cellStyle name="Vírgula 4 17 3" xfId="22230" xr:uid="{AA37AB48-C228-4959-B5C7-05ACA915C008}"/>
    <cellStyle name="Vírgula 4 18" xfId="4330" xr:uid="{7E98A871-33F6-4E11-BECE-96DF66C63957}"/>
    <cellStyle name="Vírgula 4 18 2" xfId="32288" xr:uid="{FBB78442-11EE-4D64-800F-57B10C41CCEF}"/>
    <cellStyle name="Vírgula 4 18 3" xfId="11947" xr:uid="{5BA3797B-B375-4FB6-AF08-1D35B092BC92}"/>
    <cellStyle name="Vírgula 4 19" xfId="1717" xr:uid="{99316183-17F3-40D5-BB9B-6DC658BD7BAB}"/>
    <cellStyle name="Vírgula 4 19 2" xfId="29029" xr:uid="{1B822911-8453-4E81-8F36-74942F219AAC}"/>
    <cellStyle name="Vírgula 4 19 3" xfId="8686" xr:uid="{7E38EAC2-2D4B-4B45-9E16-38250F7BD9AE}"/>
    <cellStyle name="Vírgula 4 2" xfId="124" xr:uid="{46E4F55A-03BD-4F6D-8D79-EBD96A9B5733}"/>
    <cellStyle name="Vírgula 4 2 10" xfId="533" xr:uid="{D18BC993-AEB0-42CE-8473-7E92D82FB322}"/>
    <cellStyle name="Vírgula 4 2 10 10" xfId="53860" xr:uid="{93F9BCDD-4D9F-4C09-8542-6CBB8FA2AAAA}"/>
    <cellStyle name="Vírgula 4 2 10 11" xfId="7538" xr:uid="{A6A15D3D-D371-4EA0-9778-46976293423C}"/>
    <cellStyle name="Vírgula 4 2 10 2" xfId="2249" xr:uid="{8ECB4209-542C-458E-A09C-2408E8389497}"/>
    <cellStyle name="Vírgula 4 2 10 2 2" xfId="38163" xr:uid="{9A317CF6-8AC0-46EC-982A-EAA41B2BCBDA}"/>
    <cellStyle name="Vírgula 4 2 10 2 3" xfId="52197" xr:uid="{3746BB8E-AEE2-48A5-95AC-CDA92EB97533}"/>
    <cellStyle name="Vírgula 4 2 10 2 4" xfId="55491" xr:uid="{3857F1BE-E95F-43F8-9378-8629134B7ED5}"/>
    <cellStyle name="Vírgula 4 2 10 2 5" xfId="17823" xr:uid="{EBDA0116-FB53-4B69-B1D4-759003F8806C}"/>
    <cellStyle name="Vírgula 4 2 10 3" xfId="21325" xr:uid="{15E35C59-6F47-4381-A859-D0DCCA9CE7DA}"/>
    <cellStyle name="Vírgula 4 2 10 3 2" xfId="41664" xr:uid="{59D46018-E586-4B05-B540-8AFF0BEDECEE}"/>
    <cellStyle name="Vírgula 4 2 10 3 3" xfId="56404" xr:uid="{E3337393-E9A4-4C93-AD1B-126CE2ED69BC}"/>
    <cellStyle name="Vírgula 4 2 10 4" xfId="24580" xr:uid="{8D74CF8E-90D5-46E3-BDAC-D6959E279B4F}"/>
    <cellStyle name="Vírgula 4 2 10 4 2" xfId="44915" xr:uid="{33D2BD53-20F8-4B1A-8BFF-EEBB59444945}"/>
    <cellStyle name="Vírgula 4 2 10 5" xfId="14915" xr:uid="{2DCA575F-F197-46EF-B51F-4E0F8752DE1F}"/>
    <cellStyle name="Vírgula 4 2 10 5 2" xfId="35255" xr:uid="{760E0892-AFF7-4E4F-9904-97BB82D8973E}"/>
    <cellStyle name="Vírgula 4 2 10 6" xfId="11036" xr:uid="{385A43CC-17A7-449D-B2A6-ED83B4C3DCF2}"/>
    <cellStyle name="Vírgula 4 2 10 6 2" xfId="31379" xr:uid="{8F3A57F0-5FA2-4CCA-B1FC-6BADF73FC2E4}"/>
    <cellStyle name="Vírgula 4 2 10 7" xfId="27885" xr:uid="{1DE2A513-E5B3-44E9-AE1E-99E0D4635DC5}"/>
    <cellStyle name="Vírgula 4 2 10 8" xfId="48895" xr:uid="{9932B187-1CCE-4165-9026-67CD1700B06C}"/>
    <cellStyle name="Vírgula 4 2 10 9" xfId="50565" xr:uid="{221A2851-D730-4796-9025-7594D6DAD3AD}"/>
    <cellStyle name="Vírgula 4 2 11" xfId="3385" xr:uid="{CE1F148E-804F-4E83-BB98-7D3FB58AC7FF}"/>
    <cellStyle name="Vírgula 4 2 11 2" xfId="22066" xr:uid="{A7418B5A-F8C4-4695-9E4D-06034BEF4F36}"/>
    <cellStyle name="Vírgula 4 2 11 2 2" xfId="42402" xr:uid="{CC8DAF6D-93BD-4EC4-A318-AF5850ADEE63}"/>
    <cellStyle name="Vírgula 4 2 11 3" xfId="25318" xr:uid="{78A12147-E8BA-42DF-A096-7F573D416189}"/>
    <cellStyle name="Vírgula 4 2 11 3 2" xfId="45653" xr:uid="{25268F2F-6996-448F-81D0-B294D106BBB2}"/>
    <cellStyle name="Vírgula 4 2 11 4" xfId="12613" xr:uid="{298205E5-1BE1-43F9-AE8B-5648CBA3379C}"/>
    <cellStyle name="Vírgula 4 2 11 4 2" xfId="32954" xr:uid="{1566745E-B677-4364-81FF-66121D846A51}"/>
    <cellStyle name="Vírgula 4 2 11 5" xfId="11775" xr:uid="{2D72763E-CEAD-4855-9D2C-14999015514F}"/>
    <cellStyle name="Vírgula 4 2 11 5 2" xfId="32117" xr:uid="{32A98D2E-504D-41B4-8D0A-0349B445AA0C}"/>
    <cellStyle name="Vírgula 4 2 11 6" xfId="28623" xr:uid="{02DB5EE2-42EB-4146-802D-519828560488}"/>
    <cellStyle name="Vírgula 4 2 11 7" xfId="52196" xr:uid="{03B71E85-CC6B-4B55-8280-4BDF2193071E}"/>
    <cellStyle name="Vírgula 4 2 11 8" xfId="55490" xr:uid="{4A815D96-342B-46A2-AB27-BFE5D9C0352A}"/>
    <cellStyle name="Vírgula 4 2 11 9" xfId="8279" xr:uid="{9ECFE5B0-0AFF-4A95-94B8-E407FD8163A6}"/>
    <cellStyle name="Vírgula 4 2 12" xfId="3828" xr:uid="{B2DA59B1-B28C-4C18-9596-EE2D7D33EF4C}"/>
    <cellStyle name="Vírgula 4 2 12 2" xfId="15502" xr:uid="{34D95603-6B19-421D-9FD5-EF8375013439}"/>
    <cellStyle name="Vírgula 4 2 12 2 2" xfId="35842" xr:uid="{D2F45C8D-72A6-4C72-A4AE-76028E670784}"/>
    <cellStyle name="Vírgula 4 2 12 3" xfId="28796" xr:uid="{376B7225-D484-44C5-B1D0-150804BE9260}"/>
    <cellStyle name="Vírgula 4 2 12 4" xfId="55995" xr:uid="{A7B30F95-E82D-4011-AA59-2DF5DD915753}"/>
    <cellStyle name="Vírgula 4 2 12 5" xfId="8453" xr:uid="{D5D203D0-8770-4E71-8D50-9DEC753543A4}"/>
    <cellStyle name="Vírgula 4 2 13" xfId="1733" xr:uid="{2FFABE4A-9F2F-4760-B94E-7960B9C9E2FA}"/>
    <cellStyle name="Vírgula 4 2 13 2" xfId="38756" xr:uid="{C757EB03-41F7-4570-B63D-2DDC7CF6C6F9}"/>
    <cellStyle name="Vírgula 4 2 13 3" xfId="18416" xr:uid="{6CEAC360-0481-4B65-B931-1B61A983F60D}"/>
    <cellStyle name="Vírgula 4 2 14" xfId="19004" xr:uid="{51110526-1327-429B-9367-FD3644505563}"/>
    <cellStyle name="Vírgula 4 2 14 2" xfId="39343" xr:uid="{CA93C3C0-9E22-4FEB-B19B-0901E04D8E23}"/>
    <cellStyle name="Vírgula 4 2 15" xfId="22259" xr:uid="{4962276C-D24B-448B-96DC-DB6BFFA3D1CB}"/>
    <cellStyle name="Vírgula 4 2 15 2" xfId="42594" xr:uid="{99E69D72-746B-4EB4-A37E-5944FF2CF0C1}"/>
    <cellStyle name="Vírgula 4 2 16" xfId="11976" xr:uid="{6FBF4CC5-7037-4C42-A846-9A6DA671ACB1}"/>
    <cellStyle name="Vírgula 4 2 16 2" xfId="32317" xr:uid="{6DA731B1-23CF-4907-B331-7B40F6101732}"/>
    <cellStyle name="Vírgula 4 2 17" xfId="8715" xr:uid="{B269F6D7-1BE8-499C-AFD9-D0258E2B8475}"/>
    <cellStyle name="Vírgula 4 2 17 2" xfId="29058" xr:uid="{B1EE585B-1435-4394-9E53-3DCEFC6042B6}"/>
    <cellStyle name="Vírgula 4 2 18" xfId="25560" xr:uid="{33C53D68-B92E-404C-9197-83A4D7F6E282}"/>
    <cellStyle name="Vírgula 4 2 19" xfId="45828" xr:uid="{39B4E620-8879-4F78-8E5F-3E1CE840144F}"/>
    <cellStyle name="Vírgula 4 2 2" xfId="138" xr:uid="{55C6DBFA-2F1A-4C92-9D40-B58E2DF531C3}"/>
    <cellStyle name="Vírgula 4 2 2 10" xfId="3397" xr:uid="{D6C06F5D-0714-4893-958A-F4E4D36E16AA}"/>
    <cellStyle name="Vírgula 4 2 2 10 2" xfId="22067" xr:uid="{A04A4B3D-4522-45D3-8CAE-343946DD72A7}"/>
    <cellStyle name="Vírgula 4 2 2 10 2 2" xfId="42403" xr:uid="{B55BFD76-E487-489C-B4DB-7C0E32904D18}"/>
    <cellStyle name="Vírgula 4 2 2 10 3" xfId="25319" xr:uid="{53081532-22D8-4997-92F2-870B02AB98D6}"/>
    <cellStyle name="Vírgula 4 2 2 10 3 2" xfId="45654" xr:uid="{E48EBC8B-07BB-4D68-9DBA-812D8068FFF6}"/>
    <cellStyle name="Vírgula 4 2 2 10 4" xfId="12636" xr:uid="{FD6AF0CC-77AC-49B8-9468-2382FFD1B187}"/>
    <cellStyle name="Vírgula 4 2 2 10 4 2" xfId="32977" xr:uid="{CEEB6E92-D5A6-4EA7-BED0-862FBB46DF30}"/>
    <cellStyle name="Vírgula 4 2 2 10 5" xfId="11776" xr:uid="{89D2E6A4-B6F6-4458-BF67-B288E0C62358}"/>
    <cellStyle name="Vírgula 4 2 2 10 5 2" xfId="32118" xr:uid="{DD54CC79-D67A-4754-BBC2-19BA58600913}"/>
    <cellStyle name="Vírgula 4 2 2 10 6" xfId="28624" xr:uid="{9B3E3668-C4F3-4530-891A-1092DD97E3E7}"/>
    <cellStyle name="Vírgula 4 2 2 10 7" xfId="52198" xr:uid="{9754D488-972C-4B96-9C28-6A64721375F0}"/>
    <cellStyle name="Vírgula 4 2 2 10 8" xfId="55492" xr:uid="{3BBB7855-1574-4D37-8090-9835C5C99EA5}"/>
    <cellStyle name="Vírgula 4 2 2 10 9" xfId="8280" xr:uid="{04908F03-3E11-419C-ABE4-C68A44564528}"/>
    <cellStyle name="Vírgula 4 2 2 11" xfId="3849" xr:uid="{275611AD-4465-49F1-8FA5-591C4BDBAA5C}"/>
    <cellStyle name="Vírgula 4 2 2 11 2" xfId="15530" xr:uid="{B2EE6C4D-DE58-46F4-9D8A-2A824788A6F8}"/>
    <cellStyle name="Vírgula 4 2 2 11 2 2" xfId="35870" xr:uid="{D503F9E1-7C77-4642-AD89-040488204321}"/>
    <cellStyle name="Vírgula 4 2 2 11 3" xfId="28824" xr:uid="{747C03AF-8A0A-4D94-873E-EAE410E74D62}"/>
    <cellStyle name="Vírgula 4 2 2 11 4" xfId="56009" xr:uid="{7B1AABA3-0EA1-4700-9E32-EDCF7695ACEF}"/>
    <cellStyle name="Vírgula 4 2 2 11 5" xfId="8481" xr:uid="{AD36CD94-679E-4C71-AB38-9A9620CD2090}"/>
    <cellStyle name="Vírgula 4 2 2 12" xfId="1745" xr:uid="{51C3B468-3C19-4727-A1F9-11B2BBEF0D24}"/>
    <cellStyle name="Vírgula 4 2 2 12 2" xfId="38784" xr:uid="{9E5D8BCC-14D6-4770-BBAF-388ADFE717BD}"/>
    <cellStyle name="Vírgula 4 2 2 12 3" xfId="18444" xr:uid="{11188FCE-C639-4FB8-B86B-5859F8AFB787}"/>
    <cellStyle name="Vírgula 4 2 2 13" xfId="19032" xr:uid="{6A2F6123-3FE0-4DC5-8EE8-4AB3A9E7542F}"/>
    <cellStyle name="Vírgula 4 2 2 13 2" xfId="39371" xr:uid="{F30B5061-A1D2-4862-801D-63598FA34F16}"/>
    <cellStyle name="Vírgula 4 2 2 14" xfId="22287" xr:uid="{A81D26EB-2BD2-47C5-BB05-015A10CF4C5F}"/>
    <cellStyle name="Vírgula 4 2 2 14 2" xfId="42622" xr:uid="{446AEF6E-EF4F-4697-A023-31BEFD33EA11}"/>
    <cellStyle name="Vírgula 4 2 2 15" xfId="12004" xr:uid="{F981F34B-FA8D-4872-BC67-52F8B5789372}"/>
    <cellStyle name="Vírgula 4 2 2 15 2" xfId="32345" xr:uid="{74F24286-23BB-4311-BFC2-5F1D18E10675}"/>
    <cellStyle name="Vírgula 4 2 2 16" xfId="8743" xr:uid="{C2A471E5-5534-4A6A-8182-425964FF79D4}"/>
    <cellStyle name="Vírgula 4 2 2 16 2" xfId="29086" xr:uid="{38E7E34D-4D0D-4DC0-A57E-7A712B8E1BCE}"/>
    <cellStyle name="Vírgula 4 2 2 17" xfId="25588" xr:uid="{2B561ED9-C77D-4BC5-850B-11CECED4558E}"/>
    <cellStyle name="Vírgula 4 2 2 18" xfId="45856" xr:uid="{5D47A789-E5D4-45D2-8E10-2C1E8223B862}"/>
    <cellStyle name="Vírgula 4 2 2 19" xfId="46342" xr:uid="{F3D26DEE-605B-4CD0-9714-0F39A2283AAF}"/>
    <cellStyle name="Vírgula 4 2 2 2" xfId="167" xr:uid="{8DC79007-F1FA-4E74-B9DA-A558611FF967}"/>
    <cellStyle name="Vírgula 4 2 2 2 10" xfId="1771" xr:uid="{913BFD93-AFD0-4707-B9A8-CB580F2963AA}"/>
    <cellStyle name="Vírgula 4 2 2 2 10 2" xfId="42737" xr:uid="{1403ECB7-5022-42BC-9F46-E559F7C4912A}"/>
    <cellStyle name="Vírgula 4 2 2 2 10 3" xfId="22402" xr:uid="{B5FEA8A6-58A3-49C2-BC1A-13A7AA392DB4}"/>
    <cellStyle name="Vírgula 4 2 2 2 11" xfId="12119" xr:uid="{4A8416A4-9092-4D42-850F-39A11203F5D8}"/>
    <cellStyle name="Vírgula 4 2 2 2 11 2" xfId="32460" xr:uid="{8307EB03-BAC2-482B-B16B-FBAEB78E69ED}"/>
    <cellStyle name="Vírgula 4 2 2 2 12" xfId="8858" xr:uid="{2276885B-6BC2-49E8-98B2-953241AEC408}"/>
    <cellStyle name="Vírgula 4 2 2 2 12 2" xfId="29201" xr:uid="{F96EE683-3687-4AEB-B8E4-AC729A35EFFD}"/>
    <cellStyle name="Vírgula 4 2 2 2 13" xfId="25707" xr:uid="{C8B89E22-9B70-4F72-BC5D-DC9612BDAAA6}"/>
    <cellStyle name="Vírgula 4 2 2 2 14" xfId="45916" xr:uid="{8F8D04A4-116E-453D-B3E4-8CF3DA6570C3}"/>
    <cellStyle name="Vírgula 4 2 2 2 15" xfId="46402" xr:uid="{715A7B9C-D201-4126-8B40-C1722321FFFC}"/>
    <cellStyle name="Vírgula 4 2 2 2 16" xfId="46894" xr:uid="{C28A97B0-2440-42A5-9CB8-1B3246206BC2}"/>
    <cellStyle name="Vírgula 4 2 2 2 17" xfId="47355" xr:uid="{3C74EB76-08A5-43DC-844F-F01105205CB5}"/>
    <cellStyle name="Vírgula 4 2 2 2 18" xfId="47481" xr:uid="{3BA19195-2DCA-4391-91F3-99B501CE489E}"/>
    <cellStyle name="Vírgula 4 2 2 2 19" xfId="47607" xr:uid="{B631B44F-BBD8-4F2A-9FBC-00C1B6DDD95D}"/>
    <cellStyle name="Vírgula 4 2 2 2 2" xfId="245" xr:uid="{5301B9BB-FA3A-4269-AB6A-DB09A3FE5491}"/>
    <cellStyle name="Vírgula 4 2 2 2 2 10" xfId="12506" xr:uid="{0380428E-73B1-42DE-943C-CEA36C501871}"/>
    <cellStyle name="Vírgula 4 2 2 2 2 10 2" xfId="32847" xr:uid="{95985724-E614-4D6C-8C05-181697194CB4}"/>
    <cellStyle name="Vírgula 4 2 2 2 2 11" xfId="9245" xr:uid="{4D0F7FF6-3768-411D-AA79-F31CC835084C}"/>
    <cellStyle name="Vírgula 4 2 2 2 2 11 2" xfId="29588" xr:uid="{DC20416B-B99A-45EF-8A16-3B2AA0750483}"/>
    <cellStyle name="Vírgula 4 2 2 2 2 12" xfId="26094" xr:uid="{65B4EB8B-D5F9-4B41-81AB-AB439607C70E}"/>
    <cellStyle name="Vírgula 4 2 2 2 2 13" xfId="46003" xr:uid="{5375FAC0-D0D0-421D-B945-3664B1CEBAB2}"/>
    <cellStyle name="Vírgula 4 2 2 2 2 14" xfId="46489" xr:uid="{A117A285-FF64-43F9-A356-5D02F61D638E}"/>
    <cellStyle name="Vírgula 4 2 2 2 2 15" xfId="46981" xr:uid="{2BA178F1-E1FF-480C-A852-86E5C0027CA6}"/>
    <cellStyle name="Vírgula 4 2 2 2 2 16" xfId="47411" xr:uid="{E119C54E-F8B9-4558-9B31-E4F37A522BAA}"/>
    <cellStyle name="Vírgula 4 2 2 2 2 17" xfId="47537" xr:uid="{FED2953C-A31C-4F09-ACF3-D7A882481EB9}"/>
    <cellStyle name="Vírgula 4 2 2 2 2 18" xfId="47663" xr:uid="{4826D276-15DF-45A9-959E-2AAB6489B640}"/>
    <cellStyle name="Vírgula 4 2 2 2 2 19" xfId="48898" xr:uid="{23293CC6-3AE5-4D1E-9C1B-E15D00EAE307}"/>
    <cellStyle name="Vírgula 4 2 2 2 2 2" xfId="434" xr:uid="{F706154B-07D2-4B9C-B0CE-C0ED44CAA4B8}"/>
    <cellStyle name="Vírgula 4 2 2 2 2 2 10" xfId="46732" xr:uid="{3315ABB1-C546-44E7-B76B-E5540B35F8BC}"/>
    <cellStyle name="Vírgula 4 2 2 2 2 2 11" xfId="47224" xr:uid="{1BC3B401-E635-4D64-A7DC-3889D83A7266}"/>
    <cellStyle name="Vírgula 4 2 2 2 2 2 12" xfId="48899" xr:uid="{93DD98F1-E658-4AD1-A8F6-8D90582F901A}"/>
    <cellStyle name="Vírgula 4 2 2 2 2 2 13" xfId="50569" xr:uid="{2B2E4D83-6B41-48A8-A2F8-EC169D451556}"/>
    <cellStyle name="Vírgula 4 2 2 2 2 2 14" xfId="53864" xr:uid="{24191573-CF73-4497-94A0-2F954383DBA9}"/>
    <cellStyle name="Vírgula 4 2 2 2 2 2 15" xfId="6327" xr:uid="{26DD1641-4FB1-4EAC-AEDB-562CCD6036F9}"/>
    <cellStyle name="Vírgula 4 2 2 2 2 2 16" xfId="4715" xr:uid="{75D2EE93-16B4-4DD2-9D38-5ABDD952F302}"/>
    <cellStyle name="Vírgula 4 2 2 2 2 2 2" xfId="1250" xr:uid="{9EB2941A-27FD-482C-82D7-58EBCC44C088}"/>
    <cellStyle name="Vírgula 4 2 2 2 2 2 2 10" xfId="53865" xr:uid="{D5B6184E-3B24-476B-8B3F-BC9D2CB42B9F}"/>
    <cellStyle name="Vírgula 4 2 2 2 2 2 2 11" xfId="7485" xr:uid="{D39DFB56-FB24-4456-A0C8-340E7EE76624}"/>
    <cellStyle name="Vírgula 4 2 2 2 2 2 2 2" xfId="2911" xr:uid="{F25362DC-B9D5-47C3-8DD5-9ADD2861EA6E}"/>
    <cellStyle name="Vírgula 4 2 2 2 2 2 2 2 2" xfId="38111" xr:uid="{2D3EABE3-622F-44A1-9249-8DD6D268EB68}"/>
    <cellStyle name="Vírgula 4 2 2 2 2 2 2 2 3" xfId="52202" xr:uid="{AA4B06F5-CF1B-42EE-94CF-3EC58D4C3C39}"/>
    <cellStyle name="Vírgula 4 2 2 2 2 2 2 2 4" xfId="55496" xr:uid="{011A8BAA-6971-463F-A114-9D090F813864}"/>
    <cellStyle name="Vírgula 4 2 2 2 2 2 2 2 5" xfId="17771" xr:uid="{A70C9E62-E443-4641-B732-9EED994850D6}"/>
    <cellStyle name="Vírgula 4 2 2 2 2 2 2 3" xfId="21273" xr:uid="{63C76F72-9D3C-43BC-8062-5A16883C6FC1}"/>
    <cellStyle name="Vírgula 4 2 2 2 2 2 2 3 2" xfId="41612" xr:uid="{4B7B8352-69D7-455B-B26F-6B73C4393633}"/>
    <cellStyle name="Vírgula 4 2 2 2 2 2 2 3 3" xfId="57121" xr:uid="{B41BD186-E249-41D1-94D6-4333E8E0981D}"/>
    <cellStyle name="Vírgula 4 2 2 2 2 2 2 4" xfId="24528" xr:uid="{24905B7F-0271-4A9C-8C1A-634ADBE2C38E}"/>
    <cellStyle name="Vírgula 4 2 2 2 2 2 2 4 2" xfId="44863" xr:uid="{3E015E49-8F89-4A4C-BD95-001946648299}"/>
    <cellStyle name="Vírgula 4 2 2 2 2 2 2 5" xfId="14862" xr:uid="{5CA30911-115B-4C8A-A78E-9B4BC324335F}"/>
    <cellStyle name="Vírgula 4 2 2 2 2 2 2 5 2" xfId="35203" xr:uid="{9259D3B6-C8FC-419A-B2FF-81ADF563B6D4}"/>
    <cellStyle name="Vírgula 4 2 2 2 2 2 2 6" xfId="10984" xr:uid="{E2585602-D172-4A1E-9962-1723C723FBE5}"/>
    <cellStyle name="Vírgula 4 2 2 2 2 2 2 6 2" xfId="31327" xr:uid="{5F3EB430-104D-4C53-814A-C64690D0BB31}"/>
    <cellStyle name="Vírgula 4 2 2 2 2 2 2 7" xfId="27833" xr:uid="{FF50E224-178E-4FED-BEF3-B9AE39F76A67}"/>
    <cellStyle name="Vírgula 4 2 2 2 2 2 2 8" xfId="48900" xr:uid="{0209AE24-DEA9-4737-8CCF-1F1F2DB3BA68}"/>
    <cellStyle name="Vírgula 4 2 2 2 2 2 2 9" xfId="50570" xr:uid="{D4984828-2815-4186-A70F-BD5A3B33A5DC}"/>
    <cellStyle name="Vírgula 4 2 2 2 2 2 3" xfId="1656" xr:uid="{F5680B9D-BAB6-4319-A44E-20A3C56CEF3C}"/>
    <cellStyle name="Vírgula 4 2 2 2 2 2 3 2" xfId="3316" xr:uid="{03A24352-F186-4D00-B1D6-B03CE8583E4A}"/>
    <cellStyle name="Vírgula 4 2 2 2 2 2 3 2 2" xfId="52203" xr:uid="{8F24C06A-21F8-404B-A829-AF778FA1891F}"/>
    <cellStyle name="Vírgula 4 2 2 2 2 2 3 2 3" xfId="55497" xr:uid="{EB2A88D3-B1F0-4330-8847-66998A99DA36}"/>
    <cellStyle name="Vírgula 4 2 2 2 2 2 3 2 4" xfId="36953" xr:uid="{D20D5EBE-1595-4C16-B76F-D38B073577A8}"/>
    <cellStyle name="Vírgula 4 2 2 2 2 2 3 3" xfId="48901" xr:uid="{7C6BD5D5-8B2B-4B29-A12C-8049E82A11DF}"/>
    <cellStyle name="Vírgula 4 2 2 2 2 2 3 3 2" xfId="57527" xr:uid="{61EEC292-6AC1-471A-9F8E-0BB0CDD066DE}"/>
    <cellStyle name="Vírgula 4 2 2 2 2 2 3 4" xfId="50571" xr:uid="{06758DFD-1DDE-4DB1-92BB-713DBD372ED5}"/>
    <cellStyle name="Vírgula 4 2 2 2 2 2 3 5" xfId="53866" xr:uid="{B6868A14-59F2-4E79-AF04-93131E9E1A18}"/>
    <cellStyle name="Vírgula 4 2 2 2 2 2 3 6" xfId="16613" xr:uid="{4AC9F839-3E83-4B1F-B8F7-6A1BD0223FF3}"/>
    <cellStyle name="Vírgula 4 2 2 2 2 2 4" xfId="843" xr:uid="{FB347FBF-8F2D-413D-99B7-F8C258584898}"/>
    <cellStyle name="Vírgula 4 2 2 2 2 2 4 2" xfId="2559" xr:uid="{462D1325-CC02-4B15-AFE4-0D729C3D257F}"/>
    <cellStyle name="Vírgula 4 2 2 2 2 2 4 2 2" xfId="52204" xr:uid="{3E1851B1-EF18-4BC7-878E-8175622B2153}"/>
    <cellStyle name="Vírgula 4 2 2 2 2 2 4 2 3" xfId="55498" xr:uid="{8AB3C277-048B-472B-B936-C22E7C083CF9}"/>
    <cellStyle name="Vírgula 4 2 2 2 2 2 4 2 4" xfId="40454" xr:uid="{CC2D2807-0CA6-4630-B62C-5FC7E65C2688}"/>
    <cellStyle name="Vírgula 4 2 2 2 2 2 4 3" xfId="48902" xr:uid="{75E43C77-65A9-4C62-904B-44D66D9F1A29}"/>
    <cellStyle name="Vírgula 4 2 2 2 2 2 4 3 2" xfId="56714" xr:uid="{41E563AB-620B-42C1-A315-FAB97CFF0C1E}"/>
    <cellStyle name="Vírgula 4 2 2 2 2 2 4 4" xfId="50572" xr:uid="{13D3DFA6-CDB2-425F-8ADA-408528E0B200}"/>
    <cellStyle name="Vírgula 4 2 2 2 2 2 4 5" xfId="53867" xr:uid="{67628D4A-4207-4971-A0B2-1C50653947D1}"/>
    <cellStyle name="Vírgula 4 2 2 2 2 2 4 6" xfId="20115" xr:uid="{0AF46381-3DCB-4EDA-9BF0-6952B1598E3E}"/>
    <cellStyle name="Vírgula 4 2 2 2 2 2 5" xfId="3697" xr:uid="{7735BF2F-AA27-4332-92A7-E65E397A1E6A}"/>
    <cellStyle name="Vírgula 4 2 2 2 2 2 5 2" xfId="43705" xr:uid="{E678D9BF-A7E3-4CAA-A9DD-8889890221B8}"/>
    <cellStyle name="Vírgula 4 2 2 2 2 2 5 3" xfId="52201" xr:uid="{0513FE91-63F0-496F-BD38-8AD527BEB4F8}"/>
    <cellStyle name="Vírgula 4 2 2 2 2 2 5 4" xfId="55495" xr:uid="{B8470778-FEDE-4697-8682-6A40477FD44D}"/>
    <cellStyle name="Vírgula 4 2 2 2 2 2 5 5" xfId="23370" xr:uid="{54D04CFE-F18C-4BF4-AFF9-BE75E2E20A5D}"/>
    <cellStyle name="Vírgula 4 2 2 2 2 2 6" xfId="2046" xr:uid="{1A17B143-7BEC-4BA7-A7F0-BDFA84798482}"/>
    <cellStyle name="Vírgula 4 2 2 2 2 2 6 2" xfId="34045" xr:uid="{B10322BF-907D-4704-BAEB-12AA98D357FB}"/>
    <cellStyle name="Vírgula 4 2 2 2 2 2 6 3" xfId="56305" xr:uid="{1F90A030-B28B-4561-AD10-B0D19C4ABC9B}"/>
    <cellStyle name="Vírgula 4 2 2 2 2 2 6 4" xfId="13704" xr:uid="{501BC232-BD68-4405-ABB2-9EAD92933220}"/>
    <cellStyle name="Vírgula 4 2 2 2 2 2 7" xfId="9826" xr:uid="{914BCCEB-F3E7-4C45-AAB6-24C902B9B013}"/>
    <cellStyle name="Vírgula 4 2 2 2 2 2 7 2" xfId="30169" xr:uid="{F8B33CFB-23E8-47DC-85AE-ABE680179D76}"/>
    <cellStyle name="Vírgula 4 2 2 2 2 2 8" xfId="26675" xr:uid="{1E83A809-C509-4D64-B3C9-B94C632CFDEB}"/>
    <cellStyle name="Vírgula 4 2 2 2 2 2 9" xfId="46246" xr:uid="{CDDA8F63-EDE4-4685-A5B5-242E2CDD5186}"/>
    <cellStyle name="Vírgula 4 2 2 2 2 20" xfId="50568" xr:uid="{B76E38CB-AEE1-4F75-89F1-8BCA83DE48A1}"/>
    <cellStyle name="Vírgula 4 2 2 2 2 21" xfId="53863" xr:uid="{8318C37B-21AC-4459-9C66-6E1E67CF6BF3}"/>
    <cellStyle name="Vírgula 4 2 2 2 2 22" xfId="5749" xr:uid="{85E4386C-A21D-4001-96C2-90212F1BCE49}"/>
    <cellStyle name="Vírgula 4 2 2 2 2 23" xfId="4526" xr:uid="{3AE189EA-A241-4815-95DA-688E91787B54}"/>
    <cellStyle name="Vírgula 4 2 2 2 2 3" xfId="1061" xr:uid="{EBF7F8C4-3D39-41C1-9835-103BD786B13F}"/>
    <cellStyle name="Vírgula 4 2 2 2 2 3 10" xfId="53868" xr:uid="{722E71B8-0467-47E8-B2AD-082B974B5116}"/>
    <cellStyle name="Vírgula 4 2 2 2 2 3 11" xfId="6904" xr:uid="{D1B4C0B3-3E70-4078-81B8-DD6023D3234D}"/>
    <cellStyle name="Vírgula 4 2 2 2 2 3 12" xfId="5121" xr:uid="{7BB643A0-7F98-4EA7-BB24-291D8BD5B53B}"/>
    <cellStyle name="Vírgula 4 2 2 2 2 3 2" xfId="3588" xr:uid="{FE2990CD-8B81-41E3-B0B6-A2F8DF2D752D}"/>
    <cellStyle name="Vírgula 4 2 2 2 2 3 2 2" xfId="37530" xr:uid="{757D6510-B0C8-468B-AFF2-79661A62A2EF}"/>
    <cellStyle name="Vírgula 4 2 2 2 2 3 2 3" xfId="52205" xr:uid="{E6D46AA4-B172-4D71-BDA4-92E4466D5FFF}"/>
    <cellStyle name="Vírgula 4 2 2 2 2 3 2 4" xfId="55499" xr:uid="{E1C8088B-D7A5-4953-8AEB-674EA6EF5637}"/>
    <cellStyle name="Vírgula 4 2 2 2 2 3 2 5" xfId="17190" xr:uid="{9312AF7E-F2FE-490D-927F-CB5BC3611106}"/>
    <cellStyle name="Vírgula 4 2 2 2 2 3 3" xfId="1937" xr:uid="{0AD00FEF-06FD-4D3C-B6E7-114D05430DAB}"/>
    <cellStyle name="Vírgula 4 2 2 2 2 3 3 2" xfId="41031" xr:uid="{DEB99411-D783-44EF-B945-7AF6DF483DBB}"/>
    <cellStyle name="Vírgula 4 2 2 2 2 3 3 3" xfId="56932" xr:uid="{EBE0D536-4C82-411F-B999-46BE3DA3305E}"/>
    <cellStyle name="Vírgula 4 2 2 2 2 3 3 4" xfId="20692" xr:uid="{3E033243-BB5D-4C3D-BA16-E42D976805CD}"/>
    <cellStyle name="Vírgula 4 2 2 2 2 3 4" xfId="23947" xr:uid="{8424B6D5-6EC0-4B47-920E-5FC71D982795}"/>
    <cellStyle name="Vírgula 4 2 2 2 2 3 4 2" xfId="44282" xr:uid="{8653375D-7DF2-44C4-8D25-3CD2D724AE8A}"/>
    <cellStyle name="Vírgula 4 2 2 2 2 3 5" xfId="14281" xr:uid="{3A40F9B1-D6E8-4B79-8149-20DEDD9FD5E4}"/>
    <cellStyle name="Vírgula 4 2 2 2 2 3 5 2" xfId="34622" xr:uid="{457FFA30-9644-4848-96DB-A3C38CFF83AB}"/>
    <cellStyle name="Vírgula 4 2 2 2 2 3 6" xfId="10403" xr:uid="{CE3A5754-3771-4B46-B8B3-17BE1902F4C6}"/>
    <cellStyle name="Vírgula 4 2 2 2 2 3 6 2" xfId="30746" xr:uid="{1C7F8F8C-7B1F-4649-A34C-BF3387303FEB}"/>
    <cellStyle name="Vírgula 4 2 2 2 2 3 7" xfId="27252" xr:uid="{FEF4AA07-449D-4D88-A4DD-08B652A980C7}"/>
    <cellStyle name="Vírgula 4 2 2 2 2 3 8" xfId="48903" xr:uid="{30E28950-CD98-42AC-80E0-83B1E5C8CB74}"/>
    <cellStyle name="Vírgula 4 2 2 2 2 3 9" xfId="50573" xr:uid="{A9D4E8A6-C653-447C-86E5-928F73125F82}"/>
    <cellStyle name="Vírgula 4 2 2 2 2 4" xfId="1467" xr:uid="{EAE5611A-9C39-4910-863A-B254525F0B96}"/>
    <cellStyle name="Vírgula 4 2 2 2 2 4 10" xfId="53869" xr:uid="{F169E9EE-D50F-48D1-928C-84A15AF60C15}"/>
    <cellStyle name="Vírgula 4 2 2 2 2 4 11" xfId="8068" xr:uid="{013D6F49-252A-4CCC-9B1D-EDDDD36A5B9F}"/>
    <cellStyle name="Vírgula 4 2 2 2 2 4 2" xfId="3806" xr:uid="{76FED3A5-0521-4724-8668-E95AF3D80BB7}"/>
    <cellStyle name="Vírgula 4 2 2 2 2 4 2 2" xfId="38693" xr:uid="{5BD42D4B-AA04-49A8-A855-A5339694B12B}"/>
    <cellStyle name="Vírgula 4 2 2 2 2 4 2 3" xfId="52206" xr:uid="{C03006D4-5CA4-4EC3-BA99-8E532C98968B}"/>
    <cellStyle name="Vírgula 4 2 2 2 2 4 2 4" xfId="55500" xr:uid="{FA49C11E-6C51-4B30-90D4-A00A89BCC848}"/>
    <cellStyle name="Vírgula 4 2 2 2 2 4 2 5" xfId="18353" xr:uid="{DFAEBCDD-22E5-4C78-B1B7-3067251559D1}"/>
    <cellStyle name="Vírgula 4 2 2 2 2 4 3" xfId="3128" xr:uid="{A7EB653C-9E2D-45C8-AA6B-46F38C40D123}"/>
    <cellStyle name="Vírgula 4 2 2 2 2 4 3 2" xfId="42194" xr:uid="{E8A75805-1EEF-45FD-9F7F-A0EB4621EACF}"/>
    <cellStyle name="Vírgula 4 2 2 2 2 4 3 3" xfId="57338" xr:uid="{917E6786-1351-46F5-A790-0AC0B8809152}"/>
    <cellStyle name="Vírgula 4 2 2 2 2 4 3 4" xfId="21855" xr:uid="{DDA181DC-180A-41CE-B5B4-40911B0E74AE}"/>
    <cellStyle name="Vírgula 4 2 2 2 2 4 4" xfId="25110" xr:uid="{440DFF94-42DE-452D-A085-F168B4652773}"/>
    <cellStyle name="Vírgula 4 2 2 2 2 4 4 2" xfId="45445" xr:uid="{BF21D7FE-C962-4880-A3D1-CEE1D87DBE73}"/>
    <cellStyle name="Vírgula 4 2 2 2 2 4 5" xfId="15445" xr:uid="{B3984F1F-570F-4095-9788-6391D59970A0}"/>
    <cellStyle name="Vírgula 4 2 2 2 2 4 5 2" xfId="35785" xr:uid="{183FDE1B-CEC7-4A92-802E-3C8781C7F267}"/>
    <cellStyle name="Vírgula 4 2 2 2 2 4 6" xfId="11566" xr:uid="{43DEBB3F-D00F-432D-A8FD-7A79A24A8289}"/>
    <cellStyle name="Vírgula 4 2 2 2 2 4 6 2" xfId="31909" xr:uid="{2622FD2C-1012-46BD-8D54-086949F0DD7C}"/>
    <cellStyle name="Vírgula 4 2 2 2 2 4 7" xfId="28415" xr:uid="{57F3CE16-9964-4161-9081-6CEEA17CEEAD}"/>
    <cellStyle name="Vírgula 4 2 2 2 2 4 8" xfId="48904" xr:uid="{5BB3C229-D9B7-4519-9340-D9290652BC27}"/>
    <cellStyle name="Vírgula 4 2 2 2 2 4 9" xfId="50574" xr:uid="{8BB50A9E-1C07-4997-8BDB-3901AFB8E98C}"/>
    <cellStyle name="Vírgula 4 2 2 2 2 5" xfId="654" xr:uid="{CF1CFA95-23D5-4D03-B04D-E02AAF8A9049}"/>
    <cellStyle name="Vírgula 4 2 2 2 2 5 10" xfId="8282" xr:uid="{56DD929A-34A7-4E95-9DEF-FD489BA0D197}"/>
    <cellStyle name="Vírgula 4 2 2 2 2 5 2" xfId="2370" xr:uid="{A7DAF6F3-6839-4F04-A349-4ACF5740B864}"/>
    <cellStyle name="Vírgula 4 2 2 2 2 5 2 2" xfId="42405" xr:uid="{1F6A13EE-4977-49AD-A88D-DE25E7710286}"/>
    <cellStyle name="Vírgula 4 2 2 2 2 5 2 3" xfId="52207" xr:uid="{8283CDB3-1A2F-4351-A2BF-692AE8B48C80}"/>
    <cellStyle name="Vírgula 4 2 2 2 2 5 2 4" xfId="55501" xr:uid="{BA8F06CB-6260-45C2-84FC-0203E8FD5597}"/>
    <cellStyle name="Vírgula 4 2 2 2 2 5 2 5" xfId="22069" xr:uid="{9456F1C4-6188-4860-9C29-A3B723191BB9}"/>
    <cellStyle name="Vírgula 4 2 2 2 2 5 3" xfId="25321" xr:uid="{4AC772A1-357C-4249-B5FD-31AE31DDC986}"/>
    <cellStyle name="Vírgula 4 2 2 2 2 5 3 2" xfId="45656" xr:uid="{E183A278-0280-4986-AC7A-1AEC87AD0A73}"/>
    <cellStyle name="Vírgula 4 2 2 2 2 5 3 3" xfId="56525" xr:uid="{B89F7B9E-3AD7-484D-B5F8-DE35FB3AB40F}"/>
    <cellStyle name="Vírgula 4 2 2 2 2 5 4" xfId="13135" xr:uid="{E506BCE7-0B99-4C74-8BA2-7A568293973F}"/>
    <cellStyle name="Vírgula 4 2 2 2 2 5 4 2" xfId="33476" xr:uid="{82830537-E3B3-4AB8-9C46-9E0498FC63C2}"/>
    <cellStyle name="Vírgula 4 2 2 2 2 5 5" xfId="11778" xr:uid="{200D16FE-EE3F-415D-9370-A47CA215FC32}"/>
    <cellStyle name="Vírgula 4 2 2 2 2 5 5 2" xfId="32120" xr:uid="{C1770901-0316-4316-B4F4-9096B549D013}"/>
    <cellStyle name="Vírgula 4 2 2 2 2 5 6" xfId="28626" xr:uid="{A14280C2-143B-469C-9481-FC02D2E4B3F4}"/>
    <cellStyle name="Vírgula 4 2 2 2 2 5 7" xfId="48905" xr:uid="{6FD3D6EA-078A-4278-A56A-2A9F5A5FA76B}"/>
    <cellStyle name="Vírgula 4 2 2 2 2 5 8" xfId="50575" xr:uid="{C38F753E-D1B7-469B-8E17-FB1FA63C7955}"/>
    <cellStyle name="Vírgula 4 2 2 2 2 5 9" xfId="53870" xr:uid="{82474987-1EC1-46F0-A732-98BC6AF263B6}"/>
    <cellStyle name="Vírgula 4 2 2 2 2 6" xfId="3478" xr:uid="{D318E4EE-BEBC-4ED1-8B12-EBC9526795D0}"/>
    <cellStyle name="Vírgula 4 2 2 2 2 6 2" xfId="16032" xr:uid="{8A9B1129-CE4E-4147-9304-DB4F862A8777}"/>
    <cellStyle name="Vírgula 4 2 2 2 2 6 2 2" xfId="36372" xr:uid="{3700430C-1324-403E-8883-F1F696A4D0F0}"/>
    <cellStyle name="Vírgula 4 2 2 2 2 6 3" xfId="28971" xr:uid="{AFB6ADB0-25D9-4F5A-9F08-3262AA95E503}"/>
    <cellStyle name="Vírgula 4 2 2 2 2 6 4" xfId="52200" xr:uid="{7613E38E-1DF4-49CF-9FBF-A93397C9AEAF}"/>
    <cellStyle name="Vírgula 4 2 2 2 2 6 5" xfId="55494" xr:uid="{36178C71-A706-49DE-AAE4-78E20BD77ED7}"/>
    <cellStyle name="Vírgula 4 2 2 2 2 6 6" xfId="8628" xr:uid="{CA616429-EC37-4701-989B-AAAE9ED61182}"/>
    <cellStyle name="Vírgula 4 2 2 2 2 7" xfId="4133" xr:uid="{8D151BAE-EB87-4553-AA86-42B8DFB3F5BF}"/>
    <cellStyle name="Vírgula 4 2 2 2 2 7 2" xfId="39286" xr:uid="{1211849A-E999-431B-965D-9F926113C329}"/>
    <cellStyle name="Vírgula 4 2 2 2 2 7 3" xfId="56116" xr:uid="{29EE32F0-C4E2-45F6-8446-287D0672965D}"/>
    <cellStyle name="Vírgula 4 2 2 2 2 7 4" xfId="18946" xr:uid="{86961793-CBFA-45A3-8A15-7D6D2136BE58}"/>
    <cellStyle name="Vírgula 4 2 2 2 2 8" xfId="1827" xr:uid="{051704E5-BFC3-432D-AA95-67FFDADE2DF7}"/>
    <cellStyle name="Vírgula 4 2 2 2 2 8 2" xfId="39873" xr:uid="{A1C8862E-5AFD-47F9-AD07-3601E0F65275}"/>
    <cellStyle name="Vírgula 4 2 2 2 2 8 3" xfId="19534" xr:uid="{B2CC43B3-BFA9-4F32-BA2E-31B5ADA91542}"/>
    <cellStyle name="Vírgula 4 2 2 2 2 9" xfId="22789" xr:uid="{CC7CBEA7-9229-4E03-AEBC-BF4407624105}"/>
    <cellStyle name="Vírgula 4 2 2 2 2 9 2" xfId="43124" xr:uid="{356A75C4-D652-4924-81ED-E1CFF3E23DAD}"/>
    <cellStyle name="Vírgula 4 2 2 2 20" xfId="48897" xr:uid="{A69D413D-5CF2-4DD9-9255-53ACD136C4CB}"/>
    <cellStyle name="Vírgula 4 2 2 2 21" xfId="50567" xr:uid="{DAAC50DB-4789-438A-87D8-092CCB35B1E9}"/>
    <cellStyle name="Vírgula 4 2 2 2 22" xfId="53862" xr:uid="{1BF941B9-0356-4982-A9CE-200E92ED0C5D}"/>
    <cellStyle name="Vírgula 4 2 2 2 23" xfId="5378" xr:uid="{4D6D8194-1B43-4FDA-9531-45B90933B9E9}"/>
    <cellStyle name="Vírgula 4 2 2 2 24" xfId="4448" xr:uid="{34FE6B24-26F5-49D4-97FC-52F0DD23BE24}"/>
    <cellStyle name="Vírgula 4 2 2 2 3" xfId="297" xr:uid="{BC6A57BD-97EC-4AF5-AFE3-DD75048C37B3}"/>
    <cellStyle name="Vírgula 4 2 2 2 3 10" xfId="46159" xr:uid="{86D37856-692E-4680-8052-7DDC0824004C}"/>
    <cellStyle name="Vírgula 4 2 2 2 3 11" xfId="46645" xr:uid="{FC8AC338-2081-4FAD-833E-E28FEBF74EE8}"/>
    <cellStyle name="Vírgula 4 2 2 2 3 12" xfId="47137" xr:uid="{939123EA-2899-4E47-B89D-9853B4772533}"/>
    <cellStyle name="Vírgula 4 2 2 2 3 13" xfId="48906" xr:uid="{666C8590-9AA0-42A8-862B-E8457A32493B}"/>
    <cellStyle name="Vírgula 4 2 2 2 3 14" xfId="50576" xr:uid="{6A5C9868-77FF-4C2D-9C23-4E3A868B6D8B}"/>
    <cellStyle name="Vírgula 4 2 2 2 3 15" xfId="53871" xr:uid="{01F402ED-1597-4348-9AE1-331DA35C2127}"/>
    <cellStyle name="Vírgula 4 2 2 2 3 16" xfId="5940" xr:uid="{60F64C30-72E5-4393-B135-FB2DF485F9AB}"/>
    <cellStyle name="Vírgula 4 2 2 2 3 17" xfId="4578" xr:uid="{D5A07821-0BE3-4BE7-BC5E-33A35455755F}"/>
    <cellStyle name="Vírgula 4 2 2 2 3 2" xfId="486" xr:uid="{28DC951A-99F2-4917-98BA-CD762013E029}"/>
    <cellStyle name="Vírgula 4 2 2 2 3 2 10" xfId="53872" xr:uid="{8907C032-D315-4EC0-959E-7B4DBD27FFC8}"/>
    <cellStyle name="Vírgula 4 2 2 2 3 2 11" xfId="7098" xr:uid="{064BAB81-6AA7-487A-A33F-9352EFEB4B84}"/>
    <cellStyle name="Vírgula 4 2 2 2 3 2 12" xfId="4767" xr:uid="{A66398E0-53A5-4589-AADC-3CB4479D1529}"/>
    <cellStyle name="Vírgula 4 2 2 2 3 2 2" xfId="1302" xr:uid="{E3E1D83D-B2D5-4842-B38B-7785D942EC16}"/>
    <cellStyle name="Vírgula 4 2 2 2 3 2 2 2" xfId="2963" xr:uid="{390DC7F8-40F4-47F9-8C26-ECD434D87188}"/>
    <cellStyle name="Vírgula 4 2 2 2 3 2 2 2 2" xfId="52210" xr:uid="{1C11E660-0807-4A94-86B0-94C1F3F7F95D}"/>
    <cellStyle name="Vírgula 4 2 2 2 3 2 2 2 3" xfId="55504" xr:uid="{DA4E20AE-A4F0-4A71-87A8-305D0A91EF42}"/>
    <cellStyle name="Vírgula 4 2 2 2 3 2 2 2 4" xfId="37724" xr:uid="{24A1FDFD-5EFE-4486-BD3B-3259CD2A3585}"/>
    <cellStyle name="Vírgula 4 2 2 2 3 2 2 3" xfId="48908" xr:uid="{9D406E23-0347-4717-AD4A-A4DCD9682E66}"/>
    <cellStyle name="Vírgula 4 2 2 2 3 2 2 3 2" xfId="57173" xr:uid="{6082FC82-52A8-4D48-8811-F3BDBCFBBC1C}"/>
    <cellStyle name="Vírgula 4 2 2 2 3 2 2 4" xfId="50578" xr:uid="{050E9E6E-4118-4D26-BB23-279D5F639C24}"/>
    <cellStyle name="Vírgula 4 2 2 2 3 2 2 5" xfId="53873" xr:uid="{DE22AE8A-6771-4D81-B6DC-C19E027F25C2}"/>
    <cellStyle name="Vírgula 4 2 2 2 3 2 2 6" xfId="17384" xr:uid="{115EDAD5-F2ED-4670-BC0B-48FD04DCEE73}"/>
    <cellStyle name="Vírgula 4 2 2 2 3 2 3" xfId="1708" xr:uid="{D52BC2A5-7B3F-4C5B-8D3A-A9E3C4892F05}"/>
    <cellStyle name="Vírgula 4 2 2 2 3 2 3 2" xfId="3368" xr:uid="{27AAF784-79C8-4F0F-9B22-85A2CD08A860}"/>
    <cellStyle name="Vírgula 4 2 2 2 3 2 3 2 2" xfId="52211" xr:uid="{AD5EC7C5-709F-4DAC-93FE-77B8D26304A0}"/>
    <cellStyle name="Vírgula 4 2 2 2 3 2 3 2 3" xfId="55505" xr:uid="{9D6C0408-717E-40B9-BCB8-FCA378B25FF8}"/>
    <cellStyle name="Vírgula 4 2 2 2 3 2 3 2 4" xfId="41225" xr:uid="{16EC4372-EB16-4F8D-8E0A-C74CBFCB9AE7}"/>
    <cellStyle name="Vírgula 4 2 2 2 3 2 3 3" xfId="48909" xr:uid="{25F8701E-3E4D-4804-B1C3-BC0F7881C90F}"/>
    <cellStyle name="Vírgula 4 2 2 2 3 2 3 3 2" xfId="57579" xr:uid="{D2D718A0-8BD8-41D6-8246-D95F8EE5BBD6}"/>
    <cellStyle name="Vírgula 4 2 2 2 3 2 3 4" xfId="50579" xr:uid="{2A4DBA4D-6FC4-4C2E-89A1-04D7C52B2A55}"/>
    <cellStyle name="Vírgula 4 2 2 2 3 2 3 5" xfId="53874" xr:uid="{7AEA97BA-CCE7-4869-9684-CD5C6CBC5CDD}"/>
    <cellStyle name="Vírgula 4 2 2 2 3 2 3 6" xfId="20886" xr:uid="{2C138D03-B7AD-4254-BB6D-437A3C8C769A}"/>
    <cellStyle name="Vírgula 4 2 2 2 3 2 4" xfId="895" xr:uid="{5FC821D1-F86F-459A-8E76-005169A22C31}"/>
    <cellStyle name="Vírgula 4 2 2 2 3 2 4 2" xfId="2611" xr:uid="{D4828F16-8061-4D95-B205-D854216EE9E9}"/>
    <cellStyle name="Vírgula 4 2 2 2 3 2 4 2 2" xfId="52212" xr:uid="{6F1757E8-291A-4A52-AAA0-C8E4E6D9DA6A}"/>
    <cellStyle name="Vírgula 4 2 2 2 3 2 4 2 3" xfId="55506" xr:uid="{88CF7357-26B2-4A88-B17A-363D684CD026}"/>
    <cellStyle name="Vírgula 4 2 2 2 3 2 4 2 4" xfId="44476" xr:uid="{DA801BAC-674C-4022-9C7F-90E70202DF1B}"/>
    <cellStyle name="Vírgula 4 2 2 2 3 2 4 3" xfId="48910" xr:uid="{A8A18C2C-7E1B-4908-B4AD-5B2F1A4B191D}"/>
    <cellStyle name="Vírgula 4 2 2 2 3 2 4 3 2" xfId="56766" xr:uid="{5F35CCD4-34B6-4BED-A366-8C117AAE4CF6}"/>
    <cellStyle name="Vírgula 4 2 2 2 3 2 4 4" xfId="50580" xr:uid="{98B51AA4-4F2E-42E7-8F78-3C02575AE293}"/>
    <cellStyle name="Vírgula 4 2 2 2 3 2 4 5" xfId="53875" xr:uid="{8FD98EF9-0B28-48C2-9603-4E1C419B5AD8}"/>
    <cellStyle name="Vírgula 4 2 2 2 3 2 4 6" xfId="24141" xr:uid="{8C46561C-768C-479A-BE45-DFEAD3B1E45A}"/>
    <cellStyle name="Vírgula 4 2 2 2 3 2 5" xfId="2203" xr:uid="{379D3F15-EA87-4054-8CD5-3E9F3FC4B115}"/>
    <cellStyle name="Vírgula 4 2 2 2 3 2 5 2" xfId="34816" xr:uid="{4D1D73CC-CF8A-4229-B675-0968CFD52603}"/>
    <cellStyle name="Vírgula 4 2 2 2 3 2 5 3" xfId="52209" xr:uid="{E5B909A5-D157-495D-A932-52D40F2E50D8}"/>
    <cellStyle name="Vírgula 4 2 2 2 3 2 5 4" xfId="55503" xr:uid="{E32FF408-EE51-4B9F-8E36-38E225049B7A}"/>
    <cellStyle name="Vírgula 4 2 2 2 3 2 5 5" xfId="14475" xr:uid="{0B6850E0-166F-4023-A0C7-EA6CFEC12C27}"/>
    <cellStyle name="Vírgula 4 2 2 2 3 2 6" xfId="10597" xr:uid="{449C842F-7B74-463F-B60A-071E7F8F2718}"/>
    <cellStyle name="Vírgula 4 2 2 2 3 2 6 2" xfId="30940" xr:uid="{1F0C323B-15BD-4979-A169-398CEE89A21F}"/>
    <cellStyle name="Vírgula 4 2 2 2 3 2 6 3" xfId="56357" xr:uid="{7134F5A7-0B6F-4FA7-B651-738ED58A6EE7}"/>
    <cellStyle name="Vírgula 4 2 2 2 3 2 7" xfId="27446" xr:uid="{23FA1887-DB4C-4043-960F-B1AFC17DBD22}"/>
    <cellStyle name="Vírgula 4 2 2 2 3 2 8" xfId="48907" xr:uid="{2B11B009-0143-420E-9B36-7898C902A00B}"/>
    <cellStyle name="Vírgula 4 2 2 2 3 2 9" xfId="50577" xr:uid="{51502259-642B-4FFF-8E0D-7A8A9D268D04}"/>
    <cellStyle name="Vírgula 4 2 2 2 3 3" xfId="1113" xr:uid="{1A5BB8C2-A372-455C-BB6A-B151BCA25B20}"/>
    <cellStyle name="Vírgula 4 2 2 2 3 3 10" xfId="8283" xr:uid="{DE35A5BC-D119-4C6E-AEA0-910C635ADFF9}"/>
    <cellStyle name="Vírgula 4 2 2 2 3 3 11" xfId="5036" xr:uid="{1B780408-EC09-4B27-9897-12F4EA631586}"/>
    <cellStyle name="Vírgula 4 2 2 2 3 3 2" xfId="2776" xr:uid="{7F5279E3-D8AA-4DF5-9734-680550801B67}"/>
    <cellStyle name="Vírgula 4 2 2 2 3 3 2 2" xfId="42406" xr:uid="{5C97D142-4034-44CB-A505-0289F88EC6C2}"/>
    <cellStyle name="Vírgula 4 2 2 2 3 3 2 3" xfId="52213" xr:uid="{EA207E85-66F5-4B6F-B877-90BDD57C231F}"/>
    <cellStyle name="Vírgula 4 2 2 2 3 3 2 4" xfId="55507" xr:uid="{DB1D2291-8BDB-434B-B688-8D7CC9BC0BD6}"/>
    <cellStyle name="Vírgula 4 2 2 2 3 3 2 5" xfId="22070" xr:uid="{D3F91E31-AA1E-4C40-B6DF-C25745DCE227}"/>
    <cellStyle name="Vírgula 4 2 2 2 3 3 3" xfId="25322" xr:uid="{5B40E049-4F03-4C70-8AC3-2C4BB3650F1F}"/>
    <cellStyle name="Vírgula 4 2 2 2 3 3 3 2" xfId="45657" xr:uid="{F11E2C2D-AE58-4F09-ADD5-F8982E9CFBAA}"/>
    <cellStyle name="Vírgula 4 2 2 2 3 3 3 3" xfId="56984" xr:uid="{E7EDF41A-F099-4B70-8D8B-EEDF97B0A3BD}"/>
    <cellStyle name="Vírgula 4 2 2 2 3 3 4" xfId="13317" xr:uid="{B358CFCE-2C7C-4002-9400-E2095BE36FA9}"/>
    <cellStyle name="Vírgula 4 2 2 2 3 3 4 2" xfId="33658" xr:uid="{46431D20-32B1-4B21-9CEB-0FAD5F576BBA}"/>
    <cellStyle name="Vírgula 4 2 2 2 3 3 5" xfId="11779" xr:uid="{C1079DF3-3723-45D7-86FB-7B4CF6EB2F11}"/>
    <cellStyle name="Vírgula 4 2 2 2 3 3 5 2" xfId="32121" xr:uid="{7BCE82F4-0C5B-4AD7-9CBE-BC47E16EAD77}"/>
    <cellStyle name="Vírgula 4 2 2 2 3 3 6" xfId="28627" xr:uid="{A6814946-B6FE-4E92-A4B2-33B2FC247197}"/>
    <cellStyle name="Vírgula 4 2 2 2 3 3 7" xfId="48911" xr:uid="{9B860744-F6B4-4555-A3A0-1414032E1182}"/>
    <cellStyle name="Vírgula 4 2 2 2 3 3 8" xfId="50581" xr:uid="{67868548-C437-4957-9C65-AD828B7512D2}"/>
    <cellStyle name="Vírgula 4 2 2 2 3 3 9" xfId="53876" xr:uid="{7CEEC822-E1A9-49B5-A2B3-2AE738DE2A8E}"/>
    <cellStyle name="Vírgula 4 2 2 2 3 4" xfId="1519" xr:uid="{2FCFD472-EBD3-498C-8922-E54EAE8CBCBD}"/>
    <cellStyle name="Vírgula 4 2 2 2 3 4 2" xfId="3180" xr:uid="{6E65A5A3-1C08-4E82-AFBE-6422E22DB667}"/>
    <cellStyle name="Vírgula 4 2 2 2 3 4 2 2" xfId="52214" xr:uid="{80192113-350B-485A-BF90-1C83F20E10BE}"/>
    <cellStyle name="Vírgula 4 2 2 2 3 4 2 3" xfId="55508" xr:uid="{CFFE717A-64F4-46C0-B53C-FF1CACFDB0B3}"/>
    <cellStyle name="Vírgula 4 2 2 2 3 4 2 4" xfId="36566" xr:uid="{D5EE7909-6BEB-4EBC-818F-714BD2FBD97C}"/>
    <cellStyle name="Vírgula 4 2 2 2 3 4 3" xfId="48912" xr:uid="{6E1AFC9C-91D4-465A-9900-1C0635004FED}"/>
    <cellStyle name="Vírgula 4 2 2 2 3 4 3 2" xfId="57390" xr:uid="{3532EA46-07B0-4188-B704-1CB19C159E7C}"/>
    <cellStyle name="Vírgula 4 2 2 2 3 4 4" xfId="50582" xr:uid="{0645A694-C8E1-4B78-A7EF-F2E28DD4B94E}"/>
    <cellStyle name="Vírgula 4 2 2 2 3 4 5" xfId="53877" xr:uid="{FCBC891F-663D-4844-8308-FED75885A4BE}"/>
    <cellStyle name="Vírgula 4 2 2 2 3 4 6" xfId="16226" xr:uid="{C4831D77-2562-43D7-8F54-BC4C210D96CE}"/>
    <cellStyle name="Vírgula 4 2 2 2 3 5" xfId="706" xr:uid="{0D9B3EA7-96F5-402F-A94F-2D49D9050F5B}"/>
    <cellStyle name="Vírgula 4 2 2 2 3 5 2" xfId="2422" xr:uid="{C8D428CF-1804-4436-AF47-667AAE727267}"/>
    <cellStyle name="Vírgula 4 2 2 2 3 5 2 2" xfId="52215" xr:uid="{00F2CCB2-38B3-4843-9BFD-FAA0CD2BDF00}"/>
    <cellStyle name="Vírgula 4 2 2 2 3 5 2 3" xfId="55509" xr:uid="{FD7D99B0-D5AF-4D4F-80B9-B2E1365B4024}"/>
    <cellStyle name="Vírgula 4 2 2 2 3 5 2 4" xfId="40067" xr:uid="{49543B0D-0964-4FC2-9BA2-708F86CEF161}"/>
    <cellStyle name="Vírgula 4 2 2 2 3 5 3" xfId="48913" xr:uid="{253254F8-66D2-486A-8639-328109F4C0C6}"/>
    <cellStyle name="Vírgula 4 2 2 2 3 5 3 2" xfId="56577" xr:uid="{74FA16BB-C976-4010-9F7D-455716E58C9C}"/>
    <cellStyle name="Vírgula 4 2 2 2 3 5 4" xfId="50583" xr:uid="{6C53D426-35AF-4F83-ABC2-BC7A303402E5}"/>
    <cellStyle name="Vírgula 4 2 2 2 3 5 5" xfId="53878" xr:uid="{E6953AA5-7950-41E2-889C-70287E601095}"/>
    <cellStyle name="Vírgula 4 2 2 2 3 5 6" xfId="19728" xr:uid="{49F5CF31-3002-407B-A6D4-0DBF6E77D43D}"/>
    <cellStyle name="Vírgula 4 2 2 2 3 6" xfId="3642" xr:uid="{EC3851AF-7EA0-4B21-ADE0-D34E957911FE}"/>
    <cellStyle name="Vírgula 4 2 2 2 3 6 2" xfId="43318" xr:uid="{D35CD791-2A51-4801-AAEE-3201B137DB72}"/>
    <cellStyle name="Vírgula 4 2 2 2 3 6 3" xfId="52208" xr:uid="{447B0720-D223-4E92-8753-08F69D3A29F5}"/>
    <cellStyle name="Vírgula 4 2 2 2 3 6 4" xfId="55502" xr:uid="{DB9226B0-1D62-4579-BA27-99F0608BC574}"/>
    <cellStyle name="Vírgula 4 2 2 2 3 6 5" xfId="22983" xr:uid="{A83A7050-B22B-43EF-B7DA-9D260614A40E}"/>
    <cellStyle name="Vírgula 4 2 2 2 3 7" xfId="4305" xr:uid="{D483DBF4-5EF3-43AF-B247-0059A72F08A0}"/>
    <cellStyle name="Vírgula 4 2 2 2 3 7 2" xfId="32917" xr:uid="{64EF7AD6-4802-4D15-B0D3-3ABC454346C5}"/>
    <cellStyle name="Vírgula 4 2 2 2 3 7 3" xfId="56168" xr:uid="{C8B1930E-C7FE-4EAA-9D62-C987A10608FD}"/>
    <cellStyle name="Vírgula 4 2 2 2 3 7 4" xfId="12576" xr:uid="{27410BF9-FDD1-4546-8A6B-AE4DFA05CB60}"/>
    <cellStyle name="Vírgula 4 2 2 2 3 8" xfId="1991" xr:uid="{364AA0A7-C47A-4974-87EF-86675FC35914}"/>
    <cellStyle name="Vírgula 4 2 2 2 3 8 2" xfId="29782" xr:uid="{A59B71DD-7A43-4BC4-90C4-83AFD41B0814}"/>
    <cellStyle name="Vírgula 4 2 2 2 3 8 3" xfId="9439" xr:uid="{3E5261A0-90CA-4995-ADDC-645D9DBB2798}"/>
    <cellStyle name="Vírgula 4 2 2 2 3 9" xfId="26288" xr:uid="{360D6AEC-A0F6-4DBC-99BE-56848B6C68F5}"/>
    <cellStyle name="Vírgula 4 2 2 2 4" xfId="356" xr:uid="{0D44786E-7F7F-4799-A794-577009AA6699}"/>
    <cellStyle name="Vírgula 4 2 2 2 4 10" xfId="53879" xr:uid="{AFF2628F-AEC0-46ED-B6EE-2000108112EC}"/>
    <cellStyle name="Vírgula 4 2 2 2 4 11" xfId="6517" xr:uid="{C66E32D2-B2B7-4619-9ED7-1027E5381F33}"/>
    <cellStyle name="Vírgula 4 2 2 2 4 12" xfId="4637" xr:uid="{107A3436-20E8-4632-9E9A-9A7667C873FA}"/>
    <cellStyle name="Vírgula 4 2 2 2 4 2" xfId="1172" xr:uid="{F90FA59D-8529-4027-8EDF-8389CC12B5D9}"/>
    <cellStyle name="Vírgula 4 2 2 2 4 2 2" xfId="2833" xr:uid="{23D53F0B-2848-44A1-B1DB-38A0F2B66997}"/>
    <cellStyle name="Vírgula 4 2 2 2 4 2 2 2" xfId="52217" xr:uid="{91E102A0-4954-4EB3-A70F-F986E0758199}"/>
    <cellStyle name="Vírgula 4 2 2 2 4 2 2 3" xfId="55511" xr:uid="{6261ADC7-3F88-49B3-B5A3-D4B4171E058A}"/>
    <cellStyle name="Vírgula 4 2 2 2 4 2 2 4" xfId="37143" xr:uid="{7E0C298E-3782-49C0-BD03-60630C6655C5}"/>
    <cellStyle name="Vírgula 4 2 2 2 4 2 3" xfId="48915" xr:uid="{2D29DDDD-77F4-4EC7-B679-8D3CE890BA6F}"/>
    <cellStyle name="Vírgula 4 2 2 2 4 2 3 2" xfId="57043" xr:uid="{52C9AB4B-AA10-467E-AEA1-13AD9C53419A}"/>
    <cellStyle name="Vírgula 4 2 2 2 4 2 4" xfId="50585" xr:uid="{DFAF9FA4-39D0-416F-AAC6-A19364A8B458}"/>
    <cellStyle name="Vírgula 4 2 2 2 4 2 5" xfId="53880" xr:uid="{D86D4BE5-0FD1-4EAC-A7F2-B77BAB4E8B1D}"/>
    <cellStyle name="Vírgula 4 2 2 2 4 2 6" xfId="16803" xr:uid="{B2BD6E89-CA68-4B12-B743-2061CCCD3553}"/>
    <cellStyle name="Vírgula 4 2 2 2 4 3" xfId="1578" xr:uid="{CCEC10A4-4F07-43D3-A92F-B454C8F77837}"/>
    <cellStyle name="Vírgula 4 2 2 2 4 3 2" xfId="3238" xr:uid="{B71C8B15-E444-40CE-A00A-EB3ABE0BB072}"/>
    <cellStyle name="Vírgula 4 2 2 2 4 3 2 2" xfId="52218" xr:uid="{B451FDF5-F3E5-4467-914F-974DB7142C13}"/>
    <cellStyle name="Vírgula 4 2 2 2 4 3 2 3" xfId="55512" xr:uid="{77F25BA9-6E0D-4D2C-B250-62B64275B89A}"/>
    <cellStyle name="Vírgula 4 2 2 2 4 3 2 4" xfId="40644" xr:uid="{0DE275C5-5DFD-4B07-8BD7-E055568E3F7B}"/>
    <cellStyle name="Vírgula 4 2 2 2 4 3 3" xfId="48916" xr:uid="{57C051AD-5CC5-4030-85EE-8EB966E40332}"/>
    <cellStyle name="Vírgula 4 2 2 2 4 3 3 2" xfId="57449" xr:uid="{366FB02B-C233-4A0A-A9D9-526033060202}"/>
    <cellStyle name="Vírgula 4 2 2 2 4 3 4" xfId="50586" xr:uid="{79526AAF-6321-40DF-A8A0-1DE23871D2CA}"/>
    <cellStyle name="Vírgula 4 2 2 2 4 3 5" xfId="53881" xr:uid="{05B375E5-6DC5-4AE6-867A-8DA231AE0B12}"/>
    <cellStyle name="Vírgula 4 2 2 2 4 3 6" xfId="20305" xr:uid="{81554E62-18FE-4382-9B98-F7174FD190BB}"/>
    <cellStyle name="Vírgula 4 2 2 2 4 4" xfId="765" xr:uid="{04F47419-4805-4915-ABC9-3E59D7B8A63B}"/>
    <cellStyle name="Vírgula 4 2 2 2 4 4 2" xfId="2481" xr:uid="{0EFE80E2-0083-41F0-BFDF-E0F3EE0C98A7}"/>
    <cellStyle name="Vírgula 4 2 2 2 4 4 2 2" xfId="52219" xr:uid="{F301367C-1505-4D02-B2B6-720DCBC8A442}"/>
    <cellStyle name="Vírgula 4 2 2 2 4 4 2 3" xfId="55513" xr:uid="{41841B2F-E115-4964-8CD6-FDEF2F7E6C76}"/>
    <cellStyle name="Vírgula 4 2 2 2 4 4 2 4" xfId="43895" xr:uid="{540B34FA-35A9-4FB1-BA2C-F9CD80E4ECEF}"/>
    <cellStyle name="Vírgula 4 2 2 2 4 4 3" xfId="48917" xr:uid="{3B8DB9CE-0415-4E19-8955-8CD7AB2D5E71}"/>
    <cellStyle name="Vírgula 4 2 2 2 4 4 3 2" xfId="56636" xr:uid="{67FC34CE-5510-42EF-8992-05A810178F7E}"/>
    <cellStyle name="Vírgula 4 2 2 2 4 4 4" xfId="50587" xr:uid="{EE02A9D1-89DE-4042-8530-F7EAA8E9BCD2}"/>
    <cellStyle name="Vírgula 4 2 2 2 4 4 5" xfId="53882" xr:uid="{23BBF357-1DED-4615-B597-F85084B17271}"/>
    <cellStyle name="Vírgula 4 2 2 2 4 4 6" xfId="23560" xr:uid="{9F5AAF44-6560-4AE1-AC08-78842BDA5CCA}"/>
    <cellStyle name="Vírgula 4 2 2 2 4 5" xfId="3533" xr:uid="{490F0FDA-8B87-4A88-905E-9CA89524111D}"/>
    <cellStyle name="Vírgula 4 2 2 2 4 5 2" xfId="34235" xr:uid="{ECE7BDE2-9E98-40A5-93C7-138A4A48BB87}"/>
    <cellStyle name="Vírgula 4 2 2 2 4 5 3" xfId="52216" xr:uid="{B3755803-B736-4FEA-9857-424FD4541D0E}"/>
    <cellStyle name="Vírgula 4 2 2 2 4 5 4" xfId="55510" xr:uid="{228DF742-0662-4DA0-BE79-A81676EEDC0E}"/>
    <cellStyle name="Vírgula 4 2 2 2 4 5 5" xfId="13894" xr:uid="{0333EE9C-923D-47C6-B2D7-10ED445A38E4}"/>
    <cellStyle name="Vírgula 4 2 2 2 4 6" xfId="1882" xr:uid="{EEA9D409-2E66-4963-AC23-93388492CA2E}"/>
    <cellStyle name="Vírgula 4 2 2 2 4 6 2" xfId="30359" xr:uid="{B2F2E279-4BAD-45D0-A2AA-53C25704A827}"/>
    <cellStyle name="Vírgula 4 2 2 2 4 6 3" xfId="56227" xr:uid="{38B6CB0A-B6DF-4125-8C55-62592ADF8E1D}"/>
    <cellStyle name="Vírgula 4 2 2 2 4 6 4" xfId="10016" xr:uid="{797DA39B-981A-4E99-9FF6-106EA7FB259F}"/>
    <cellStyle name="Vírgula 4 2 2 2 4 7" xfId="26865" xr:uid="{E91272E5-05D3-4032-8A0C-B8A404B40BB3}"/>
    <cellStyle name="Vírgula 4 2 2 2 4 8" xfId="48914" xr:uid="{CB5F26E3-ABBB-40D2-90BC-37E1EAFECD96}"/>
    <cellStyle name="Vírgula 4 2 2 2 4 9" xfId="50584" xr:uid="{A55CC4DA-EC5A-4A2B-917D-10341654102B}"/>
    <cellStyle name="Vírgula 4 2 2 2 5" xfId="983" xr:uid="{008E43EF-D8D3-47D3-A65A-06916ED02BC3}"/>
    <cellStyle name="Vírgula 4 2 2 2 5 10" xfId="53883" xr:uid="{C909C652-03FD-4292-AA50-2C699C954432}"/>
    <cellStyle name="Vírgula 4 2 2 2 5 11" xfId="7681" xr:uid="{B3E088F7-CC9C-4396-98F4-B81A3E7520CE}"/>
    <cellStyle name="Vírgula 4 2 2 2 5 12" xfId="4902" xr:uid="{3DCFED34-A5B7-492C-AEA3-DA2EA2E944A0}"/>
    <cellStyle name="Vírgula 4 2 2 2 5 2" xfId="3751" xr:uid="{96AC89F0-395A-4CF9-A845-6958B3019507}"/>
    <cellStyle name="Vírgula 4 2 2 2 5 2 2" xfId="38306" xr:uid="{597626F3-D165-4EF8-B800-88B1F1ADD144}"/>
    <cellStyle name="Vírgula 4 2 2 2 5 2 3" xfId="52220" xr:uid="{BB4FE113-5E3C-403B-9BFC-F6144B3F342D}"/>
    <cellStyle name="Vírgula 4 2 2 2 5 2 4" xfId="55514" xr:uid="{2009CA43-5784-4C70-8D3E-582695B58333}"/>
    <cellStyle name="Vírgula 4 2 2 2 5 2 5" xfId="17966" xr:uid="{0E17C803-E32B-4EA6-B9E1-2D86F4E2F226}"/>
    <cellStyle name="Vírgula 4 2 2 2 5 3" xfId="2697" xr:uid="{C7217DB6-A403-4784-9B03-32507256494A}"/>
    <cellStyle name="Vírgula 4 2 2 2 5 3 2" xfId="41807" xr:uid="{A719D6F1-6757-4816-A354-047B19BD0974}"/>
    <cellStyle name="Vírgula 4 2 2 2 5 3 3" xfId="56854" xr:uid="{3AEB5B46-E587-4C2F-B3C5-B9F324B33ECF}"/>
    <cellStyle name="Vírgula 4 2 2 2 5 3 4" xfId="21468" xr:uid="{497E83E4-E3D6-4172-B28C-C58B566871E9}"/>
    <cellStyle name="Vírgula 4 2 2 2 5 4" xfId="24723" xr:uid="{7F7A5CAE-BA9B-468C-AF98-EC9126F922BF}"/>
    <cellStyle name="Vírgula 4 2 2 2 5 4 2" xfId="45058" xr:uid="{F6248C80-91E1-4DA3-A3CA-C9CA01408279}"/>
    <cellStyle name="Vírgula 4 2 2 2 5 5" xfId="15058" xr:uid="{3EE712DD-ECC6-4E98-A3A9-80DE320E3B09}"/>
    <cellStyle name="Vírgula 4 2 2 2 5 5 2" xfId="35398" xr:uid="{8C3505EB-965B-44A4-8911-590069C20C63}"/>
    <cellStyle name="Vírgula 4 2 2 2 5 6" xfId="11179" xr:uid="{F6460D5A-A047-4EDE-9D44-44ED90D8BF6C}"/>
    <cellStyle name="Vírgula 4 2 2 2 5 6 2" xfId="31522" xr:uid="{3D0E8B54-0D19-46D2-BD69-B57D1E397619}"/>
    <cellStyle name="Vírgula 4 2 2 2 5 7" xfId="28028" xr:uid="{0020F763-CE6B-40FE-BC79-1305973DB117}"/>
    <cellStyle name="Vírgula 4 2 2 2 5 8" xfId="48918" xr:uid="{2B09D6A6-5D13-419C-A311-7825CA049920}"/>
    <cellStyle name="Vírgula 4 2 2 2 5 9" xfId="50588" xr:uid="{E65398F0-1EFC-463A-9B13-E90975CFE493}"/>
    <cellStyle name="Vírgula 4 2 2 2 6" xfId="1389" xr:uid="{EEFA6F66-FC5D-4691-8851-51843EC0B6A5}"/>
    <cellStyle name="Vírgula 4 2 2 2 6 10" xfId="8281" xr:uid="{5EAAA662-34F7-40BA-AAEB-7B854C0704B8}"/>
    <cellStyle name="Vírgula 4 2 2 2 6 2" xfId="3050" xr:uid="{898C7A92-F538-42B9-87DE-072BAA774C32}"/>
    <cellStyle name="Vírgula 4 2 2 2 6 2 2" xfId="42404" xr:uid="{F26E0CCC-3AE2-4911-9991-4D4B2926E2BD}"/>
    <cellStyle name="Vírgula 4 2 2 2 6 2 3" xfId="52221" xr:uid="{183D118C-55EC-4F4F-9BBD-84B93E51330B}"/>
    <cellStyle name="Vírgula 4 2 2 2 6 2 4" xfId="55515" xr:uid="{F55CEB4F-F9AB-4EE9-B1D4-DCDF6EEDC7D1}"/>
    <cellStyle name="Vírgula 4 2 2 2 6 2 5" xfId="22068" xr:uid="{35D70B1A-4EC4-4EC2-9FB7-966226B592A8}"/>
    <cellStyle name="Vírgula 4 2 2 2 6 3" xfId="25320" xr:uid="{D4BB9699-A32B-4A89-A209-C0973BB14CF2}"/>
    <cellStyle name="Vírgula 4 2 2 2 6 3 2" xfId="45655" xr:uid="{58A92A65-BE68-44B7-BAA1-677F731A0F3A}"/>
    <cellStyle name="Vírgula 4 2 2 2 6 3 3" xfId="57260" xr:uid="{CE75C5CC-ADC3-4E28-898F-E3022CEA865A}"/>
    <cellStyle name="Vírgula 4 2 2 2 6 4" xfId="12748" xr:uid="{F929EE00-DC35-4843-A380-12AB4CA933FC}"/>
    <cellStyle name="Vírgula 4 2 2 2 6 4 2" xfId="33089" xr:uid="{F7460243-E5FA-4189-AD45-622B7FC3BFFE}"/>
    <cellStyle name="Vírgula 4 2 2 2 6 5" xfId="11777" xr:uid="{9B402079-7A84-4CF3-B8D8-966DE224E698}"/>
    <cellStyle name="Vírgula 4 2 2 2 6 5 2" xfId="32119" xr:uid="{9A951E6F-886B-4136-AA5C-2CAA0B4D67BF}"/>
    <cellStyle name="Vírgula 4 2 2 2 6 6" xfId="28625" xr:uid="{477D7C9A-3CF4-4FC0-AC98-DCCAA08F9696}"/>
    <cellStyle name="Vírgula 4 2 2 2 6 7" xfId="48919" xr:uid="{65C65BBA-9A9B-47D9-81DE-D00F21965DFD}"/>
    <cellStyle name="Vírgula 4 2 2 2 6 8" xfId="50589" xr:uid="{8ECF5E04-C360-43B7-AA2F-3D313D0CDC77}"/>
    <cellStyle name="Vírgula 4 2 2 2 6 9" xfId="53884" xr:uid="{FAFF392E-D900-47F7-BB67-E86B4600DFB9}"/>
    <cellStyle name="Vírgula 4 2 2 2 7" xfId="576" xr:uid="{3C7B22DD-03CA-41DD-AC42-45287124A790}"/>
    <cellStyle name="Vírgula 4 2 2 2 7 2" xfId="2292" xr:uid="{642FAB89-B755-4E04-A710-420F4167BA59}"/>
    <cellStyle name="Vírgula 4 2 2 2 7 2 2" xfId="35985" xr:uid="{1E9EE289-2ED0-4902-A72F-5070928ECFF4}"/>
    <cellStyle name="Vírgula 4 2 2 2 7 2 3" xfId="52222" xr:uid="{E88419AB-C678-4BC0-83E6-290C2EC55297}"/>
    <cellStyle name="Vírgula 4 2 2 2 7 2 4" xfId="55516" xr:uid="{709924F1-AE21-4D7A-ADBA-14AA1BF099C0}"/>
    <cellStyle name="Vírgula 4 2 2 2 7 2 5" xfId="15645" xr:uid="{15206148-8CBF-4362-A450-966494E1B0BF}"/>
    <cellStyle name="Vírgula 4 2 2 2 7 3" xfId="28884" xr:uid="{7D82FE85-FBD6-43F3-922B-BED14AAC5DC0}"/>
    <cellStyle name="Vírgula 4 2 2 2 7 3 2" xfId="56447" xr:uid="{743E6380-8859-44AC-81BC-A9AA18CE20D0}"/>
    <cellStyle name="Vírgula 4 2 2 2 7 4" xfId="48920" xr:uid="{98A2ED00-CA9D-4E12-A502-9DFC07BD68AD}"/>
    <cellStyle name="Vírgula 4 2 2 2 7 5" xfId="50590" xr:uid="{E8767C4D-348E-4BF3-8ED0-AA7E3FAA0FE8}"/>
    <cellStyle name="Vírgula 4 2 2 2 7 6" xfId="53885" xr:uid="{E32A171A-639A-466D-8589-5D5864F9D4D6}"/>
    <cellStyle name="Vírgula 4 2 2 2 7 7" xfId="8541" xr:uid="{2244849C-B68C-462E-B411-E13251614B78}"/>
    <cellStyle name="Vírgula 4 2 2 2 8" xfId="3423" xr:uid="{E76101C7-4C32-4210-808A-C3646F8A64C4}"/>
    <cellStyle name="Vírgula 4 2 2 2 8 2" xfId="38899" xr:uid="{FFB71D66-2BB1-4C8B-A796-7239E9B6A653}"/>
    <cellStyle name="Vírgula 4 2 2 2 8 3" xfId="52199" xr:uid="{72C570D6-AD95-421C-8272-84281D435DF6}"/>
    <cellStyle name="Vírgula 4 2 2 2 8 4" xfId="55493" xr:uid="{D9E31A7D-FAE8-4FCD-9FA5-83D5786A632C}"/>
    <cellStyle name="Vírgula 4 2 2 2 8 5" xfId="18559" xr:uid="{BA2A80B4-1FC4-454E-81E5-CD49EAF8B632}"/>
    <cellStyle name="Vírgula 4 2 2 2 9" xfId="3961" xr:uid="{946386DB-8210-4EA9-9F63-088C282EA166}"/>
    <cellStyle name="Vírgula 4 2 2 2 9 2" xfId="39486" xr:uid="{6C293392-DCD7-46CD-814E-F31EED69949A}"/>
    <cellStyle name="Vírgula 4 2 2 2 9 3" xfId="56038" xr:uid="{3A2A0C7A-875E-49A2-9B77-E3CF6B14D195}"/>
    <cellStyle name="Vírgula 4 2 2 2 9 4" xfId="19147" xr:uid="{EF7BD2DA-A725-4B44-AC48-5276EAEE2F1E}"/>
    <cellStyle name="Vírgula 4 2 2 20" xfId="46834" xr:uid="{9F7A17E5-84B5-45F0-B451-C14F717D6AD0}"/>
    <cellStyle name="Vírgula 4 2 2 21" xfId="47329" xr:uid="{66F6467A-9C77-46A6-B355-B15242EEE31F}"/>
    <cellStyle name="Vírgula 4 2 2 22" xfId="47455" xr:uid="{15B38DCD-0A90-43A0-97DA-C6EB82BB9B8C}"/>
    <cellStyle name="Vírgula 4 2 2 23" xfId="47581" xr:uid="{34959CDC-4BE7-43B5-867C-00FEC4A384F8}"/>
    <cellStyle name="Vírgula 4 2 2 24" xfId="48896" xr:uid="{AB0F41F4-DB95-468A-9BD2-A10FD3EA00FB}"/>
    <cellStyle name="Vírgula 4 2 2 25" xfId="50566" xr:uid="{DD42D422-903F-46B8-B9D3-E9C887BF9719}"/>
    <cellStyle name="Vírgula 4 2 2 26" xfId="53861" xr:uid="{DFB3C067-E6BC-49D6-9206-0A5612A4A15E}"/>
    <cellStyle name="Vírgula 4 2 2 27" xfId="5255" xr:uid="{E57A4652-E566-4E3B-A79A-D407316D5A67}"/>
    <cellStyle name="Vírgula 4 2 2 28" xfId="4419" xr:uid="{107D4ADD-A6D7-4A6F-BEF5-96766C2C9CFB}"/>
    <cellStyle name="Vírgula 4 2 2 3" xfId="193" xr:uid="{9AE22AF8-8492-459C-BF41-EDEC43CD05CE}"/>
    <cellStyle name="Vírgula 4 2 2 3 10" xfId="12215" xr:uid="{7EC47BF9-DEFC-4F16-B968-0511995300A4}"/>
    <cellStyle name="Vírgula 4 2 2 3 10 2" xfId="32556" xr:uid="{E76881A3-9637-419C-BA79-26721F1EB88F}"/>
    <cellStyle name="Vírgula 4 2 2 3 11" xfId="8954" xr:uid="{1C6714CC-B425-47A6-A8EB-95E852BEDD60}"/>
    <cellStyle name="Vírgula 4 2 2 3 11 2" xfId="29297" xr:uid="{13DF5E33-F211-4C72-AD4B-F94EB66AC08C}"/>
    <cellStyle name="Vírgula 4 2 2 3 12" xfId="25803" xr:uid="{C69D039E-E162-4F04-8625-0074F7C0DC47}"/>
    <cellStyle name="Vírgula 4 2 2 3 13" xfId="46002" xr:uid="{809A015F-5F0C-458E-AA63-CA91C4848B45}"/>
    <cellStyle name="Vírgula 4 2 2 3 14" xfId="46488" xr:uid="{F56EEE17-6A2C-4600-B58D-3A690BF25310}"/>
    <cellStyle name="Vírgula 4 2 2 3 15" xfId="46980" xr:uid="{9D21DE43-EB6C-4C27-A174-201F62014FC6}"/>
    <cellStyle name="Vírgula 4 2 2 3 16" xfId="47385" xr:uid="{7E7882F4-9F9C-4DED-B8E1-62BE096415DB}"/>
    <cellStyle name="Vírgula 4 2 2 3 17" xfId="47511" xr:uid="{71C677B9-4CEF-4D62-AFF3-AEB5E64CF3EF}"/>
    <cellStyle name="Vírgula 4 2 2 3 18" xfId="47637" xr:uid="{79B59981-EDE8-4486-A848-E778156CACAC}"/>
    <cellStyle name="Vírgula 4 2 2 3 19" xfId="48921" xr:uid="{DC745246-F602-4FD1-953B-256F0A200907}"/>
    <cellStyle name="Vírgula 4 2 2 3 2" xfId="382" xr:uid="{765E764C-A932-4CAB-94B9-40803E2F23D6}"/>
    <cellStyle name="Vírgula 4 2 2 3 2 10" xfId="46731" xr:uid="{86B5C190-B387-46AC-9D67-8E86D6B9BD29}"/>
    <cellStyle name="Vírgula 4 2 2 3 2 11" xfId="47223" xr:uid="{5DD64D7A-3A95-49B3-8E36-D5A9B1C4D446}"/>
    <cellStyle name="Vírgula 4 2 2 3 2 12" xfId="48922" xr:uid="{E720DFBE-F291-4BB8-A976-7534F387FFB7}"/>
    <cellStyle name="Vírgula 4 2 2 3 2 13" xfId="50592" xr:uid="{8625AE9E-2B47-441B-A392-6673342B5541}"/>
    <cellStyle name="Vírgula 4 2 2 3 2 14" xfId="53887" xr:uid="{344E7A15-535D-4993-9AAA-9C05ECD15489}"/>
    <cellStyle name="Vírgula 4 2 2 3 2 15" xfId="6036" xr:uid="{E147A48B-B8ED-4FEB-ADD9-837E2806FF45}"/>
    <cellStyle name="Vírgula 4 2 2 3 2 16" xfId="4663" xr:uid="{59959A16-2873-4468-A6C9-777A2C794A1C}"/>
    <cellStyle name="Vírgula 4 2 2 3 2 2" xfId="1198" xr:uid="{D6C92055-0721-456E-B0C7-8BBA9F9CB9DB}"/>
    <cellStyle name="Vírgula 4 2 2 3 2 2 10" xfId="53888" xr:uid="{DAE6F90F-5F3C-4C90-AF8C-1E4A8973551F}"/>
    <cellStyle name="Vírgula 4 2 2 3 2 2 11" xfId="7194" xr:uid="{DAC9E66F-48DB-426F-8791-F148C9CCCB1B}"/>
    <cellStyle name="Vírgula 4 2 2 3 2 2 12" xfId="5120" xr:uid="{1EC469DB-BB07-4A32-94D2-48D671244D75}"/>
    <cellStyle name="Vírgula 4 2 2 3 2 2 2" xfId="2859" xr:uid="{15A286AC-6FB7-4587-A686-02899552D269}"/>
    <cellStyle name="Vírgula 4 2 2 3 2 2 2 2" xfId="37820" xr:uid="{587DBD9F-6491-422D-A6D7-BEDE0B6C7336}"/>
    <cellStyle name="Vírgula 4 2 2 3 2 2 2 3" xfId="52225" xr:uid="{1B02D932-A76F-4A1B-8FEC-19DCAD17D28D}"/>
    <cellStyle name="Vírgula 4 2 2 3 2 2 2 4" xfId="55519" xr:uid="{DE796359-10CC-4B15-B22F-E3CA9949BD11}"/>
    <cellStyle name="Vírgula 4 2 2 3 2 2 2 5" xfId="17480" xr:uid="{2D7373C3-DE16-4B37-849C-CD29D01E9C74}"/>
    <cellStyle name="Vírgula 4 2 2 3 2 2 3" xfId="20982" xr:uid="{846E5B6F-6F5A-4F5B-9D08-821168B89594}"/>
    <cellStyle name="Vírgula 4 2 2 3 2 2 3 2" xfId="41321" xr:uid="{4C497040-164D-43F2-8970-1D212C5D476C}"/>
    <cellStyle name="Vírgula 4 2 2 3 2 2 3 3" xfId="57069" xr:uid="{93A943EE-DEF0-457F-808B-A9ACFFDC4DC0}"/>
    <cellStyle name="Vírgula 4 2 2 3 2 2 4" xfId="24237" xr:uid="{BA058752-326B-433E-830B-8262D5F9B506}"/>
    <cellStyle name="Vírgula 4 2 2 3 2 2 4 2" xfId="44572" xr:uid="{EFD0EF5F-1ECC-414C-A77F-44A676A80CFB}"/>
    <cellStyle name="Vírgula 4 2 2 3 2 2 5" xfId="14571" xr:uid="{3F7582B1-7BC7-4393-BFB2-44CB0E94CEDB}"/>
    <cellStyle name="Vírgula 4 2 2 3 2 2 5 2" xfId="34912" xr:uid="{79806940-CFA2-4C78-83E1-2CE6B0CE04A2}"/>
    <cellStyle name="Vírgula 4 2 2 3 2 2 6" xfId="10693" xr:uid="{DE8437ED-E639-483C-A663-1EAB02067B43}"/>
    <cellStyle name="Vírgula 4 2 2 3 2 2 6 2" xfId="31036" xr:uid="{FEA6310C-4949-4F08-A53E-6FC4878C1BC7}"/>
    <cellStyle name="Vírgula 4 2 2 3 2 2 7" xfId="27542" xr:uid="{C7F293A4-CEFD-42BF-9ED1-8CD5F43BC0BF}"/>
    <cellStyle name="Vírgula 4 2 2 3 2 2 8" xfId="48923" xr:uid="{0D22B111-2535-4A05-BE5F-63800CCF9EBE}"/>
    <cellStyle name="Vírgula 4 2 2 3 2 2 9" xfId="50593" xr:uid="{B3239A60-7913-439A-A324-12A3E6BA2166}"/>
    <cellStyle name="Vírgula 4 2 2 3 2 3" xfId="1604" xr:uid="{AAAC04F7-5648-4AE8-8708-17012F9BACB3}"/>
    <cellStyle name="Vírgula 4 2 2 3 2 3 2" xfId="3264" xr:uid="{C1726729-53C4-456D-A44F-9D5BDE839889}"/>
    <cellStyle name="Vírgula 4 2 2 3 2 3 2 2" xfId="52226" xr:uid="{600564CF-D1C8-4BAD-BE73-448FF7C4475E}"/>
    <cellStyle name="Vírgula 4 2 2 3 2 3 2 3" xfId="55520" xr:uid="{035EC945-84BC-42F1-9E32-0178ED3BF946}"/>
    <cellStyle name="Vírgula 4 2 2 3 2 3 2 4" xfId="36662" xr:uid="{C662F13A-376B-4C45-B3F1-70643F4E790F}"/>
    <cellStyle name="Vírgula 4 2 2 3 2 3 3" xfId="48924" xr:uid="{1F9709F1-BC6A-4F6D-AA27-34ADBFB8B3D9}"/>
    <cellStyle name="Vírgula 4 2 2 3 2 3 3 2" xfId="57475" xr:uid="{2D524E12-5581-4AB5-B795-A9BB49EF3BD8}"/>
    <cellStyle name="Vírgula 4 2 2 3 2 3 4" xfId="50594" xr:uid="{9014467E-6750-4FB5-A97E-F40BC88E64D7}"/>
    <cellStyle name="Vírgula 4 2 2 3 2 3 5" xfId="53889" xr:uid="{CBC82F7E-E1F7-47B3-9283-4B7017CB4EE5}"/>
    <cellStyle name="Vírgula 4 2 2 3 2 3 6" xfId="16322" xr:uid="{9A4D21CB-AF8E-4897-A048-D7F020AD4093}"/>
    <cellStyle name="Vírgula 4 2 2 3 2 4" xfId="791" xr:uid="{B6214F78-9AEB-491C-82F8-4CD3A48C5906}"/>
    <cellStyle name="Vírgula 4 2 2 3 2 4 2" xfId="2507" xr:uid="{F2C24797-90DF-454C-AEEB-2EC84EBCD60C}"/>
    <cellStyle name="Vírgula 4 2 2 3 2 4 2 2" xfId="52227" xr:uid="{C45FE04D-AFC8-43E5-8160-5824A1404AB8}"/>
    <cellStyle name="Vírgula 4 2 2 3 2 4 2 3" xfId="55521" xr:uid="{5E009CCB-5ADB-429B-B5AC-6D88DF1E8CD9}"/>
    <cellStyle name="Vírgula 4 2 2 3 2 4 2 4" xfId="40163" xr:uid="{ED73BDAC-70D0-484D-9576-E4D24DE3CE3C}"/>
    <cellStyle name="Vírgula 4 2 2 3 2 4 3" xfId="48925" xr:uid="{551C94AF-D615-4CA4-989B-4289A950E8F1}"/>
    <cellStyle name="Vírgula 4 2 2 3 2 4 3 2" xfId="56662" xr:uid="{F6857896-0DEF-4EAE-9DB8-4B6B1FA7E551}"/>
    <cellStyle name="Vírgula 4 2 2 3 2 4 4" xfId="50595" xr:uid="{F65D18C9-7327-4DC8-89FE-ED294CD28C11}"/>
    <cellStyle name="Vírgula 4 2 2 3 2 4 5" xfId="53890" xr:uid="{85B54ADB-1599-45E2-B736-429F73B19C2C}"/>
    <cellStyle name="Vírgula 4 2 2 3 2 4 6" xfId="19824" xr:uid="{0AE26669-FB31-4924-BB0B-F371C6D2413E}"/>
    <cellStyle name="Vírgula 4 2 2 3 2 5" xfId="3671" xr:uid="{DFD3A58B-5F91-4368-AD5F-101717FA7410}"/>
    <cellStyle name="Vírgula 4 2 2 3 2 5 2" xfId="43414" xr:uid="{6AEA8F19-2DB7-4A4A-B1BF-79213ECD4B80}"/>
    <cellStyle name="Vírgula 4 2 2 3 2 5 3" xfId="52224" xr:uid="{185FEEB9-4B94-448D-97AD-A964921DE8EA}"/>
    <cellStyle name="Vírgula 4 2 2 3 2 5 4" xfId="55518" xr:uid="{18EF4F42-410A-44D1-B9F2-E314C7232265}"/>
    <cellStyle name="Vírgula 4 2 2 3 2 5 5" xfId="23079" xr:uid="{94D95C08-48F9-48E5-B7A0-58FEB5F869F0}"/>
    <cellStyle name="Vírgula 4 2 2 3 2 6" xfId="2020" xr:uid="{6BF17357-2885-4C2D-93A4-D0B96706C996}"/>
    <cellStyle name="Vírgula 4 2 2 3 2 6 2" xfId="33754" xr:uid="{F66C32DD-4D30-488E-B9EE-E12D4E1AA95E}"/>
    <cellStyle name="Vírgula 4 2 2 3 2 6 3" xfId="56253" xr:uid="{329EED94-5F7F-4A1D-870E-0378E6D1FF23}"/>
    <cellStyle name="Vírgula 4 2 2 3 2 6 4" xfId="13413" xr:uid="{041C6261-264A-4022-BAA8-B6BB21C6DB24}"/>
    <cellStyle name="Vírgula 4 2 2 3 2 7" xfId="9535" xr:uid="{0A228441-CAD7-45FE-83A1-A74649136735}"/>
    <cellStyle name="Vírgula 4 2 2 3 2 7 2" xfId="29878" xr:uid="{39EA80DC-0054-4198-ADF3-3EBBA0EEC9CF}"/>
    <cellStyle name="Vírgula 4 2 2 3 2 8" xfId="26384" xr:uid="{E5529F56-9BF2-4E9A-9DDC-49067155AEDA}"/>
    <cellStyle name="Vírgula 4 2 2 3 2 9" xfId="46245" xr:uid="{896EA34D-671F-4699-BD21-FAA73C35680D}"/>
    <cellStyle name="Vírgula 4 2 2 3 20" xfId="50591" xr:uid="{1D1619FA-B339-485A-82C5-8ED7AD6FA81E}"/>
    <cellStyle name="Vírgula 4 2 2 3 21" xfId="53886" xr:uid="{3A62D788-9B95-4B9E-B570-1BB8D0337911}"/>
    <cellStyle name="Vírgula 4 2 2 3 22" xfId="5466" xr:uid="{6E63C74D-935A-48B1-94BA-29F94F5E6778}"/>
    <cellStyle name="Vírgula 4 2 2 3 23" xfId="4474" xr:uid="{CE0D1AA8-5843-4DAF-B54C-54B0B05A3E04}"/>
    <cellStyle name="Vírgula 4 2 2 3 3" xfId="1009" xr:uid="{77CC9D28-A703-4729-8689-0F3B272168DC}"/>
    <cellStyle name="Vírgula 4 2 2 3 3 10" xfId="53891" xr:uid="{3A80141B-70A5-4C9F-BC3F-26C113939CB3}"/>
    <cellStyle name="Vírgula 4 2 2 3 3 11" xfId="6613" xr:uid="{CEA8FAEE-D2BD-4409-8D20-1289276B2C4A}"/>
    <cellStyle name="Vírgula 4 2 2 3 3 12" xfId="4901" xr:uid="{F6EB2139-55A8-41F9-9C3C-F9BBEFA8232A}"/>
    <cellStyle name="Vírgula 4 2 2 3 3 2" xfId="3562" xr:uid="{3BECDB8A-DA66-4301-AB72-B9092ADB3311}"/>
    <cellStyle name="Vírgula 4 2 2 3 3 2 2" xfId="37239" xr:uid="{25289ADB-3D2A-4A6B-B35A-AF7CE34B5D98}"/>
    <cellStyle name="Vírgula 4 2 2 3 3 2 3" xfId="52228" xr:uid="{7717EFB9-D874-4141-BC4F-13EEA020127E}"/>
    <cellStyle name="Vírgula 4 2 2 3 3 2 4" xfId="55522" xr:uid="{2CBD6C50-84C4-4640-AA89-81F07146721D}"/>
    <cellStyle name="Vírgula 4 2 2 3 3 2 5" xfId="16899" xr:uid="{B6847909-521B-4B93-9C7E-B3C49314A559}"/>
    <cellStyle name="Vírgula 4 2 2 3 3 3" xfId="1911" xr:uid="{E75E1604-E1BF-4255-B481-D3BDAADABD03}"/>
    <cellStyle name="Vírgula 4 2 2 3 3 3 2" xfId="40740" xr:uid="{4DD9DD19-EEF4-4175-B9DD-F32154F3CCBF}"/>
    <cellStyle name="Vírgula 4 2 2 3 3 3 3" xfId="56880" xr:uid="{F7BAD41B-640A-40D6-81C5-6246AED98C49}"/>
    <cellStyle name="Vírgula 4 2 2 3 3 3 4" xfId="20401" xr:uid="{9C8783DA-BFBC-4ACB-AC3C-7C29623090BB}"/>
    <cellStyle name="Vírgula 4 2 2 3 3 4" xfId="23656" xr:uid="{83689090-4C71-4A15-BD81-E1ED325DFBD2}"/>
    <cellStyle name="Vírgula 4 2 2 3 3 4 2" xfId="43991" xr:uid="{181286EA-C53C-43F5-B2E1-E5472F26C70C}"/>
    <cellStyle name="Vírgula 4 2 2 3 3 5" xfId="13990" xr:uid="{CC2F0524-0BDB-425E-A618-566DEE6E49A3}"/>
    <cellStyle name="Vírgula 4 2 2 3 3 5 2" xfId="34331" xr:uid="{EBB8A623-B580-42E5-B86B-ACA5558BCAEF}"/>
    <cellStyle name="Vírgula 4 2 2 3 3 6" xfId="10112" xr:uid="{96F81D94-4F66-405B-9874-2E355085224C}"/>
    <cellStyle name="Vírgula 4 2 2 3 3 6 2" xfId="30455" xr:uid="{27794982-E557-4762-B041-0FFDBA14C960}"/>
    <cellStyle name="Vírgula 4 2 2 3 3 7" xfId="26961" xr:uid="{708D5D10-5F6E-4A5F-B59A-8058A31401AB}"/>
    <cellStyle name="Vírgula 4 2 2 3 3 8" xfId="48926" xr:uid="{9A128067-5E99-443E-8070-617D3A984F57}"/>
    <cellStyle name="Vírgula 4 2 2 3 3 9" xfId="50596" xr:uid="{5E81316A-64EE-4265-86B3-19EDE7ECD15A}"/>
    <cellStyle name="Vírgula 4 2 2 3 4" xfId="1415" xr:uid="{A50494C8-2816-44A7-AAE8-1519A7AC1784}"/>
    <cellStyle name="Vírgula 4 2 2 3 4 10" xfId="53892" xr:uid="{1532135F-BD6E-4A7E-9217-35392D7B656A}"/>
    <cellStyle name="Vírgula 4 2 2 3 4 11" xfId="7777" xr:uid="{312D3755-5108-40DA-951B-A0DDA3A5553E}"/>
    <cellStyle name="Vírgula 4 2 2 3 4 2" xfId="3780" xr:uid="{D3EA03F8-8DE6-4302-B9C6-C386B22DEB02}"/>
    <cellStyle name="Vírgula 4 2 2 3 4 2 2" xfId="38402" xr:uid="{5334DE1B-CC84-435B-B138-4002553E1414}"/>
    <cellStyle name="Vírgula 4 2 2 3 4 2 3" xfId="52229" xr:uid="{DF0FF3E1-5925-4C62-A099-453E1F32C1CA}"/>
    <cellStyle name="Vírgula 4 2 2 3 4 2 4" xfId="55523" xr:uid="{1410A542-D83D-47AD-9947-43215F7A681F}"/>
    <cellStyle name="Vírgula 4 2 2 3 4 2 5" xfId="18062" xr:uid="{18FF481A-C258-4374-9808-50A31527006F}"/>
    <cellStyle name="Vírgula 4 2 2 3 4 3" xfId="3076" xr:uid="{ADB6348B-57D6-4E97-80AA-BE46CB772B9A}"/>
    <cellStyle name="Vírgula 4 2 2 3 4 3 2" xfId="41903" xr:uid="{50B89698-9877-43E3-94D6-44CEA3BACDC8}"/>
    <cellStyle name="Vírgula 4 2 2 3 4 3 3" xfId="57286" xr:uid="{475E59B9-FCE7-45F4-ACF0-C2124E6C894D}"/>
    <cellStyle name="Vírgula 4 2 2 3 4 3 4" xfId="21564" xr:uid="{DF4AA2F6-F17E-458C-9B37-37B65F1BC3AE}"/>
    <cellStyle name="Vírgula 4 2 2 3 4 4" xfId="24819" xr:uid="{D183D917-38B3-47A6-87B0-6ED420AA7AE2}"/>
    <cellStyle name="Vírgula 4 2 2 3 4 4 2" xfId="45154" xr:uid="{C3BB03B5-F0C7-4AA6-A721-D8CC9E6C9950}"/>
    <cellStyle name="Vírgula 4 2 2 3 4 5" xfId="15154" xr:uid="{53AF7195-C9DA-4979-AE28-72F0655B488B}"/>
    <cellStyle name="Vírgula 4 2 2 3 4 5 2" xfId="35494" xr:uid="{37BF4F29-3972-4FB7-897C-34CFED3E82F3}"/>
    <cellStyle name="Vírgula 4 2 2 3 4 6" xfId="11275" xr:uid="{8E79286D-BC06-4E2D-ACF3-2820D5B326AF}"/>
    <cellStyle name="Vírgula 4 2 2 3 4 6 2" xfId="31618" xr:uid="{28E62C01-735F-4371-AB54-3150E01E1EC1}"/>
    <cellStyle name="Vírgula 4 2 2 3 4 7" xfId="28124" xr:uid="{DE27366D-41C5-4A7A-A02A-7E3F68026F3F}"/>
    <cellStyle name="Vírgula 4 2 2 3 4 8" xfId="48927" xr:uid="{885F268B-BE38-4A23-8224-53C2C581F732}"/>
    <cellStyle name="Vírgula 4 2 2 3 4 9" xfId="50597" xr:uid="{C9879966-2757-476B-9551-87E84C1E4551}"/>
    <cellStyle name="Vírgula 4 2 2 3 5" xfId="602" xr:uid="{1FB16E75-6323-4B95-A2D0-3452BB3E02FC}"/>
    <cellStyle name="Vírgula 4 2 2 3 5 10" xfId="8284" xr:uid="{99F3FE56-A236-4643-A046-5721746679B7}"/>
    <cellStyle name="Vírgula 4 2 2 3 5 2" xfId="2318" xr:uid="{45D11682-D03B-4C06-977E-EBCE36A3B789}"/>
    <cellStyle name="Vírgula 4 2 2 3 5 2 2" xfId="42407" xr:uid="{847BF28D-E9F2-49B9-940F-A482EF6D5280}"/>
    <cellStyle name="Vírgula 4 2 2 3 5 2 3" xfId="52230" xr:uid="{91BE98C8-282A-4BBC-82CF-E04A9391BF7F}"/>
    <cellStyle name="Vírgula 4 2 2 3 5 2 4" xfId="55524" xr:uid="{94BE07D5-E7C3-4E9F-B572-ADEE0F69AE48}"/>
    <cellStyle name="Vírgula 4 2 2 3 5 2 5" xfId="22071" xr:uid="{E5E96B78-02B9-4B43-BD0A-322F5F2B8701}"/>
    <cellStyle name="Vírgula 4 2 2 3 5 3" xfId="25323" xr:uid="{DEC4B386-AF6F-42FB-AB08-F8692F4D1D72}"/>
    <cellStyle name="Vírgula 4 2 2 3 5 3 2" xfId="45658" xr:uid="{8F81BDF1-0980-4E54-9751-AA5233B08EDD}"/>
    <cellStyle name="Vírgula 4 2 2 3 5 3 3" xfId="56473" xr:uid="{7731F6BD-8F2B-48C8-B109-A8DF9D9512A7}"/>
    <cellStyle name="Vírgula 4 2 2 3 5 4" xfId="12844" xr:uid="{DC0277BD-CEB9-4173-96ED-CB22EF98ECA1}"/>
    <cellStyle name="Vírgula 4 2 2 3 5 4 2" xfId="33185" xr:uid="{F359DD9B-BC99-4303-898F-D514815D4EA0}"/>
    <cellStyle name="Vírgula 4 2 2 3 5 5" xfId="11780" xr:uid="{F0C7F9FE-F9CE-483E-A647-7A737106591F}"/>
    <cellStyle name="Vírgula 4 2 2 3 5 5 2" xfId="32122" xr:uid="{1C4348F4-B25D-42C1-B665-3B9282037824}"/>
    <cellStyle name="Vírgula 4 2 2 3 5 6" xfId="28628" xr:uid="{9E32C099-34EC-48DA-BB8D-F21DF4C78EB7}"/>
    <cellStyle name="Vírgula 4 2 2 3 5 7" xfId="48928" xr:uid="{38798EAB-CCB8-4FFE-BD23-FCD98CD7A6C1}"/>
    <cellStyle name="Vírgula 4 2 2 3 5 8" xfId="50598" xr:uid="{ED9F0634-F58D-4640-852A-CE60E5AAC66B}"/>
    <cellStyle name="Vírgula 4 2 2 3 5 9" xfId="53893" xr:uid="{21C262A2-462D-4AFF-A3CD-E67BFB1CCC82}"/>
    <cellStyle name="Vírgula 4 2 2 3 6" xfId="3452" xr:uid="{1FBA166C-842D-43F2-A209-CB7744B3CC4B}"/>
    <cellStyle name="Vírgula 4 2 2 3 6 2" xfId="15741" xr:uid="{86D06B27-D1A2-4778-B571-C5A2AF35B342}"/>
    <cellStyle name="Vírgula 4 2 2 3 6 2 2" xfId="36081" xr:uid="{1BF518BB-6D9E-473B-A595-9CB3C2668549}"/>
    <cellStyle name="Vírgula 4 2 2 3 6 3" xfId="28970" xr:uid="{EAAAF384-A017-45D7-B349-125B0C4AAD36}"/>
    <cellStyle name="Vírgula 4 2 2 3 6 4" xfId="52223" xr:uid="{D2761CFA-6DDE-4A53-9844-4B6C417742C7}"/>
    <cellStyle name="Vírgula 4 2 2 3 6 5" xfId="55517" xr:uid="{1F743F6D-B91D-42C3-9D28-E16711174B3F}"/>
    <cellStyle name="Vírgula 4 2 2 3 6 6" xfId="8627" xr:uid="{8E11F73D-F6EC-446E-8918-69A03986A18D}"/>
    <cellStyle name="Vírgula 4 2 2 3 7" xfId="4020" xr:uid="{91A82192-28E3-48A9-B8D1-5FA34C2A7476}"/>
    <cellStyle name="Vírgula 4 2 2 3 7 2" xfId="38995" xr:uid="{479DA618-A52A-4AE7-B6F6-7E8767EA18E5}"/>
    <cellStyle name="Vírgula 4 2 2 3 7 3" xfId="56064" xr:uid="{A4CE0888-74C8-4D9F-8C89-87CD4853B6A8}"/>
    <cellStyle name="Vírgula 4 2 2 3 7 4" xfId="18655" xr:uid="{27CBA995-3295-446C-BE14-A2969C39BB95}"/>
    <cellStyle name="Vírgula 4 2 2 3 8" xfId="1801" xr:uid="{1AFFA335-C6D6-4EDD-B41D-C40BC02BD522}"/>
    <cellStyle name="Vírgula 4 2 2 3 8 2" xfId="39582" xr:uid="{E4EC7DEE-4C94-4116-B6F4-9F72B45352C1}"/>
    <cellStyle name="Vírgula 4 2 2 3 8 3" xfId="19243" xr:uid="{42C6A0C4-50E9-4167-BF71-9E27542806FA}"/>
    <cellStyle name="Vírgula 4 2 2 3 9" xfId="22498" xr:uid="{B1B24C36-2279-4BF5-BDC4-81A04526BF39}"/>
    <cellStyle name="Vírgula 4 2 2 3 9 2" xfId="42833" xr:uid="{C85FB514-233A-4F30-9E71-A123D6D9DD93}"/>
    <cellStyle name="Vírgula 4 2 2 4" xfId="219" xr:uid="{3E66A200-5926-4E60-9D81-6018CDE46CDF}"/>
    <cellStyle name="Vírgula 4 2 2 4 10" xfId="12273" xr:uid="{9E1B21BB-9261-476A-90EB-EB552E12B0E1}"/>
    <cellStyle name="Vírgula 4 2 2 4 10 2" xfId="32614" xr:uid="{55A3338C-1CE7-4EED-A9FE-61B268EA5995}"/>
    <cellStyle name="Vírgula 4 2 2 4 11" xfId="9012" xr:uid="{722CFCEC-DEA2-4A24-B663-9CE12BDFF865}"/>
    <cellStyle name="Vírgula 4 2 2 4 11 2" xfId="29355" xr:uid="{707888BA-222E-4314-83D0-952E85688A91}"/>
    <cellStyle name="Vírgula 4 2 2 4 12" xfId="25861" xr:uid="{76ADB6E8-7973-4A8C-979C-389792D3595B}"/>
    <cellStyle name="Vírgula 4 2 2 4 13" xfId="46099" xr:uid="{72ADB321-AA2B-4190-B448-CAD8AF82B218}"/>
    <cellStyle name="Vírgula 4 2 2 4 14" xfId="46585" xr:uid="{9DB600CF-43F7-4083-936C-2BD5CCDBD72E}"/>
    <cellStyle name="Vírgula 4 2 2 4 15" xfId="47077" xr:uid="{A0FB3051-C960-410E-AB39-03E7872E1DC0}"/>
    <cellStyle name="Vírgula 4 2 2 4 16" xfId="48929" xr:uid="{4C661B51-A974-4272-9947-6A646BC4A88E}"/>
    <cellStyle name="Vírgula 4 2 2 4 17" xfId="50599" xr:uid="{DF05E950-6C06-47D8-899F-48C88AFD6C08}"/>
    <cellStyle name="Vírgula 4 2 2 4 18" xfId="53894" xr:uid="{E322AAFC-6FAB-49C3-B6B7-457A9C187761}"/>
    <cellStyle name="Vírgula 4 2 2 4 19" xfId="5522" xr:uid="{F17690EB-4D91-4D98-9F0F-A4B5424F7E85}"/>
    <cellStyle name="Vírgula 4 2 2 4 2" xfId="408" xr:uid="{4F1B3A81-4D83-48FD-8C0E-F00CFBB378FA}"/>
    <cellStyle name="Vírgula 4 2 2 4 2 10" xfId="50600" xr:uid="{0DCE8C3B-2F55-46AD-91C0-D761D09CFBAD}"/>
    <cellStyle name="Vírgula 4 2 2 4 2 11" xfId="53895" xr:uid="{B08D43C6-CFCA-47D5-A14D-3E7209F058F7}"/>
    <cellStyle name="Vírgula 4 2 2 4 2 12" xfId="6094" xr:uid="{18A8A6F6-041A-48CF-BD89-B88BCBE4AAC0}"/>
    <cellStyle name="Vírgula 4 2 2 4 2 13" xfId="4689" xr:uid="{3B3D4775-32AD-4BC7-9E18-CB09232151DD}"/>
    <cellStyle name="Vírgula 4 2 2 4 2 2" xfId="1224" xr:uid="{C83C8058-3607-4B5F-80EF-46E8657558C5}"/>
    <cellStyle name="Vírgula 4 2 2 4 2 2 10" xfId="53896" xr:uid="{79C4F1DD-E3A0-4FB6-A1BA-793F3BA8D6D6}"/>
    <cellStyle name="Vírgula 4 2 2 4 2 2 11" xfId="7252" xr:uid="{C8BE9D90-8826-47C0-A888-C30EE0FE534E}"/>
    <cellStyle name="Vírgula 4 2 2 4 2 2 2" xfId="2885" xr:uid="{C30E21E5-11AC-440D-BAA3-DC23263C8518}"/>
    <cellStyle name="Vírgula 4 2 2 4 2 2 2 2" xfId="37878" xr:uid="{06A3EC0C-553E-420B-817C-6876C8BCF624}"/>
    <cellStyle name="Vírgula 4 2 2 4 2 2 2 3" xfId="52233" xr:uid="{3F8969F3-26AB-479A-A144-EF914B3D09F4}"/>
    <cellStyle name="Vírgula 4 2 2 4 2 2 2 4" xfId="55527" xr:uid="{006B7153-5B79-450F-BE0C-3EE15E387B94}"/>
    <cellStyle name="Vírgula 4 2 2 4 2 2 2 5" xfId="17538" xr:uid="{CC878AED-771F-4892-9808-0FF92BFF7CAE}"/>
    <cellStyle name="Vírgula 4 2 2 4 2 2 3" xfId="21040" xr:uid="{A796D057-7BD4-4613-BB00-74CD9149DE43}"/>
    <cellStyle name="Vírgula 4 2 2 4 2 2 3 2" xfId="41379" xr:uid="{16B39542-B6C6-4B1A-869C-85ECA4610EA9}"/>
    <cellStyle name="Vírgula 4 2 2 4 2 2 3 3" xfId="57095" xr:uid="{9CC81DDC-2B0F-475A-8DBB-1697A1E9D132}"/>
    <cellStyle name="Vírgula 4 2 2 4 2 2 4" xfId="24295" xr:uid="{ADB5971D-F90B-4AAB-948B-753E49148F18}"/>
    <cellStyle name="Vírgula 4 2 2 4 2 2 4 2" xfId="44630" xr:uid="{57C3FCA7-34C4-41D9-A228-87FFD6F0565F}"/>
    <cellStyle name="Vírgula 4 2 2 4 2 2 5" xfId="14629" xr:uid="{25382A67-7B97-43EE-9739-CA2BA7C1DB9F}"/>
    <cellStyle name="Vírgula 4 2 2 4 2 2 5 2" xfId="34970" xr:uid="{CF3CD986-49C6-4458-93BB-5F445C82124D}"/>
    <cellStyle name="Vírgula 4 2 2 4 2 2 6" xfId="10751" xr:uid="{4DF0D767-4E1B-4579-ACAD-97C122A52F41}"/>
    <cellStyle name="Vírgula 4 2 2 4 2 2 6 2" xfId="31094" xr:uid="{17CBAA75-1E21-4482-A327-97E9533FD8B1}"/>
    <cellStyle name="Vírgula 4 2 2 4 2 2 7" xfId="27600" xr:uid="{1542F7DC-E4BF-40C1-8526-DFD78E3721CF}"/>
    <cellStyle name="Vírgula 4 2 2 4 2 2 8" xfId="48931" xr:uid="{F74D1C31-D6CD-4A52-B943-D502847FF218}"/>
    <cellStyle name="Vírgula 4 2 2 4 2 2 9" xfId="50601" xr:uid="{8E20A182-EF64-4ECF-B5A1-A3F6230F00E2}"/>
    <cellStyle name="Vírgula 4 2 2 4 2 3" xfId="1630" xr:uid="{E542F82D-366C-4B13-9436-4406DE2AE395}"/>
    <cellStyle name="Vírgula 4 2 2 4 2 3 2" xfId="3290" xr:uid="{806F4C55-F7C5-4B4E-B6A4-DD997228F6C7}"/>
    <cellStyle name="Vírgula 4 2 2 4 2 3 2 2" xfId="52234" xr:uid="{D7078C28-D47C-4572-B54C-C3A573D620D1}"/>
    <cellStyle name="Vírgula 4 2 2 4 2 3 2 3" xfId="55528" xr:uid="{3F9FE0E0-1C50-44C2-98FB-689DDCD67F50}"/>
    <cellStyle name="Vírgula 4 2 2 4 2 3 2 4" xfId="36720" xr:uid="{84E36D48-DB05-43B3-AB81-AE96CB4B3CFC}"/>
    <cellStyle name="Vírgula 4 2 2 4 2 3 3" xfId="48932" xr:uid="{22034093-0AC7-486B-BCEC-8E43FF8019B1}"/>
    <cellStyle name="Vírgula 4 2 2 4 2 3 3 2" xfId="57501" xr:uid="{DDF0BAB9-AB7D-49BA-BFBC-66CA827C4174}"/>
    <cellStyle name="Vírgula 4 2 2 4 2 3 4" xfId="50602" xr:uid="{BF993E01-4AE4-432C-97C5-AD6D00AD62C6}"/>
    <cellStyle name="Vírgula 4 2 2 4 2 3 5" xfId="53897" xr:uid="{454270CE-B21E-495A-8509-EAAE1B395256}"/>
    <cellStyle name="Vírgula 4 2 2 4 2 3 6" xfId="16380" xr:uid="{B61EA52B-DCC1-488B-B614-0FDEEF21681C}"/>
    <cellStyle name="Vírgula 4 2 2 4 2 4" xfId="817" xr:uid="{C06B9EC2-3439-430F-8830-1B691961F44D}"/>
    <cellStyle name="Vírgula 4 2 2 4 2 4 2" xfId="2533" xr:uid="{880DB4C1-0DC5-4000-928F-61B04B03EA29}"/>
    <cellStyle name="Vírgula 4 2 2 4 2 4 2 2" xfId="52235" xr:uid="{6AB10B75-59E6-4F63-A4E8-7E91E28F2E17}"/>
    <cellStyle name="Vírgula 4 2 2 4 2 4 2 3" xfId="55529" xr:uid="{848F9B66-4CB2-468C-85F6-F290BECF7D46}"/>
    <cellStyle name="Vírgula 4 2 2 4 2 4 2 4" xfId="40221" xr:uid="{C81CCC04-B0B7-49A1-B513-F75DCA8A8650}"/>
    <cellStyle name="Vírgula 4 2 2 4 2 4 3" xfId="48933" xr:uid="{63F7FF86-65B7-48C0-A448-AA2168A2182F}"/>
    <cellStyle name="Vírgula 4 2 2 4 2 4 3 2" xfId="56688" xr:uid="{FB438A3B-44F8-4974-8902-0B9D6A108A1A}"/>
    <cellStyle name="Vírgula 4 2 2 4 2 4 4" xfId="50603" xr:uid="{5407931A-130A-4E0A-966E-C6ED6B4EA468}"/>
    <cellStyle name="Vírgula 4 2 2 4 2 4 5" xfId="53898" xr:uid="{67AF30D9-8AC8-4758-8852-EF1D33C8320B}"/>
    <cellStyle name="Vírgula 4 2 2 4 2 4 6" xfId="19882" xr:uid="{FA5CB4EA-1B68-4FF0-839E-A1DB6B3A1D75}"/>
    <cellStyle name="Vírgula 4 2 2 4 2 5" xfId="2151" xr:uid="{879F5C51-6FEE-4895-8693-C466ABE3064D}"/>
    <cellStyle name="Vírgula 4 2 2 4 2 5 2" xfId="43472" xr:uid="{EB27F0D1-1C91-4369-9903-906AD5B0610F}"/>
    <cellStyle name="Vírgula 4 2 2 4 2 5 3" xfId="52232" xr:uid="{7FB0C5AC-46E9-4337-9926-D0BCF4299E87}"/>
    <cellStyle name="Vírgula 4 2 2 4 2 5 4" xfId="55526" xr:uid="{F8104171-DA1A-40BB-9BB3-FD1702EEB9E1}"/>
    <cellStyle name="Vírgula 4 2 2 4 2 5 5" xfId="23137" xr:uid="{78CA1E02-B2EE-4B66-8232-889C9FC17760}"/>
    <cellStyle name="Vírgula 4 2 2 4 2 6" xfId="13471" xr:uid="{3855B2B9-B863-4AD7-AFAA-CF6DC877A02E}"/>
    <cellStyle name="Vírgula 4 2 2 4 2 6 2" xfId="33812" xr:uid="{863C52DB-F30B-454B-9B7A-B0A71D1651B8}"/>
    <cellStyle name="Vírgula 4 2 2 4 2 6 3" xfId="56279" xr:uid="{E0E76818-E4C0-4238-A563-6FA4B5B49695}"/>
    <cellStyle name="Vírgula 4 2 2 4 2 7" xfId="9593" xr:uid="{5502EB3F-B2D8-4A2F-A398-46522878B868}"/>
    <cellStyle name="Vírgula 4 2 2 4 2 7 2" xfId="29936" xr:uid="{9A68ADD2-5EB9-4232-BA35-AE1B2C23B8C8}"/>
    <cellStyle name="Vírgula 4 2 2 4 2 8" xfId="26442" xr:uid="{C4E363E6-131E-4038-B720-2C564EF5183E}"/>
    <cellStyle name="Vírgula 4 2 2 4 2 9" xfId="48930" xr:uid="{4E5B8036-BD21-488F-AC38-318CD1FA329E}"/>
    <cellStyle name="Vírgula 4 2 2 4 20" xfId="4500" xr:uid="{B1F85503-150C-4AA8-BFF8-CF72ABEBB760}"/>
    <cellStyle name="Vírgula 4 2 2 4 3" xfId="1035" xr:uid="{098E6D39-3747-4C59-8563-B489E5F5D053}"/>
    <cellStyle name="Vírgula 4 2 2 4 3 10" xfId="53899" xr:uid="{FA8B9021-10ED-4599-9F5D-DD97C943B722}"/>
    <cellStyle name="Vírgula 4 2 2 4 3 11" xfId="6671" xr:uid="{85B0B70D-856A-4CB0-990C-52D644AEECCA}"/>
    <cellStyle name="Vírgula 4 2 2 4 3 12" xfId="4991" xr:uid="{6C27939C-C073-440D-9BE4-EA0BCCAB1CFA}"/>
    <cellStyle name="Vírgula 4 2 2 4 3 2" xfId="2723" xr:uid="{BC9FBDDD-499D-45F5-9C33-37B1D42E8FAA}"/>
    <cellStyle name="Vírgula 4 2 2 4 3 2 2" xfId="37297" xr:uid="{193F5378-BB2B-441A-AB2C-634D18995FF2}"/>
    <cellStyle name="Vírgula 4 2 2 4 3 2 3" xfId="52236" xr:uid="{6302626E-AE0E-421C-B371-521A52D238D7}"/>
    <cellStyle name="Vírgula 4 2 2 4 3 2 4" xfId="55530" xr:uid="{646CE579-6D1E-45D9-9A2D-8739B21C47F5}"/>
    <cellStyle name="Vírgula 4 2 2 4 3 2 5" xfId="16957" xr:uid="{86DE7528-5A0C-4288-B157-AF04D62DAF2A}"/>
    <cellStyle name="Vírgula 4 2 2 4 3 3" xfId="20459" xr:uid="{6AC5BCBC-2455-4DB9-BC4B-9E9B81A36758}"/>
    <cellStyle name="Vírgula 4 2 2 4 3 3 2" xfId="40798" xr:uid="{CF36D6B0-A214-42E8-ADA2-D75F5F9914AE}"/>
    <cellStyle name="Vírgula 4 2 2 4 3 3 3" xfId="56906" xr:uid="{0CE065DE-744C-47DE-887E-1AC6BE1C46DA}"/>
    <cellStyle name="Vírgula 4 2 2 4 3 4" xfId="23714" xr:uid="{5A3C606F-160B-46F4-95FB-260FCBAE84F8}"/>
    <cellStyle name="Vírgula 4 2 2 4 3 4 2" xfId="44049" xr:uid="{00955F8D-9896-4ABA-8035-FA7F24A1F322}"/>
    <cellStyle name="Vírgula 4 2 2 4 3 5" xfId="14048" xr:uid="{A97A7E1D-6874-457A-98FE-2FBE5A486A31}"/>
    <cellStyle name="Vírgula 4 2 2 4 3 5 2" xfId="34389" xr:uid="{CB883515-E328-42FA-BE59-98AC6EE8A7CB}"/>
    <cellStyle name="Vírgula 4 2 2 4 3 6" xfId="10170" xr:uid="{B0C1C0E7-37B1-4680-8708-8F815FACA3A1}"/>
    <cellStyle name="Vírgula 4 2 2 4 3 6 2" xfId="30513" xr:uid="{3AB8342F-9C0C-4C98-A7BB-6C2ED6A91AA3}"/>
    <cellStyle name="Vírgula 4 2 2 4 3 7" xfId="27019" xr:uid="{68AB9897-C752-4A7A-9E23-E956A6C36CAF}"/>
    <cellStyle name="Vírgula 4 2 2 4 3 8" xfId="48934" xr:uid="{ADEF3D13-9796-44E3-9940-84C069E2AE9F}"/>
    <cellStyle name="Vírgula 4 2 2 4 3 9" xfId="50604" xr:uid="{2C85AF6E-ED23-48D5-8F05-DA36E591F6F6}"/>
    <cellStyle name="Vírgula 4 2 2 4 4" xfId="1441" xr:uid="{D7547590-336F-4AF3-A57E-DD641610CE66}"/>
    <cellStyle name="Vírgula 4 2 2 4 4 10" xfId="53900" xr:uid="{03F36AA1-77CE-4BF7-B811-65E7571EF7C9}"/>
    <cellStyle name="Vírgula 4 2 2 4 4 11" xfId="7835" xr:uid="{4DF005E9-7505-4584-82C7-3DAE5116B77E}"/>
    <cellStyle name="Vírgula 4 2 2 4 4 2" xfId="3102" xr:uid="{F1D8D576-955B-4D88-AFF9-FC1AB77225FB}"/>
    <cellStyle name="Vírgula 4 2 2 4 4 2 2" xfId="38460" xr:uid="{89F91E16-A700-4120-8673-01E25BBE26D2}"/>
    <cellStyle name="Vírgula 4 2 2 4 4 2 3" xfId="52237" xr:uid="{EDF776E6-3713-4F6E-9D36-F6F1A1C299CA}"/>
    <cellStyle name="Vírgula 4 2 2 4 4 2 4" xfId="55531" xr:uid="{106695DF-8017-42A9-9523-1E857386B89C}"/>
    <cellStyle name="Vírgula 4 2 2 4 4 2 5" xfId="18120" xr:uid="{54922046-B54A-4B46-BD03-90855C6574AD}"/>
    <cellStyle name="Vírgula 4 2 2 4 4 3" xfId="21622" xr:uid="{2424C91C-985A-46D1-9263-465142EC3E17}"/>
    <cellStyle name="Vírgula 4 2 2 4 4 3 2" xfId="41961" xr:uid="{64E1C8F7-54B7-43CE-B519-24230781B665}"/>
    <cellStyle name="Vírgula 4 2 2 4 4 3 3" xfId="57312" xr:uid="{DC1269A6-D4D3-4843-87B3-B3C93BFC42A0}"/>
    <cellStyle name="Vírgula 4 2 2 4 4 4" xfId="24877" xr:uid="{9E2793F7-19FF-49C6-97DC-3628C6D7D012}"/>
    <cellStyle name="Vírgula 4 2 2 4 4 4 2" xfId="45212" xr:uid="{79350619-26CE-462B-9B9A-DAB634761897}"/>
    <cellStyle name="Vírgula 4 2 2 4 4 5" xfId="15212" xr:uid="{D29E4370-BDCF-4A9D-BA78-FC4B3CFCB03A}"/>
    <cellStyle name="Vírgula 4 2 2 4 4 5 2" xfId="35552" xr:uid="{6DD09B02-A0B4-44F7-B482-9E02229E2A00}"/>
    <cellStyle name="Vírgula 4 2 2 4 4 6" xfId="11333" xr:uid="{19021440-08D5-4A61-AEAE-75A10108F80C}"/>
    <cellStyle name="Vírgula 4 2 2 4 4 6 2" xfId="31676" xr:uid="{13F3EA48-443B-4691-B8F6-1607CE0C3A6A}"/>
    <cellStyle name="Vírgula 4 2 2 4 4 7" xfId="28182" xr:uid="{59301DD3-EB5F-414F-93E8-723757239B42}"/>
    <cellStyle name="Vírgula 4 2 2 4 4 8" xfId="48935" xr:uid="{15C15F84-2FA7-4DD2-9E54-DB685A9CFD92}"/>
    <cellStyle name="Vírgula 4 2 2 4 4 9" xfId="50605" xr:uid="{769EEF34-9353-4EA1-BB66-451B41148319}"/>
    <cellStyle name="Vírgula 4 2 2 4 5" xfId="628" xr:uid="{9ACE16ED-4281-4EA1-A349-1CE9A06F4D4A}"/>
    <cellStyle name="Vírgula 4 2 2 4 5 10" xfId="8285" xr:uid="{09F77379-56A1-4B49-9C3B-7AE4F3B292C4}"/>
    <cellStyle name="Vírgula 4 2 2 4 5 2" xfId="2344" xr:uid="{8F5B7C59-EB10-40A0-8762-C0C8EFE39F6E}"/>
    <cellStyle name="Vírgula 4 2 2 4 5 2 2" xfId="42408" xr:uid="{D09C600F-ED7E-4AD5-BAF0-5EDFBE879AB0}"/>
    <cellStyle name="Vírgula 4 2 2 4 5 2 3" xfId="52238" xr:uid="{92CD3E73-4FEB-48D4-B742-C60E7C57B35A}"/>
    <cellStyle name="Vírgula 4 2 2 4 5 2 4" xfId="55532" xr:uid="{41098193-80FA-4C95-9F93-7BB7B30BB0A2}"/>
    <cellStyle name="Vírgula 4 2 2 4 5 2 5" xfId="22072" xr:uid="{B0C61578-217A-450A-83D9-BAF03975D49E}"/>
    <cellStyle name="Vírgula 4 2 2 4 5 3" xfId="25324" xr:uid="{556399CC-42BD-455E-BE2D-066006517D3F}"/>
    <cellStyle name="Vírgula 4 2 2 4 5 3 2" xfId="45659" xr:uid="{43B78717-7606-4C2B-AE97-37F29103DD01}"/>
    <cellStyle name="Vírgula 4 2 2 4 5 3 3" xfId="56499" xr:uid="{A7488C0B-9295-4389-9225-C5C386299AEF}"/>
    <cellStyle name="Vírgula 4 2 2 4 5 4" xfId="12902" xr:uid="{D64DD67F-8EC6-4043-B015-91F0B48A1AE6}"/>
    <cellStyle name="Vírgula 4 2 2 4 5 4 2" xfId="33243" xr:uid="{EAFD88C0-0538-4595-9288-8F72218C0A45}"/>
    <cellStyle name="Vírgula 4 2 2 4 5 5" xfId="11781" xr:uid="{F72DD404-601E-4774-9FBA-6FC077640910}"/>
    <cellStyle name="Vírgula 4 2 2 4 5 5 2" xfId="32123" xr:uid="{9BCE955F-8004-4EC4-9145-588F8EB7F8A3}"/>
    <cellStyle name="Vírgula 4 2 2 4 5 6" xfId="28629" xr:uid="{62CF06CA-9765-48C8-B9FB-80ADC7501A02}"/>
    <cellStyle name="Vírgula 4 2 2 4 5 7" xfId="48936" xr:uid="{E38F1A58-B62D-4089-B3A6-55CE0053D716}"/>
    <cellStyle name="Vírgula 4 2 2 4 5 8" xfId="50606" xr:uid="{4406BE30-11EE-4375-913B-A6DBE575F8B5}"/>
    <cellStyle name="Vírgula 4 2 2 4 5 9" xfId="53901" xr:uid="{493213AF-4737-4166-806F-B52A969C9F29}"/>
    <cellStyle name="Vírgula 4 2 2 4 6" xfId="3616" xr:uid="{425AD9CA-A58F-471A-B0F3-8BD4D468628F}"/>
    <cellStyle name="Vírgula 4 2 2 4 6 2" xfId="36139" xr:uid="{81E8F85C-F270-47FE-A153-D54E468D6A11}"/>
    <cellStyle name="Vírgula 4 2 2 4 6 3" xfId="52231" xr:uid="{D900C1BF-C092-46EC-8CEA-34C4F83F7425}"/>
    <cellStyle name="Vírgula 4 2 2 4 6 4" xfId="55525" xr:uid="{3747832A-0141-455A-9ADF-5AFC9B340769}"/>
    <cellStyle name="Vírgula 4 2 2 4 6 5" xfId="15799" xr:uid="{788D5F80-4292-4AB2-A2E5-FDE2C89FCCDD}"/>
    <cellStyle name="Vírgula 4 2 2 4 7" xfId="4192" xr:uid="{E4CFD9F5-EA42-46F6-AA0F-FB7B139FAA80}"/>
    <cellStyle name="Vírgula 4 2 2 4 7 2" xfId="39053" xr:uid="{09FE24FE-ADAE-4AF2-AF19-3E91D960E0D3}"/>
    <cellStyle name="Vírgula 4 2 2 4 7 3" xfId="56090" xr:uid="{C6535D84-7DBD-4E66-A26B-1B3ADB1B9A6F}"/>
    <cellStyle name="Vírgula 4 2 2 4 7 4" xfId="18713" xr:uid="{FBD49ECA-ED43-4903-866C-CD2B133AD5A5}"/>
    <cellStyle name="Vírgula 4 2 2 4 8" xfId="1965" xr:uid="{793BFBCF-C04F-4790-B15E-F6326F94B22B}"/>
    <cellStyle name="Vírgula 4 2 2 4 8 2" xfId="39640" xr:uid="{A0C6E0AE-59AA-45C1-9620-F0183766D161}"/>
    <cellStyle name="Vírgula 4 2 2 4 8 3" xfId="19301" xr:uid="{AC7698A3-3B09-4FCD-BCDD-4B0BE27FB696}"/>
    <cellStyle name="Vírgula 4 2 2 4 9" xfId="22556" xr:uid="{D3FC9780-0102-4688-A8D3-2D7BCBC918C6}"/>
    <cellStyle name="Vírgula 4 2 2 4 9 2" xfId="42891" xr:uid="{8D8D8E53-A207-43AA-8F40-6ABD401A0D0C}"/>
    <cellStyle name="Vírgula 4 2 2 5" xfId="271" xr:uid="{CDEA6C2A-4ED3-4D9A-9FC8-66788AA6D904}"/>
    <cellStyle name="Vírgula 4 2 2 5 10" xfId="12348" xr:uid="{C7C25B20-46CE-413B-B948-CC444F449CF2}"/>
    <cellStyle name="Vírgula 4 2 2 5 10 2" xfId="32689" xr:uid="{E3A6E1C1-AD35-4516-9C67-4BEE63798394}"/>
    <cellStyle name="Vírgula 4 2 2 5 11" xfId="9087" xr:uid="{F42186F3-9BD1-45B5-9921-9D139D3FA54B}"/>
    <cellStyle name="Vírgula 4 2 2 5 11 2" xfId="29430" xr:uid="{427C3A45-9DC3-4220-8249-5D51CEE79747}"/>
    <cellStyle name="Vírgula 4 2 2 5 12" xfId="25936" xr:uid="{3A3BD1E0-9BB2-45EF-8F6C-F59BABADE0E0}"/>
    <cellStyle name="Vírgula 4 2 2 5 13" xfId="48937" xr:uid="{AA1ED235-94CF-4BDD-B069-6526F9AE0023}"/>
    <cellStyle name="Vírgula 4 2 2 5 14" xfId="50607" xr:uid="{6ABF2A70-87B2-436A-B2D6-B1E83BA5B4A3}"/>
    <cellStyle name="Vírgula 4 2 2 5 15" xfId="53902" xr:uid="{0E466E31-F1A5-4F12-8AEC-9EADE9EFE8A8}"/>
    <cellStyle name="Vírgula 4 2 2 5 16" xfId="5597" xr:uid="{FA3162D0-9FB5-48B4-A715-FD414651C93C}"/>
    <cellStyle name="Vírgula 4 2 2 5 17" xfId="4552" xr:uid="{7C623380-95C3-4BEB-85D6-9BF0E05819A4}"/>
    <cellStyle name="Vírgula 4 2 2 5 2" xfId="460" xr:uid="{88DD79CF-52A8-4A96-8BDB-4BD2C68EF57B}"/>
    <cellStyle name="Vírgula 4 2 2 5 2 10" xfId="50608" xr:uid="{499261E9-A086-4F5A-95E3-7FCD4751ED92}"/>
    <cellStyle name="Vírgula 4 2 2 5 2 11" xfId="53903" xr:uid="{CEE54BC2-7690-4FCC-9259-EF8E5FFB4B51}"/>
    <cellStyle name="Vírgula 4 2 2 5 2 12" xfId="6169" xr:uid="{6540CE30-3A3A-4C40-A3D2-9701680F71E1}"/>
    <cellStyle name="Vírgula 4 2 2 5 2 13" xfId="4741" xr:uid="{7566DED2-CC43-4B4C-AEC1-E2DD189B5453}"/>
    <cellStyle name="Vírgula 4 2 2 5 2 2" xfId="1276" xr:uid="{2872F203-A6D3-433F-AC68-3A3A0423997E}"/>
    <cellStyle name="Vírgula 4 2 2 5 2 2 10" xfId="53904" xr:uid="{0B1C3FF0-CBC7-4F5D-82BA-9F0206F44B5F}"/>
    <cellStyle name="Vírgula 4 2 2 5 2 2 11" xfId="7327" xr:uid="{AE02FEC6-B4E2-4855-A88A-0B84C263642A}"/>
    <cellStyle name="Vírgula 4 2 2 5 2 2 2" xfId="2937" xr:uid="{93100E9E-B7A2-4F92-B6F0-11880067F0F1}"/>
    <cellStyle name="Vírgula 4 2 2 5 2 2 2 2" xfId="37953" xr:uid="{DF577584-63C9-46AC-9F04-3B0D45895C12}"/>
    <cellStyle name="Vírgula 4 2 2 5 2 2 2 3" xfId="52241" xr:uid="{6EF83448-871E-42FD-84B1-B0F022D0CBE9}"/>
    <cellStyle name="Vírgula 4 2 2 5 2 2 2 4" xfId="55535" xr:uid="{27E21466-1863-4C8B-B27B-F162DB7E401A}"/>
    <cellStyle name="Vírgula 4 2 2 5 2 2 2 5" xfId="17613" xr:uid="{74DF1144-B421-49BD-93D1-F5FFB7240187}"/>
    <cellStyle name="Vírgula 4 2 2 5 2 2 3" xfId="21115" xr:uid="{604B847C-2F8D-4064-993A-8161AC156C81}"/>
    <cellStyle name="Vírgula 4 2 2 5 2 2 3 2" xfId="41454" xr:uid="{C0CAB12D-7DE3-4A2F-A533-9C5DB700A354}"/>
    <cellStyle name="Vírgula 4 2 2 5 2 2 3 3" xfId="57147" xr:uid="{C1075161-35A5-46E6-A58C-60DA742105CD}"/>
    <cellStyle name="Vírgula 4 2 2 5 2 2 4" xfId="24370" xr:uid="{BF4CB440-020A-41B9-B398-772AFB7999A2}"/>
    <cellStyle name="Vírgula 4 2 2 5 2 2 4 2" xfId="44705" xr:uid="{BB5FB99D-87C6-400E-9D07-84B80CFC0D33}"/>
    <cellStyle name="Vírgula 4 2 2 5 2 2 5" xfId="14704" xr:uid="{83A925FE-509C-4678-83AA-3E6D116170FB}"/>
    <cellStyle name="Vírgula 4 2 2 5 2 2 5 2" xfId="35045" xr:uid="{9AE60BB0-9179-4716-97EB-7D286B6A9F4F}"/>
    <cellStyle name="Vírgula 4 2 2 5 2 2 6" xfId="10826" xr:uid="{C6CD2235-97D0-456A-980B-F056B27B594F}"/>
    <cellStyle name="Vírgula 4 2 2 5 2 2 6 2" xfId="31169" xr:uid="{B06ECFEC-0021-4D76-B35F-D19198F26D62}"/>
    <cellStyle name="Vírgula 4 2 2 5 2 2 7" xfId="27675" xr:uid="{047E11D5-0BB2-47A2-B539-4E147A5BFA9D}"/>
    <cellStyle name="Vírgula 4 2 2 5 2 2 8" xfId="48939" xr:uid="{E503641A-7C7D-4419-BF9C-F91548006E80}"/>
    <cellStyle name="Vírgula 4 2 2 5 2 2 9" xfId="50609" xr:uid="{94BFD2EA-87AF-4A6A-BABE-039F8CB182A0}"/>
    <cellStyle name="Vírgula 4 2 2 5 2 3" xfId="1682" xr:uid="{5C3A1556-0C0B-493A-B209-B7A11F6A8AC9}"/>
    <cellStyle name="Vírgula 4 2 2 5 2 3 2" xfId="3342" xr:uid="{82DE3959-EFE2-444D-8933-46FE33AEE40B}"/>
    <cellStyle name="Vírgula 4 2 2 5 2 3 2 2" xfId="52242" xr:uid="{2EAB2D3B-AB38-416D-B5E1-D17A59875E58}"/>
    <cellStyle name="Vírgula 4 2 2 5 2 3 2 3" xfId="55536" xr:uid="{06284F63-86A9-42DF-A888-297A59C2EF0C}"/>
    <cellStyle name="Vírgula 4 2 2 5 2 3 2 4" xfId="36795" xr:uid="{75E0F4EC-7173-4816-8B35-19395CEA6658}"/>
    <cellStyle name="Vírgula 4 2 2 5 2 3 3" xfId="48940" xr:uid="{DB7F606D-C9FC-41F1-81B9-926F31B617F4}"/>
    <cellStyle name="Vírgula 4 2 2 5 2 3 3 2" xfId="57553" xr:uid="{D537C173-E9BC-4691-850F-15286D5E5C17}"/>
    <cellStyle name="Vírgula 4 2 2 5 2 3 4" xfId="50610" xr:uid="{E3AF11BF-FACA-45C9-9003-940015590CD7}"/>
    <cellStyle name="Vírgula 4 2 2 5 2 3 5" xfId="53905" xr:uid="{79271B2C-663E-45FB-AAE9-CF85080C657B}"/>
    <cellStyle name="Vírgula 4 2 2 5 2 3 6" xfId="16455" xr:uid="{CE26B65C-5E88-4653-8FE4-F7B94165EAB4}"/>
    <cellStyle name="Vírgula 4 2 2 5 2 4" xfId="869" xr:uid="{5151477C-6C83-4E49-ACEF-59E4294C9673}"/>
    <cellStyle name="Vírgula 4 2 2 5 2 4 2" xfId="2585" xr:uid="{58086065-814D-448D-833A-F7819F39ED9D}"/>
    <cellStyle name="Vírgula 4 2 2 5 2 4 2 2" xfId="52243" xr:uid="{72167725-E999-4653-91BA-9C13FD97068E}"/>
    <cellStyle name="Vírgula 4 2 2 5 2 4 2 3" xfId="55537" xr:uid="{0B0B2C8C-7037-4207-9907-790FB4FADC31}"/>
    <cellStyle name="Vírgula 4 2 2 5 2 4 2 4" xfId="40296" xr:uid="{48D75C09-E243-433F-8B81-8D8C89184D1E}"/>
    <cellStyle name="Vírgula 4 2 2 5 2 4 3" xfId="48941" xr:uid="{E0DC7E1A-12F7-41E9-ACDF-95EE330886B0}"/>
    <cellStyle name="Vírgula 4 2 2 5 2 4 3 2" xfId="56740" xr:uid="{2B407981-E188-49F6-A1A6-439C6AC14C99}"/>
    <cellStyle name="Vírgula 4 2 2 5 2 4 4" xfId="50611" xr:uid="{EB40E407-AB08-400F-87F4-B60292691F76}"/>
    <cellStyle name="Vírgula 4 2 2 5 2 4 5" xfId="53906" xr:uid="{93357085-F96E-40FD-88E2-DB1075D9E682}"/>
    <cellStyle name="Vírgula 4 2 2 5 2 4 6" xfId="19957" xr:uid="{48915890-23ED-4E71-B597-4CC9DFD32729}"/>
    <cellStyle name="Vírgula 4 2 2 5 2 5" xfId="2177" xr:uid="{FC0444ED-2E3D-4DCB-A980-EADED817F598}"/>
    <cellStyle name="Vírgula 4 2 2 5 2 5 2" xfId="43547" xr:uid="{8839A37A-83D6-4BD6-8395-359646AD037D}"/>
    <cellStyle name="Vírgula 4 2 2 5 2 5 3" xfId="52240" xr:uid="{36F93301-935A-4E7D-82DD-358D50F694CD}"/>
    <cellStyle name="Vírgula 4 2 2 5 2 5 4" xfId="55534" xr:uid="{3F52B560-0FF9-4DF3-B48A-6EAB40C46A03}"/>
    <cellStyle name="Vírgula 4 2 2 5 2 5 5" xfId="23212" xr:uid="{50681D39-0E7F-4100-93C2-C475F2FCEF7C}"/>
    <cellStyle name="Vírgula 4 2 2 5 2 6" xfId="13546" xr:uid="{77E91ED9-32D2-4880-85A5-3B21E59EC13B}"/>
    <cellStyle name="Vírgula 4 2 2 5 2 6 2" xfId="33887" xr:uid="{E71B75BB-8EE9-4D1D-9FE5-B9B7884635BE}"/>
    <cellStyle name="Vírgula 4 2 2 5 2 6 3" xfId="56331" xr:uid="{5E3A7FD9-7939-4F1E-A609-976665E02A46}"/>
    <cellStyle name="Vírgula 4 2 2 5 2 7" xfId="9668" xr:uid="{CAAC41EC-4EF8-4D55-B2C4-BBBCB70A9737}"/>
    <cellStyle name="Vírgula 4 2 2 5 2 7 2" xfId="30011" xr:uid="{E21674FD-EB7A-4156-A205-693ABFE0BC35}"/>
    <cellStyle name="Vírgula 4 2 2 5 2 8" xfId="26517" xr:uid="{45465BFB-5A70-4118-9916-4AFFC39A292C}"/>
    <cellStyle name="Vírgula 4 2 2 5 2 9" xfId="48938" xr:uid="{E7C7BDD4-7E26-4142-A479-4A7889E83EC7}"/>
    <cellStyle name="Vírgula 4 2 2 5 3" xfId="1087" xr:uid="{7C6C0E42-AF71-4AC1-9CEE-F4E76B8CD1CE}"/>
    <cellStyle name="Vírgula 4 2 2 5 3 10" xfId="53907" xr:uid="{1E93437D-64ED-43C6-A464-5F4D59A20340}"/>
    <cellStyle name="Vírgula 4 2 2 5 3 11" xfId="6746" xr:uid="{EC86EB1B-6DCE-415C-A68D-DBD8E39F1AD6}"/>
    <cellStyle name="Vírgula 4 2 2 5 3 2" xfId="2750" xr:uid="{20989132-1174-42C5-8E90-71A657E38C9F}"/>
    <cellStyle name="Vírgula 4 2 2 5 3 2 2" xfId="37372" xr:uid="{50C28353-4FAC-41D9-A53A-BDA993E6A0B9}"/>
    <cellStyle name="Vírgula 4 2 2 5 3 2 3" xfId="52244" xr:uid="{BFF32EF2-0975-480E-9BA2-E59A145B1C38}"/>
    <cellStyle name="Vírgula 4 2 2 5 3 2 4" xfId="55538" xr:uid="{DB5B52F4-9715-416D-9DE1-969CC9697AD8}"/>
    <cellStyle name="Vírgula 4 2 2 5 3 2 5" xfId="17032" xr:uid="{F34A9801-D6CC-4B66-8C5F-D6A4B6432C12}"/>
    <cellStyle name="Vírgula 4 2 2 5 3 3" xfId="20534" xr:uid="{DFB08D32-A3EA-413D-9E7A-467BB1ECAE42}"/>
    <cellStyle name="Vírgula 4 2 2 5 3 3 2" xfId="40873" xr:uid="{EE7DDE1B-B2CD-42A8-B574-A34B183CA5FB}"/>
    <cellStyle name="Vírgula 4 2 2 5 3 3 3" xfId="56958" xr:uid="{03538B10-D9E3-4DFE-AF5D-97821FD98816}"/>
    <cellStyle name="Vírgula 4 2 2 5 3 4" xfId="23789" xr:uid="{F648A8B4-E77A-4CEE-849F-BB285FBAE217}"/>
    <cellStyle name="Vírgula 4 2 2 5 3 4 2" xfId="44124" xr:uid="{523523B7-16A9-4F59-9067-0387143AFA26}"/>
    <cellStyle name="Vírgula 4 2 2 5 3 5" xfId="14123" xr:uid="{7E698CE4-8D0F-4251-BB9A-6486DDF3DE84}"/>
    <cellStyle name="Vírgula 4 2 2 5 3 5 2" xfId="34464" xr:uid="{ACE5CF52-C956-4F82-9E2F-D9FB6A35C22E}"/>
    <cellStyle name="Vírgula 4 2 2 5 3 6" xfId="10245" xr:uid="{A713A751-EF28-4CC2-A0D7-BB499D2C0D1C}"/>
    <cellStyle name="Vírgula 4 2 2 5 3 6 2" xfId="30588" xr:uid="{9015FE87-B61E-47EC-AB17-0F5031ED0E2A}"/>
    <cellStyle name="Vírgula 4 2 2 5 3 7" xfId="27094" xr:uid="{5DDA1930-4CBD-4DA8-832F-A1901F4449B7}"/>
    <cellStyle name="Vírgula 4 2 2 5 3 8" xfId="48942" xr:uid="{AE2602A3-38E6-447A-9CDF-87D787EB14FA}"/>
    <cellStyle name="Vírgula 4 2 2 5 3 9" xfId="50612" xr:uid="{674270E2-A5DE-40CA-B771-15BC505CAF16}"/>
    <cellStyle name="Vírgula 4 2 2 5 4" xfId="1493" xr:uid="{74BB409D-3F15-4F8B-8E09-DEFBED1FCAE1}"/>
    <cellStyle name="Vírgula 4 2 2 5 4 10" xfId="53908" xr:uid="{F206F3F8-5E4E-4400-9CAC-F1960DCFBF75}"/>
    <cellStyle name="Vírgula 4 2 2 5 4 11" xfId="7910" xr:uid="{1BDD02AB-5ECE-4E91-AE0C-FAB46CA36327}"/>
    <cellStyle name="Vírgula 4 2 2 5 4 2" xfId="3154" xr:uid="{6A2A633B-DD73-4121-A863-E99A7C9B00C4}"/>
    <cellStyle name="Vírgula 4 2 2 5 4 2 2" xfId="38535" xr:uid="{A7EF757A-8FE5-485C-AADE-A168013A8287}"/>
    <cellStyle name="Vírgula 4 2 2 5 4 2 3" xfId="52245" xr:uid="{3453FE77-C889-4587-A5B4-83AE5A51FE68}"/>
    <cellStyle name="Vírgula 4 2 2 5 4 2 4" xfId="55539" xr:uid="{8B1220C0-2382-4C6E-AB7E-CAE5A3A904D7}"/>
    <cellStyle name="Vírgula 4 2 2 5 4 2 5" xfId="18195" xr:uid="{50207BFD-04E0-40DB-A970-5876F1B704DB}"/>
    <cellStyle name="Vírgula 4 2 2 5 4 3" xfId="21697" xr:uid="{AA0432B5-5AE2-4EA5-BCA1-243224A2DDB1}"/>
    <cellStyle name="Vírgula 4 2 2 5 4 3 2" xfId="42036" xr:uid="{D4555E8D-6D1C-4BE3-AF90-AABFA68F10E7}"/>
    <cellStyle name="Vírgula 4 2 2 5 4 3 3" xfId="57364" xr:uid="{6BFD565B-4379-4777-ACD1-FD68D62949B9}"/>
    <cellStyle name="Vírgula 4 2 2 5 4 4" xfId="24952" xr:uid="{35135AA4-FFF4-4062-914D-774F812D8D37}"/>
    <cellStyle name="Vírgula 4 2 2 5 4 4 2" xfId="45287" xr:uid="{E702CEA1-C048-40F6-88BA-7AC96A6164C0}"/>
    <cellStyle name="Vírgula 4 2 2 5 4 5" xfId="15287" xr:uid="{544BCDC0-33CC-46EC-AE73-B80AF696425C}"/>
    <cellStyle name="Vírgula 4 2 2 5 4 5 2" xfId="35627" xr:uid="{E357CDA2-782F-448C-8CFE-37F65B93C4A4}"/>
    <cellStyle name="Vírgula 4 2 2 5 4 6" xfId="11408" xr:uid="{3B498345-3565-4A36-98D9-5CF913F2F781}"/>
    <cellStyle name="Vírgula 4 2 2 5 4 6 2" xfId="31751" xr:uid="{DF20F1EB-40D6-4B07-B1EC-31137FC282A2}"/>
    <cellStyle name="Vírgula 4 2 2 5 4 7" xfId="28257" xr:uid="{4AA84296-DECA-4A9B-A181-AD683D3694F4}"/>
    <cellStyle name="Vírgula 4 2 2 5 4 8" xfId="48943" xr:uid="{47B68375-D08E-40E2-A603-138797631B2A}"/>
    <cellStyle name="Vírgula 4 2 2 5 4 9" xfId="50613" xr:uid="{26420FA7-734D-4827-9504-98A11E26612D}"/>
    <cellStyle name="Vírgula 4 2 2 5 5" xfId="680" xr:uid="{F5841D02-DD01-4795-A95A-F12D610B3FA4}"/>
    <cellStyle name="Vírgula 4 2 2 5 5 2" xfId="2396" xr:uid="{61EA6067-1A69-4127-AC8B-4197F5DA495E}"/>
    <cellStyle name="Vírgula 4 2 2 5 5 2 2" xfId="52246" xr:uid="{AB42DECC-04D3-4446-B278-92C21A5B0C1A}"/>
    <cellStyle name="Vírgula 4 2 2 5 5 2 3" xfId="55540" xr:uid="{1526886E-BE1C-470F-8AB7-B4E8B28187A6}"/>
    <cellStyle name="Vírgula 4 2 2 5 5 2 4" xfId="33318" xr:uid="{DEC3A714-3955-48C8-AD76-5F12EAF7F25C}"/>
    <cellStyle name="Vírgula 4 2 2 5 5 3" xfId="48944" xr:uid="{4B1F56A6-0411-4FED-BD49-A1615091D5C8}"/>
    <cellStyle name="Vírgula 4 2 2 5 5 3 2" xfId="56551" xr:uid="{6F260748-C447-405C-8EEE-DF235DA859DB}"/>
    <cellStyle name="Vírgula 4 2 2 5 5 4" xfId="50614" xr:uid="{B6816F14-1EAB-46A6-BEEE-FF7AEA7ABFCE}"/>
    <cellStyle name="Vírgula 4 2 2 5 5 5" xfId="53909" xr:uid="{3131AEDC-F1BA-4297-99D8-081BA67000E5}"/>
    <cellStyle name="Vírgula 4 2 2 5 5 6" xfId="12977" xr:uid="{88FAF07D-37BF-4D50-89A9-AF515CED50AA}"/>
    <cellStyle name="Vírgula 4 2 2 5 6" xfId="3507" xr:uid="{441FAA43-DBEF-4804-A64E-881B9EEFD6C7}"/>
    <cellStyle name="Vírgula 4 2 2 5 6 2" xfId="36214" xr:uid="{709EF5FA-43F4-4B67-85FD-FBE303255999}"/>
    <cellStyle name="Vírgula 4 2 2 5 6 3" xfId="52239" xr:uid="{628E12B9-6125-4ED2-B2CB-2C8F6134F181}"/>
    <cellStyle name="Vírgula 4 2 2 5 6 4" xfId="55533" xr:uid="{87FBC337-96D9-43B1-8831-FDAAEF92D720}"/>
    <cellStyle name="Vírgula 4 2 2 5 6 5" xfId="15874" xr:uid="{2936EC14-77E6-4332-A1F3-D06AB33F2F4A}"/>
    <cellStyle name="Vírgula 4 2 2 5 7" xfId="1856" xr:uid="{31FE9844-83DD-41D6-93D1-80C04923DAA2}"/>
    <cellStyle name="Vírgula 4 2 2 5 7 2" xfId="39128" xr:uid="{00DF977E-EBD5-4B11-AED2-9B4AE4FA1C26}"/>
    <cellStyle name="Vírgula 4 2 2 5 7 3" xfId="56142" xr:uid="{3FFDACAB-D0AE-4894-8DF7-2B52E973755B}"/>
    <cellStyle name="Vírgula 4 2 2 5 7 4" xfId="18788" xr:uid="{D7D384B4-06EE-40AC-9FA3-D674DB9ADACF}"/>
    <cellStyle name="Vírgula 4 2 2 5 8" xfId="19376" xr:uid="{F4ED0871-BCA1-49C1-A857-5B5A677887B3}"/>
    <cellStyle name="Vírgula 4 2 2 5 8 2" xfId="39715" xr:uid="{62E383B4-2933-4745-B4F2-8F001CF46F23}"/>
    <cellStyle name="Vírgula 4 2 2 5 9" xfId="22631" xr:uid="{03CBA815-09A6-4254-A0DB-5F815C139768}"/>
    <cellStyle name="Vírgula 4 2 2 5 9 2" xfId="42966" xr:uid="{3879C39F-D718-4526-B78A-9911C2F4E89D}"/>
    <cellStyle name="Vírgula 4 2 2 6" xfId="327" xr:uid="{2CAFD255-69BB-4FD2-BF2F-C55978B35864}"/>
    <cellStyle name="Vírgula 4 2 2 6 10" xfId="12446" xr:uid="{0E59E931-30CD-47F1-BF2E-E59B64F13D7D}"/>
    <cellStyle name="Vírgula 4 2 2 6 10 2" xfId="32787" xr:uid="{46911BA5-E76A-46C8-B548-B96B91DBC8AC}"/>
    <cellStyle name="Vírgula 4 2 2 6 11" xfId="9185" xr:uid="{4F806882-FDD0-47EA-85EC-D8A45F8270B9}"/>
    <cellStyle name="Vírgula 4 2 2 6 11 2" xfId="29528" xr:uid="{46A940DD-62A5-4A71-AB2B-8DD957FA3F2B}"/>
    <cellStyle name="Vírgula 4 2 2 6 12" xfId="26034" xr:uid="{00473ADD-9982-412F-91D5-60B39E5ADA42}"/>
    <cellStyle name="Vírgula 4 2 2 6 13" xfId="48945" xr:uid="{6439A23C-AFA6-4857-8920-C89768B201B5}"/>
    <cellStyle name="Vírgula 4 2 2 6 14" xfId="50615" xr:uid="{DBA94B5C-49E6-475A-A82D-1B75FCBE6995}"/>
    <cellStyle name="Vírgula 4 2 2 6 15" xfId="53910" xr:uid="{9C620E73-7A53-462A-8B4F-21A5DFE3E512}"/>
    <cellStyle name="Vírgula 4 2 2 6 16" xfId="5695" xr:uid="{9A1107AE-E08B-4738-A6C9-900260902B88}"/>
    <cellStyle name="Vírgula 4 2 2 6 17" xfId="4608" xr:uid="{B39D25E5-E98C-4FE3-9E00-E5F0F481FA07}"/>
    <cellStyle name="Vírgula 4 2 2 6 2" xfId="1143" xr:uid="{A8AC19D3-484C-4AD1-8ADE-C1F2E9B9DA65}"/>
    <cellStyle name="Vírgula 4 2 2 6 2 10" xfId="50616" xr:uid="{91201905-64A8-4691-AF8D-F34636A57BB5}"/>
    <cellStyle name="Vírgula 4 2 2 6 2 11" xfId="53911" xr:uid="{49803F66-A106-4B80-9D82-0A721A294EE4}"/>
    <cellStyle name="Vírgula 4 2 2 6 2 12" xfId="6267" xr:uid="{D7130ABB-D5B8-47A2-8E6E-25C15CBCF126}"/>
    <cellStyle name="Vírgula 4 2 2 6 2 2" xfId="2805" xr:uid="{C4AB5A27-CDAF-4E18-8D67-E2AE86173FE4}"/>
    <cellStyle name="Vírgula 4 2 2 6 2 2 10" xfId="7425" xr:uid="{7AB361BF-7086-4280-94A5-0BB923A5BFF3}"/>
    <cellStyle name="Vírgula 4 2 2 6 2 2 2" xfId="17711" xr:uid="{4B70A270-BD06-4307-9F95-74B7360BD72A}"/>
    <cellStyle name="Vírgula 4 2 2 6 2 2 2 2" xfId="38051" xr:uid="{844342F1-1B1A-4BDA-AF60-94BAFE70D75B}"/>
    <cellStyle name="Vírgula 4 2 2 6 2 2 3" xfId="21213" xr:uid="{67B698B4-E8B0-4937-BE76-526C68C51A06}"/>
    <cellStyle name="Vírgula 4 2 2 6 2 2 3 2" xfId="41552" xr:uid="{2823A2C4-58ED-448B-866D-BE554B536637}"/>
    <cellStyle name="Vírgula 4 2 2 6 2 2 4" xfId="24468" xr:uid="{C22EC5F9-9674-4C29-825E-454AA4EFF9B5}"/>
    <cellStyle name="Vírgula 4 2 2 6 2 2 4 2" xfId="44803" xr:uid="{31B8C4F9-98A5-4FD5-ABDE-88B65719D0BF}"/>
    <cellStyle name="Vírgula 4 2 2 6 2 2 5" xfId="14802" xr:uid="{786C5079-705D-4DBA-8E6A-5C4D846D8143}"/>
    <cellStyle name="Vírgula 4 2 2 6 2 2 5 2" xfId="35143" xr:uid="{528E2A01-2C25-4092-AA00-90EA6AC40087}"/>
    <cellStyle name="Vírgula 4 2 2 6 2 2 6" xfId="10924" xr:uid="{CC50D005-686E-4C4E-B1DC-87EC610B076E}"/>
    <cellStyle name="Vírgula 4 2 2 6 2 2 6 2" xfId="31267" xr:uid="{433413B5-723A-4CA8-9926-65B5A667B545}"/>
    <cellStyle name="Vírgula 4 2 2 6 2 2 7" xfId="27773" xr:uid="{276990A5-BA1F-4A81-9E56-A08B89669465}"/>
    <cellStyle name="Vírgula 4 2 2 6 2 2 8" xfId="52248" xr:uid="{A52FC3F6-CC57-4181-ABA1-EDAE5947A83A}"/>
    <cellStyle name="Vírgula 4 2 2 6 2 2 9" xfId="55542" xr:uid="{0CA95CDC-A748-4520-961F-7BFFFC902D25}"/>
    <cellStyle name="Vírgula 4 2 2 6 2 3" xfId="16553" xr:uid="{672B4DE4-BDB3-4DDD-BF72-5681C17163E9}"/>
    <cellStyle name="Vírgula 4 2 2 6 2 3 2" xfId="36893" xr:uid="{CBB36EF1-86FD-4A59-95AE-FAAEAD10C84B}"/>
    <cellStyle name="Vírgula 4 2 2 6 2 3 3" xfId="57014" xr:uid="{6DCCF631-F1DC-4F76-A6F9-F4D825099B68}"/>
    <cellStyle name="Vírgula 4 2 2 6 2 4" xfId="20055" xr:uid="{AA35AD1E-214B-4F0B-8F29-C253E1BB61A5}"/>
    <cellStyle name="Vírgula 4 2 2 6 2 4 2" xfId="40394" xr:uid="{148A9CFA-1E85-44FD-9B33-05CEDB9A6565}"/>
    <cellStyle name="Vírgula 4 2 2 6 2 5" xfId="23310" xr:uid="{73E703D6-4C00-45E5-BFC1-578ACABAB9C0}"/>
    <cellStyle name="Vírgula 4 2 2 6 2 5 2" xfId="43645" xr:uid="{156EC55F-92D2-4558-B48D-ABCC94EA12F9}"/>
    <cellStyle name="Vírgula 4 2 2 6 2 6" xfId="13644" xr:uid="{8A0565BB-A768-4B6D-82FE-7B0D6AEC01E1}"/>
    <cellStyle name="Vírgula 4 2 2 6 2 6 2" xfId="33985" xr:uid="{932841F9-8FB0-44A1-A532-CA08EFDFAEA1}"/>
    <cellStyle name="Vírgula 4 2 2 6 2 7" xfId="9766" xr:uid="{A69ADF75-892D-4B86-8551-9DA66E3F9E89}"/>
    <cellStyle name="Vírgula 4 2 2 6 2 7 2" xfId="30109" xr:uid="{223C801C-64ED-4344-98E0-C23D24AE1D4C}"/>
    <cellStyle name="Vírgula 4 2 2 6 2 8" xfId="26615" xr:uid="{4CD46D19-44EF-4DD9-A34D-8A26023E44C1}"/>
    <cellStyle name="Vírgula 4 2 2 6 2 9" xfId="48946" xr:uid="{F8D50768-1817-4D5E-95C4-6763871E54FB}"/>
    <cellStyle name="Vírgula 4 2 2 6 3" xfId="1549" xr:uid="{49DAB52E-47FC-414D-BC75-E0976DC13C7D}"/>
    <cellStyle name="Vírgula 4 2 2 6 3 10" xfId="53912" xr:uid="{56BD2BBB-1A08-4DD5-A1BA-54CFDF15E9A9}"/>
    <cellStyle name="Vírgula 4 2 2 6 3 11" xfId="6844" xr:uid="{C0840A2B-F843-41A7-9278-9A3E1715914A}"/>
    <cellStyle name="Vírgula 4 2 2 6 3 2" xfId="3210" xr:uid="{39DADF3E-EB5B-4159-AA76-C55387A8323E}"/>
    <cellStyle name="Vírgula 4 2 2 6 3 2 2" xfId="37470" xr:uid="{5E1E4CF0-9DFB-42AC-9C83-E63A747740F6}"/>
    <cellStyle name="Vírgula 4 2 2 6 3 2 3" xfId="52249" xr:uid="{23F0D31B-82CA-4E40-8AFC-9039C0EBC51B}"/>
    <cellStyle name="Vírgula 4 2 2 6 3 2 4" xfId="55543" xr:uid="{1099742E-C2AE-4D8C-97B8-86EB711F9928}"/>
    <cellStyle name="Vírgula 4 2 2 6 3 2 5" xfId="17130" xr:uid="{B6E61835-8D24-44DC-9C6B-BC0D6B15AB25}"/>
    <cellStyle name="Vírgula 4 2 2 6 3 3" xfId="20632" xr:uid="{040859A7-98A5-4B5E-B9B4-842451A2A646}"/>
    <cellStyle name="Vírgula 4 2 2 6 3 3 2" xfId="40971" xr:uid="{65737862-DB4E-404D-8AEA-9071CE21751E}"/>
    <cellStyle name="Vírgula 4 2 2 6 3 3 3" xfId="57420" xr:uid="{DF842492-52AA-451F-8510-178262734B6C}"/>
    <cellStyle name="Vírgula 4 2 2 6 3 4" xfId="23887" xr:uid="{E8FF4DE1-3676-403B-B79F-F10DAC477FCD}"/>
    <cellStyle name="Vírgula 4 2 2 6 3 4 2" xfId="44222" xr:uid="{B25102D3-B739-42FA-827C-574C1998578D}"/>
    <cellStyle name="Vírgula 4 2 2 6 3 5" xfId="14221" xr:uid="{D5785D50-7ED4-4512-A95B-3C60FD59193D}"/>
    <cellStyle name="Vírgula 4 2 2 6 3 5 2" xfId="34562" xr:uid="{40BA6532-19EA-485E-A0D0-71F5870F52E5}"/>
    <cellStyle name="Vírgula 4 2 2 6 3 6" xfId="10343" xr:uid="{00726E14-0F06-4B6C-B958-53C35C60555F}"/>
    <cellStyle name="Vírgula 4 2 2 6 3 6 2" xfId="30686" xr:uid="{60C6610F-ACD9-480E-8E0C-9C5C2BA326BE}"/>
    <cellStyle name="Vírgula 4 2 2 6 3 7" xfId="27192" xr:uid="{80DCF2FC-409D-4EEC-8B9E-C07EB9B921F8}"/>
    <cellStyle name="Vírgula 4 2 2 6 3 8" xfId="48947" xr:uid="{254060CF-8B25-4A47-A91B-45724A4F7F06}"/>
    <cellStyle name="Vírgula 4 2 2 6 3 9" xfId="50617" xr:uid="{FA60F090-48A8-43E3-9ED9-1E53A038D376}"/>
    <cellStyle name="Vírgula 4 2 2 6 4" xfId="736" xr:uid="{491F8830-DF29-43A8-A800-9BBCE8F3B49A}"/>
    <cellStyle name="Vírgula 4 2 2 6 4 10" xfId="53913" xr:uid="{3F85560A-664E-42C6-BAA0-500B5FBF9096}"/>
    <cellStyle name="Vírgula 4 2 2 6 4 11" xfId="8008" xr:uid="{CA950405-C357-4AE2-9767-2C7510A14381}"/>
    <cellStyle name="Vírgula 4 2 2 6 4 2" xfId="2452" xr:uid="{53EA75D8-60D8-4F72-92E3-9F8C5C081120}"/>
    <cellStyle name="Vírgula 4 2 2 6 4 2 2" xfId="38633" xr:uid="{F06F6ACB-3040-4D2B-95F1-C13B7D32B8AC}"/>
    <cellStyle name="Vírgula 4 2 2 6 4 2 3" xfId="52250" xr:uid="{8017F5C6-37F6-45AD-A22B-3608A069CEBB}"/>
    <cellStyle name="Vírgula 4 2 2 6 4 2 4" xfId="55544" xr:uid="{B030EC78-83CE-4B15-B92C-6F5BBE7BDE0E}"/>
    <cellStyle name="Vírgula 4 2 2 6 4 2 5" xfId="18293" xr:uid="{87AB8886-2760-4FB4-AB9B-F1CC36F87DB6}"/>
    <cellStyle name="Vírgula 4 2 2 6 4 3" xfId="21795" xr:uid="{B9EDC6B4-AF6E-4BFA-8BF5-2F0170D0B3DF}"/>
    <cellStyle name="Vírgula 4 2 2 6 4 3 2" xfId="42134" xr:uid="{184BC3CB-00E6-4EFC-94FB-70103F315EA2}"/>
    <cellStyle name="Vírgula 4 2 2 6 4 3 3" xfId="56607" xr:uid="{8A2D99D8-8619-4CA1-829C-6402FE4427C5}"/>
    <cellStyle name="Vírgula 4 2 2 6 4 4" xfId="25050" xr:uid="{9C78CD65-796F-47A3-B6EC-308E6D8A8830}"/>
    <cellStyle name="Vírgula 4 2 2 6 4 4 2" xfId="45385" xr:uid="{48B45B5F-7C32-4744-AA57-6F43D17DB608}"/>
    <cellStyle name="Vírgula 4 2 2 6 4 5" xfId="15385" xr:uid="{CC5584E7-7A6E-4B90-9D04-8D8DD8C888D4}"/>
    <cellStyle name="Vírgula 4 2 2 6 4 5 2" xfId="35725" xr:uid="{6C650758-21A4-4E1B-8773-22FADA6625BE}"/>
    <cellStyle name="Vírgula 4 2 2 6 4 6" xfId="11506" xr:uid="{BA67901B-590E-40D5-AC2F-CCEA3D5DE1A2}"/>
    <cellStyle name="Vírgula 4 2 2 6 4 6 2" xfId="31849" xr:uid="{59052841-1903-4927-AA14-B31291C1A463}"/>
    <cellStyle name="Vírgula 4 2 2 6 4 7" xfId="28355" xr:uid="{A0ECA474-0481-4606-AC3C-F4FB2DFCF79F}"/>
    <cellStyle name="Vírgula 4 2 2 6 4 8" xfId="48948" xr:uid="{DCEE8B89-E3F1-4B99-A5F5-6E06FA185327}"/>
    <cellStyle name="Vírgula 4 2 2 6 4 9" xfId="50618" xr:uid="{5699B1C2-500E-4352-8DC9-9A63C05CF401}"/>
    <cellStyle name="Vírgula 4 2 2 6 5" xfId="3725" xr:uid="{AB021E33-72F1-4E36-A76E-AC6411BD167D}"/>
    <cellStyle name="Vírgula 4 2 2 6 5 2" xfId="33416" xr:uid="{AC9630C8-3F75-4DAD-92AB-97FC35B3292F}"/>
    <cellStyle name="Vírgula 4 2 2 6 5 3" xfId="52247" xr:uid="{1905628C-B7A1-4E54-B2FD-9838DD154969}"/>
    <cellStyle name="Vírgula 4 2 2 6 5 4" xfId="55541" xr:uid="{FCCFA505-B4EE-4546-B620-B8EE3B5DF9AF}"/>
    <cellStyle name="Vírgula 4 2 2 6 5 5" xfId="13075" xr:uid="{A8D41811-FB30-436E-A6BA-35CA20A7BED5}"/>
    <cellStyle name="Vírgula 4 2 2 6 6" xfId="2128" xr:uid="{EEC8497F-FF2A-4553-B516-393A0EA68F8B}"/>
    <cellStyle name="Vírgula 4 2 2 6 6 2" xfId="36312" xr:uid="{49AD3DBF-CBC5-4BF4-96C3-1CC099C69AE0}"/>
    <cellStyle name="Vírgula 4 2 2 6 6 3" xfId="56198" xr:uid="{046323EA-3092-4C9C-B787-95D937A4367E}"/>
    <cellStyle name="Vírgula 4 2 2 6 6 4" xfId="15972" xr:uid="{ABC3B707-7A37-41DF-BF62-32AFE4152880}"/>
    <cellStyle name="Vírgula 4 2 2 6 7" xfId="18886" xr:uid="{6B9D13C0-DFD4-419C-BE92-3AC3736E1B8A}"/>
    <cellStyle name="Vírgula 4 2 2 6 7 2" xfId="39226" xr:uid="{D6A8967E-ECB0-4474-8D38-19314E89C3EF}"/>
    <cellStyle name="Vírgula 4 2 2 6 8" xfId="19474" xr:uid="{DB446173-1EE8-479B-A648-75F5F63A4352}"/>
    <cellStyle name="Vírgula 4 2 2 6 8 2" xfId="39813" xr:uid="{5EC3B515-A5DF-4697-AC28-B3B975F3E72A}"/>
    <cellStyle name="Vírgula 4 2 2 6 9" xfId="22729" xr:uid="{18B4F258-81EC-4322-BAC9-216133C8FA97}"/>
    <cellStyle name="Vírgula 4 2 2 6 9 2" xfId="43064" xr:uid="{BB2999A1-DD86-496E-AD76-66912057F814}"/>
    <cellStyle name="Vírgula 4 2 2 7" xfId="954" xr:uid="{7B1A9B73-C653-4629-BD40-CA3A4307C8E5}"/>
    <cellStyle name="Vírgula 4 2 2 7 10" xfId="48949" xr:uid="{0CA12610-D95E-4923-B5E3-49FA9977DC41}"/>
    <cellStyle name="Vírgula 4 2 2 7 11" xfId="50619" xr:uid="{19A43D9D-1012-4B57-8CAB-3D21766E8DD2}"/>
    <cellStyle name="Vírgula 4 2 2 7 12" xfId="53914" xr:uid="{F491E1B7-0F32-47ED-87F3-C5038DB88ACB}"/>
    <cellStyle name="Vírgula 4 2 2 7 13" xfId="5825" xr:uid="{83524FEA-10A7-459E-9714-3FF6B5169FBA}"/>
    <cellStyle name="Vírgula 4 2 2 7 14" xfId="4828" xr:uid="{5A08B931-2D41-4CC6-9F09-D940098C70B2}"/>
    <cellStyle name="Vírgula 4 2 2 7 2" xfId="2669" xr:uid="{8E5668AE-54BA-41F7-8682-424E48710467}"/>
    <cellStyle name="Vírgula 4 2 2 7 2 10" xfId="6983" xr:uid="{7B9D486E-F718-4DEE-945B-9E9985C184BF}"/>
    <cellStyle name="Vírgula 4 2 2 7 2 2" xfId="17269" xr:uid="{4CD4D758-B551-4650-9108-8C51F4673091}"/>
    <cellStyle name="Vírgula 4 2 2 7 2 2 2" xfId="37609" xr:uid="{59E9CC30-E346-4B36-8C5B-1CA7C69C39C4}"/>
    <cellStyle name="Vírgula 4 2 2 7 2 3" xfId="20771" xr:uid="{09215A0E-D4A9-4199-8EAB-1F0F4CF90D3E}"/>
    <cellStyle name="Vírgula 4 2 2 7 2 3 2" xfId="41110" xr:uid="{5838EFA2-6E34-4931-97D2-AFE2F15611DA}"/>
    <cellStyle name="Vírgula 4 2 2 7 2 4" xfId="24026" xr:uid="{58168E4D-A012-4F22-A524-366FED83CA6E}"/>
    <cellStyle name="Vírgula 4 2 2 7 2 4 2" xfId="44361" xr:uid="{36B06CB6-9C5C-438E-8C90-F8FB2A6C16E1}"/>
    <cellStyle name="Vírgula 4 2 2 7 2 5" xfId="14360" xr:uid="{5BC45D2C-19CF-460D-A00B-06FF33D525AD}"/>
    <cellStyle name="Vírgula 4 2 2 7 2 5 2" xfId="34701" xr:uid="{AFD65345-89A6-479A-9A2E-9C58A168B6C8}"/>
    <cellStyle name="Vírgula 4 2 2 7 2 6" xfId="10482" xr:uid="{5B584378-9607-4795-875F-7659D93F50D9}"/>
    <cellStyle name="Vírgula 4 2 2 7 2 6 2" xfId="30825" xr:uid="{8AD77989-890D-4DD4-A9A8-0F120251F9BB}"/>
    <cellStyle name="Vírgula 4 2 2 7 2 7" xfId="27331" xr:uid="{79BE9A88-5136-4333-A6A0-471ADC1276D1}"/>
    <cellStyle name="Vírgula 4 2 2 7 2 8" xfId="52251" xr:uid="{08D68D5A-6A6A-43EE-BD0D-B9277DA78F70}"/>
    <cellStyle name="Vírgula 4 2 2 7 2 9" xfId="55545" xr:uid="{12CF59C2-C671-4F4F-8842-40ECCC0F5116}"/>
    <cellStyle name="Vírgula 4 2 2 7 3" xfId="13205" xr:uid="{8B287305-EAEF-4829-A819-35AAF40A2853}"/>
    <cellStyle name="Vírgula 4 2 2 7 3 2" xfId="33546" xr:uid="{30808A63-61E8-42A6-BDEF-1EFAC087865B}"/>
    <cellStyle name="Vírgula 4 2 2 7 3 3" xfId="56825" xr:uid="{1F0ACC42-8475-4976-A5AC-7ED723E59952}"/>
    <cellStyle name="Vírgula 4 2 2 7 4" xfId="16111" xr:uid="{D8D6CF08-9818-41CB-970B-F3C44144872A}"/>
    <cellStyle name="Vírgula 4 2 2 7 4 2" xfId="36451" xr:uid="{81F274B2-661A-4C51-B13A-D72A1E79C0A7}"/>
    <cellStyle name="Vírgula 4 2 2 7 5" xfId="19613" xr:uid="{E83BFD69-289A-45B2-B122-08DB6ADA9C8F}"/>
    <cellStyle name="Vírgula 4 2 2 7 5 2" xfId="39952" xr:uid="{D0D03443-09AF-460F-892E-1831AB3ED31E}"/>
    <cellStyle name="Vírgula 4 2 2 7 6" xfId="22868" xr:uid="{5208A49D-08B5-4231-9923-132A3CE926AF}"/>
    <cellStyle name="Vírgula 4 2 2 7 6 2" xfId="43203" xr:uid="{0C14FA5B-8DA7-43DB-8509-DBF05EBD97E8}"/>
    <cellStyle name="Vírgula 4 2 2 7 7" xfId="12550" xr:uid="{7DAF4D40-87C2-4B19-896C-7D4A9AFFE5B9}"/>
    <cellStyle name="Vírgula 4 2 2 7 7 2" xfId="32891" xr:uid="{45DEDE80-101D-487F-AC53-1D90E7D9409C}"/>
    <cellStyle name="Vírgula 4 2 2 7 8" xfId="9324" xr:uid="{4F0DA632-B052-4234-BDA4-547BA4553970}"/>
    <cellStyle name="Vírgula 4 2 2 7 8 2" xfId="29667" xr:uid="{D81A44DE-7D99-4638-9BBE-E80B892DC6B9}"/>
    <cellStyle name="Vírgula 4 2 2 7 9" xfId="26173" xr:uid="{55473403-E978-4DF4-AF4A-6E409AFE1184}"/>
    <cellStyle name="Vírgula 4 2 2 8" xfId="1360" xr:uid="{AEFF69F6-E9B7-4043-A1D4-8D2E15274346}"/>
    <cellStyle name="Vírgula 4 2 2 8 10" xfId="53915" xr:uid="{A453FB13-7F87-4FA5-A564-940222F35FA7}"/>
    <cellStyle name="Vírgula 4 2 2 8 11" xfId="6402" xr:uid="{D843CF10-7C4B-4C66-ADB5-5F7D13C83FBC}"/>
    <cellStyle name="Vírgula 4 2 2 8 2" xfId="3021" xr:uid="{D5C2D191-7EEC-493B-B53C-1CCFCF3C197A}"/>
    <cellStyle name="Vírgula 4 2 2 8 2 2" xfId="37028" xr:uid="{B5A5BE29-5256-4490-B419-7245DB8E270C}"/>
    <cellStyle name="Vírgula 4 2 2 8 2 3" xfId="52252" xr:uid="{593F6FCE-2596-43AA-83DB-5FE127AAB590}"/>
    <cellStyle name="Vírgula 4 2 2 8 2 4" xfId="55546" xr:uid="{9AB668F8-3280-4240-A84B-8B890847528C}"/>
    <cellStyle name="Vírgula 4 2 2 8 2 5" xfId="16688" xr:uid="{0F5A3C7A-3020-4B2F-9F0E-9245ED0C67CA}"/>
    <cellStyle name="Vírgula 4 2 2 8 3" xfId="20190" xr:uid="{DC2BB3E0-139C-4DB1-A7DF-9A180D682C58}"/>
    <cellStyle name="Vírgula 4 2 2 8 3 2" xfId="40529" xr:uid="{A853616B-561A-4E83-AF72-1920B5764610}"/>
    <cellStyle name="Vírgula 4 2 2 8 3 3" xfId="57231" xr:uid="{35DD6D87-58A6-4895-AAF3-62B22E30BB8D}"/>
    <cellStyle name="Vírgula 4 2 2 8 4" xfId="23445" xr:uid="{3840AF23-02FB-4074-A673-1E5A21225D0F}"/>
    <cellStyle name="Vírgula 4 2 2 8 4 2" xfId="43780" xr:uid="{A4EF232A-1AB0-4A33-A258-7131BB8434DF}"/>
    <cellStyle name="Vírgula 4 2 2 8 5" xfId="13779" xr:uid="{86BAAC79-7C99-454D-8E10-C45DB0228B49}"/>
    <cellStyle name="Vírgula 4 2 2 8 5 2" xfId="34120" xr:uid="{BA224142-ADCF-471A-8B31-3C211D8255A8}"/>
    <cellStyle name="Vírgula 4 2 2 8 6" xfId="9901" xr:uid="{416DEFC8-F735-4C39-BFC4-A28E13D6CA73}"/>
    <cellStyle name="Vírgula 4 2 2 8 6 2" xfId="30244" xr:uid="{626BACAC-33EC-4FE6-9997-458365507A29}"/>
    <cellStyle name="Vírgula 4 2 2 8 7" xfId="26750" xr:uid="{818ACF97-C13B-43B9-89B2-E2856B2B3165}"/>
    <cellStyle name="Vírgula 4 2 2 8 8" xfId="48950" xr:uid="{20534E83-AC5D-49FC-A0BA-208B487EB36D}"/>
    <cellStyle name="Vírgula 4 2 2 8 9" xfId="50620" xr:uid="{1AB26448-8C8B-4DA6-BCC9-7109A8799909}"/>
    <cellStyle name="Vírgula 4 2 2 9" xfId="547" xr:uid="{D3C15298-2576-4954-935F-F77F0F41AAEA}"/>
    <cellStyle name="Vírgula 4 2 2 9 10" xfId="53916" xr:uid="{1CEC3F7A-4F33-46FE-A927-0CCFE20922AE}"/>
    <cellStyle name="Vírgula 4 2 2 9 11" xfId="7566" xr:uid="{89A0E63A-E0D3-4B83-9F49-24CB373E7AF1}"/>
    <cellStyle name="Vírgula 4 2 2 9 2" xfId="2263" xr:uid="{55B1D41D-49EA-4E0C-BC51-A9DEFFCA5C11}"/>
    <cellStyle name="Vírgula 4 2 2 9 2 2" xfId="38191" xr:uid="{BFE725BE-8F1D-4ECF-AE84-9A2C7CBD15F5}"/>
    <cellStyle name="Vírgula 4 2 2 9 2 3" xfId="52253" xr:uid="{313C112F-33B7-4BB0-BD46-AB2ADB486320}"/>
    <cellStyle name="Vírgula 4 2 2 9 2 4" xfId="55547" xr:uid="{B2074D20-7979-4CBD-B47A-2814627301D4}"/>
    <cellStyle name="Vírgula 4 2 2 9 2 5" xfId="17851" xr:uid="{606C6052-6062-47C5-B510-506656F4ACF0}"/>
    <cellStyle name="Vírgula 4 2 2 9 3" xfId="21353" xr:uid="{596E2B18-6BB5-4340-AD17-C3AFEFCB3A2E}"/>
    <cellStyle name="Vírgula 4 2 2 9 3 2" xfId="41692" xr:uid="{63A1E8C6-298E-4FBB-8337-0078166F46A6}"/>
    <cellStyle name="Vírgula 4 2 2 9 3 3" xfId="56418" xr:uid="{C37056B8-5913-4FE9-BFB4-38B463E6D09A}"/>
    <cellStyle name="Vírgula 4 2 2 9 4" xfId="24608" xr:uid="{68F1931B-EC81-4943-BD34-8AF8EBF4FD1C}"/>
    <cellStyle name="Vírgula 4 2 2 9 4 2" xfId="44943" xr:uid="{F3B8A1CA-D448-4DA1-9D37-858E39C15687}"/>
    <cellStyle name="Vírgula 4 2 2 9 5" xfId="14943" xr:uid="{7F338777-74A5-41A5-8A36-8A86A38ED80E}"/>
    <cellStyle name="Vírgula 4 2 2 9 5 2" xfId="35283" xr:uid="{FFE22B9F-0019-44C9-8411-3DF08DB5D94A}"/>
    <cellStyle name="Vírgula 4 2 2 9 6" xfId="11064" xr:uid="{08E72B25-AA4A-4394-A4DA-DDE6F88B0CFC}"/>
    <cellStyle name="Vírgula 4 2 2 9 6 2" xfId="31407" xr:uid="{43519105-2C7C-444A-B809-A349DD2C6FC8}"/>
    <cellStyle name="Vírgula 4 2 2 9 7" xfId="27913" xr:uid="{9D2D454A-6785-4B88-9B81-D7A313A1BEAF}"/>
    <cellStyle name="Vírgula 4 2 2 9 8" xfId="48951" xr:uid="{446614FD-76FB-4240-8058-40693E26C12D}"/>
    <cellStyle name="Vírgula 4 2 2 9 9" xfId="50621" xr:uid="{9AE9A8C3-542B-42EF-8203-E777D607BD05}"/>
    <cellStyle name="Vírgula 4 2 20" xfId="46314" xr:uid="{7630D411-81BD-4C72-9B67-2B2EAF8A4548}"/>
    <cellStyle name="Vírgula 4 2 21" xfId="46806" xr:uid="{73796080-D9C4-4A39-B215-FF4282AE4C6A}"/>
    <cellStyle name="Vírgula 4 2 22" xfId="47316" xr:uid="{5A38AF74-DC87-479A-A09B-E5F395D42AE0}"/>
    <cellStyle name="Vírgula 4 2 23" xfId="47442" xr:uid="{6925C23F-CCCC-4E70-91AB-94788F4C532C}"/>
    <cellStyle name="Vírgula 4 2 24" xfId="47568" xr:uid="{116F4197-556F-49CB-968B-64B707D00F26}"/>
    <cellStyle name="Vírgula 4 2 25" xfId="48894" xr:uid="{2B6A72BA-38E5-455F-B626-ABD181F3AB7E}"/>
    <cellStyle name="Vírgula 4 2 26" xfId="50564" xr:uid="{58692EF0-25BD-43FB-AA52-B39B27BCF864}"/>
    <cellStyle name="Vírgula 4 2 27" xfId="53859" xr:uid="{BCE80279-E872-4B1A-A8E8-B848A6028C13}"/>
    <cellStyle name="Vírgula 4 2 28" xfId="5234" xr:uid="{15A0BFDD-C276-4EEF-B6FC-B293591E6D8B}"/>
    <cellStyle name="Vírgula 4 2 29" xfId="4405" xr:uid="{802F2FF4-2E1D-45C6-A088-B6F84DB7B304}"/>
    <cellStyle name="Vírgula 4 2 3" xfId="153" xr:uid="{30DD3E58-B068-4BB7-9639-79761E026D02}"/>
    <cellStyle name="Vírgula 4 2 3 10" xfId="1758" xr:uid="{BA23CDF8-E32F-42A3-AC93-A19DFABAE30B}"/>
    <cellStyle name="Vírgula 4 2 3 10 2" xfId="42709" xr:uid="{54F1FDE8-568F-4CE3-B9AC-431F0BE70970}"/>
    <cellStyle name="Vírgula 4 2 3 10 3" xfId="22374" xr:uid="{C941436B-3EFD-4CBF-B8B4-E0DF436A004B}"/>
    <cellStyle name="Vírgula 4 2 3 11" xfId="12091" xr:uid="{071ACB10-1A19-4074-8A55-CD619C2D55FF}"/>
    <cellStyle name="Vírgula 4 2 3 11 2" xfId="32432" xr:uid="{2D8A64A1-BF36-4E5B-8CFB-2B66738CF18A}"/>
    <cellStyle name="Vírgula 4 2 3 12" xfId="8830" xr:uid="{65540C15-21E6-42E9-BC19-9AC2180DB0FA}"/>
    <cellStyle name="Vírgula 4 2 3 12 2" xfId="29173" xr:uid="{4C7F1CA8-471A-4213-A527-D8DDB53A549A}"/>
    <cellStyle name="Vírgula 4 2 3 13" xfId="25679" xr:uid="{6B983172-E728-4F01-A9C5-6BC7747F9F0F}"/>
    <cellStyle name="Vírgula 4 2 3 14" xfId="45888" xr:uid="{9F4D1685-989E-4C6D-93D4-215EE6F92519}"/>
    <cellStyle name="Vírgula 4 2 3 15" xfId="46374" xr:uid="{7FDBF6BE-ADA6-4170-B59C-EA150EBCAA57}"/>
    <cellStyle name="Vírgula 4 2 3 16" xfId="46866" xr:uid="{3ABCE6DD-0964-4000-8490-6232D6D06121}"/>
    <cellStyle name="Vírgula 4 2 3 17" xfId="47342" xr:uid="{B3A30F92-3AF7-44F3-B0AF-8BF1059A1A9B}"/>
    <cellStyle name="Vírgula 4 2 3 18" xfId="47468" xr:uid="{3565CB0F-529B-470F-BD6F-5919E9542A51}"/>
    <cellStyle name="Vírgula 4 2 3 19" xfId="47594" xr:uid="{3418F509-2BC5-4D67-8AD1-86FD517B13FF}"/>
    <cellStyle name="Vírgula 4 2 3 2" xfId="232" xr:uid="{450B0427-792B-44EF-B339-031E31E3D1A7}"/>
    <cellStyle name="Vírgula 4 2 3 2 10" xfId="12478" xr:uid="{4B520D0B-49BC-4ABF-BE5E-4DF58D1ACB64}"/>
    <cellStyle name="Vírgula 4 2 3 2 10 2" xfId="32819" xr:uid="{27ED5B6D-057A-475A-BA12-B41D38262828}"/>
    <cellStyle name="Vírgula 4 2 3 2 11" xfId="9217" xr:uid="{2A6595CA-6DDC-4910-8B65-EAF26877AA79}"/>
    <cellStyle name="Vírgula 4 2 3 2 11 2" xfId="29560" xr:uid="{F18A2CA9-5569-42A5-A437-AC60367F242E}"/>
    <cellStyle name="Vírgula 4 2 3 2 12" xfId="26066" xr:uid="{E25DB4EA-9A5C-413E-8DEE-6502F1EBA698}"/>
    <cellStyle name="Vírgula 4 2 3 2 13" xfId="46004" xr:uid="{2D14A55C-C07C-4599-87DD-7538E494C637}"/>
    <cellStyle name="Vírgula 4 2 3 2 14" xfId="46490" xr:uid="{F51CAD51-E318-406C-BEFB-BCA2625558BC}"/>
    <cellStyle name="Vírgula 4 2 3 2 15" xfId="46982" xr:uid="{54A5720E-267F-4217-B7A0-93F1778B9AFE}"/>
    <cellStyle name="Vírgula 4 2 3 2 16" xfId="47398" xr:uid="{41208BB2-E245-4764-AC0E-430B78E265A7}"/>
    <cellStyle name="Vírgula 4 2 3 2 17" xfId="47524" xr:uid="{A86B4A37-20E2-452C-8A7F-803616F33968}"/>
    <cellStyle name="Vírgula 4 2 3 2 18" xfId="47650" xr:uid="{7AEE6E78-5C25-4108-B77D-06223FCB9C3D}"/>
    <cellStyle name="Vírgula 4 2 3 2 19" xfId="48953" xr:uid="{7BB43678-8B52-4987-B999-2B945808460D}"/>
    <cellStyle name="Vírgula 4 2 3 2 2" xfId="421" xr:uid="{E91E3152-5B7F-4E80-970C-2FF033DF336B}"/>
    <cellStyle name="Vírgula 4 2 3 2 2 10" xfId="46733" xr:uid="{E572D886-5871-4413-B5EB-64E3D2546812}"/>
    <cellStyle name="Vírgula 4 2 3 2 2 11" xfId="47225" xr:uid="{FE5E7FA4-5748-4930-B6B0-38BDA7CFF666}"/>
    <cellStyle name="Vírgula 4 2 3 2 2 12" xfId="48954" xr:uid="{490F0312-40A5-4711-B11C-A4B339CB5E00}"/>
    <cellStyle name="Vírgula 4 2 3 2 2 13" xfId="50624" xr:uid="{553A8320-9652-46DE-8442-7CAB7BE27606}"/>
    <cellStyle name="Vírgula 4 2 3 2 2 14" xfId="53919" xr:uid="{053C354D-B4C4-479D-80A1-CC0AD2865A0A}"/>
    <cellStyle name="Vírgula 4 2 3 2 2 15" xfId="6299" xr:uid="{7CD94872-CF77-41C6-B906-31C17EE4130A}"/>
    <cellStyle name="Vírgula 4 2 3 2 2 16" xfId="4702" xr:uid="{E5D42010-AD93-4611-A109-B364C8CAAED2}"/>
    <cellStyle name="Vírgula 4 2 3 2 2 2" xfId="1237" xr:uid="{AF78E23B-1759-4A06-BEB0-A727E00D353E}"/>
    <cellStyle name="Vírgula 4 2 3 2 2 2 10" xfId="53920" xr:uid="{9FF99F4B-6315-475D-B187-68B014EBB84B}"/>
    <cellStyle name="Vírgula 4 2 3 2 2 2 11" xfId="7457" xr:uid="{5E97D262-BF9F-49D4-8FC7-60038751259E}"/>
    <cellStyle name="Vírgula 4 2 3 2 2 2 2" xfId="2898" xr:uid="{3AC5724D-5B7B-4788-9363-F9F49B3431E6}"/>
    <cellStyle name="Vírgula 4 2 3 2 2 2 2 2" xfId="38083" xr:uid="{7A86290F-E8CE-4A04-9410-4B02118F62F3}"/>
    <cellStyle name="Vírgula 4 2 3 2 2 2 2 3" xfId="52257" xr:uid="{02970DCB-5F4B-4E8A-844C-850486C73CE8}"/>
    <cellStyle name="Vírgula 4 2 3 2 2 2 2 4" xfId="55551" xr:uid="{9DD8AF58-009E-4DD0-A375-345335D961AC}"/>
    <cellStyle name="Vírgula 4 2 3 2 2 2 2 5" xfId="17743" xr:uid="{61DBEAD0-20A3-479F-A128-F4CA12200E54}"/>
    <cellStyle name="Vírgula 4 2 3 2 2 2 3" xfId="21245" xr:uid="{86C931B0-99CB-4680-AE12-B9FE5987D687}"/>
    <cellStyle name="Vírgula 4 2 3 2 2 2 3 2" xfId="41584" xr:uid="{EFF3C0E4-3F9C-4530-9ADF-C20015434482}"/>
    <cellStyle name="Vírgula 4 2 3 2 2 2 3 3" xfId="57108" xr:uid="{579ED3F9-5034-49E5-9D6C-F984C0547DDD}"/>
    <cellStyle name="Vírgula 4 2 3 2 2 2 4" xfId="24500" xr:uid="{94AA84E2-C0DD-4EF8-B5C8-829803960FE4}"/>
    <cellStyle name="Vírgula 4 2 3 2 2 2 4 2" xfId="44835" xr:uid="{37B323D5-B069-4C72-8F4E-BF8C4954D652}"/>
    <cellStyle name="Vírgula 4 2 3 2 2 2 5" xfId="14834" xr:uid="{D096B204-0B0A-4472-A5D3-FDDCE80C5D70}"/>
    <cellStyle name="Vírgula 4 2 3 2 2 2 5 2" xfId="35175" xr:uid="{6083896E-21DC-4327-9AD7-AC03F84DDC81}"/>
    <cellStyle name="Vírgula 4 2 3 2 2 2 6" xfId="10956" xr:uid="{E0BB1169-2622-473A-8CCE-432E20197D61}"/>
    <cellStyle name="Vírgula 4 2 3 2 2 2 6 2" xfId="31299" xr:uid="{7C279C48-6DA0-4E77-8F9E-9CEB4FA7810F}"/>
    <cellStyle name="Vírgula 4 2 3 2 2 2 7" xfId="27805" xr:uid="{B4D0B5E8-42A0-4829-A0DD-D922AD32917A}"/>
    <cellStyle name="Vírgula 4 2 3 2 2 2 8" xfId="48955" xr:uid="{1166FE53-D850-45B3-9D8C-9FBA93DD663C}"/>
    <cellStyle name="Vírgula 4 2 3 2 2 2 9" xfId="50625" xr:uid="{0B9684C8-B20D-4946-8ABE-22FBBBF9691F}"/>
    <cellStyle name="Vírgula 4 2 3 2 2 3" xfId="1643" xr:uid="{8F44A317-4B22-4D8E-85F1-A365F69E7900}"/>
    <cellStyle name="Vírgula 4 2 3 2 2 3 2" xfId="3303" xr:uid="{F4F67D9B-E58C-4084-9D5F-2B27B847E372}"/>
    <cellStyle name="Vírgula 4 2 3 2 2 3 2 2" xfId="52258" xr:uid="{E972D932-39F6-4039-841A-234A62684B97}"/>
    <cellStyle name="Vírgula 4 2 3 2 2 3 2 3" xfId="55552" xr:uid="{D28A9252-CB9C-426B-B576-239253354BED}"/>
    <cellStyle name="Vírgula 4 2 3 2 2 3 2 4" xfId="36925" xr:uid="{4A869882-84BE-4153-B58A-132BF2FBD890}"/>
    <cellStyle name="Vírgula 4 2 3 2 2 3 3" xfId="48956" xr:uid="{B8650CCE-2889-4E4D-9C05-3576D178AC6B}"/>
    <cellStyle name="Vírgula 4 2 3 2 2 3 3 2" xfId="57514" xr:uid="{67E2CE86-C210-494F-8096-BC6A60B1ABA7}"/>
    <cellStyle name="Vírgula 4 2 3 2 2 3 4" xfId="50626" xr:uid="{7FE9C4FA-961A-4698-A97F-77EA2B758A5D}"/>
    <cellStyle name="Vírgula 4 2 3 2 2 3 5" xfId="53921" xr:uid="{00767093-87A9-4828-94C4-54936C5BA156}"/>
    <cellStyle name="Vírgula 4 2 3 2 2 3 6" xfId="16585" xr:uid="{E910FEA5-F897-49B3-BE16-EDC7945B4471}"/>
    <cellStyle name="Vírgula 4 2 3 2 2 4" xfId="830" xr:uid="{06CFA6AF-E48A-46E4-A7B3-B4C12C4F2A05}"/>
    <cellStyle name="Vírgula 4 2 3 2 2 4 2" xfId="2546" xr:uid="{596E9936-9A38-48C4-B862-57D957927636}"/>
    <cellStyle name="Vírgula 4 2 3 2 2 4 2 2" xfId="52259" xr:uid="{9FF86AB4-05AD-4DC3-8593-6D3AD4473675}"/>
    <cellStyle name="Vírgula 4 2 3 2 2 4 2 3" xfId="55553" xr:uid="{6A72C26F-7CC1-4DB1-A84F-806EA31674B2}"/>
    <cellStyle name="Vírgula 4 2 3 2 2 4 2 4" xfId="40426" xr:uid="{5A622B5E-EC08-45E4-8340-2A0CEE6D626D}"/>
    <cellStyle name="Vírgula 4 2 3 2 2 4 3" xfId="48957" xr:uid="{436184D3-F4A0-48F2-BF4D-CD3BE0E71704}"/>
    <cellStyle name="Vírgula 4 2 3 2 2 4 3 2" xfId="56701" xr:uid="{41054B18-2A1B-49B0-9E35-440296822EA9}"/>
    <cellStyle name="Vírgula 4 2 3 2 2 4 4" xfId="50627" xr:uid="{E1D8E086-4E74-43CE-B595-91029953DB42}"/>
    <cellStyle name="Vírgula 4 2 3 2 2 4 5" xfId="53922" xr:uid="{DFBD56BA-866E-465C-82E1-FCB2FD0061C2}"/>
    <cellStyle name="Vírgula 4 2 3 2 2 4 6" xfId="20087" xr:uid="{088E083B-6F72-4966-9798-63171D6CFDF1}"/>
    <cellStyle name="Vírgula 4 2 3 2 2 5" xfId="3684" xr:uid="{438BFFAE-C4E2-473B-A4BA-17ECF64D28C3}"/>
    <cellStyle name="Vírgula 4 2 3 2 2 5 2" xfId="43677" xr:uid="{F3979415-F92C-48D7-841A-5B50D9E71609}"/>
    <cellStyle name="Vírgula 4 2 3 2 2 5 3" xfId="52256" xr:uid="{AD1F3A28-D285-4EDE-AA74-69B7852E9EA1}"/>
    <cellStyle name="Vírgula 4 2 3 2 2 5 4" xfId="55550" xr:uid="{7A652C28-0780-4427-99A1-5B9CCDA7CD5A}"/>
    <cellStyle name="Vírgula 4 2 3 2 2 5 5" xfId="23342" xr:uid="{B5232982-2D2F-44B2-80B6-7600F899F513}"/>
    <cellStyle name="Vírgula 4 2 3 2 2 6" xfId="2033" xr:uid="{217E51BF-4842-4988-860F-8E5D66EE4AD6}"/>
    <cellStyle name="Vírgula 4 2 3 2 2 6 2" xfId="34017" xr:uid="{E1442440-1089-4D78-9FF7-A71F94378A3C}"/>
    <cellStyle name="Vírgula 4 2 3 2 2 6 3" xfId="56292" xr:uid="{1942119F-4164-452F-B259-385B04AD9089}"/>
    <cellStyle name="Vírgula 4 2 3 2 2 6 4" xfId="13676" xr:uid="{EA38718B-3F56-44FB-A4DA-7A617C02B61A}"/>
    <cellStyle name="Vírgula 4 2 3 2 2 7" xfId="9798" xr:uid="{082D8426-097B-40E9-BC52-8E74C7F08AAE}"/>
    <cellStyle name="Vírgula 4 2 3 2 2 7 2" xfId="30141" xr:uid="{1A5A9D24-BE12-4D07-84A9-3CF07C9B8677}"/>
    <cellStyle name="Vírgula 4 2 3 2 2 8" xfId="26647" xr:uid="{13328865-A6D7-4CF5-B7AE-7120B296E7CD}"/>
    <cellStyle name="Vírgula 4 2 3 2 2 9" xfId="46247" xr:uid="{A1D6C374-4DDE-41D8-950A-AE90D7951044}"/>
    <cellStyle name="Vírgula 4 2 3 2 20" xfId="50623" xr:uid="{458D02B8-0D40-4D52-9AAE-18F980554FCD}"/>
    <cellStyle name="Vírgula 4 2 3 2 21" xfId="53918" xr:uid="{FE3A2E7C-E626-4470-AE5C-C44E827EF3B8}"/>
    <cellStyle name="Vírgula 4 2 3 2 22" xfId="5726" xr:uid="{934A9FFD-6570-477E-B77D-C6E98E7CAEE1}"/>
    <cellStyle name="Vírgula 4 2 3 2 23" xfId="4513" xr:uid="{EB937BBC-99E7-4A81-8E7D-753BEB26A8F0}"/>
    <cellStyle name="Vírgula 4 2 3 2 3" xfId="1048" xr:uid="{1EB1A0AF-FC4E-43E2-9ECB-C858F5876D0E}"/>
    <cellStyle name="Vírgula 4 2 3 2 3 10" xfId="53923" xr:uid="{AB463089-B58A-44EA-92F8-F8E4D6B18544}"/>
    <cellStyle name="Vírgula 4 2 3 2 3 11" xfId="6876" xr:uid="{BB4F8CCD-0109-40AB-A1F7-9ABA645B83B5}"/>
    <cellStyle name="Vírgula 4 2 3 2 3 12" xfId="5122" xr:uid="{B1D59AFE-6796-4C46-BC32-05CC1096321F}"/>
    <cellStyle name="Vírgula 4 2 3 2 3 2" xfId="3575" xr:uid="{1B03B614-C15F-4E18-8FA9-620FB28292FA}"/>
    <cellStyle name="Vírgula 4 2 3 2 3 2 2" xfId="37502" xr:uid="{EF2E6F6F-5DA2-4A2B-845E-4BDA3345EADA}"/>
    <cellStyle name="Vírgula 4 2 3 2 3 2 3" xfId="52260" xr:uid="{10B67E70-BFB7-457C-8885-161B3789AE37}"/>
    <cellStyle name="Vírgula 4 2 3 2 3 2 4" xfId="55554" xr:uid="{B6017D72-18CD-4B2A-AA0D-EE5163EC2FE9}"/>
    <cellStyle name="Vírgula 4 2 3 2 3 2 5" xfId="17162" xr:uid="{3408E22E-B41B-4312-82F2-1C94EE18EADA}"/>
    <cellStyle name="Vírgula 4 2 3 2 3 3" xfId="1924" xr:uid="{8A7EAB09-E3BF-4E17-8BBB-4AFE7A082EB7}"/>
    <cellStyle name="Vírgula 4 2 3 2 3 3 2" xfId="41003" xr:uid="{937DCBB4-C956-4F8A-BFAF-31FF15EC704F}"/>
    <cellStyle name="Vírgula 4 2 3 2 3 3 3" xfId="56919" xr:uid="{F946FE55-AABF-4DBC-BE09-5BBB6A31E94A}"/>
    <cellStyle name="Vírgula 4 2 3 2 3 3 4" xfId="20664" xr:uid="{0BD4498F-3A5E-461E-91C9-89A6CD23E02D}"/>
    <cellStyle name="Vírgula 4 2 3 2 3 4" xfId="23919" xr:uid="{03DF694D-CD4F-4B03-AF12-68CBF719D517}"/>
    <cellStyle name="Vírgula 4 2 3 2 3 4 2" xfId="44254" xr:uid="{476F16A6-A52D-44AC-A6C1-5F8A911F8193}"/>
    <cellStyle name="Vírgula 4 2 3 2 3 5" xfId="14253" xr:uid="{D32F3107-ECD8-4875-BA73-CB16C5DFE040}"/>
    <cellStyle name="Vírgula 4 2 3 2 3 5 2" xfId="34594" xr:uid="{01B2B9DF-9AAF-4201-9572-02A9BFBE3EC5}"/>
    <cellStyle name="Vírgula 4 2 3 2 3 6" xfId="10375" xr:uid="{DBA86F25-E2E6-413C-A4B3-60E0410410AB}"/>
    <cellStyle name="Vírgula 4 2 3 2 3 6 2" xfId="30718" xr:uid="{D95AFB06-6FD3-4637-AE01-19A442401EB2}"/>
    <cellStyle name="Vírgula 4 2 3 2 3 7" xfId="27224" xr:uid="{D534C2A1-48D9-4B54-8A94-05510D3BE010}"/>
    <cellStyle name="Vírgula 4 2 3 2 3 8" xfId="48958" xr:uid="{0C06789B-80A1-4456-97D5-393C75FCDB70}"/>
    <cellStyle name="Vírgula 4 2 3 2 3 9" xfId="50628" xr:uid="{1971BB58-11BD-4407-BDFF-73138343934D}"/>
    <cellStyle name="Vírgula 4 2 3 2 4" xfId="1454" xr:uid="{75951253-9F7D-4407-BD43-5ACE81566781}"/>
    <cellStyle name="Vírgula 4 2 3 2 4 10" xfId="53924" xr:uid="{80249FB6-A33E-411B-8A78-949DDA76BA40}"/>
    <cellStyle name="Vírgula 4 2 3 2 4 11" xfId="8040" xr:uid="{C6CFE9A7-C602-419F-86CE-6824F488C3FB}"/>
    <cellStyle name="Vírgula 4 2 3 2 4 2" xfId="3793" xr:uid="{69BDBEBF-434E-42A0-803A-6D046E4B0ADE}"/>
    <cellStyle name="Vírgula 4 2 3 2 4 2 2" xfId="38665" xr:uid="{B0586787-CD4F-47F2-8140-B1F29DBB66BC}"/>
    <cellStyle name="Vírgula 4 2 3 2 4 2 3" xfId="52261" xr:uid="{553FDD81-22B2-4433-8BDD-BC0AB083F487}"/>
    <cellStyle name="Vírgula 4 2 3 2 4 2 4" xfId="55555" xr:uid="{F623255B-A4F3-4EFB-83C9-542177F51AD7}"/>
    <cellStyle name="Vírgula 4 2 3 2 4 2 5" xfId="18325" xr:uid="{1AE5B695-2A10-4465-8BE0-836F8110913D}"/>
    <cellStyle name="Vírgula 4 2 3 2 4 3" xfId="3115" xr:uid="{BCF64B79-050E-4C9E-AC20-0E565F0BC554}"/>
    <cellStyle name="Vírgula 4 2 3 2 4 3 2" xfId="42166" xr:uid="{6310DE3C-3401-4E58-A104-C27D1ED5DC05}"/>
    <cellStyle name="Vírgula 4 2 3 2 4 3 3" xfId="57325" xr:uid="{22E02C7B-542C-42AE-B31C-91AE9C5601C8}"/>
    <cellStyle name="Vírgula 4 2 3 2 4 3 4" xfId="21827" xr:uid="{10413292-104D-4457-8063-D51D326A2147}"/>
    <cellStyle name="Vírgula 4 2 3 2 4 4" xfId="25082" xr:uid="{B65137C9-CCC9-4BBE-A5E6-7957B3EA2471}"/>
    <cellStyle name="Vírgula 4 2 3 2 4 4 2" xfId="45417" xr:uid="{ADAD7216-21D4-40A6-B217-E4D4B864E2B3}"/>
    <cellStyle name="Vírgula 4 2 3 2 4 5" xfId="15417" xr:uid="{B0F3102C-14C6-4993-833C-8A560A273F05}"/>
    <cellStyle name="Vírgula 4 2 3 2 4 5 2" xfId="35757" xr:uid="{448A5289-6285-4B34-B89C-E09AD7E0B94B}"/>
    <cellStyle name="Vírgula 4 2 3 2 4 6" xfId="11538" xr:uid="{74FCF0D8-D78B-40BF-BA76-E0CF144B69AE}"/>
    <cellStyle name="Vírgula 4 2 3 2 4 6 2" xfId="31881" xr:uid="{165396AD-4793-4EB7-BE98-EB16D36F03E7}"/>
    <cellStyle name="Vírgula 4 2 3 2 4 7" xfId="28387" xr:uid="{B46C98A8-4D00-44CF-BF60-AF43A7EA4E5F}"/>
    <cellStyle name="Vírgula 4 2 3 2 4 8" xfId="48959" xr:uid="{B89251E4-E805-488E-969F-74A7F30FB961}"/>
    <cellStyle name="Vírgula 4 2 3 2 4 9" xfId="50629" xr:uid="{923CDDEA-4B85-45FF-B6F2-001A72D1995B}"/>
    <cellStyle name="Vírgula 4 2 3 2 5" xfId="641" xr:uid="{C3473E22-E0BB-4F22-A61F-A44FB2BE9AD3}"/>
    <cellStyle name="Vírgula 4 2 3 2 5 10" xfId="8287" xr:uid="{9F6D8766-9AA1-4678-A250-38F70AA4848D}"/>
    <cellStyle name="Vírgula 4 2 3 2 5 2" xfId="2357" xr:uid="{C063B51F-C7B1-4F36-A0E2-40E1942EB3EF}"/>
    <cellStyle name="Vírgula 4 2 3 2 5 2 2" xfId="42410" xr:uid="{35E082B1-4403-4B32-8823-C0544F7EDBDD}"/>
    <cellStyle name="Vírgula 4 2 3 2 5 2 3" xfId="52262" xr:uid="{6C2BA3A1-8200-4D74-BB5D-413B7A89F12E}"/>
    <cellStyle name="Vírgula 4 2 3 2 5 2 4" xfId="55556" xr:uid="{F0424DD2-B260-44B8-849C-C28EBBFDE7E8}"/>
    <cellStyle name="Vírgula 4 2 3 2 5 2 5" xfId="22074" xr:uid="{9969F757-2AAB-475F-9CA9-103FCDF6595F}"/>
    <cellStyle name="Vírgula 4 2 3 2 5 3" xfId="25326" xr:uid="{621888AB-3FE7-4A34-9869-079C33D5F64B}"/>
    <cellStyle name="Vírgula 4 2 3 2 5 3 2" xfId="45661" xr:uid="{37EEEEE1-20B2-4B0F-A10B-4805D660D4B4}"/>
    <cellStyle name="Vírgula 4 2 3 2 5 3 3" xfId="56512" xr:uid="{821AAD51-4821-4356-B5D5-AE877AE62CCC}"/>
    <cellStyle name="Vírgula 4 2 3 2 5 4" xfId="13107" xr:uid="{31C153C0-3BF8-4D0F-B52F-6CFF0D509636}"/>
    <cellStyle name="Vírgula 4 2 3 2 5 4 2" xfId="33448" xr:uid="{7E9902C1-4459-4864-BEEE-670937B124BB}"/>
    <cellStyle name="Vírgula 4 2 3 2 5 5" xfId="11783" xr:uid="{83BEBF32-63BE-46B9-93C3-553E964C49C3}"/>
    <cellStyle name="Vírgula 4 2 3 2 5 5 2" xfId="32125" xr:uid="{A2725C51-4892-46BA-945B-CEF14C1DD285}"/>
    <cellStyle name="Vírgula 4 2 3 2 5 6" xfId="28631" xr:uid="{94603405-7804-436E-91DC-115587715D89}"/>
    <cellStyle name="Vírgula 4 2 3 2 5 7" xfId="48960" xr:uid="{E0E4EB82-C6CA-47DC-B794-8FB817588198}"/>
    <cellStyle name="Vírgula 4 2 3 2 5 8" xfId="50630" xr:uid="{7DDAF577-AC2C-4BB8-B8FA-E9882E087B06}"/>
    <cellStyle name="Vírgula 4 2 3 2 5 9" xfId="53925" xr:uid="{50A4CD94-9600-41A1-BA88-15D6C8345C3C}"/>
    <cellStyle name="Vírgula 4 2 3 2 6" xfId="3465" xr:uid="{009DFB4C-EBF1-47AC-AFC8-221A75AE3CF9}"/>
    <cellStyle name="Vírgula 4 2 3 2 6 2" xfId="16004" xr:uid="{1A7FF0E3-62BF-40AE-8C4E-9759A475F4DB}"/>
    <cellStyle name="Vírgula 4 2 3 2 6 2 2" xfId="36344" xr:uid="{E90D4BBC-EA99-4FD1-B741-8566F2FB52AC}"/>
    <cellStyle name="Vírgula 4 2 3 2 6 3" xfId="28972" xr:uid="{B6769F4C-A0A8-446B-8F87-AE949D0DD8DD}"/>
    <cellStyle name="Vírgula 4 2 3 2 6 4" xfId="52255" xr:uid="{14E33784-AF9C-429C-B759-060F4FEBC52C}"/>
    <cellStyle name="Vírgula 4 2 3 2 6 5" xfId="55549" xr:uid="{6B6D53E0-BDB8-4B97-9496-7514BAF68433}"/>
    <cellStyle name="Vírgula 4 2 3 2 6 6" xfId="8629" xr:uid="{FFAD4463-EE47-48F1-BD94-8AC6C6EE26FC}"/>
    <cellStyle name="Vírgula 4 2 3 2 7" xfId="4060" xr:uid="{8DE36C55-59D4-45EA-B8A1-44CDC9D80134}"/>
    <cellStyle name="Vírgula 4 2 3 2 7 2" xfId="39258" xr:uid="{C3331217-47A9-417D-86E2-2F66A5D84FF7}"/>
    <cellStyle name="Vírgula 4 2 3 2 7 3" xfId="56103" xr:uid="{23E1FDBB-5778-4B8B-A9E7-6DADBBBA85E8}"/>
    <cellStyle name="Vírgula 4 2 3 2 7 4" xfId="18918" xr:uid="{3558128F-DEC5-4E56-9299-9E25A0489912}"/>
    <cellStyle name="Vírgula 4 2 3 2 8" xfId="1814" xr:uid="{3F4A2786-0502-420B-B120-1370C754610F}"/>
    <cellStyle name="Vírgula 4 2 3 2 8 2" xfId="39845" xr:uid="{8490818F-C800-4838-A322-EB4D53D51407}"/>
    <cellStyle name="Vírgula 4 2 3 2 8 3" xfId="19506" xr:uid="{10959712-54D1-41BE-87DF-FEB9857FCAE4}"/>
    <cellStyle name="Vírgula 4 2 3 2 9" xfId="22761" xr:uid="{E7171FA7-181C-4474-98BF-40CD004B2858}"/>
    <cellStyle name="Vírgula 4 2 3 2 9 2" xfId="43096" xr:uid="{4AD115D6-4A9D-4A99-A5C3-C6EDF44E601F}"/>
    <cellStyle name="Vírgula 4 2 3 20" xfId="48952" xr:uid="{6F10179F-77AD-4A3B-B6AE-F1B58862FEA2}"/>
    <cellStyle name="Vírgula 4 2 3 21" xfId="50622" xr:uid="{FA786DB6-59DB-4CB4-A517-DC57812035EF}"/>
    <cellStyle name="Vírgula 4 2 3 22" xfId="53917" xr:uid="{B5F7A021-7459-4409-95E6-3B5A177A37AE}"/>
    <cellStyle name="Vírgula 4 2 3 23" xfId="5356" xr:uid="{76D4A4A9-D38A-41B5-AAAA-D7DA58CF641F}"/>
    <cellStyle name="Vírgula 4 2 3 24" xfId="4434" xr:uid="{D3ECE46F-CDDB-47AA-B1C3-878F7B055539}"/>
    <cellStyle name="Vírgula 4 2 3 3" xfId="284" xr:uid="{02D66C0C-AEA7-4DE0-B75E-FCB5D310EC38}"/>
    <cellStyle name="Vírgula 4 2 3 3 10" xfId="46131" xr:uid="{11F4ECE5-6CEB-4E53-92F0-0700B59DF9AB}"/>
    <cellStyle name="Vírgula 4 2 3 3 11" xfId="46617" xr:uid="{0321BDC1-C379-4B42-9F6E-371AF88A2658}"/>
    <cellStyle name="Vírgula 4 2 3 3 12" xfId="47109" xr:uid="{5B6EC551-581F-4316-80E1-C89F227B3759}"/>
    <cellStyle name="Vírgula 4 2 3 3 13" xfId="48961" xr:uid="{C34E7623-C04D-42AC-93A0-17522A3E5624}"/>
    <cellStyle name="Vírgula 4 2 3 3 14" xfId="50631" xr:uid="{B060031D-EB2C-42CB-BBBB-6D8E8483E85D}"/>
    <cellStyle name="Vírgula 4 2 3 3 15" xfId="53926" xr:uid="{2007D0C3-D128-4D44-8287-A075F8B47DF7}"/>
    <cellStyle name="Vírgula 4 2 3 3 16" xfId="5912" xr:uid="{89B8C976-2BF7-4352-941E-42914A9E5CFE}"/>
    <cellStyle name="Vírgula 4 2 3 3 17" xfId="4565" xr:uid="{3263E634-641F-49D4-BAEC-ED4B8B93F9FE}"/>
    <cellStyle name="Vírgula 4 2 3 3 2" xfId="473" xr:uid="{47E36E63-DDCB-417A-A807-0F3C5B75E44C}"/>
    <cellStyle name="Vírgula 4 2 3 3 2 10" xfId="53927" xr:uid="{EA84398C-645B-4CB7-A62A-8658FDFE0E90}"/>
    <cellStyle name="Vírgula 4 2 3 3 2 11" xfId="7070" xr:uid="{AD5CBF47-C251-49CD-BB11-CFB31015857F}"/>
    <cellStyle name="Vírgula 4 2 3 3 2 12" xfId="4754" xr:uid="{1BE5CB4A-9C28-4481-A462-1ADF3C78E7A3}"/>
    <cellStyle name="Vírgula 4 2 3 3 2 2" xfId="1289" xr:uid="{E41057DA-D3CE-408A-9B8A-1387BFA8D491}"/>
    <cellStyle name="Vírgula 4 2 3 3 2 2 2" xfId="2950" xr:uid="{CA08D270-0BAD-4F0C-88D6-4E94D75D786A}"/>
    <cellStyle name="Vírgula 4 2 3 3 2 2 2 2" xfId="52265" xr:uid="{4D0E3632-9E6F-4644-89F1-61670634D021}"/>
    <cellStyle name="Vírgula 4 2 3 3 2 2 2 3" xfId="55559" xr:uid="{43F1A0AC-0AB4-42CB-9BFD-CF875B72752E}"/>
    <cellStyle name="Vírgula 4 2 3 3 2 2 2 4" xfId="37696" xr:uid="{1921204F-E500-440B-993C-6B1A23D06AAF}"/>
    <cellStyle name="Vírgula 4 2 3 3 2 2 3" xfId="48963" xr:uid="{D567000B-0ACC-4F1B-9970-2285F4B0AC42}"/>
    <cellStyle name="Vírgula 4 2 3 3 2 2 3 2" xfId="57160" xr:uid="{6BE94334-7B88-49C6-8D87-EB38B0DEF510}"/>
    <cellStyle name="Vírgula 4 2 3 3 2 2 4" xfId="50633" xr:uid="{8DE0482C-F64A-4045-9DBD-149067899C13}"/>
    <cellStyle name="Vírgula 4 2 3 3 2 2 5" xfId="53928" xr:uid="{CB7BDCA2-4496-4C47-AEA6-A87913425FAF}"/>
    <cellStyle name="Vírgula 4 2 3 3 2 2 6" xfId="17356" xr:uid="{D8635CFF-355D-46D7-9299-AE5C77137CD9}"/>
    <cellStyle name="Vírgula 4 2 3 3 2 3" xfId="1695" xr:uid="{F9E16B81-3D74-447F-BD1C-94A9C46065CC}"/>
    <cellStyle name="Vírgula 4 2 3 3 2 3 2" xfId="3355" xr:uid="{C1F8F192-050F-4AC4-B2F8-F77FC9735431}"/>
    <cellStyle name="Vírgula 4 2 3 3 2 3 2 2" xfId="52266" xr:uid="{10B253C1-5DCB-4770-B410-5B00F2B5147B}"/>
    <cellStyle name="Vírgula 4 2 3 3 2 3 2 3" xfId="55560" xr:uid="{88FF67FF-3451-4912-B641-F13E78DE20FB}"/>
    <cellStyle name="Vírgula 4 2 3 3 2 3 2 4" xfId="41197" xr:uid="{7A6A70A1-B469-4ADB-88A4-37E90FFD3A5C}"/>
    <cellStyle name="Vírgula 4 2 3 3 2 3 3" xfId="48964" xr:uid="{AAD0A821-70A6-4AC7-A560-2E354151CB82}"/>
    <cellStyle name="Vírgula 4 2 3 3 2 3 3 2" xfId="57566" xr:uid="{0CD2DC74-6F3C-4247-972F-EF4F02BAF9AF}"/>
    <cellStyle name="Vírgula 4 2 3 3 2 3 4" xfId="50634" xr:uid="{67CDEEA3-CCD2-4C9F-8DFD-5ADAB239FAD0}"/>
    <cellStyle name="Vírgula 4 2 3 3 2 3 5" xfId="53929" xr:uid="{862BE9CD-56E9-45F1-8B72-ED1EDBD42766}"/>
    <cellStyle name="Vírgula 4 2 3 3 2 3 6" xfId="20858" xr:uid="{BB3E8498-1737-4523-85AD-F33E27F72228}"/>
    <cellStyle name="Vírgula 4 2 3 3 2 4" xfId="882" xr:uid="{F2469143-F92A-414A-8B4D-9D0A515514CD}"/>
    <cellStyle name="Vírgula 4 2 3 3 2 4 2" xfId="2598" xr:uid="{15FC3C27-2F1B-402B-9F6E-F68965B96576}"/>
    <cellStyle name="Vírgula 4 2 3 3 2 4 2 2" xfId="52267" xr:uid="{967E55BC-039E-44E5-A65C-673D953793A8}"/>
    <cellStyle name="Vírgula 4 2 3 3 2 4 2 3" xfId="55561" xr:uid="{F8956915-607A-417E-9B15-72E8EE41C998}"/>
    <cellStyle name="Vírgula 4 2 3 3 2 4 2 4" xfId="44448" xr:uid="{BF4D5157-7FF7-4AFD-8050-3E1B5235FCBE}"/>
    <cellStyle name="Vírgula 4 2 3 3 2 4 3" xfId="48965" xr:uid="{2E2E287A-BAD8-45B6-9AFD-1F072931772B}"/>
    <cellStyle name="Vírgula 4 2 3 3 2 4 3 2" xfId="56753" xr:uid="{876A61EF-39F0-4859-B34A-42186B4A7EFB}"/>
    <cellStyle name="Vírgula 4 2 3 3 2 4 4" xfId="50635" xr:uid="{53865E67-EBEF-47DB-8BD8-C036367299EB}"/>
    <cellStyle name="Vírgula 4 2 3 3 2 4 5" xfId="53930" xr:uid="{A1B17D9E-97F0-4AF9-A783-FC49A9316C95}"/>
    <cellStyle name="Vírgula 4 2 3 3 2 4 6" xfId="24113" xr:uid="{164B3BD4-968F-435B-9CE4-CC135E047D1B}"/>
    <cellStyle name="Vírgula 4 2 3 3 2 5" xfId="2190" xr:uid="{593C9368-531A-44CB-9D89-4D35AC5B7B74}"/>
    <cellStyle name="Vírgula 4 2 3 3 2 5 2" xfId="34788" xr:uid="{DB7FC3F3-9B5D-4158-8712-0A8AA384A315}"/>
    <cellStyle name="Vírgula 4 2 3 3 2 5 3" xfId="52264" xr:uid="{F2F1C8B6-85FF-452F-8FCD-D82111BD1EE4}"/>
    <cellStyle name="Vírgula 4 2 3 3 2 5 4" xfId="55558" xr:uid="{27549907-70A4-4446-A086-E1B39A71D4A4}"/>
    <cellStyle name="Vírgula 4 2 3 3 2 5 5" xfId="14447" xr:uid="{6B1C3F6B-2923-46D6-8631-06FB73241E5F}"/>
    <cellStyle name="Vírgula 4 2 3 3 2 6" xfId="10569" xr:uid="{4565B195-E13E-4B02-91E7-5DA77DA61141}"/>
    <cellStyle name="Vírgula 4 2 3 3 2 6 2" xfId="30912" xr:uid="{2D5FD359-1B5B-4376-AFF8-0259EEEBC534}"/>
    <cellStyle name="Vírgula 4 2 3 3 2 6 3" xfId="56344" xr:uid="{35A3A8FC-D374-4D9B-8034-D8027EA50CEF}"/>
    <cellStyle name="Vírgula 4 2 3 3 2 7" xfId="27418" xr:uid="{8533147F-592C-43D1-A633-E4E1D24C3E3B}"/>
    <cellStyle name="Vírgula 4 2 3 3 2 8" xfId="48962" xr:uid="{C8E87767-1985-4C3B-BABB-61ED26564549}"/>
    <cellStyle name="Vírgula 4 2 3 3 2 9" xfId="50632" xr:uid="{DAD9B374-9364-4394-802B-BF1CF7A94E30}"/>
    <cellStyle name="Vírgula 4 2 3 3 3" xfId="1100" xr:uid="{BABC3196-4138-4E93-9031-9F7433564331}"/>
    <cellStyle name="Vírgula 4 2 3 3 3 10" xfId="8288" xr:uid="{D597420E-3B91-4C6B-970C-13E649A5FFF9}"/>
    <cellStyle name="Vírgula 4 2 3 3 3 11" xfId="5015" xr:uid="{F6167AA7-9FA6-4669-99E5-2BABFFA71D1C}"/>
    <cellStyle name="Vírgula 4 2 3 3 3 2" xfId="2763" xr:uid="{EB507EC4-499D-4F00-AE4E-C860668E11D4}"/>
    <cellStyle name="Vírgula 4 2 3 3 3 2 2" xfId="42411" xr:uid="{C28FCA3D-E890-4EC0-B8C1-584AD436E9D0}"/>
    <cellStyle name="Vírgula 4 2 3 3 3 2 3" xfId="52268" xr:uid="{4485A0DC-0F2C-433D-B2DF-9784C32E0BC4}"/>
    <cellStyle name="Vírgula 4 2 3 3 3 2 4" xfId="55562" xr:uid="{A66CC983-6F04-4460-87F3-6296663553B0}"/>
    <cellStyle name="Vírgula 4 2 3 3 3 2 5" xfId="22075" xr:uid="{9CE5E053-CA0D-498B-B8EF-AF3699A99DF4}"/>
    <cellStyle name="Vírgula 4 2 3 3 3 3" xfId="25327" xr:uid="{C04C39AC-7089-4115-BFBA-C67E8178BDFF}"/>
    <cellStyle name="Vírgula 4 2 3 3 3 3 2" xfId="45662" xr:uid="{C5924AAD-4932-45B3-879C-09A96BA4A598}"/>
    <cellStyle name="Vírgula 4 2 3 3 3 3 3" xfId="56971" xr:uid="{16565FA3-AF19-46C1-8BE9-1698B14F49EF}"/>
    <cellStyle name="Vírgula 4 2 3 3 3 4" xfId="13291" xr:uid="{5FAD8D6E-F971-4CC6-B33B-D1C6953D2E42}"/>
    <cellStyle name="Vírgula 4 2 3 3 3 4 2" xfId="33632" xr:uid="{E4E78C0A-5A4A-4C5C-90FC-03455BAA04D3}"/>
    <cellStyle name="Vírgula 4 2 3 3 3 5" xfId="11784" xr:uid="{289E5ABF-BE14-492E-8059-C6521BBCA5EA}"/>
    <cellStyle name="Vírgula 4 2 3 3 3 5 2" xfId="32126" xr:uid="{E3C7963F-DA75-4B3C-95A1-AEB4659B9795}"/>
    <cellStyle name="Vírgula 4 2 3 3 3 6" xfId="28632" xr:uid="{C0696B5F-0743-4E19-9F62-01B468BEA3A3}"/>
    <cellStyle name="Vírgula 4 2 3 3 3 7" xfId="48966" xr:uid="{93EFE76F-AE63-42E0-8F0A-C43649116175}"/>
    <cellStyle name="Vírgula 4 2 3 3 3 8" xfId="50636" xr:uid="{6A5FAD50-E60E-4626-8416-6CEE13CC855E}"/>
    <cellStyle name="Vírgula 4 2 3 3 3 9" xfId="53931" xr:uid="{B45B2090-16F6-45EE-A7E9-960ABA46A9C9}"/>
    <cellStyle name="Vírgula 4 2 3 3 4" xfId="1506" xr:uid="{D873AA34-D2B5-44C9-BA33-0C3E14745614}"/>
    <cellStyle name="Vírgula 4 2 3 3 4 2" xfId="3167" xr:uid="{9724C243-2F3F-426A-9526-465DEBCA7156}"/>
    <cellStyle name="Vírgula 4 2 3 3 4 2 2" xfId="52269" xr:uid="{20F3350E-FDC2-4579-98C8-298DECD25CCF}"/>
    <cellStyle name="Vírgula 4 2 3 3 4 2 3" xfId="55563" xr:uid="{81F29890-278C-45BB-BC7E-59F68261938E}"/>
    <cellStyle name="Vírgula 4 2 3 3 4 2 4" xfId="36538" xr:uid="{66FBD544-65FA-4C38-A246-507D9F131182}"/>
    <cellStyle name="Vírgula 4 2 3 3 4 3" xfId="48967" xr:uid="{73CF8131-4A31-41EC-A589-1BB62E8A8F9B}"/>
    <cellStyle name="Vírgula 4 2 3 3 4 3 2" xfId="57377" xr:uid="{88B3D7D1-7C75-4A16-9AC7-BDA79D8E0586}"/>
    <cellStyle name="Vírgula 4 2 3 3 4 4" xfId="50637" xr:uid="{49FDDD09-9B53-4554-B248-24089F91AAC2}"/>
    <cellStyle name="Vírgula 4 2 3 3 4 5" xfId="53932" xr:uid="{2300FD4A-EB3E-480B-BE3E-BE02D9079C9D}"/>
    <cellStyle name="Vírgula 4 2 3 3 4 6" xfId="16198" xr:uid="{6D0EE939-5063-43E1-A2D0-1B75497F5AB4}"/>
    <cellStyle name="Vírgula 4 2 3 3 5" xfId="693" xr:uid="{FF1571B0-D76F-4878-BFF7-6BD73C606B7B}"/>
    <cellStyle name="Vírgula 4 2 3 3 5 2" xfId="2409" xr:uid="{464C184A-9FF2-47FE-8231-C92BD6BD6079}"/>
    <cellStyle name="Vírgula 4 2 3 3 5 2 2" xfId="52270" xr:uid="{BB00A8A9-1A28-4B19-BC64-C65204335BC9}"/>
    <cellStyle name="Vírgula 4 2 3 3 5 2 3" xfId="55564" xr:uid="{DCE7BC3B-B5C7-4EB9-951B-07A0D88373D5}"/>
    <cellStyle name="Vírgula 4 2 3 3 5 2 4" xfId="40039" xr:uid="{960CC80C-6214-49DC-9803-FB34E8206BDA}"/>
    <cellStyle name="Vírgula 4 2 3 3 5 3" xfId="48968" xr:uid="{3226B927-5CE3-4838-BD90-175194990A12}"/>
    <cellStyle name="Vírgula 4 2 3 3 5 3 2" xfId="56564" xr:uid="{CB57092A-1249-4C37-86C3-A35F8441D61A}"/>
    <cellStyle name="Vírgula 4 2 3 3 5 4" xfId="50638" xr:uid="{1F0F1894-0837-4C9A-BA51-EF57DFBF26A0}"/>
    <cellStyle name="Vírgula 4 2 3 3 5 5" xfId="53933" xr:uid="{ED736429-E483-44A2-9122-BF339B423218}"/>
    <cellStyle name="Vírgula 4 2 3 3 5 6" xfId="19700" xr:uid="{263DDB5F-0B29-4396-BDFD-7E89E2A9C61B}"/>
    <cellStyle name="Vírgula 4 2 3 3 6" xfId="3629" xr:uid="{2F287C1C-82FE-4CDF-B349-AF0D5841D40D}"/>
    <cellStyle name="Vírgula 4 2 3 3 6 2" xfId="43290" xr:uid="{D0AD6E3C-216D-42F1-9963-54CF9EAC8989}"/>
    <cellStyle name="Vírgula 4 2 3 3 6 3" xfId="52263" xr:uid="{BD290667-279F-428D-A03F-4EC4422F1C5A}"/>
    <cellStyle name="Vírgula 4 2 3 3 6 4" xfId="55557" xr:uid="{70DE0387-D527-4116-84E0-26B2DC33EDBD}"/>
    <cellStyle name="Vírgula 4 2 3 3 6 5" xfId="22955" xr:uid="{299B1165-1C97-4976-8854-AACA675BCF2E}"/>
    <cellStyle name="Vírgula 4 2 3 3 7" xfId="4232" xr:uid="{84E905E0-449E-4E2A-971C-05F644F74D31}"/>
    <cellStyle name="Vírgula 4 2 3 3 7 2" xfId="32904" xr:uid="{F15226E6-63B0-47D1-B48F-A4E762CB03CC}"/>
    <cellStyle name="Vírgula 4 2 3 3 7 3" xfId="56155" xr:uid="{3FC67B16-C8B5-4F6D-81BE-CEFB77715A05}"/>
    <cellStyle name="Vírgula 4 2 3 3 7 4" xfId="12563" xr:uid="{643BBEA2-16E5-4137-8AF9-34D62660D4B8}"/>
    <cellStyle name="Vírgula 4 2 3 3 8" xfId="1978" xr:uid="{51959D9D-7620-4757-ACD5-2219878D2C0B}"/>
    <cellStyle name="Vírgula 4 2 3 3 8 2" xfId="29754" xr:uid="{06163CEB-3477-41DD-B3CC-B0973EDDA835}"/>
    <cellStyle name="Vírgula 4 2 3 3 8 3" xfId="9411" xr:uid="{D0E99F04-C203-4D7C-A5CF-81065F4BF8D9}"/>
    <cellStyle name="Vírgula 4 2 3 3 9" xfId="26260" xr:uid="{26DE7B05-4745-4C9C-9F96-C41C1625319D}"/>
    <cellStyle name="Vírgula 4 2 3 4" xfId="342" xr:uid="{5C8E4C4B-FCC5-49E1-8741-2AD05CEC2A7F}"/>
    <cellStyle name="Vírgula 4 2 3 4 10" xfId="53934" xr:uid="{1F5E6775-0FD1-4864-991B-07499515EBA7}"/>
    <cellStyle name="Vírgula 4 2 3 4 11" xfId="6489" xr:uid="{7724C2C3-0279-4A01-B46E-D7D360E93FBA}"/>
    <cellStyle name="Vírgula 4 2 3 4 12" xfId="4623" xr:uid="{6A9F22C2-7C30-4AA1-A6C9-281FE5B6C595}"/>
    <cellStyle name="Vírgula 4 2 3 4 2" xfId="1158" xr:uid="{F6B47339-43B1-4E25-BD2F-69A0A3CBA8CF}"/>
    <cellStyle name="Vírgula 4 2 3 4 2 2" xfId="2819" xr:uid="{B71BCF86-0352-46CE-950A-9BBDE50AB2A9}"/>
    <cellStyle name="Vírgula 4 2 3 4 2 2 2" xfId="52272" xr:uid="{4998C6C6-F5DD-4861-8D82-E8F30A88C49E}"/>
    <cellStyle name="Vírgula 4 2 3 4 2 2 3" xfId="55566" xr:uid="{B22AA146-B287-429D-B393-F3309D94D820}"/>
    <cellStyle name="Vírgula 4 2 3 4 2 2 4" xfId="37115" xr:uid="{07A74CD3-A5C9-47E9-A307-6E17AC3CD640}"/>
    <cellStyle name="Vírgula 4 2 3 4 2 3" xfId="48970" xr:uid="{6DAA3BFA-12AD-46CC-A28E-5313D53A30CB}"/>
    <cellStyle name="Vírgula 4 2 3 4 2 3 2" xfId="57029" xr:uid="{92A7C902-71E1-4CF6-B276-62685714155A}"/>
    <cellStyle name="Vírgula 4 2 3 4 2 4" xfId="50640" xr:uid="{408AE85B-C07F-4325-884D-8CB186B2CECE}"/>
    <cellStyle name="Vírgula 4 2 3 4 2 5" xfId="53935" xr:uid="{142534E4-66CE-4116-B7A2-B3B3328DD4C0}"/>
    <cellStyle name="Vírgula 4 2 3 4 2 6" xfId="16775" xr:uid="{45C92CDB-2FB8-45B4-8C45-8E1C22347A1D}"/>
    <cellStyle name="Vírgula 4 2 3 4 3" xfId="1564" xr:uid="{67AC8834-C102-4F06-9D11-E0CC91247BF2}"/>
    <cellStyle name="Vírgula 4 2 3 4 3 2" xfId="3224" xr:uid="{F258684B-3F40-4145-B5E2-1FAF6C267F68}"/>
    <cellStyle name="Vírgula 4 2 3 4 3 2 2" xfId="52273" xr:uid="{42835AA0-0740-4E77-ADEB-51F743478F23}"/>
    <cellStyle name="Vírgula 4 2 3 4 3 2 3" xfId="55567" xr:uid="{9A951DFB-2B88-41F2-9FFF-AADF05219ED6}"/>
    <cellStyle name="Vírgula 4 2 3 4 3 2 4" xfId="40616" xr:uid="{4ED3097B-6F99-4CF8-ADC0-44ED062166C8}"/>
    <cellStyle name="Vírgula 4 2 3 4 3 3" xfId="48971" xr:uid="{53C3E163-A386-42CA-8950-8370EB1AB16D}"/>
    <cellStyle name="Vírgula 4 2 3 4 3 3 2" xfId="57435" xr:uid="{88F578E5-8831-4879-BE7D-E3D9F5EA05D9}"/>
    <cellStyle name="Vírgula 4 2 3 4 3 4" xfId="50641" xr:uid="{A1D5AC03-83CA-49AD-8C89-82656FF3375A}"/>
    <cellStyle name="Vírgula 4 2 3 4 3 5" xfId="53936" xr:uid="{BA95A1A8-6B6A-4ED3-BDE0-F2E0E46B2ACD}"/>
    <cellStyle name="Vírgula 4 2 3 4 3 6" xfId="20277" xr:uid="{6EFDC694-14AC-4993-9297-94DC7A044E39}"/>
    <cellStyle name="Vírgula 4 2 3 4 4" xfId="751" xr:uid="{AED6412E-5394-4188-8CCF-79744C1F05AA}"/>
    <cellStyle name="Vírgula 4 2 3 4 4 2" xfId="2467" xr:uid="{599BC136-2130-404A-94DC-4D2277498AF9}"/>
    <cellStyle name="Vírgula 4 2 3 4 4 2 2" xfId="52274" xr:uid="{30C45F11-A245-4B8B-8E70-77905405D6F1}"/>
    <cellStyle name="Vírgula 4 2 3 4 4 2 3" xfId="55568" xr:uid="{6467E247-9828-4416-B94F-363569298950}"/>
    <cellStyle name="Vírgula 4 2 3 4 4 2 4" xfId="43867" xr:uid="{32B8E742-4E10-4F1C-BED2-B5127729C5FE}"/>
    <cellStyle name="Vírgula 4 2 3 4 4 3" xfId="48972" xr:uid="{5888E1E4-58D4-4490-B417-AF5BB6626443}"/>
    <cellStyle name="Vírgula 4 2 3 4 4 3 2" xfId="56622" xr:uid="{8967D547-A26F-46B0-AE50-1C5610E63590}"/>
    <cellStyle name="Vírgula 4 2 3 4 4 4" xfId="50642" xr:uid="{017ED11A-8E53-4714-A977-27CB8266DCC9}"/>
    <cellStyle name="Vírgula 4 2 3 4 4 5" xfId="53937" xr:uid="{A57F8003-DC7F-4673-9C54-F200511BA5D5}"/>
    <cellStyle name="Vírgula 4 2 3 4 4 6" xfId="23532" xr:uid="{7CBB47EE-E976-496D-8F58-19489C1E7C35}"/>
    <cellStyle name="Vírgula 4 2 3 4 5" xfId="3520" xr:uid="{C8B66FE8-2742-431D-9EB6-8722A404718D}"/>
    <cellStyle name="Vírgula 4 2 3 4 5 2" xfId="34207" xr:uid="{8B9C9236-E8B9-476F-A931-3AE03DE94047}"/>
    <cellStyle name="Vírgula 4 2 3 4 5 3" xfId="52271" xr:uid="{019F1F7C-079C-49EA-B431-6ABDB3A58ADC}"/>
    <cellStyle name="Vírgula 4 2 3 4 5 4" xfId="55565" xr:uid="{DF7116EA-5C0D-4FB1-A3F6-4025B966C4BF}"/>
    <cellStyle name="Vírgula 4 2 3 4 5 5" xfId="13866" xr:uid="{6F2D649F-5F6C-44ED-851C-4C395E940D49}"/>
    <cellStyle name="Vírgula 4 2 3 4 6" xfId="1869" xr:uid="{ADA4334B-B479-4C1B-B5B2-6082FE0374A4}"/>
    <cellStyle name="Vírgula 4 2 3 4 6 2" xfId="30331" xr:uid="{B52F1923-2FD3-48AC-AA5E-52663A1FB6CD}"/>
    <cellStyle name="Vírgula 4 2 3 4 6 3" xfId="56213" xr:uid="{7F0CE878-2BBC-4466-A098-42F41640B8D2}"/>
    <cellStyle name="Vírgula 4 2 3 4 6 4" xfId="9988" xr:uid="{60FC25A9-E189-40DE-BE6F-417FA9A5F053}"/>
    <cellStyle name="Vírgula 4 2 3 4 7" xfId="26837" xr:uid="{2BD9B097-A711-4CAF-AE56-B0821438DF53}"/>
    <cellStyle name="Vírgula 4 2 3 4 8" xfId="48969" xr:uid="{F5438043-90A0-406E-88B3-DCF53ED9E168}"/>
    <cellStyle name="Vírgula 4 2 3 4 9" xfId="50639" xr:uid="{7B2B5CDD-3762-417A-8B92-3000A90D5A2F}"/>
    <cellStyle name="Vírgula 4 2 3 5" xfId="969" xr:uid="{B8FDFFEC-DDEB-47EA-BF8E-96F64633FC8F}"/>
    <cellStyle name="Vírgula 4 2 3 5 10" xfId="53938" xr:uid="{70854BFB-0D47-40E0-85A5-EB6D71CDBA4C}"/>
    <cellStyle name="Vírgula 4 2 3 5 11" xfId="7653" xr:uid="{F8FBB6A8-E6BD-4A65-AC6C-C3CA67235399}"/>
    <cellStyle name="Vírgula 4 2 3 5 12" xfId="4903" xr:uid="{5BEA936C-73EB-42C0-93B6-D62BC2F90DBA}"/>
    <cellStyle name="Vírgula 4 2 3 5 2" xfId="3738" xr:uid="{BCD5C3A1-D282-409C-94B9-FBDB3388955C}"/>
    <cellStyle name="Vírgula 4 2 3 5 2 2" xfId="38278" xr:uid="{368679D0-4BC5-4A8A-9D31-475850F6D611}"/>
    <cellStyle name="Vírgula 4 2 3 5 2 3" xfId="52275" xr:uid="{4BDAE9DB-D21B-4003-815B-72B6DF81E246}"/>
    <cellStyle name="Vírgula 4 2 3 5 2 4" xfId="55569" xr:uid="{03E630EC-1F5B-4097-BCCF-A58D90AC5F0C}"/>
    <cellStyle name="Vírgula 4 2 3 5 2 5" xfId="17938" xr:uid="{8E558BEE-1EFF-4373-A5EB-21FB8FF544D8}"/>
    <cellStyle name="Vírgula 4 2 3 5 3" xfId="2684" xr:uid="{A602812F-E296-4350-8376-B0BE8CF82C29}"/>
    <cellStyle name="Vírgula 4 2 3 5 3 2" xfId="41779" xr:uid="{F7813622-201D-4209-A1C4-08B54A76D1B4}"/>
    <cellStyle name="Vírgula 4 2 3 5 3 3" xfId="56840" xr:uid="{9AFA8B02-E262-47A3-B101-3B4A55161C15}"/>
    <cellStyle name="Vírgula 4 2 3 5 3 4" xfId="21440" xr:uid="{11FA7F40-4E21-4134-A454-382C64D3FBEB}"/>
    <cellStyle name="Vírgula 4 2 3 5 4" xfId="24695" xr:uid="{818E126D-A9E6-40D9-B27B-054C7F9A5A79}"/>
    <cellStyle name="Vírgula 4 2 3 5 4 2" xfId="45030" xr:uid="{5046A670-E724-4128-A222-829327520597}"/>
    <cellStyle name="Vírgula 4 2 3 5 5" xfId="15030" xr:uid="{30CDD44E-55BA-4136-8517-EA4E80145041}"/>
    <cellStyle name="Vírgula 4 2 3 5 5 2" xfId="35370" xr:uid="{A0F4940B-D2B9-42D8-8BA8-6F65AA9BFA46}"/>
    <cellStyle name="Vírgula 4 2 3 5 6" xfId="11151" xr:uid="{8F4E6DC7-6865-41EB-97E5-DB4242907787}"/>
    <cellStyle name="Vírgula 4 2 3 5 6 2" xfId="31494" xr:uid="{B099F2A0-B1C1-4DC2-AA09-D34C49BD89EA}"/>
    <cellStyle name="Vírgula 4 2 3 5 7" xfId="28000" xr:uid="{C99560B8-CCD2-4267-A5F4-F673DE34397D}"/>
    <cellStyle name="Vírgula 4 2 3 5 8" xfId="48973" xr:uid="{43DE7898-4A9B-48AE-A2EF-D59E288114EF}"/>
    <cellStyle name="Vírgula 4 2 3 5 9" xfId="50643" xr:uid="{B6AA3E2E-C94A-4B94-8D94-9AE23FE51543}"/>
    <cellStyle name="Vírgula 4 2 3 6" xfId="1375" xr:uid="{E9C1B23A-DEE1-4A01-8DDD-3A593A30B5D7}"/>
    <cellStyle name="Vírgula 4 2 3 6 10" xfId="8286" xr:uid="{8237A7C2-02F8-4E99-9936-DA8CAA965E7E}"/>
    <cellStyle name="Vírgula 4 2 3 6 2" xfId="3036" xr:uid="{52B22522-5125-4B1C-9B51-DE9B272A9314}"/>
    <cellStyle name="Vírgula 4 2 3 6 2 2" xfId="42409" xr:uid="{E3A79CD8-9E4F-43E4-844B-007F23E1F9C7}"/>
    <cellStyle name="Vírgula 4 2 3 6 2 3" xfId="52276" xr:uid="{258B9482-F42C-47F4-B53E-4BAD58463F26}"/>
    <cellStyle name="Vírgula 4 2 3 6 2 4" xfId="55570" xr:uid="{8DB76E1E-470C-4DE7-978F-A8B90252D103}"/>
    <cellStyle name="Vírgula 4 2 3 6 2 5" xfId="22073" xr:uid="{29383FE9-4B22-4C51-BA11-B14948DD9E3C}"/>
    <cellStyle name="Vírgula 4 2 3 6 3" xfId="25325" xr:uid="{6B5C81ED-2F1E-47B3-B8C5-60EEEE1817DF}"/>
    <cellStyle name="Vírgula 4 2 3 6 3 2" xfId="45660" xr:uid="{91426AD7-B7C4-4155-B0EA-AEBCBEBA492E}"/>
    <cellStyle name="Vírgula 4 2 3 6 3 3" xfId="57246" xr:uid="{4BD1B58C-5A77-4182-A4B7-CBD0F57B589B}"/>
    <cellStyle name="Vírgula 4 2 3 6 4" xfId="12722" xr:uid="{E1AF7D16-9F89-42E4-86AD-EF0173B8A7B3}"/>
    <cellStyle name="Vírgula 4 2 3 6 4 2" xfId="33063" xr:uid="{7CD8C428-1278-4596-8D29-32ADC28CEB7A}"/>
    <cellStyle name="Vírgula 4 2 3 6 5" xfId="11782" xr:uid="{F4A3CA95-274E-404D-9410-E75A654AE1B3}"/>
    <cellStyle name="Vírgula 4 2 3 6 5 2" xfId="32124" xr:uid="{E334BCF1-C54F-478C-A92B-798300193627}"/>
    <cellStyle name="Vírgula 4 2 3 6 6" xfId="28630" xr:uid="{2BB75220-D43E-4076-AF46-A8522FE9327B}"/>
    <cellStyle name="Vírgula 4 2 3 6 7" xfId="48974" xr:uid="{A2A4E2C8-6B70-4525-843F-0DCF7B5708F4}"/>
    <cellStyle name="Vírgula 4 2 3 6 8" xfId="50644" xr:uid="{21E1E8F7-71AA-478D-9378-77066C2ADBE6}"/>
    <cellStyle name="Vírgula 4 2 3 6 9" xfId="53939" xr:uid="{303BA40C-0B4D-4C48-8313-74B4C66B2D89}"/>
    <cellStyle name="Vírgula 4 2 3 7" xfId="562" xr:uid="{90CE6E02-B73B-43F9-AD12-E3B05FB44D61}"/>
    <cellStyle name="Vírgula 4 2 3 7 2" xfId="2278" xr:uid="{2FEBD957-9C41-4D82-8D43-F22AC5E3C625}"/>
    <cellStyle name="Vírgula 4 2 3 7 2 2" xfId="35957" xr:uid="{787D9581-DC88-4535-B68E-BCC8FB0635FF}"/>
    <cellStyle name="Vírgula 4 2 3 7 2 3" xfId="52277" xr:uid="{A16052A7-A971-4A66-94E7-AC097B6131DF}"/>
    <cellStyle name="Vírgula 4 2 3 7 2 4" xfId="55571" xr:uid="{C4BC9E37-0EDA-489F-B131-5153DF80E5B8}"/>
    <cellStyle name="Vírgula 4 2 3 7 2 5" xfId="15617" xr:uid="{5E12027F-D021-4BD8-8A22-7690389D2038}"/>
    <cellStyle name="Vírgula 4 2 3 7 3" xfId="28856" xr:uid="{4DBD71A8-7BE2-4AC6-BA8A-0E7A89F8FF62}"/>
    <cellStyle name="Vírgula 4 2 3 7 3 2" xfId="56433" xr:uid="{0455711F-1B8F-401A-BC16-DAF501FC66AC}"/>
    <cellStyle name="Vírgula 4 2 3 7 4" xfId="48975" xr:uid="{F642F149-059D-42D4-BE57-104002A25BA1}"/>
    <cellStyle name="Vírgula 4 2 3 7 5" xfId="50645" xr:uid="{655F388F-15CF-49EC-8681-76ABB2101B49}"/>
    <cellStyle name="Vírgula 4 2 3 7 6" xfId="53940" xr:uid="{144ADE25-AF41-44EE-97D3-EC8D0E1A1035}"/>
    <cellStyle name="Vírgula 4 2 3 7 7" xfId="8513" xr:uid="{16E83B0F-A2B2-4EA2-A6F3-8E04259E02DA}"/>
    <cellStyle name="Vírgula 4 2 3 8" xfId="3410" xr:uid="{4E3A2D1B-510B-49B0-8DD6-5A9E9EFF5888}"/>
    <cellStyle name="Vírgula 4 2 3 8 2" xfId="38871" xr:uid="{ED0F98A8-CE90-4E9A-A562-A3E7A451AE3F}"/>
    <cellStyle name="Vírgula 4 2 3 8 3" xfId="52254" xr:uid="{8FAF5DFD-3FEC-4727-9082-66B54E0CF033}"/>
    <cellStyle name="Vírgula 4 2 3 8 4" xfId="55548" xr:uid="{C2FAF4B5-AE2C-4270-B008-FF2321EB4299}"/>
    <cellStyle name="Vírgula 4 2 3 8 5" xfId="18531" xr:uid="{DA472C58-9950-4E2C-B53E-1B8912219A44}"/>
    <cellStyle name="Vírgula 4 2 3 9" xfId="3889" xr:uid="{F94E045A-B9F3-4320-BBBB-0BDE31826544}"/>
    <cellStyle name="Vírgula 4 2 3 9 2" xfId="39458" xr:uid="{6C3F3C60-2D8F-4BD7-9E04-E08924791B04}"/>
    <cellStyle name="Vírgula 4 2 3 9 3" xfId="56024" xr:uid="{914B30EC-4043-46B4-BC39-52CA118896A5}"/>
    <cellStyle name="Vírgula 4 2 3 9 4" xfId="19119" xr:uid="{8EABC17E-8755-49A3-A88D-EDAE6B114F53}"/>
    <cellStyle name="Vírgula 4 2 4" xfId="180" xr:uid="{25E331C2-98CB-4ED4-8EA7-C1280DA225FC}"/>
    <cellStyle name="Vírgula 4 2 4 10" xfId="12187" xr:uid="{93D19220-2A93-4935-A00A-71544FD30D27}"/>
    <cellStyle name="Vírgula 4 2 4 10 2" xfId="32528" xr:uid="{54724A78-FAEB-4D5D-81AD-0F5307F3C850}"/>
    <cellStyle name="Vírgula 4 2 4 11" xfId="8926" xr:uid="{17277403-2E99-4860-915C-B5161879EFAD}"/>
    <cellStyle name="Vírgula 4 2 4 11 2" xfId="29269" xr:uid="{B0AF785E-2DDD-42FD-801F-EA4AE4BAD2DC}"/>
    <cellStyle name="Vírgula 4 2 4 12" xfId="25775" xr:uid="{A284F7C4-0B6B-4F01-9A7C-41E78A88B3DE}"/>
    <cellStyle name="Vírgula 4 2 4 13" xfId="46001" xr:uid="{898EDB20-EF95-41C2-ADD3-233E72AC5442}"/>
    <cellStyle name="Vírgula 4 2 4 14" xfId="46487" xr:uid="{DFCC7BAE-DFDB-4CB1-86DA-0140E289CDF3}"/>
    <cellStyle name="Vírgula 4 2 4 15" xfId="46979" xr:uid="{9026A293-3B23-4978-8EEE-1CDA8477698B}"/>
    <cellStyle name="Vírgula 4 2 4 16" xfId="47372" xr:uid="{1E025D61-2699-4C37-BFCF-636C1863CD14}"/>
    <cellStyle name="Vírgula 4 2 4 17" xfId="47498" xr:uid="{9F3356D8-916D-4C47-B3A4-A6AF40B81779}"/>
    <cellStyle name="Vírgula 4 2 4 18" xfId="47624" xr:uid="{206958A9-377E-48E2-A3B1-EB654371B569}"/>
    <cellStyle name="Vírgula 4 2 4 19" xfId="48976" xr:uid="{A13C15D1-E608-4134-8179-B6AF3A79C1E2}"/>
    <cellStyle name="Vírgula 4 2 4 2" xfId="369" xr:uid="{2DA97B14-4B9D-458C-A353-D4AA0AF773C6}"/>
    <cellStyle name="Vírgula 4 2 4 2 10" xfId="46730" xr:uid="{F2A562CE-BBD2-4C7C-BDCF-508E42075548}"/>
    <cellStyle name="Vírgula 4 2 4 2 11" xfId="47222" xr:uid="{BBC0BCAF-98F6-4FF5-B6CE-21FF1C737C35}"/>
    <cellStyle name="Vírgula 4 2 4 2 12" xfId="48977" xr:uid="{19D5E69F-F0D5-4617-9ACA-AB854D401123}"/>
    <cellStyle name="Vírgula 4 2 4 2 13" xfId="50647" xr:uid="{A83799BD-F7F2-4CF8-B633-2C030FB1A04E}"/>
    <cellStyle name="Vírgula 4 2 4 2 14" xfId="53942" xr:uid="{B89A8BD1-60E5-4BDD-A169-BAE2AE8434AF}"/>
    <cellStyle name="Vírgula 4 2 4 2 15" xfId="6008" xr:uid="{77F9BFD9-0BD9-44C7-84F3-8FCA4652D848}"/>
    <cellStyle name="Vírgula 4 2 4 2 16" xfId="4650" xr:uid="{C7F0216B-EAC4-436B-92C7-2603657335E1}"/>
    <cellStyle name="Vírgula 4 2 4 2 2" xfId="1185" xr:uid="{BD9FF5CC-60C2-47EF-9527-028DCA9BA6FB}"/>
    <cellStyle name="Vírgula 4 2 4 2 2 10" xfId="53943" xr:uid="{FC8783DD-9557-4177-94B7-10380B744AD1}"/>
    <cellStyle name="Vírgula 4 2 4 2 2 11" xfId="7166" xr:uid="{9A2DEAED-9F7E-43B3-9FDC-AE58CD7DAAD3}"/>
    <cellStyle name="Vírgula 4 2 4 2 2 12" xfId="5119" xr:uid="{2D628F84-17B8-42F6-A2E8-C9CF3772F6F7}"/>
    <cellStyle name="Vírgula 4 2 4 2 2 2" xfId="2846" xr:uid="{2B8D6FDF-620A-40E6-9E15-DD0111423DDA}"/>
    <cellStyle name="Vírgula 4 2 4 2 2 2 2" xfId="37792" xr:uid="{3EDAE23B-1341-4085-9568-AF3383151549}"/>
    <cellStyle name="Vírgula 4 2 4 2 2 2 3" xfId="52280" xr:uid="{955E1C91-DDFD-4906-8454-F7CAA3AFE5B7}"/>
    <cellStyle name="Vírgula 4 2 4 2 2 2 4" xfId="55574" xr:uid="{C18E1938-7DA0-49C6-A522-7941CFAB09E4}"/>
    <cellStyle name="Vírgula 4 2 4 2 2 2 5" xfId="17452" xr:uid="{732E36B6-8535-42CE-B507-F6646A4567C3}"/>
    <cellStyle name="Vírgula 4 2 4 2 2 3" xfId="20954" xr:uid="{AF16C211-04C4-44C7-92FC-64A5C0A33097}"/>
    <cellStyle name="Vírgula 4 2 4 2 2 3 2" xfId="41293" xr:uid="{22D406D1-5CED-4149-81C5-1B753BE8D265}"/>
    <cellStyle name="Vírgula 4 2 4 2 2 3 3" xfId="57056" xr:uid="{7D24EFAB-E087-40A8-8C65-B5F9041A98DE}"/>
    <cellStyle name="Vírgula 4 2 4 2 2 4" xfId="24209" xr:uid="{0F7E0694-399B-40F8-A68C-75F0B414994C}"/>
    <cellStyle name="Vírgula 4 2 4 2 2 4 2" xfId="44544" xr:uid="{3DDC5710-9D65-49E6-8D94-7B55CB9D08C6}"/>
    <cellStyle name="Vírgula 4 2 4 2 2 5" xfId="14543" xr:uid="{4D6E3788-4708-4F0F-924A-8AE7D0C1451E}"/>
    <cellStyle name="Vírgula 4 2 4 2 2 5 2" xfId="34884" xr:uid="{89BE8CA1-5EA8-42B7-8129-454257216D73}"/>
    <cellStyle name="Vírgula 4 2 4 2 2 6" xfId="10665" xr:uid="{164251F6-F896-4B81-995E-821E17FCF05A}"/>
    <cellStyle name="Vírgula 4 2 4 2 2 6 2" xfId="31008" xr:uid="{3114C06B-8EA7-403A-86CB-0EA0CBD43420}"/>
    <cellStyle name="Vírgula 4 2 4 2 2 7" xfId="27514" xr:uid="{66627D86-984A-4F30-8613-8081B7264BDA}"/>
    <cellStyle name="Vírgula 4 2 4 2 2 8" xfId="48978" xr:uid="{7EE1413A-B25C-46CD-A160-DD7178FEAB5C}"/>
    <cellStyle name="Vírgula 4 2 4 2 2 9" xfId="50648" xr:uid="{2E51F2B8-1488-4BE5-870A-2DD7EDCEEB89}"/>
    <cellStyle name="Vírgula 4 2 4 2 3" xfId="1591" xr:uid="{2C304401-8F16-4CBF-A07B-4FED0A3D01E0}"/>
    <cellStyle name="Vírgula 4 2 4 2 3 2" xfId="3251" xr:uid="{ACA28D04-3CD0-4825-A1A2-1F85DE1A500E}"/>
    <cellStyle name="Vírgula 4 2 4 2 3 2 2" xfId="52281" xr:uid="{76637E2E-749F-4D76-83FE-2E95506B673B}"/>
    <cellStyle name="Vírgula 4 2 4 2 3 2 3" xfId="55575" xr:uid="{71E1FA89-05E1-4E29-AC50-29F4823973D2}"/>
    <cellStyle name="Vírgula 4 2 4 2 3 2 4" xfId="36634" xr:uid="{9006DE9C-DA5C-4C77-812D-8E0BB6D47FBF}"/>
    <cellStyle name="Vírgula 4 2 4 2 3 3" xfId="48979" xr:uid="{7A9523B6-4B57-4F22-AAA8-10D1409D83B8}"/>
    <cellStyle name="Vírgula 4 2 4 2 3 3 2" xfId="57462" xr:uid="{3CF29847-F5BD-4C12-A716-94806A194FA5}"/>
    <cellStyle name="Vírgula 4 2 4 2 3 4" xfId="50649" xr:uid="{4B8087D5-F16D-472E-85B8-39C227E38DA5}"/>
    <cellStyle name="Vírgula 4 2 4 2 3 5" xfId="53944" xr:uid="{FA11D734-4682-4C8A-84F9-DE2A4F6BF5C5}"/>
    <cellStyle name="Vírgula 4 2 4 2 3 6" xfId="16294" xr:uid="{987AB8B4-6875-46E3-9003-8C58F3FE2254}"/>
    <cellStyle name="Vírgula 4 2 4 2 4" xfId="778" xr:uid="{E181D846-E59A-4FB9-81F9-C0F3452C3560}"/>
    <cellStyle name="Vírgula 4 2 4 2 4 2" xfId="2494" xr:uid="{67BA5719-05F4-4DD4-A665-ED2B15968CD0}"/>
    <cellStyle name="Vírgula 4 2 4 2 4 2 2" xfId="52282" xr:uid="{777EF4FD-E2B7-400A-94DF-F6CB3761AB59}"/>
    <cellStyle name="Vírgula 4 2 4 2 4 2 3" xfId="55576" xr:uid="{45027068-755E-4D28-911B-CB0BF6CA1EDA}"/>
    <cellStyle name="Vírgula 4 2 4 2 4 2 4" xfId="40135" xr:uid="{D196CF69-4BCF-4FFC-B112-46B32100E88E}"/>
    <cellStyle name="Vírgula 4 2 4 2 4 3" xfId="48980" xr:uid="{6764684B-E04D-4290-9206-12A98825C9EC}"/>
    <cellStyle name="Vírgula 4 2 4 2 4 3 2" xfId="56649" xr:uid="{6B072E6D-AB4E-4DEA-B49E-E6C023BD4E16}"/>
    <cellStyle name="Vírgula 4 2 4 2 4 4" xfId="50650" xr:uid="{8ADC76FA-71EB-42B4-A349-9E6DDF724C73}"/>
    <cellStyle name="Vírgula 4 2 4 2 4 5" xfId="53945" xr:uid="{82C9577C-0188-42E7-B4C6-D3D2A320B640}"/>
    <cellStyle name="Vírgula 4 2 4 2 4 6" xfId="19796" xr:uid="{68CB4EE0-E90A-4B81-800C-60F413593453}"/>
    <cellStyle name="Vírgula 4 2 4 2 5" xfId="3658" xr:uid="{7F1EA912-8D9F-442D-B42E-44ABA5C2C3A8}"/>
    <cellStyle name="Vírgula 4 2 4 2 5 2" xfId="43386" xr:uid="{BD5A9873-536E-4929-8679-E643B4D9BF4F}"/>
    <cellStyle name="Vírgula 4 2 4 2 5 3" xfId="52279" xr:uid="{0A369FAF-8900-48D5-B2FE-C8DB92D459C3}"/>
    <cellStyle name="Vírgula 4 2 4 2 5 4" xfId="55573" xr:uid="{242EB729-FF89-4D0E-A1C0-0A6C39EED50A}"/>
    <cellStyle name="Vírgula 4 2 4 2 5 5" xfId="23051" xr:uid="{89CB6207-F3B5-4D3A-A254-C7D316C09715}"/>
    <cellStyle name="Vírgula 4 2 4 2 6" xfId="4112" xr:uid="{E30147B8-4F2D-4C86-8AA2-85823AB4E734}"/>
    <cellStyle name="Vírgula 4 2 4 2 6 2" xfId="33726" xr:uid="{3B5351E2-6FD7-4BFE-A0E4-89332C01A591}"/>
    <cellStyle name="Vírgula 4 2 4 2 6 3" xfId="56240" xr:uid="{C4DCC2A5-4244-42B6-9AC2-AB4FC86B253B}"/>
    <cellStyle name="Vírgula 4 2 4 2 6 4" xfId="13385" xr:uid="{05C81860-6DB2-467D-9D9F-E044F5E7A62D}"/>
    <cellStyle name="Vírgula 4 2 4 2 7" xfId="2007" xr:uid="{7F157F83-A073-4F61-A5D4-199888BC297B}"/>
    <cellStyle name="Vírgula 4 2 4 2 7 2" xfId="29850" xr:uid="{7F16DA02-6FDE-4ABE-A0C4-F0CB797183A6}"/>
    <cellStyle name="Vírgula 4 2 4 2 7 3" xfId="9507" xr:uid="{4FA904B3-8BE9-42EB-9991-FEB18F978351}"/>
    <cellStyle name="Vírgula 4 2 4 2 8" xfId="26356" xr:uid="{C2507C48-7A7E-4E65-9379-BA1DC750036C}"/>
    <cellStyle name="Vírgula 4 2 4 2 9" xfId="46244" xr:uid="{DB3B80E1-00F8-4AEC-8529-9DC4149917F7}"/>
    <cellStyle name="Vírgula 4 2 4 20" xfId="50646" xr:uid="{CB5861D3-A9BC-49CA-8705-287468C34436}"/>
    <cellStyle name="Vírgula 4 2 4 21" xfId="53941" xr:uid="{EE599CAB-6E77-4370-AF40-0ED696E90AE0}"/>
    <cellStyle name="Vírgula 4 2 4 22" xfId="5443" xr:uid="{D911219C-AFC9-414D-85F9-987BB8254582}"/>
    <cellStyle name="Vírgula 4 2 4 23" xfId="4461" xr:uid="{F221D54A-050D-45AE-BFB9-15ED70C761D3}"/>
    <cellStyle name="Vírgula 4 2 4 3" xfId="996" xr:uid="{559D9A1C-35F7-4DAA-9D56-97DF24765F2B}"/>
    <cellStyle name="Vírgula 4 2 4 3 10" xfId="53946" xr:uid="{6BB9B5FF-A968-49BB-95C0-05EFAB32EF6D}"/>
    <cellStyle name="Vírgula 4 2 4 3 11" xfId="6585" xr:uid="{D6889EE2-7803-40AD-A0AD-1760FC761FA2}"/>
    <cellStyle name="Vírgula 4 2 4 3 12" xfId="4900" xr:uid="{F758D704-3480-429D-9E70-A81237370E7D}"/>
    <cellStyle name="Vírgula 4 2 4 3 2" xfId="3549" xr:uid="{B1323230-283C-43D0-AA44-3E887BAC2D5A}"/>
    <cellStyle name="Vírgula 4 2 4 3 2 2" xfId="37211" xr:uid="{35681D06-1F2A-4571-87EB-7CCFA988B6D0}"/>
    <cellStyle name="Vírgula 4 2 4 3 2 3" xfId="52283" xr:uid="{497AF310-53D4-40BA-8D5C-A76F1A6D4C95}"/>
    <cellStyle name="Vírgula 4 2 4 3 2 4" xfId="55577" xr:uid="{DBCC3426-2E00-4425-A78B-152CE163F0FD}"/>
    <cellStyle name="Vírgula 4 2 4 3 2 5" xfId="16871" xr:uid="{16B05EAF-C4A9-4AA6-AE99-FA3DEED1E1E9}"/>
    <cellStyle name="Vírgula 4 2 4 3 3" xfId="4284" xr:uid="{A1FDCE15-17D9-4A60-BD29-CE66D04E6D3E}"/>
    <cellStyle name="Vírgula 4 2 4 3 3 2" xfId="40712" xr:uid="{F2597A2B-57B3-4742-B800-7BDB8D0BFD2A}"/>
    <cellStyle name="Vírgula 4 2 4 3 3 3" xfId="56867" xr:uid="{46FCE33F-CCFC-4E3E-A411-4DE210501667}"/>
    <cellStyle name="Vírgula 4 2 4 3 3 4" xfId="20373" xr:uid="{AE294980-C8A7-41E0-BF46-BEB8E9208B4A}"/>
    <cellStyle name="Vírgula 4 2 4 3 4" xfId="1898" xr:uid="{BB9416A7-2A2B-48B6-A093-B8DE2CE7CDE5}"/>
    <cellStyle name="Vírgula 4 2 4 3 4 2" xfId="43963" xr:uid="{AF0B3E8F-943E-4BB9-A53D-6062DB8EF64D}"/>
    <cellStyle name="Vírgula 4 2 4 3 4 3" xfId="23628" xr:uid="{0D8B0131-00E9-4D6D-8B30-7F407A1E751E}"/>
    <cellStyle name="Vírgula 4 2 4 3 5" xfId="13962" xr:uid="{F31044E9-105E-4AAC-823F-6042729C7B45}"/>
    <cellStyle name="Vírgula 4 2 4 3 5 2" xfId="34303" xr:uid="{4607C6B6-3B58-441D-B55D-9B659EEAA54E}"/>
    <cellStyle name="Vírgula 4 2 4 3 6" xfId="10084" xr:uid="{CC462E1F-287E-41E6-9418-A7B0770E34AE}"/>
    <cellStyle name="Vírgula 4 2 4 3 6 2" xfId="30427" xr:uid="{8D0E4281-D4DC-47C6-BCF6-45C91437219F}"/>
    <cellStyle name="Vírgula 4 2 4 3 7" xfId="26933" xr:uid="{9F5A9B9F-08A6-4110-9EC2-723769FCBB92}"/>
    <cellStyle name="Vírgula 4 2 4 3 8" xfId="48981" xr:uid="{661B590F-28B8-4CEF-AED0-DEB20C62E00A}"/>
    <cellStyle name="Vírgula 4 2 4 3 9" xfId="50651" xr:uid="{AA2E4148-96D4-44B1-BD9E-69BC4661386A}"/>
    <cellStyle name="Vírgula 4 2 4 4" xfId="1402" xr:uid="{40E0EE6B-FB12-4BBB-ADCA-1E625F80312B}"/>
    <cellStyle name="Vírgula 4 2 4 4 10" xfId="53947" xr:uid="{EC90BBA0-F64B-43E4-925A-A7AF1F117048}"/>
    <cellStyle name="Vírgula 4 2 4 4 11" xfId="7749" xr:uid="{D4E882E8-E114-4B7C-B883-34FED4FBA34E}"/>
    <cellStyle name="Vírgula 4 2 4 4 2" xfId="3767" xr:uid="{DFF3E1A7-F491-40B0-83E2-CF554F90D489}"/>
    <cellStyle name="Vírgula 4 2 4 4 2 2" xfId="38374" xr:uid="{FDBD1164-5D98-403C-88D6-62C7CD0DA5EA}"/>
    <cellStyle name="Vírgula 4 2 4 4 2 3" xfId="52284" xr:uid="{325614BC-1733-4194-8904-8478FDBDAEA4}"/>
    <cellStyle name="Vírgula 4 2 4 4 2 4" xfId="55578" xr:uid="{A14F35FA-54DB-40D6-B2D2-25693CBD984A}"/>
    <cellStyle name="Vírgula 4 2 4 4 2 5" xfId="18034" xr:uid="{C6C43F87-15F9-4FA8-84DB-11A445049E55}"/>
    <cellStyle name="Vírgula 4 2 4 4 3" xfId="3063" xr:uid="{1752B886-F672-4D25-9245-2ED9613BA148}"/>
    <cellStyle name="Vírgula 4 2 4 4 3 2" xfId="41875" xr:uid="{5363B16A-BC0A-475C-8821-56A0475B01C6}"/>
    <cellStyle name="Vírgula 4 2 4 4 3 3" xfId="57273" xr:uid="{81C480EC-6F9C-4878-9D4A-95A02158C594}"/>
    <cellStyle name="Vírgula 4 2 4 4 3 4" xfId="21536" xr:uid="{E32AF859-41A6-48C6-9105-6092BF413A7A}"/>
    <cellStyle name="Vírgula 4 2 4 4 4" xfId="24791" xr:uid="{CD09C0B8-43AE-4097-AFF5-32D78A9B0EBA}"/>
    <cellStyle name="Vírgula 4 2 4 4 4 2" xfId="45126" xr:uid="{CC85612C-BE62-489F-BADB-030D0480D0FA}"/>
    <cellStyle name="Vírgula 4 2 4 4 5" xfId="15126" xr:uid="{2DF22378-D3E5-425A-BA80-05CAEA1F1E46}"/>
    <cellStyle name="Vírgula 4 2 4 4 5 2" xfId="35466" xr:uid="{E58EEE49-FD21-4CDE-9D57-99C0ED50F1C1}"/>
    <cellStyle name="Vírgula 4 2 4 4 6" xfId="11247" xr:uid="{AB4AC0EA-FE36-475F-830E-3C52C90AECF2}"/>
    <cellStyle name="Vírgula 4 2 4 4 6 2" xfId="31590" xr:uid="{E26AE186-63EB-4C8F-8239-AB93731041A6}"/>
    <cellStyle name="Vírgula 4 2 4 4 7" xfId="28096" xr:uid="{6E117CEB-23FD-4B1D-9578-373E6EF55E52}"/>
    <cellStyle name="Vírgula 4 2 4 4 8" xfId="48982" xr:uid="{3EBA5E16-A0CD-415C-9CDD-0957DB1CCFC8}"/>
    <cellStyle name="Vírgula 4 2 4 4 9" xfId="50652" xr:uid="{B9382A38-4BF8-41FB-9C1A-7C79DA068831}"/>
    <cellStyle name="Vírgula 4 2 4 5" xfId="589" xr:uid="{5F7742E2-0521-41DF-A675-B4FCA87BFF17}"/>
    <cellStyle name="Vírgula 4 2 4 5 10" xfId="8289" xr:uid="{6D521841-DACE-4F13-9A08-77B135F9D53C}"/>
    <cellStyle name="Vírgula 4 2 4 5 2" xfId="2305" xr:uid="{D767DDE3-94B9-4A69-852E-922F39AB3B16}"/>
    <cellStyle name="Vírgula 4 2 4 5 2 2" xfId="42412" xr:uid="{38372418-6A59-4493-B0B2-3CBADFC600C4}"/>
    <cellStyle name="Vírgula 4 2 4 5 2 3" xfId="52285" xr:uid="{04858A8F-26BA-4A1A-998A-87335A08431F}"/>
    <cellStyle name="Vírgula 4 2 4 5 2 4" xfId="55579" xr:uid="{919020A5-9DED-4938-8EB7-DF563824DE64}"/>
    <cellStyle name="Vírgula 4 2 4 5 2 5" xfId="22076" xr:uid="{4041A6DE-C591-4860-8C78-29810B93FDBE}"/>
    <cellStyle name="Vírgula 4 2 4 5 3" xfId="25328" xr:uid="{56F8E178-7CE7-4872-AD5B-01DE2C6F0635}"/>
    <cellStyle name="Vírgula 4 2 4 5 3 2" xfId="45663" xr:uid="{11343344-720A-47FC-9B04-E1056E729B46}"/>
    <cellStyle name="Vírgula 4 2 4 5 3 3" xfId="56460" xr:uid="{2519B033-BA5F-4783-BC24-CF12AF8AAF95}"/>
    <cellStyle name="Vírgula 4 2 4 5 4" xfId="12816" xr:uid="{E1AFA049-BC16-4601-8171-54E005D5BAF3}"/>
    <cellStyle name="Vírgula 4 2 4 5 4 2" xfId="33157" xr:uid="{D7654202-9456-4D13-8D80-74684619B43C}"/>
    <cellStyle name="Vírgula 4 2 4 5 5" xfId="11785" xr:uid="{5709B3F4-87BE-484B-9DD4-4AD0E12BBC0D}"/>
    <cellStyle name="Vírgula 4 2 4 5 5 2" xfId="32127" xr:uid="{727B3AB3-52FD-4EEA-ABB7-94B3A2F5728A}"/>
    <cellStyle name="Vírgula 4 2 4 5 6" xfId="28633" xr:uid="{5D3996B8-5031-43D9-9869-9D45B559849A}"/>
    <cellStyle name="Vírgula 4 2 4 5 7" xfId="48983" xr:uid="{EF5FB67D-D932-4B9E-81C2-4AC48CBE7317}"/>
    <cellStyle name="Vírgula 4 2 4 5 8" xfId="50653" xr:uid="{EABD69C8-81BC-40E9-AB4B-B5AD20F6E22F}"/>
    <cellStyle name="Vírgula 4 2 4 5 9" xfId="53948" xr:uid="{F8E995B3-8D29-4B8F-A31F-6CF01129440A}"/>
    <cellStyle name="Vírgula 4 2 4 6" xfId="3439" xr:uid="{E69C17D9-A73D-4EE2-92AB-008311C2BF72}"/>
    <cellStyle name="Vírgula 4 2 4 6 2" xfId="15713" xr:uid="{3171AF18-2FBE-49F2-AD01-C2FC878A554C}"/>
    <cellStyle name="Vírgula 4 2 4 6 2 2" xfId="36053" xr:uid="{18501C6E-C00E-4BBA-A108-DFA956B85CCA}"/>
    <cellStyle name="Vírgula 4 2 4 6 3" xfId="28969" xr:uid="{BBDD93AE-B319-4F0D-ADCA-14C65D84599A}"/>
    <cellStyle name="Vírgula 4 2 4 6 4" xfId="52278" xr:uid="{00F990D0-E62E-46C7-A66D-24E01B2790B2}"/>
    <cellStyle name="Vírgula 4 2 4 6 5" xfId="55572" xr:uid="{50550333-C2CE-4D01-872C-90AE67D89C5E}"/>
    <cellStyle name="Vírgula 4 2 4 6 6" xfId="8626" xr:uid="{02AA1314-6D20-4071-AD36-5A69A94CEEBE}"/>
    <cellStyle name="Vírgula 4 2 4 7" xfId="3940" xr:uid="{25412F40-66F5-4E45-A2F6-04DC9FC612C4}"/>
    <cellStyle name="Vírgula 4 2 4 7 2" xfId="38967" xr:uid="{F5B45B57-81F7-400F-843C-21F9A06D9A84}"/>
    <cellStyle name="Vírgula 4 2 4 7 3" xfId="56051" xr:uid="{BCBD42D4-F3C2-4D83-9A5A-6EF94EAE8D0B}"/>
    <cellStyle name="Vírgula 4 2 4 7 4" xfId="18627" xr:uid="{C9DA9CAB-6474-4043-A9CD-093F6C89567A}"/>
    <cellStyle name="Vírgula 4 2 4 8" xfId="1788" xr:uid="{1D74EB40-B3C6-4A3E-823B-29208AA1772C}"/>
    <cellStyle name="Vírgula 4 2 4 8 2" xfId="39554" xr:uid="{38F86FB6-C626-4B7B-BBCE-DE7812E3A61B}"/>
    <cellStyle name="Vírgula 4 2 4 8 3" xfId="19215" xr:uid="{8DDFD213-8B52-427C-ABCF-AB3DDC541847}"/>
    <cellStyle name="Vírgula 4 2 4 9" xfId="22470" xr:uid="{F1340334-8E52-4BC8-87E7-E23FF0472379}"/>
    <cellStyle name="Vírgula 4 2 4 9 2" xfId="42805" xr:uid="{9A225706-41B9-4311-9EFC-0F9E042BE4C7}"/>
    <cellStyle name="Vírgula 4 2 5" xfId="206" xr:uid="{56911BD3-E226-4189-877C-AFEAD8064F18}"/>
    <cellStyle name="Vírgula 4 2 5 10" xfId="12245" xr:uid="{BDD45486-3686-4A20-AA59-064E929AEA01}"/>
    <cellStyle name="Vírgula 4 2 5 10 2" xfId="32586" xr:uid="{856A1750-2F5C-41F4-8DA2-5BFE4CDF8481}"/>
    <cellStyle name="Vírgula 4 2 5 11" xfId="8984" xr:uid="{B240C5E2-C341-4792-BB57-CE3CE70F8B05}"/>
    <cellStyle name="Vírgula 4 2 5 11 2" xfId="29327" xr:uid="{46F82F1D-71E8-4A9F-A85A-868DA90BB6CA}"/>
    <cellStyle name="Vírgula 4 2 5 12" xfId="25833" xr:uid="{7A679454-7DBA-46BA-99B5-E65E4C3A0E4E}"/>
    <cellStyle name="Vírgula 4 2 5 13" xfId="46071" xr:uid="{6687840B-9A3A-4DB0-818C-B0208467B4C7}"/>
    <cellStyle name="Vírgula 4 2 5 14" xfId="46557" xr:uid="{D453348E-645A-4A31-BE50-CFB85C819AAE}"/>
    <cellStyle name="Vírgula 4 2 5 15" xfId="47049" xr:uid="{A86FCF42-2CA6-478B-875D-A6D69753C9BE}"/>
    <cellStyle name="Vírgula 4 2 5 16" xfId="48984" xr:uid="{EC7D2CD9-95FA-4650-9E3A-E91A18594A28}"/>
    <cellStyle name="Vírgula 4 2 5 17" xfId="50654" xr:uid="{3BA0D94A-965D-4853-95A8-D263B88F1FCE}"/>
    <cellStyle name="Vírgula 4 2 5 18" xfId="53949" xr:uid="{85217647-F999-4FF3-94F1-0A14F447F75E}"/>
    <cellStyle name="Vírgula 4 2 5 19" xfId="5494" xr:uid="{E8EAD862-0B69-4E8F-8C07-D30D9DB9EC8D}"/>
    <cellStyle name="Vírgula 4 2 5 2" xfId="395" xr:uid="{340A482A-CE5F-4EDA-A2A3-1168ADC9CC2F}"/>
    <cellStyle name="Vírgula 4 2 5 2 10" xfId="50655" xr:uid="{85A1FDE3-3300-42DA-BD98-01379E8F8BDB}"/>
    <cellStyle name="Vírgula 4 2 5 2 11" xfId="53950" xr:uid="{15E262FE-1EDF-4EDA-A188-ED765DBF3D76}"/>
    <cellStyle name="Vírgula 4 2 5 2 12" xfId="6066" xr:uid="{21EA152F-A11E-489E-8144-25332B164B6A}"/>
    <cellStyle name="Vírgula 4 2 5 2 13" xfId="4676" xr:uid="{2AA76EFA-BA02-4E38-AB82-AB140AB9CC20}"/>
    <cellStyle name="Vírgula 4 2 5 2 2" xfId="1211" xr:uid="{DCD65DBC-3FE6-439B-B066-436AC18660A5}"/>
    <cellStyle name="Vírgula 4 2 5 2 2 10" xfId="53951" xr:uid="{18A7E683-247E-400D-91D0-6295FBD613A2}"/>
    <cellStyle name="Vírgula 4 2 5 2 2 11" xfId="7224" xr:uid="{8000810D-8CA1-4535-B93C-ACCA993DF166}"/>
    <cellStyle name="Vírgula 4 2 5 2 2 2" xfId="2872" xr:uid="{63C1BB1B-B11E-47A1-A058-8F20788A346E}"/>
    <cellStyle name="Vírgula 4 2 5 2 2 2 2" xfId="37850" xr:uid="{14AA8ECB-FAF3-4B39-A7C8-E497E6D15372}"/>
    <cellStyle name="Vírgula 4 2 5 2 2 2 3" xfId="52288" xr:uid="{8CC413F5-E69F-4E92-8C35-5E19D8B2E5A2}"/>
    <cellStyle name="Vírgula 4 2 5 2 2 2 4" xfId="55582" xr:uid="{DD565BF2-9ABB-4FE6-B492-871258D9ABB7}"/>
    <cellStyle name="Vírgula 4 2 5 2 2 2 5" xfId="17510" xr:uid="{1C509CFA-5A6B-46A6-A38E-CAE8861DEE41}"/>
    <cellStyle name="Vírgula 4 2 5 2 2 3" xfId="21012" xr:uid="{D272BE2B-2C24-4D59-910E-9A75C6380615}"/>
    <cellStyle name="Vírgula 4 2 5 2 2 3 2" xfId="41351" xr:uid="{BCDDABC0-A690-452D-88BC-8E3F48C210BF}"/>
    <cellStyle name="Vírgula 4 2 5 2 2 3 3" xfId="57082" xr:uid="{B8EEDD80-95D5-47C9-813A-6EF284C71560}"/>
    <cellStyle name="Vírgula 4 2 5 2 2 4" xfId="24267" xr:uid="{C2E4D400-576A-4511-A6CE-B8D1B1A2DF64}"/>
    <cellStyle name="Vírgula 4 2 5 2 2 4 2" xfId="44602" xr:uid="{2511110B-4BF1-4064-9793-66A6E01EA840}"/>
    <cellStyle name="Vírgula 4 2 5 2 2 5" xfId="14601" xr:uid="{4DC724F9-EAB0-471A-BE2A-C5066C4AA3B8}"/>
    <cellStyle name="Vírgula 4 2 5 2 2 5 2" xfId="34942" xr:uid="{8283BAD5-F5BF-4796-B622-9E52C2269C5F}"/>
    <cellStyle name="Vírgula 4 2 5 2 2 6" xfId="10723" xr:uid="{D448A4E0-1387-4B04-8D4B-989C772C1551}"/>
    <cellStyle name="Vírgula 4 2 5 2 2 6 2" xfId="31066" xr:uid="{5A330AE0-526E-4C22-8A2E-A8A3666A4392}"/>
    <cellStyle name="Vírgula 4 2 5 2 2 7" xfId="27572" xr:uid="{16901AB8-2EEB-41D6-A959-EBC3C563982F}"/>
    <cellStyle name="Vírgula 4 2 5 2 2 8" xfId="48986" xr:uid="{8F2D6AC2-A3AB-47C9-9820-C3BE55283C42}"/>
    <cellStyle name="Vírgula 4 2 5 2 2 9" xfId="50656" xr:uid="{5670A912-ABC2-46D6-8571-E3A3DCC6485E}"/>
    <cellStyle name="Vírgula 4 2 5 2 3" xfId="1617" xr:uid="{E5954E91-01A2-4184-B646-3B9294371E62}"/>
    <cellStyle name="Vírgula 4 2 5 2 3 2" xfId="3277" xr:uid="{5CD50BC5-D816-4CCA-9506-89811101BEA3}"/>
    <cellStyle name="Vírgula 4 2 5 2 3 2 2" xfId="52289" xr:uid="{DFF5DE08-4411-43A5-A10E-BDCE1BA7B008}"/>
    <cellStyle name="Vírgula 4 2 5 2 3 2 3" xfId="55583" xr:uid="{300BAB4A-32A8-4E73-B3D8-5FE02169FDFA}"/>
    <cellStyle name="Vírgula 4 2 5 2 3 2 4" xfId="36692" xr:uid="{C3C1E853-EFA3-4999-B799-5543B0DE0B94}"/>
    <cellStyle name="Vírgula 4 2 5 2 3 3" xfId="48987" xr:uid="{12CDD7D7-0F9F-441A-81C5-C4F720ED67ED}"/>
    <cellStyle name="Vírgula 4 2 5 2 3 3 2" xfId="57488" xr:uid="{8501C067-3BB2-467D-B000-68FD4387FCBE}"/>
    <cellStyle name="Vírgula 4 2 5 2 3 4" xfId="50657" xr:uid="{F27E534F-A6A6-4F02-84C8-2FA0FB8292E8}"/>
    <cellStyle name="Vírgula 4 2 5 2 3 5" xfId="53952" xr:uid="{A2E53DCC-0398-4DFE-9414-252C24098264}"/>
    <cellStyle name="Vírgula 4 2 5 2 3 6" xfId="16352" xr:uid="{D8F07F08-E71B-4ADE-BF27-478BDF1F231D}"/>
    <cellStyle name="Vírgula 4 2 5 2 4" xfId="804" xr:uid="{5DACB15F-2788-439D-8C82-DDFF518DD7E7}"/>
    <cellStyle name="Vírgula 4 2 5 2 4 2" xfId="2520" xr:uid="{5DDA13A6-09F6-4CAA-AFEC-5EEA2D88B576}"/>
    <cellStyle name="Vírgula 4 2 5 2 4 2 2" xfId="52290" xr:uid="{FEA9C663-7A1F-4353-BE7E-17771AF348DB}"/>
    <cellStyle name="Vírgula 4 2 5 2 4 2 3" xfId="55584" xr:uid="{7AD5F4A7-EA80-439A-84BE-A49F1AC861F1}"/>
    <cellStyle name="Vírgula 4 2 5 2 4 2 4" xfId="40193" xr:uid="{CAF687BA-07C6-497A-A6B5-1951FB30F7B1}"/>
    <cellStyle name="Vírgula 4 2 5 2 4 3" xfId="48988" xr:uid="{19FDA6C1-8F70-477A-8D15-862B52B25E32}"/>
    <cellStyle name="Vírgula 4 2 5 2 4 3 2" xfId="56675" xr:uid="{2CE8C852-A62A-4904-9146-A04BC667CC71}"/>
    <cellStyle name="Vírgula 4 2 5 2 4 4" xfId="50658" xr:uid="{E2212267-0171-4732-A67D-BD2D34508F88}"/>
    <cellStyle name="Vírgula 4 2 5 2 4 5" xfId="53953" xr:uid="{42709B54-CA76-46CF-B9BA-08E015007991}"/>
    <cellStyle name="Vírgula 4 2 5 2 4 6" xfId="19854" xr:uid="{039FAEBA-61D7-4F35-AD5E-38606FA9D667}"/>
    <cellStyle name="Vírgula 4 2 5 2 5" xfId="2139" xr:uid="{38661009-A7D1-4665-85EB-564F6F5A339D}"/>
    <cellStyle name="Vírgula 4 2 5 2 5 2" xfId="43444" xr:uid="{413E9B7E-2929-43AB-9DF7-150833177B46}"/>
    <cellStyle name="Vírgula 4 2 5 2 5 3" xfId="52287" xr:uid="{E554749F-AAF8-432A-B4C9-734B9E297271}"/>
    <cellStyle name="Vírgula 4 2 5 2 5 4" xfId="55581" xr:uid="{9662C926-EB7A-4F15-AFC3-BB0A1CFF336E}"/>
    <cellStyle name="Vírgula 4 2 5 2 5 5" xfId="23109" xr:uid="{E38144B6-5366-44CC-A75A-23DA1B718977}"/>
    <cellStyle name="Vírgula 4 2 5 2 6" xfId="13443" xr:uid="{67A47A3E-2568-493A-96DF-A8C3B24B7F6D}"/>
    <cellStyle name="Vírgula 4 2 5 2 6 2" xfId="33784" xr:uid="{5DA91689-16BA-4A4A-8B23-F83F731C67F1}"/>
    <cellStyle name="Vírgula 4 2 5 2 6 3" xfId="56266" xr:uid="{91A9F421-40AE-4B63-8832-74AA4D3790DD}"/>
    <cellStyle name="Vírgula 4 2 5 2 7" xfId="9565" xr:uid="{A8D8E3C5-9BD9-4064-8766-DA53F186ABDC}"/>
    <cellStyle name="Vírgula 4 2 5 2 7 2" xfId="29908" xr:uid="{F107A532-65B4-45A9-A907-6ADC947C4EB1}"/>
    <cellStyle name="Vírgula 4 2 5 2 8" xfId="26414" xr:uid="{103A1862-4EC2-424A-8D91-048926836024}"/>
    <cellStyle name="Vírgula 4 2 5 2 9" xfId="48985" xr:uid="{E61A2193-1E02-43F2-8781-7D8A50A3A383}"/>
    <cellStyle name="Vírgula 4 2 5 20" xfId="4487" xr:uid="{5CC79289-50EC-4100-97F2-D20788AAE062}"/>
    <cellStyle name="Vírgula 4 2 5 3" xfId="1022" xr:uid="{557BFCFC-64AB-46B3-B301-224B3D6F4806}"/>
    <cellStyle name="Vírgula 4 2 5 3 10" xfId="53954" xr:uid="{F2E9E8E8-C044-454E-8718-3D72EF35D937}"/>
    <cellStyle name="Vírgula 4 2 5 3 11" xfId="6643" xr:uid="{FAA6BE3F-3CF3-4703-9F1B-473D4C096D0B}"/>
    <cellStyle name="Vírgula 4 2 5 3 12" xfId="4970" xr:uid="{F0416ACF-A5CC-4C45-8FAC-7E985C57B861}"/>
    <cellStyle name="Vírgula 4 2 5 3 2" xfId="2711" xr:uid="{E367CC50-5B28-4A50-91F1-5139A12931DF}"/>
    <cellStyle name="Vírgula 4 2 5 3 2 2" xfId="37269" xr:uid="{7A71B7CC-854B-4ABE-8210-26228ADAF51F}"/>
    <cellStyle name="Vírgula 4 2 5 3 2 3" xfId="52291" xr:uid="{4BA62F12-A344-4385-A2FA-E9E2A34C2648}"/>
    <cellStyle name="Vírgula 4 2 5 3 2 4" xfId="55585" xr:uid="{CE45F77F-126D-4F79-945B-F2D29B290796}"/>
    <cellStyle name="Vírgula 4 2 5 3 2 5" xfId="16929" xr:uid="{D5DB95BB-B8F3-4D58-A935-D8CFA3A66516}"/>
    <cellStyle name="Vírgula 4 2 5 3 3" xfId="20431" xr:uid="{7958BAF8-7174-425F-B232-97A230009B2B}"/>
    <cellStyle name="Vírgula 4 2 5 3 3 2" xfId="40770" xr:uid="{3FAA24AF-9926-4B40-8A13-E7EC95A40546}"/>
    <cellStyle name="Vírgula 4 2 5 3 3 3" xfId="56893" xr:uid="{13978C29-7B16-44D5-B4A9-8BC213B78F4B}"/>
    <cellStyle name="Vírgula 4 2 5 3 4" xfId="23686" xr:uid="{5421FA93-C830-4D7C-B24D-D831211ED622}"/>
    <cellStyle name="Vírgula 4 2 5 3 4 2" xfId="44021" xr:uid="{ABBA511C-B3FF-4591-837A-CA95F38E3EC4}"/>
    <cellStyle name="Vírgula 4 2 5 3 5" xfId="14020" xr:uid="{95EDCECC-BD5B-4611-8577-CD5AFE3D2006}"/>
    <cellStyle name="Vírgula 4 2 5 3 5 2" xfId="34361" xr:uid="{42332422-9B85-4FCF-8638-EED7DEFD973F}"/>
    <cellStyle name="Vírgula 4 2 5 3 6" xfId="10142" xr:uid="{C6FBBE62-F50C-4822-83DE-46017D0958C0}"/>
    <cellStyle name="Vírgula 4 2 5 3 6 2" xfId="30485" xr:uid="{5FFD2786-6BE2-45C8-A599-9022E528B51F}"/>
    <cellStyle name="Vírgula 4 2 5 3 7" xfId="26991" xr:uid="{7F5188A2-250B-471D-99DA-375E0D616D9A}"/>
    <cellStyle name="Vírgula 4 2 5 3 8" xfId="48989" xr:uid="{4024A903-3645-44B7-89A9-2BEDF2B9EE82}"/>
    <cellStyle name="Vírgula 4 2 5 3 9" xfId="50659" xr:uid="{91D11961-2FF6-4A64-918F-1CDFC3C57AA3}"/>
    <cellStyle name="Vírgula 4 2 5 4" xfId="1428" xr:uid="{2C21B867-E022-4B41-982B-4B6A20F6EEB6}"/>
    <cellStyle name="Vírgula 4 2 5 4 10" xfId="53955" xr:uid="{E26FF09D-9F20-4505-89DE-6901A4D7C8A2}"/>
    <cellStyle name="Vírgula 4 2 5 4 11" xfId="7807" xr:uid="{CA121DCE-094B-49E5-9F5A-CB958E646625}"/>
    <cellStyle name="Vírgula 4 2 5 4 2" xfId="3089" xr:uid="{AD451935-785A-4395-9DC2-56F558848940}"/>
    <cellStyle name="Vírgula 4 2 5 4 2 2" xfId="38432" xr:uid="{41427696-2CEE-48B7-B7BF-1F28A45578D5}"/>
    <cellStyle name="Vírgula 4 2 5 4 2 3" xfId="52292" xr:uid="{84E810FA-474B-4941-A35B-C3D675AB5D82}"/>
    <cellStyle name="Vírgula 4 2 5 4 2 4" xfId="55586" xr:uid="{F6D624A6-E7F6-4073-8150-3E0BF84AC25C}"/>
    <cellStyle name="Vírgula 4 2 5 4 2 5" xfId="18092" xr:uid="{7B0F8A44-6D4A-4C4A-8671-1AE0383F9FFE}"/>
    <cellStyle name="Vírgula 4 2 5 4 3" xfId="21594" xr:uid="{CA96CA8E-3194-4617-BA7F-22DED985DCAF}"/>
    <cellStyle name="Vírgula 4 2 5 4 3 2" xfId="41933" xr:uid="{6E2E718A-F1DE-49F2-AE10-183202654F8A}"/>
    <cellStyle name="Vírgula 4 2 5 4 3 3" xfId="57299" xr:uid="{25AAFB40-48EB-40A6-ADC7-4E95D18C379F}"/>
    <cellStyle name="Vírgula 4 2 5 4 4" xfId="24849" xr:uid="{A7E43DC6-3D03-4818-9E17-1BDA2F2B5F14}"/>
    <cellStyle name="Vírgula 4 2 5 4 4 2" xfId="45184" xr:uid="{AE3400B7-C9BA-494E-B905-B702FF962DBA}"/>
    <cellStyle name="Vírgula 4 2 5 4 5" xfId="15184" xr:uid="{D9C66A68-6FF7-4C9E-905B-8B71858FFCFE}"/>
    <cellStyle name="Vírgula 4 2 5 4 5 2" xfId="35524" xr:uid="{71980879-A4ED-4914-9D2E-721CBB3C5CB2}"/>
    <cellStyle name="Vírgula 4 2 5 4 6" xfId="11305" xr:uid="{76DBC39E-6C3A-45D1-B57F-74E25F14C800}"/>
    <cellStyle name="Vírgula 4 2 5 4 6 2" xfId="31648" xr:uid="{CA61A33D-E3F8-4481-AA42-3389AFED3576}"/>
    <cellStyle name="Vírgula 4 2 5 4 7" xfId="28154" xr:uid="{205EBA0C-A58B-42B0-AC10-BF0914E366C0}"/>
    <cellStyle name="Vírgula 4 2 5 4 8" xfId="48990" xr:uid="{8ACDD432-4EC1-4000-86E9-331A65FF5F6A}"/>
    <cellStyle name="Vírgula 4 2 5 4 9" xfId="50660" xr:uid="{99DD1C53-8724-4558-B892-5BA9259F0E10}"/>
    <cellStyle name="Vírgula 4 2 5 5" xfId="615" xr:uid="{228F1054-DA65-4904-BBDA-9A31E16E1CDF}"/>
    <cellStyle name="Vírgula 4 2 5 5 10" xfId="8290" xr:uid="{B7D8000C-5DDD-45B7-8F9E-96497D3936F4}"/>
    <cellStyle name="Vírgula 4 2 5 5 2" xfId="2331" xr:uid="{B353C2FE-5595-45FD-B44E-A0C5975A3076}"/>
    <cellStyle name="Vírgula 4 2 5 5 2 2" xfId="42413" xr:uid="{DA48D15D-63C0-46A0-8D05-96D2CE5C02F2}"/>
    <cellStyle name="Vírgula 4 2 5 5 2 3" xfId="52293" xr:uid="{7A3A811C-B1CF-4AC1-8F40-F884CB8DABB5}"/>
    <cellStyle name="Vírgula 4 2 5 5 2 4" xfId="55587" xr:uid="{BAD9A137-0F8F-4A30-9534-D3DC7FB7E63E}"/>
    <cellStyle name="Vírgula 4 2 5 5 2 5" xfId="22077" xr:uid="{A18B8E87-0571-40DF-ABBF-07B39DB89EBB}"/>
    <cellStyle name="Vírgula 4 2 5 5 3" xfId="25329" xr:uid="{D7BE9FEF-6A00-4D1A-B4C8-4CF217BA670B}"/>
    <cellStyle name="Vírgula 4 2 5 5 3 2" xfId="45664" xr:uid="{8584B08C-A600-4E03-9C28-FCDC98407B87}"/>
    <cellStyle name="Vírgula 4 2 5 5 3 3" xfId="56486" xr:uid="{1E0871B8-AF32-4925-9C70-B90A8149EDF6}"/>
    <cellStyle name="Vírgula 4 2 5 5 4" xfId="12874" xr:uid="{68894BE6-4717-41A9-9B4C-C0C362F59168}"/>
    <cellStyle name="Vírgula 4 2 5 5 4 2" xfId="33215" xr:uid="{499A9954-D638-41ED-86DE-0BC9F7249D3F}"/>
    <cellStyle name="Vírgula 4 2 5 5 5" xfId="11786" xr:uid="{5D84B663-69DF-403B-B4FB-7605E9CC2DDD}"/>
    <cellStyle name="Vírgula 4 2 5 5 5 2" xfId="32128" xr:uid="{1EABC19B-AFF0-47D1-970A-38851B03B153}"/>
    <cellStyle name="Vírgula 4 2 5 5 6" xfId="28634" xr:uid="{2350D05F-C020-48CC-BE74-0057AACA27FA}"/>
    <cellStyle name="Vírgula 4 2 5 5 7" xfId="48991" xr:uid="{41B26BD1-FBF3-4399-BBC5-C19D10293438}"/>
    <cellStyle name="Vírgula 4 2 5 5 8" xfId="50661" xr:uid="{E243E96D-70EE-42D8-B48E-81B01C6CBC70}"/>
    <cellStyle name="Vírgula 4 2 5 5 9" xfId="53956" xr:uid="{0B9519E7-55C5-445A-9FFD-FA415ABE1C1A}"/>
    <cellStyle name="Vírgula 4 2 5 6" xfId="3604" xr:uid="{E6B2A44C-6901-41B6-9732-131C3C00B702}"/>
    <cellStyle name="Vírgula 4 2 5 6 2" xfId="36111" xr:uid="{2DC4FA3F-4D72-4395-A417-02EC32B44828}"/>
    <cellStyle name="Vírgula 4 2 5 6 3" xfId="52286" xr:uid="{AE90ECB8-53C9-481C-9966-94B3418E10C1}"/>
    <cellStyle name="Vírgula 4 2 5 6 4" xfId="55580" xr:uid="{A293EF7E-E9FC-4B74-BFF0-6F4B9D4DDA56}"/>
    <cellStyle name="Vírgula 4 2 5 6 5" xfId="15771" xr:uid="{DE194B88-9A78-42CF-BE9A-454E0409E5CB}"/>
    <cellStyle name="Vírgula 4 2 5 7" xfId="3999" xr:uid="{110DDFC4-C61C-4D16-8415-7EE095C2C023}"/>
    <cellStyle name="Vírgula 4 2 5 7 2" xfId="39025" xr:uid="{14393903-C0E8-4089-A046-0F66457ACD9B}"/>
    <cellStyle name="Vírgula 4 2 5 7 3" xfId="56077" xr:uid="{8C005E71-A5DE-464E-A805-70851DD74EBD}"/>
    <cellStyle name="Vírgula 4 2 5 7 4" xfId="18685" xr:uid="{89E40028-AC5D-4481-B2CB-08A009F5A5AB}"/>
    <cellStyle name="Vírgula 4 2 5 8" xfId="1953" xr:uid="{0D64A89D-0C67-47F1-B920-34D2FF3ABA2E}"/>
    <cellStyle name="Vírgula 4 2 5 8 2" xfId="39612" xr:uid="{7114CE02-87F2-4869-AEC7-D330D1507260}"/>
    <cellStyle name="Vírgula 4 2 5 8 3" xfId="19273" xr:uid="{0CDA26B6-DFB0-477F-9758-759AE3AB5294}"/>
    <cellStyle name="Vírgula 4 2 5 9" xfId="22528" xr:uid="{F5CE887D-7356-46DF-BDE4-A814E6B40261}"/>
    <cellStyle name="Vírgula 4 2 5 9 2" xfId="42863" xr:uid="{4C1043F1-331B-4805-92A7-D8F5916B9B47}"/>
    <cellStyle name="Vírgula 4 2 6" xfId="258" xr:uid="{9162C0AD-FB6C-4888-8A8E-7F1AF6CAEF60}"/>
    <cellStyle name="Vírgula 4 2 6 10" xfId="12320" xr:uid="{90E526A8-2E0C-4CAF-8A09-D78077CF6E5E}"/>
    <cellStyle name="Vírgula 4 2 6 10 2" xfId="32661" xr:uid="{47B12668-D025-4B94-836C-DC4622CC6109}"/>
    <cellStyle name="Vírgula 4 2 6 11" xfId="9059" xr:uid="{7E5A5ACB-102E-462B-A8A1-E87366C4EB48}"/>
    <cellStyle name="Vírgula 4 2 6 11 2" xfId="29402" xr:uid="{294A9964-B9A0-4CBF-81C7-0BD154D67350}"/>
    <cellStyle name="Vírgula 4 2 6 12" xfId="25908" xr:uid="{FD17934D-0731-42A0-ACC5-8C3336CCCC47}"/>
    <cellStyle name="Vírgula 4 2 6 13" xfId="48992" xr:uid="{87CA1668-6900-4EBD-8E5D-454D48419399}"/>
    <cellStyle name="Vírgula 4 2 6 14" xfId="50662" xr:uid="{8D46976F-7D7C-46EB-85BC-E038DA7CF7D7}"/>
    <cellStyle name="Vírgula 4 2 6 15" xfId="53957" xr:uid="{B9CA57FE-82BA-4CBF-BDA9-B6060CE0C3C1}"/>
    <cellStyle name="Vírgula 4 2 6 16" xfId="5569" xr:uid="{94D0B10F-64D1-44E5-83C5-CFD7424B3FA3}"/>
    <cellStyle name="Vírgula 4 2 6 17" xfId="4539" xr:uid="{6F37C88C-0A71-4AE6-9A76-C67C76E2B4E6}"/>
    <cellStyle name="Vírgula 4 2 6 2" xfId="447" xr:uid="{1012CF9E-BED4-48F9-8C8E-2F2B8C595335}"/>
    <cellStyle name="Vírgula 4 2 6 2 10" xfId="50663" xr:uid="{251F38F9-A58B-4E2E-BF31-356972D985C8}"/>
    <cellStyle name="Vírgula 4 2 6 2 11" xfId="53958" xr:uid="{F4128675-B3F2-4557-A18F-1F927A57C7F9}"/>
    <cellStyle name="Vírgula 4 2 6 2 12" xfId="6141" xr:uid="{F2F34F6F-788C-4BD9-A1EC-D16B3E3440B8}"/>
    <cellStyle name="Vírgula 4 2 6 2 13" xfId="4728" xr:uid="{406CF18A-2C93-48DF-8225-3D29FC58768F}"/>
    <cellStyle name="Vírgula 4 2 6 2 2" xfId="1263" xr:uid="{874FC9E3-824F-4995-A315-4355D0BBEB5A}"/>
    <cellStyle name="Vírgula 4 2 6 2 2 10" xfId="53959" xr:uid="{141D0F25-BEB2-4273-BD7A-48CA5EDD765C}"/>
    <cellStyle name="Vírgula 4 2 6 2 2 11" xfId="7299" xr:uid="{35842582-EAD2-49A8-9600-5F784D98F3CC}"/>
    <cellStyle name="Vírgula 4 2 6 2 2 2" xfId="2924" xr:uid="{3AA1B83C-28EB-4684-9D54-B5D0D62C53DF}"/>
    <cellStyle name="Vírgula 4 2 6 2 2 2 2" xfId="37925" xr:uid="{9553CDB8-4353-42DD-BF01-6360A27B88C2}"/>
    <cellStyle name="Vírgula 4 2 6 2 2 2 3" xfId="52296" xr:uid="{6D6F8648-9EAB-4A6E-AC45-011765D4A511}"/>
    <cellStyle name="Vírgula 4 2 6 2 2 2 4" xfId="55590" xr:uid="{CEF24923-E9C4-41EC-A13B-A753A11F89A0}"/>
    <cellStyle name="Vírgula 4 2 6 2 2 2 5" xfId="17585" xr:uid="{A333853A-1AF8-4504-9A2C-67CBD7FC4B50}"/>
    <cellStyle name="Vírgula 4 2 6 2 2 3" xfId="21087" xr:uid="{21F87C23-D2A2-4225-ACB8-2A02B898502F}"/>
    <cellStyle name="Vírgula 4 2 6 2 2 3 2" xfId="41426" xr:uid="{D643A23E-919C-421C-9351-16BC6E0CA413}"/>
    <cellStyle name="Vírgula 4 2 6 2 2 3 3" xfId="57134" xr:uid="{1E38AF2A-71A6-436D-8F8C-4CC740F64C9F}"/>
    <cellStyle name="Vírgula 4 2 6 2 2 4" xfId="24342" xr:uid="{97018519-FA92-4428-B044-AB61788FD1D9}"/>
    <cellStyle name="Vírgula 4 2 6 2 2 4 2" xfId="44677" xr:uid="{4C01983E-EBC2-46EF-813A-A8731889F697}"/>
    <cellStyle name="Vírgula 4 2 6 2 2 5" xfId="14676" xr:uid="{D43ED70F-4FEB-4527-9C5A-47B237DE8E91}"/>
    <cellStyle name="Vírgula 4 2 6 2 2 5 2" xfId="35017" xr:uid="{B3AE3DB1-E193-45F9-AC33-4C594D4774E2}"/>
    <cellStyle name="Vírgula 4 2 6 2 2 6" xfId="10798" xr:uid="{877405D9-8F22-4650-A95E-C53445ADAB0B}"/>
    <cellStyle name="Vírgula 4 2 6 2 2 6 2" xfId="31141" xr:uid="{9D1320D4-DC94-4071-942A-1B5A16BD03FE}"/>
    <cellStyle name="Vírgula 4 2 6 2 2 7" xfId="27647" xr:uid="{0487ACAF-141E-4952-97E2-2DF98D4F2C17}"/>
    <cellStyle name="Vírgula 4 2 6 2 2 8" xfId="48994" xr:uid="{6C691BFA-2861-4106-BDF5-6B793E43837F}"/>
    <cellStyle name="Vírgula 4 2 6 2 2 9" xfId="50664" xr:uid="{398763AD-3E4A-4316-BAE4-F7FF90EBA168}"/>
    <cellStyle name="Vírgula 4 2 6 2 3" xfId="1669" xr:uid="{3AA8BF3E-B9E2-4ACB-8905-ECEA8DFC9447}"/>
    <cellStyle name="Vírgula 4 2 6 2 3 2" xfId="3329" xr:uid="{CE5AA3BA-77E4-4652-9B02-1B0015157446}"/>
    <cellStyle name="Vírgula 4 2 6 2 3 2 2" xfId="52297" xr:uid="{3F4A8278-D715-493C-94C5-B2E0F592D676}"/>
    <cellStyle name="Vírgula 4 2 6 2 3 2 3" xfId="55591" xr:uid="{FBDEAE7D-AA3C-442A-83AC-58C5A3ED83E6}"/>
    <cellStyle name="Vírgula 4 2 6 2 3 2 4" xfId="36767" xr:uid="{C07E7E98-AF7C-4B6C-AEEC-B064926BFB96}"/>
    <cellStyle name="Vírgula 4 2 6 2 3 3" xfId="48995" xr:uid="{7D039C16-78EA-40AB-875E-6D237407CAF3}"/>
    <cellStyle name="Vírgula 4 2 6 2 3 3 2" xfId="57540" xr:uid="{815E31D3-2804-43BD-BAE7-AE4A24A23CF4}"/>
    <cellStyle name="Vírgula 4 2 6 2 3 4" xfId="50665" xr:uid="{9FA536E0-9415-4337-AA01-DEB6E60D3B62}"/>
    <cellStyle name="Vírgula 4 2 6 2 3 5" xfId="53960" xr:uid="{C0FEB6AD-D360-4E88-8E13-F90ECC6CFF48}"/>
    <cellStyle name="Vírgula 4 2 6 2 3 6" xfId="16427" xr:uid="{87D144E3-F49F-4F6C-B699-C727E755E582}"/>
    <cellStyle name="Vírgula 4 2 6 2 4" xfId="856" xr:uid="{623AF723-7FB9-4921-9AC1-783DEEE4BD3A}"/>
    <cellStyle name="Vírgula 4 2 6 2 4 2" xfId="2572" xr:uid="{08EA9457-4E01-4D07-AB9C-1FEE9FAFED58}"/>
    <cellStyle name="Vírgula 4 2 6 2 4 2 2" xfId="52298" xr:uid="{9094644B-2F0E-4884-BE29-A614F4048F30}"/>
    <cellStyle name="Vírgula 4 2 6 2 4 2 3" xfId="55592" xr:uid="{C0BCB511-C17D-4D7A-B6D7-AD89ABD994F8}"/>
    <cellStyle name="Vírgula 4 2 6 2 4 2 4" xfId="40268" xr:uid="{9A627CFB-4924-4ABD-97C9-0A79788A5423}"/>
    <cellStyle name="Vírgula 4 2 6 2 4 3" xfId="48996" xr:uid="{60DC1A1A-9C1B-457E-99CA-F8AA6F7DD2D4}"/>
    <cellStyle name="Vírgula 4 2 6 2 4 3 2" xfId="56727" xr:uid="{42877BA2-6F2B-467C-968D-CF90CE43231E}"/>
    <cellStyle name="Vírgula 4 2 6 2 4 4" xfId="50666" xr:uid="{215F1751-481A-40B8-8A72-47EE2DFBC517}"/>
    <cellStyle name="Vírgula 4 2 6 2 4 5" xfId="53961" xr:uid="{8AF2062C-96AC-46EC-BE64-AC426DD9F2C5}"/>
    <cellStyle name="Vírgula 4 2 6 2 4 6" xfId="19929" xr:uid="{43FB5CA0-5D28-4D4F-8598-7FFF4D7204B9}"/>
    <cellStyle name="Vírgula 4 2 6 2 5" xfId="2165" xr:uid="{7881B9F6-56DA-456C-84B7-285F074C8A89}"/>
    <cellStyle name="Vírgula 4 2 6 2 5 2" xfId="43519" xr:uid="{9331E767-DAB8-4815-8B0C-89B44CD1BA98}"/>
    <cellStyle name="Vírgula 4 2 6 2 5 3" xfId="52295" xr:uid="{3E209C93-F9BB-4C7A-823F-90CBFDF6AE7F}"/>
    <cellStyle name="Vírgula 4 2 6 2 5 4" xfId="55589" xr:uid="{C44AB0B1-5CAD-4160-B2B4-18FE40D8E484}"/>
    <cellStyle name="Vírgula 4 2 6 2 5 5" xfId="23184" xr:uid="{1B84AB16-4E48-49F8-87DA-F87E44B8747E}"/>
    <cellStyle name="Vírgula 4 2 6 2 6" xfId="13518" xr:uid="{AED8F13D-BDB8-4B09-AB59-D8C41AAC4388}"/>
    <cellStyle name="Vírgula 4 2 6 2 6 2" xfId="33859" xr:uid="{14BBC14C-9238-4AAA-8352-AE9E054919B0}"/>
    <cellStyle name="Vírgula 4 2 6 2 6 3" xfId="56318" xr:uid="{1024056C-01AB-4474-A0DF-0A9A782D9C20}"/>
    <cellStyle name="Vírgula 4 2 6 2 7" xfId="9640" xr:uid="{4E292D89-7A22-4120-B88E-C1246A097FC7}"/>
    <cellStyle name="Vírgula 4 2 6 2 7 2" xfId="29983" xr:uid="{3CB69A44-9145-47EE-8E70-B0790646C574}"/>
    <cellStyle name="Vírgula 4 2 6 2 8" xfId="26489" xr:uid="{0F9E1038-AA83-4326-839B-DF3A559BB4F9}"/>
    <cellStyle name="Vírgula 4 2 6 2 9" xfId="48993" xr:uid="{DACCAF1D-447F-4265-8EA7-266D9B0ABBFB}"/>
    <cellStyle name="Vírgula 4 2 6 3" xfId="1074" xr:uid="{F1D225BD-6C00-41C6-9E74-BCFD7BD0464D}"/>
    <cellStyle name="Vírgula 4 2 6 3 10" xfId="53962" xr:uid="{61F90004-081F-4C24-BC04-3C7DDAB4643B}"/>
    <cellStyle name="Vírgula 4 2 6 3 11" xfId="6718" xr:uid="{C682DC76-1BD4-4B6A-B73B-FB1F6ED1BEE2}"/>
    <cellStyle name="Vírgula 4 2 6 3 2" xfId="2738" xr:uid="{87F3E4AC-0672-4789-B095-08694CF021B5}"/>
    <cellStyle name="Vírgula 4 2 6 3 2 2" xfId="37344" xr:uid="{C7C3EECF-D55F-479E-AEA3-21F2B1200F9C}"/>
    <cellStyle name="Vírgula 4 2 6 3 2 3" xfId="52299" xr:uid="{BEEFD34E-7B4A-4E62-98C5-20BD0FFB61C1}"/>
    <cellStyle name="Vírgula 4 2 6 3 2 4" xfId="55593" xr:uid="{E8F63CA4-C27E-42B6-A806-17913EADB593}"/>
    <cellStyle name="Vírgula 4 2 6 3 2 5" xfId="17004" xr:uid="{0C38C9A0-A0C3-47B6-B892-7D3EA8D0EA62}"/>
    <cellStyle name="Vírgula 4 2 6 3 3" xfId="20506" xr:uid="{03763BCF-075F-4010-9AE0-07A96CC2ED0A}"/>
    <cellStyle name="Vírgula 4 2 6 3 3 2" xfId="40845" xr:uid="{D46D752D-C9FC-4674-9CDF-B2ADB6A85284}"/>
    <cellStyle name="Vírgula 4 2 6 3 3 3" xfId="56945" xr:uid="{C9FC80F4-9C93-4DD2-B7A8-C0602CD43433}"/>
    <cellStyle name="Vírgula 4 2 6 3 4" xfId="23761" xr:uid="{A4535F69-A8E0-4CB8-B958-9BF96D950137}"/>
    <cellStyle name="Vírgula 4 2 6 3 4 2" xfId="44096" xr:uid="{E2CC44E8-A5D9-4DA3-8EF2-168D182CF342}"/>
    <cellStyle name="Vírgula 4 2 6 3 5" xfId="14095" xr:uid="{4137FDFB-2C4A-4E55-AE43-C168CCEFDCE8}"/>
    <cellStyle name="Vírgula 4 2 6 3 5 2" xfId="34436" xr:uid="{C4D2470F-C47F-49A7-B412-F930BCCE9BBE}"/>
    <cellStyle name="Vírgula 4 2 6 3 6" xfId="10217" xr:uid="{E6D19918-BC48-417A-A721-8B711935C3DE}"/>
    <cellStyle name="Vírgula 4 2 6 3 6 2" xfId="30560" xr:uid="{7AE90EA3-C1DA-4EB3-8C06-5F503736A50C}"/>
    <cellStyle name="Vírgula 4 2 6 3 7" xfId="27066" xr:uid="{4EAF2B34-B9AF-4B7B-B10C-7EE9D50CCBBC}"/>
    <cellStyle name="Vírgula 4 2 6 3 8" xfId="48997" xr:uid="{29C72F1A-082B-4FD4-81C1-64F0FD675CED}"/>
    <cellStyle name="Vírgula 4 2 6 3 9" xfId="50667" xr:uid="{2E9E612D-1933-4BA6-90C5-F6275C4F777E}"/>
    <cellStyle name="Vírgula 4 2 6 4" xfId="1480" xr:uid="{348055E1-1C1E-4BF2-B48D-2CD7D2195A52}"/>
    <cellStyle name="Vírgula 4 2 6 4 10" xfId="53963" xr:uid="{CECD2F1C-21D8-4D21-918E-65291C4E9353}"/>
    <cellStyle name="Vírgula 4 2 6 4 11" xfId="7882" xr:uid="{C15EDE12-68CA-4447-A5AD-D1F262D19A90}"/>
    <cellStyle name="Vírgula 4 2 6 4 2" xfId="3141" xr:uid="{6639C456-6451-458C-B2DB-2345E695C341}"/>
    <cellStyle name="Vírgula 4 2 6 4 2 2" xfId="38507" xr:uid="{BE22A544-2192-48D4-B882-F9955AE0040D}"/>
    <cellStyle name="Vírgula 4 2 6 4 2 3" xfId="52300" xr:uid="{0626981A-8A87-47FA-B8E2-D5FF5DFA89E6}"/>
    <cellStyle name="Vírgula 4 2 6 4 2 4" xfId="55594" xr:uid="{20C7E6D4-D025-46E2-BD9E-DED73F606B1B}"/>
    <cellStyle name="Vírgula 4 2 6 4 2 5" xfId="18167" xr:uid="{F627A906-507C-454F-A8CF-E465EC61296A}"/>
    <cellStyle name="Vírgula 4 2 6 4 3" xfId="21669" xr:uid="{50D29E2B-4ABD-4196-B9F2-4F09C096A776}"/>
    <cellStyle name="Vírgula 4 2 6 4 3 2" xfId="42008" xr:uid="{4B656210-FE66-4B26-A387-63D6C47A33D6}"/>
    <cellStyle name="Vírgula 4 2 6 4 3 3" xfId="57351" xr:uid="{4C3C52E9-894C-4D06-8E5C-AE1065291E92}"/>
    <cellStyle name="Vírgula 4 2 6 4 4" xfId="24924" xr:uid="{45A4CC6B-854B-4148-B381-7A610601E550}"/>
    <cellStyle name="Vírgula 4 2 6 4 4 2" xfId="45259" xr:uid="{FA5C4165-EE7B-4903-88C3-34F258492391}"/>
    <cellStyle name="Vírgula 4 2 6 4 5" xfId="15259" xr:uid="{FE93BA8A-F47C-44E0-9896-077B26BF3B8D}"/>
    <cellStyle name="Vírgula 4 2 6 4 5 2" xfId="35599" xr:uid="{74AE16A5-FA3B-46AA-BFDF-73CDE26C1004}"/>
    <cellStyle name="Vírgula 4 2 6 4 6" xfId="11380" xr:uid="{14022AD2-0CB8-4A0C-AFE4-C23149A9D709}"/>
    <cellStyle name="Vírgula 4 2 6 4 6 2" xfId="31723" xr:uid="{99B0440F-8DCA-4D35-A763-DE2C5A442590}"/>
    <cellStyle name="Vírgula 4 2 6 4 7" xfId="28229" xr:uid="{6936C7CD-6A2B-47B0-8DFC-CB7B6B526897}"/>
    <cellStyle name="Vírgula 4 2 6 4 8" xfId="48998" xr:uid="{97D498E6-7E54-4FC3-ACAF-0087EC564B1A}"/>
    <cellStyle name="Vírgula 4 2 6 4 9" xfId="50668" xr:uid="{346AA676-B7F3-47D1-8351-3926BC419A61}"/>
    <cellStyle name="Vírgula 4 2 6 5" xfId="667" xr:uid="{E1A702AF-56CC-4698-A6B6-17C20CD47375}"/>
    <cellStyle name="Vírgula 4 2 6 5 2" xfId="2383" xr:uid="{1762C650-A335-4522-867E-701BF7B684E2}"/>
    <cellStyle name="Vírgula 4 2 6 5 2 2" xfId="52301" xr:uid="{BB1A4FD1-EFE5-4055-B331-3B045A965E22}"/>
    <cellStyle name="Vírgula 4 2 6 5 2 3" xfId="55595" xr:uid="{8AC59FE3-5AF3-410F-9890-3335E5900844}"/>
    <cellStyle name="Vírgula 4 2 6 5 2 4" xfId="33290" xr:uid="{73FC09B0-D602-476D-84F6-B7F979D8A3C7}"/>
    <cellStyle name="Vírgula 4 2 6 5 3" xfId="48999" xr:uid="{7E90A5D5-CD89-4A5E-A102-12538CD1C8DD}"/>
    <cellStyle name="Vírgula 4 2 6 5 3 2" xfId="56538" xr:uid="{E68B3569-327A-4404-AF8A-50D3B5E6894F}"/>
    <cellStyle name="Vírgula 4 2 6 5 4" xfId="50669" xr:uid="{3F79FF1F-AE48-4FBF-9665-833312349023}"/>
    <cellStyle name="Vírgula 4 2 6 5 5" xfId="53964" xr:uid="{339B755F-F019-4592-B72C-3519428E7AC0}"/>
    <cellStyle name="Vírgula 4 2 6 5 6" xfId="12949" xr:uid="{123C6146-CC8A-4C54-ACEB-717DC9EFD013}"/>
    <cellStyle name="Vírgula 4 2 6 6" xfId="3494" xr:uid="{D7BD84F6-4CEF-43C0-95CD-FF243776E587}"/>
    <cellStyle name="Vírgula 4 2 6 6 2" xfId="36186" xr:uid="{4285C99A-A05D-4DD4-AB32-2F53C200A72C}"/>
    <cellStyle name="Vírgula 4 2 6 6 3" xfId="52294" xr:uid="{4AB0C848-50DE-42A9-9CBF-31BE6BEBA32B}"/>
    <cellStyle name="Vírgula 4 2 6 6 4" xfId="55588" xr:uid="{B238C6B0-7F51-4061-99BD-0C67BBEAEF42}"/>
    <cellStyle name="Vírgula 4 2 6 6 5" xfId="15846" xr:uid="{DF7D06C5-C2DD-4B22-B06A-B1D4CEA9AE7B}"/>
    <cellStyle name="Vírgula 4 2 6 7" xfId="4171" xr:uid="{ADD447F7-9946-4E18-BCB7-32CE65F312D1}"/>
    <cellStyle name="Vírgula 4 2 6 7 2" xfId="39100" xr:uid="{6EA5E361-A946-4331-98E3-AD2CAD436BA2}"/>
    <cellStyle name="Vírgula 4 2 6 7 3" xfId="56129" xr:uid="{5B72FF9B-127D-448C-8036-D1A1954348A9}"/>
    <cellStyle name="Vírgula 4 2 6 7 4" xfId="18760" xr:uid="{FC587028-E1D5-486E-843A-1BD8E56D0E50}"/>
    <cellStyle name="Vírgula 4 2 6 8" xfId="1843" xr:uid="{33D44074-88EF-4271-9886-72547C496BFD}"/>
    <cellStyle name="Vírgula 4 2 6 8 2" xfId="39687" xr:uid="{3C1BF930-AD12-495A-8E59-97C2ED14FBED}"/>
    <cellStyle name="Vírgula 4 2 6 8 3" xfId="19348" xr:uid="{0FD37200-F5B2-4947-A2F1-429BFD2D141C}"/>
    <cellStyle name="Vírgula 4 2 6 9" xfId="22603" xr:uid="{1307A2D4-410B-4B13-B084-7C6EFB747BB0}"/>
    <cellStyle name="Vírgula 4 2 6 9 2" xfId="42938" xr:uid="{1E6D9EAE-0ABB-447E-B687-A692ABB81AD3}"/>
    <cellStyle name="Vírgula 4 2 7" xfId="313" xr:uid="{F2142DEB-84E4-4349-B7EE-0C1AA544E2CA}"/>
    <cellStyle name="Vírgula 4 2 7 10" xfId="12418" xr:uid="{FF26F42C-6BF9-456C-9FED-C01A5AC77696}"/>
    <cellStyle name="Vírgula 4 2 7 10 2" xfId="32759" xr:uid="{440F6107-0B52-45B7-A190-B703CBD4C61F}"/>
    <cellStyle name="Vírgula 4 2 7 11" xfId="9157" xr:uid="{446672F7-EEC2-4896-9057-AA59C2C07017}"/>
    <cellStyle name="Vírgula 4 2 7 11 2" xfId="29500" xr:uid="{963817F3-CF34-4949-90CE-A806EBA9A811}"/>
    <cellStyle name="Vírgula 4 2 7 12" xfId="26006" xr:uid="{66FEA063-C6C3-4232-8508-27B0AFA3E7AD}"/>
    <cellStyle name="Vírgula 4 2 7 13" xfId="49000" xr:uid="{69167C79-7B16-4BBB-935B-4189BEF255BB}"/>
    <cellStyle name="Vírgula 4 2 7 14" xfId="50670" xr:uid="{AB221D15-268B-4A22-874A-DB83ED011D85}"/>
    <cellStyle name="Vírgula 4 2 7 15" xfId="53965" xr:uid="{7F641071-2D82-45A9-83C2-89F4DCA81F21}"/>
    <cellStyle name="Vírgula 4 2 7 16" xfId="5667" xr:uid="{A80C12BC-CAC6-4D9C-9840-8E40BCD68CA7}"/>
    <cellStyle name="Vírgula 4 2 7 17" xfId="4594" xr:uid="{DC8092B5-DBB6-435D-A391-175C3C121C56}"/>
    <cellStyle name="Vírgula 4 2 7 2" xfId="1129" xr:uid="{41904A7C-C527-4888-BE3B-6CB06F04BA7D}"/>
    <cellStyle name="Vírgula 4 2 7 2 10" xfId="50671" xr:uid="{3601AE34-E802-4B4D-870E-403A43C3FD5E}"/>
    <cellStyle name="Vírgula 4 2 7 2 11" xfId="53966" xr:uid="{267C3710-B51D-459E-90B9-FCCC1775FE7C}"/>
    <cellStyle name="Vírgula 4 2 7 2 12" xfId="6239" xr:uid="{1EC93A94-3FB0-4BB1-9FC0-D6E81AC9DEFF}"/>
    <cellStyle name="Vírgula 4 2 7 2 2" xfId="2791" xr:uid="{3CC0A30D-F03F-40E5-901C-661850FCAD40}"/>
    <cellStyle name="Vírgula 4 2 7 2 2 10" xfId="7397" xr:uid="{58D886B8-C6F0-421C-A488-D5CC4517083A}"/>
    <cellStyle name="Vírgula 4 2 7 2 2 2" xfId="17683" xr:uid="{A6BC7670-816E-4E78-A029-E4903BE51111}"/>
    <cellStyle name="Vírgula 4 2 7 2 2 2 2" xfId="38023" xr:uid="{F9810D87-A0BB-4EF0-ADDD-EDA0E906EA9F}"/>
    <cellStyle name="Vírgula 4 2 7 2 2 3" xfId="21185" xr:uid="{210B5DED-FEFB-4378-B54E-61FAD6D3E519}"/>
    <cellStyle name="Vírgula 4 2 7 2 2 3 2" xfId="41524" xr:uid="{44B81634-424C-4973-8A01-942A575C756B}"/>
    <cellStyle name="Vírgula 4 2 7 2 2 4" xfId="24440" xr:uid="{E365D490-930F-4C0B-8703-0976E0A28290}"/>
    <cellStyle name="Vírgula 4 2 7 2 2 4 2" xfId="44775" xr:uid="{190396D8-B1D7-49B6-A7B1-A80922AA9DA0}"/>
    <cellStyle name="Vírgula 4 2 7 2 2 5" xfId="14774" xr:uid="{44F1F1E3-9295-435D-9946-2B4BA63B7E39}"/>
    <cellStyle name="Vírgula 4 2 7 2 2 5 2" xfId="35115" xr:uid="{3298DCE1-2623-4599-A1B8-D89BC9243831}"/>
    <cellStyle name="Vírgula 4 2 7 2 2 6" xfId="10896" xr:uid="{C3B6E377-4747-4B2F-8390-BF1EDB959D82}"/>
    <cellStyle name="Vírgula 4 2 7 2 2 6 2" xfId="31239" xr:uid="{85B8006F-0DFA-4644-8A28-5682C6917ED5}"/>
    <cellStyle name="Vírgula 4 2 7 2 2 7" xfId="27745" xr:uid="{22A1992D-D9CD-4A71-8FF3-16A4DD34B5E2}"/>
    <cellStyle name="Vírgula 4 2 7 2 2 8" xfId="52303" xr:uid="{ED3591C0-E8A9-4A78-9B50-FAC56DFE72E5}"/>
    <cellStyle name="Vírgula 4 2 7 2 2 9" xfId="55597" xr:uid="{CB005794-578A-4720-B5C9-58A2070F827C}"/>
    <cellStyle name="Vírgula 4 2 7 2 3" xfId="16525" xr:uid="{B6F9F211-D5F5-4D48-B884-CB5C47D7AAD5}"/>
    <cellStyle name="Vírgula 4 2 7 2 3 2" xfId="36865" xr:uid="{9E6A52FD-E063-48A9-A36F-62DF7A644346}"/>
    <cellStyle name="Vírgula 4 2 7 2 3 3" xfId="57000" xr:uid="{AE740592-58F8-4206-AA03-FE89A9BB5C0D}"/>
    <cellStyle name="Vírgula 4 2 7 2 4" xfId="20027" xr:uid="{5B6386FD-64A5-4247-A9B0-D07548188759}"/>
    <cellStyle name="Vírgula 4 2 7 2 4 2" xfId="40366" xr:uid="{A4A3776E-1A41-400F-84B4-89090B7B8545}"/>
    <cellStyle name="Vírgula 4 2 7 2 5" xfId="23282" xr:uid="{BEDEC266-DBEE-4E45-B9DD-11136C6BA5AE}"/>
    <cellStyle name="Vírgula 4 2 7 2 5 2" xfId="43617" xr:uid="{74C8979D-079C-441D-BEC8-C6C06BC41A64}"/>
    <cellStyle name="Vírgula 4 2 7 2 6" xfId="13616" xr:uid="{4792ECCE-446E-4351-9A4A-F016C344A348}"/>
    <cellStyle name="Vírgula 4 2 7 2 6 2" xfId="33957" xr:uid="{64AC5F28-4052-4CD0-B233-A2F8A294A6C7}"/>
    <cellStyle name="Vírgula 4 2 7 2 7" xfId="9738" xr:uid="{F9F0DC94-966F-4356-BB41-92D5F5A65F3F}"/>
    <cellStyle name="Vírgula 4 2 7 2 7 2" xfId="30081" xr:uid="{AB753643-D843-49ED-841C-F4C49401B386}"/>
    <cellStyle name="Vírgula 4 2 7 2 8" xfId="26587" xr:uid="{79DAEF0E-1ECE-4D94-9FE4-22DD0F7B93E2}"/>
    <cellStyle name="Vírgula 4 2 7 2 9" xfId="49001" xr:uid="{194AC44F-622A-4946-B47C-1C371A8B277C}"/>
    <cellStyle name="Vírgula 4 2 7 3" xfId="1535" xr:uid="{D6E8582C-55CE-42E7-9006-9560DED7DEFE}"/>
    <cellStyle name="Vírgula 4 2 7 3 10" xfId="53967" xr:uid="{143A7B2D-5952-4FDA-9AFB-68979B8F63AA}"/>
    <cellStyle name="Vírgula 4 2 7 3 11" xfId="6816" xr:uid="{03BA6080-E474-4B39-AF71-F040DBFE7A9C}"/>
    <cellStyle name="Vírgula 4 2 7 3 2" xfId="3196" xr:uid="{901F1F98-EB43-468F-9121-C35BA59C7C5D}"/>
    <cellStyle name="Vírgula 4 2 7 3 2 2" xfId="37442" xr:uid="{A86400DD-25C8-4A28-B3EB-4F1C527A2AD8}"/>
    <cellStyle name="Vírgula 4 2 7 3 2 3" xfId="52304" xr:uid="{BC97F1E4-FE4A-4367-B7EE-53EF8C55B8EF}"/>
    <cellStyle name="Vírgula 4 2 7 3 2 4" xfId="55598" xr:uid="{61A580D0-25A7-4681-8F6E-B6BDE1A32ED9}"/>
    <cellStyle name="Vírgula 4 2 7 3 2 5" xfId="17102" xr:uid="{427C252A-A6B0-46F0-BC9E-8E85100AB74A}"/>
    <cellStyle name="Vírgula 4 2 7 3 3" xfId="20604" xr:uid="{10024ECA-9010-45DD-B46A-D734EA79A1D5}"/>
    <cellStyle name="Vírgula 4 2 7 3 3 2" xfId="40943" xr:uid="{05469598-209C-436F-BB77-7B9EDB900975}"/>
    <cellStyle name="Vírgula 4 2 7 3 3 3" xfId="57406" xr:uid="{4022B440-5A2D-4681-91FB-B63198966F4F}"/>
    <cellStyle name="Vírgula 4 2 7 3 4" xfId="23859" xr:uid="{96DCEECA-5674-451B-A451-21FCABD85029}"/>
    <cellStyle name="Vírgula 4 2 7 3 4 2" xfId="44194" xr:uid="{BB40B73B-4C06-464A-8BF1-BFA43317ACDD}"/>
    <cellStyle name="Vírgula 4 2 7 3 5" xfId="14193" xr:uid="{A9313168-1DBE-4690-A594-AF18BA5C1D0A}"/>
    <cellStyle name="Vírgula 4 2 7 3 5 2" xfId="34534" xr:uid="{ADDC20AD-47F6-4F1E-BB55-833740560B57}"/>
    <cellStyle name="Vírgula 4 2 7 3 6" xfId="10315" xr:uid="{AE67B508-D231-4335-A3BC-FA3405749A4D}"/>
    <cellStyle name="Vírgula 4 2 7 3 6 2" xfId="30658" xr:uid="{6B396AF8-9608-415B-89E0-EAD5D63DC414}"/>
    <cellStyle name="Vírgula 4 2 7 3 7" xfId="27164" xr:uid="{323C98B6-7F86-4C95-9381-C2E54605C774}"/>
    <cellStyle name="Vírgula 4 2 7 3 8" xfId="49002" xr:uid="{BE11774E-BB1C-4A2C-8F9D-2FCAE40E8769}"/>
    <cellStyle name="Vírgula 4 2 7 3 9" xfId="50672" xr:uid="{801349C1-21BE-46B7-86A1-7B8A3AA00848}"/>
    <cellStyle name="Vírgula 4 2 7 4" xfId="722" xr:uid="{4D06B2DB-0F4F-4798-AB56-D2DD42C74CB4}"/>
    <cellStyle name="Vírgula 4 2 7 4 10" xfId="53968" xr:uid="{417AD619-7524-4653-9B82-DEAD8CA1A68D}"/>
    <cellStyle name="Vírgula 4 2 7 4 11" xfId="7980" xr:uid="{CCA7A376-52B6-4790-B01A-8B52EDAD4573}"/>
    <cellStyle name="Vírgula 4 2 7 4 2" xfId="2438" xr:uid="{766E5261-7C10-46E7-A96E-FECEDAFEB126}"/>
    <cellStyle name="Vírgula 4 2 7 4 2 2" xfId="38605" xr:uid="{FDF08ECF-9800-4317-A510-A3531FC79FF5}"/>
    <cellStyle name="Vírgula 4 2 7 4 2 3" xfId="52305" xr:uid="{72D4E3EB-8565-4701-9060-C89E4A946609}"/>
    <cellStyle name="Vírgula 4 2 7 4 2 4" xfId="55599" xr:uid="{BB381F00-8D62-4945-86DD-E80A555AF04B}"/>
    <cellStyle name="Vírgula 4 2 7 4 2 5" xfId="18265" xr:uid="{C976C5BD-FA69-460C-B67B-BDA8F2E9473A}"/>
    <cellStyle name="Vírgula 4 2 7 4 3" xfId="21767" xr:uid="{0F2AE35A-AE7C-4102-8DD3-8E5F57E8FBD3}"/>
    <cellStyle name="Vírgula 4 2 7 4 3 2" xfId="42106" xr:uid="{12DEF390-E863-4870-AEBA-E7F0B6E2B493}"/>
    <cellStyle name="Vírgula 4 2 7 4 3 3" xfId="56593" xr:uid="{61CA60DD-6A8E-4B49-AA43-14B1C53D12D6}"/>
    <cellStyle name="Vírgula 4 2 7 4 4" xfId="25022" xr:uid="{DA672FB0-4EDE-402F-8CB7-67B79663BF87}"/>
    <cellStyle name="Vírgula 4 2 7 4 4 2" xfId="45357" xr:uid="{2FA39D9F-55A5-4B1E-A31A-E9F9DF2925C5}"/>
    <cellStyle name="Vírgula 4 2 7 4 5" xfId="15357" xr:uid="{763EE042-3880-4350-8328-956124B8DEED}"/>
    <cellStyle name="Vírgula 4 2 7 4 5 2" xfId="35697" xr:uid="{38C6FA10-766F-45E8-9C4B-2CD9D98C3241}"/>
    <cellStyle name="Vírgula 4 2 7 4 6" xfId="11478" xr:uid="{99CCE974-3E41-42E2-B15D-F2A6220240AB}"/>
    <cellStyle name="Vírgula 4 2 7 4 6 2" xfId="31821" xr:uid="{19A88521-3221-48FA-8B70-8404555F2AFC}"/>
    <cellStyle name="Vírgula 4 2 7 4 7" xfId="28327" xr:uid="{479FE4D7-C43A-487C-AD7B-97EFCBA795D1}"/>
    <cellStyle name="Vírgula 4 2 7 4 8" xfId="49003" xr:uid="{7E57C410-8585-4439-8C16-7A4E6959052E}"/>
    <cellStyle name="Vírgula 4 2 7 4 9" xfId="50673" xr:uid="{D17BD97D-97A2-49AB-8E29-2F638FA7980B}"/>
    <cellStyle name="Vírgula 4 2 7 5" xfId="3713" xr:uid="{AD5DED6E-942A-48CB-98F1-A610F270FA13}"/>
    <cellStyle name="Vírgula 4 2 7 5 2" xfId="33388" xr:uid="{F92CABEC-171B-4E24-AD49-7FAA2CD6179D}"/>
    <cellStyle name="Vírgula 4 2 7 5 3" xfId="52302" xr:uid="{DDF72004-9F3C-4E3B-9FBC-94E6EC1D9412}"/>
    <cellStyle name="Vírgula 4 2 7 5 4" xfId="55596" xr:uid="{27B029DB-82D8-4E76-B448-0B9D4034B979}"/>
    <cellStyle name="Vírgula 4 2 7 5 5" xfId="13047" xr:uid="{864181BF-83C2-473A-BCF5-57C637C3B36F}"/>
    <cellStyle name="Vírgula 4 2 7 6" xfId="2114" xr:uid="{67422941-F803-47A9-8935-511FA73727DD}"/>
    <cellStyle name="Vírgula 4 2 7 6 2" xfId="36284" xr:uid="{14EC67B7-7DA1-4966-B647-414223A2FDAA}"/>
    <cellStyle name="Vírgula 4 2 7 6 3" xfId="56184" xr:uid="{4FF20FCA-A311-41D9-A569-B4949E3ACFC0}"/>
    <cellStyle name="Vírgula 4 2 7 6 4" xfId="15944" xr:uid="{87A57F70-CD67-4278-A2F3-A8E3D403EEB1}"/>
    <cellStyle name="Vírgula 4 2 7 7" xfId="18858" xr:uid="{B9D0D171-3BB4-49D6-A908-A1E3E05F624B}"/>
    <cellStyle name="Vírgula 4 2 7 7 2" xfId="39198" xr:uid="{C688201F-C5E1-43CD-934C-EC96599F30A2}"/>
    <cellStyle name="Vírgula 4 2 7 8" xfId="19446" xr:uid="{CC82ADA5-594B-44DF-A8B4-7B2BF2BD08CC}"/>
    <cellStyle name="Vírgula 4 2 7 8 2" xfId="39785" xr:uid="{9F83928D-2DA1-4AE8-AD73-7CBD806C3554}"/>
    <cellStyle name="Vírgula 4 2 7 9" xfId="22701" xr:uid="{B026BE72-C20A-4905-BC42-6003F60F572C}"/>
    <cellStyle name="Vírgula 4 2 7 9 2" xfId="43036" xr:uid="{E9C443ED-ADDB-4C83-BF73-F18E20A07C55}"/>
    <cellStyle name="Vírgula 4 2 8" xfId="940" xr:uid="{55675DA3-A178-4AB1-8BCB-9BC0BB4E8C82}"/>
    <cellStyle name="Vírgula 4 2 8 10" xfId="49004" xr:uid="{45AE1898-E92E-4C0A-BBCC-55336DD4D954}"/>
    <cellStyle name="Vírgula 4 2 8 11" xfId="50674" xr:uid="{01F44CEE-A06F-45ED-B072-4A7BCF9B1E8B}"/>
    <cellStyle name="Vírgula 4 2 8 12" xfId="53969" xr:uid="{A7F9A6F3-7E88-4D07-97E9-F9B38C7496E5}"/>
    <cellStyle name="Vírgula 4 2 8 13" xfId="5797" xr:uid="{08BE1F95-4441-47BA-8DAA-B39C041ACF9F}"/>
    <cellStyle name="Vírgula 4 2 8 14" xfId="4801" xr:uid="{4F3F7D28-0BC9-4ECA-A1A8-54120D3A985C}"/>
    <cellStyle name="Vírgula 4 2 8 2" xfId="2655" xr:uid="{4420E2E1-1888-4F6C-9885-D2E4C8CB653F}"/>
    <cellStyle name="Vírgula 4 2 8 2 10" xfId="6955" xr:uid="{F117D03F-8191-4559-8E42-3E560CE5818D}"/>
    <cellStyle name="Vírgula 4 2 8 2 2" xfId="17241" xr:uid="{F4BE4816-E7BC-4D10-9408-A3F21AC7E29A}"/>
    <cellStyle name="Vírgula 4 2 8 2 2 2" xfId="37581" xr:uid="{8287BF65-1043-40C2-8BA7-E798030B752F}"/>
    <cellStyle name="Vírgula 4 2 8 2 3" xfId="20743" xr:uid="{252A2F85-3E95-482A-8965-077896B65B4D}"/>
    <cellStyle name="Vírgula 4 2 8 2 3 2" xfId="41082" xr:uid="{5836AAA9-6736-4DBF-B299-5E44D2EEF536}"/>
    <cellStyle name="Vírgula 4 2 8 2 4" xfId="23998" xr:uid="{82ACA9AC-867C-4597-9A6D-C7BBA535C9E1}"/>
    <cellStyle name="Vírgula 4 2 8 2 4 2" xfId="44333" xr:uid="{AADFDA91-B9B3-4C2E-8A68-4F16234E8079}"/>
    <cellStyle name="Vírgula 4 2 8 2 5" xfId="14332" xr:uid="{1D132FA5-A301-411A-B4B6-7B4E5EB54786}"/>
    <cellStyle name="Vírgula 4 2 8 2 5 2" xfId="34673" xr:uid="{795D7DB8-3F4B-48EC-A6D4-428CA8EE49EF}"/>
    <cellStyle name="Vírgula 4 2 8 2 6" xfId="10454" xr:uid="{2E8375E7-D168-49EB-A169-AA94835776B7}"/>
    <cellStyle name="Vírgula 4 2 8 2 6 2" xfId="30797" xr:uid="{D0679E21-9A14-4200-8B94-8937E3A235A2}"/>
    <cellStyle name="Vírgula 4 2 8 2 7" xfId="27303" xr:uid="{5EEC3B83-C692-495C-B8C3-E91EA589B5E3}"/>
    <cellStyle name="Vírgula 4 2 8 2 8" xfId="52306" xr:uid="{88944416-8C44-40EE-A00E-716F5AD5D522}"/>
    <cellStyle name="Vírgula 4 2 8 2 9" xfId="55600" xr:uid="{4D7ABF78-E3A3-4F74-8B84-22339CAEE802}"/>
    <cellStyle name="Vírgula 4 2 8 3" xfId="13182" xr:uid="{BDA05138-DCE8-4E67-A27B-EDFEF55A9558}"/>
    <cellStyle name="Vírgula 4 2 8 3 2" xfId="33523" xr:uid="{A2EE288C-9E12-4FF3-A0DB-98FC11636B5A}"/>
    <cellStyle name="Vírgula 4 2 8 3 3" xfId="56811" xr:uid="{7C39025E-AAFE-455C-885E-7E382D6D2EC1}"/>
    <cellStyle name="Vírgula 4 2 8 4" xfId="16083" xr:uid="{B73036E1-98BB-47D5-835C-CA5F054FAC0E}"/>
    <cellStyle name="Vírgula 4 2 8 4 2" xfId="36423" xr:uid="{C5F196C0-838E-4EAD-B612-96A3FD418C3A}"/>
    <cellStyle name="Vírgula 4 2 8 5" xfId="19585" xr:uid="{E210537B-B003-4CF8-B4BE-011221E3569D}"/>
    <cellStyle name="Vírgula 4 2 8 5 2" xfId="39924" xr:uid="{8671815F-A492-4D6F-A287-4975E67A5593}"/>
    <cellStyle name="Vírgula 4 2 8 6" xfId="22840" xr:uid="{5E344952-6837-4255-BD0D-3B317B62AF81}"/>
    <cellStyle name="Vírgula 4 2 8 6 2" xfId="43175" xr:uid="{4749C4E6-5432-4D46-A8EA-5C2B3BD835AC}"/>
    <cellStyle name="Vírgula 4 2 8 7" xfId="12537" xr:uid="{2E0503EB-B870-4731-9902-EF8C22876E5E}"/>
    <cellStyle name="Vírgula 4 2 8 7 2" xfId="32878" xr:uid="{2BAB434B-5DAD-4949-9C07-B9751E634A6B}"/>
    <cellStyle name="Vírgula 4 2 8 8" xfId="9296" xr:uid="{35E51FA7-C304-4DEB-A690-1D408E4EE2F6}"/>
    <cellStyle name="Vírgula 4 2 8 8 2" xfId="29639" xr:uid="{65417A4D-4752-4014-AE95-61365393948F}"/>
    <cellStyle name="Vírgula 4 2 8 9" xfId="26145" xr:uid="{8DEC1A43-A2EE-4201-B2AE-E7C6F06DAF15}"/>
    <cellStyle name="Vírgula 4 2 9" xfId="1346" xr:uid="{EC48F63A-9CD2-46A6-A9EE-9BE146F6E29D}"/>
    <cellStyle name="Vírgula 4 2 9 10" xfId="53970" xr:uid="{0661CC07-4DA2-4C17-9B5F-7A26B50E89A0}"/>
    <cellStyle name="Vírgula 4 2 9 11" xfId="6374" xr:uid="{5E39E19E-F581-4330-B19D-22C2D7C553D7}"/>
    <cellStyle name="Vírgula 4 2 9 2" xfId="3007" xr:uid="{6349A388-9FED-4DEE-94B3-19C2FD03105F}"/>
    <cellStyle name="Vírgula 4 2 9 2 2" xfId="37000" xr:uid="{4E876F30-4A25-47A2-A7AA-4BE77F3E5055}"/>
    <cellStyle name="Vírgula 4 2 9 2 3" xfId="52307" xr:uid="{755EF1A0-D96D-487E-A120-F92D9B3B7F5E}"/>
    <cellStyle name="Vírgula 4 2 9 2 4" xfId="55601" xr:uid="{54C81AD9-56D6-4989-8990-D15A0CBCE236}"/>
    <cellStyle name="Vírgula 4 2 9 2 5" xfId="16660" xr:uid="{4FBBB296-0448-4491-B1C9-9A4FD4F3D1FB}"/>
    <cellStyle name="Vírgula 4 2 9 3" xfId="20162" xr:uid="{8FE3B4BD-1B05-46BA-948F-923FDE1471AF}"/>
    <cellStyle name="Vírgula 4 2 9 3 2" xfId="40501" xr:uid="{3F1EA3DB-DC35-4852-9DEB-5770285C8AAE}"/>
    <cellStyle name="Vírgula 4 2 9 3 3" xfId="57217" xr:uid="{2EC6E6A0-E6A3-4EC3-B7C1-D115D2679911}"/>
    <cellStyle name="Vírgula 4 2 9 4" xfId="23417" xr:uid="{802ADB68-F9E7-45AB-A08F-EE352006A541}"/>
    <cellStyle name="Vírgula 4 2 9 4 2" xfId="43752" xr:uid="{E1F9F5BA-C0B2-45A3-AA09-00A7BE7598AE}"/>
    <cellStyle name="Vírgula 4 2 9 5" xfId="13751" xr:uid="{4E620300-9018-4027-9150-5774F4EDABEA}"/>
    <cellStyle name="Vírgula 4 2 9 5 2" xfId="34092" xr:uid="{CB926AF8-AFF0-4E37-B9DD-37C959D8946B}"/>
    <cellStyle name="Vírgula 4 2 9 6" xfId="9873" xr:uid="{66828B87-6FB6-4D7A-A9EE-ECED676B8F4D}"/>
    <cellStyle name="Vírgula 4 2 9 6 2" xfId="30216" xr:uid="{3E5B33F5-7157-47DE-8EBD-5622CA528E1B}"/>
    <cellStyle name="Vírgula 4 2 9 7" xfId="26722" xr:uid="{2934F5BC-9D8F-441A-87A5-3BA1F79CBB43}"/>
    <cellStyle name="Vírgula 4 2 9 8" xfId="49005" xr:uid="{A8FC2322-CC2D-43CC-B26E-A44DB060D48E}"/>
    <cellStyle name="Vírgula 4 2 9 9" xfId="50675" xr:uid="{09262204-BB93-4B90-83B1-250958459CE1}"/>
    <cellStyle name="Vírgula 4 20" xfId="4339" xr:uid="{26C2B84B-0B9A-4CB6-8C01-4866692343FD}"/>
    <cellStyle name="Vírgula 4 20 2" xfId="25531" xr:uid="{6CD69ADC-3DAF-44DB-A1DC-26F30BA0373A}"/>
    <cellStyle name="Vírgula 4 21" xfId="4344" xr:uid="{CD5EFECB-CD6D-4833-9E09-A11CFC13A379}"/>
    <cellStyle name="Vírgula 4 21 2" xfId="25492" xr:uid="{15A4E429-1DC3-4262-9FAD-A23F9794969F}"/>
    <cellStyle name="Vírgula 4 22" xfId="4354" xr:uid="{CA24FE15-10E0-40B1-B63E-E326FF6A37AB}"/>
    <cellStyle name="Vírgula 4 22 2" xfId="45815" xr:uid="{E60660D3-F1C5-4FE4-BDF1-88807D83E0AB}"/>
    <cellStyle name="Vírgula 4 23" xfId="22" xr:uid="{E3CACD4F-8772-4935-920A-0FA04655DC20}"/>
    <cellStyle name="Vírgula 4 23 2" xfId="46301" xr:uid="{8C18C704-6B1D-44BC-B6BC-6CA5DCF8F601}"/>
    <cellStyle name="Vírgula 4 24" xfId="46793" xr:uid="{F962DA86-63E7-47B3-B82F-945C3A23CB6B}"/>
    <cellStyle name="Vírgula 4 25" xfId="47310" xr:uid="{01851504-0525-4CD7-A9CA-891E439E28E9}"/>
    <cellStyle name="Vírgula 4 26" xfId="47436" xr:uid="{1D286A25-DDC6-43B9-966C-4CF72196233C}"/>
    <cellStyle name="Vírgula 4 27" xfId="47562" xr:uid="{B74C41BB-2A15-4D37-91BC-32B0664182F1}"/>
    <cellStyle name="Vírgula 4 28" xfId="47671" xr:uid="{180E7C9B-66DF-4367-A705-E0665E3B7CA7}"/>
    <cellStyle name="Vírgula 4 29" xfId="47675" xr:uid="{C4ACBC73-1855-4896-9AB6-119130415C5D}"/>
    <cellStyle name="Vírgula 4 3" xfId="132" xr:uid="{244F8F77-8465-4227-93AB-B2BF7E81BAD9}"/>
    <cellStyle name="Vírgula 4 3 10" xfId="3391" xr:uid="{318B7F62-5D21-4250-97D4-DB5DEA337450}"/>
    <cellStyle name="Vírgula 4 3 10 2" xfId="22078" xr:uid="{7B52C19F-1BD4-4652-89CD-74829631AE77}"/>
    <cellStyle name="Vírgula 4 3 10 2 2" xfId="42414" xr:uid="{461FBE7D-04DA-4131-A7F8-B9EF0A862967}"/>
    <cellStyle name="Vírgula 4 3 10 3" xfId="25330" xr:uid="{E1EFDE91-3478-450D-B5F4-CE794574572D}"/>
    <cellStyle name="Vírgula 4 3 10 3 2" xfId="45665" xr:uid="{1AE33982-AB62-436D-A61B-81583EF1029E}"/>
    <cellStyle name="Vírgula 4 3 10 4" xfId="12625" xr:uid="{7DE20ED6-D7E7-4AB5-B376-285B24C74E06}"/>
    <cellStyle name="Vírgula 4 3 10 4 2" xfId="32966" xr:uid="{04283778-BFB0-4292-8C98-4BBAD1066B2C}"/>
    <cellStyle name="Vírgula 4 3 10 5" xfId="11787" xr:uid="{CCB5FA3C-692D-4D5A-8EC6-6EF698315F3E}"/>
    <cellStyle name="Vírgula 4 3 10 5 2" xfId="32129" xr:uid="{94CEA120-0E31-4A76-B5C5-FBFC07641816}"/>
    <cellStyle name="Vírgula 4 3 10 6" xfId="28635" xr:uid="{2E6A2B90-3925-473A-8394-45635DADF2F7}"/>
    <cellStyle name="Vírgula 4 3 10 7" xfId="52308" xr:uid="{67C37D08-9A34-4318-8B98-62D7A7A3FCE4}"/>
    <cellStyle name="Vírgula 4 3 10 8" xfId="55602" xr:uid="{FDBA120C-83A0-4779-BC3C-A9D623BDC304}"/>
    <cellStyle name="Vírgula 4 3 10 9" xfId="8291" xr:uid="{D5B8211B-EA38-426B-B0B4-2DD1593C7256}"/>
    <cellStyle name="Vírgula 4 3 11" xfId="3863" xr:uid="{5D144DFB-85BB-4CD2-AC9D-0FA32986D0B8}"/>
    <cellStyle name="Vírgula 4 3 11 2" xfId="15517" xr:uid="{0A1E0918-7788-4107-BD68-A0EC4CF0D8AF}"/>
    <cellStyle name="Vírgula 4 3 11 2 2" xfId="35857" xr:uid="{8BDB14C3-F449-410A-831D-9125003810FA}"/>
    <cellStyle name="Vírgula 4 3 11 3" xfId="28811" xr:uid="{CF895747-620B-47C6-8691-4FBFA428D88E}"/>
    <cellStyle name="Vírgula 4 3 11 4" xfId="56003" xr:uid="{1745B697-4DE7-42A8-9C2B-D5891C11B2F9}"/>
    <cellStyle name="Vírgula 4 3 11 5" xfId="8468" xr:uid="{2977D2FE-07CE-4408-B4A6-CE3F2BC2F6BD}"/>
    <cellStyle name="Vírgula 4 3 12" xfId="1739" xr:uid="{95B7B958-401F-46EE-B8D6-AB5721372DFC}"/>
    <cellStyle name="Vírgula 4 3 12 2" xfId="38771" xr:uid="{6F8AB81A-0E9D-4A99-8093-9ACCB8EFD36F}"/>
    <cellStyle name="Vírgula 4 3 12 3" xfId="18431" xr:uid="{34245F65-A089-4559-8A8C-539840FBBABA}"/>
    <cellStyle name="Vírgula 4 3 13" xfId="19019" xr:uid="{991142AC-0D30-4026-9E3E-B1062078D0B4}"/>
    <cellStyle name="Vírgula 4 3 13 2" xfId="39358" xr:uid="{E8A1F0D6-EEB1-44AE-9906-D91570F986E8}"/>
    <cellStyle name="Vírgula 4 3 14" xfId="22274" xr:uid="{CB2FCABF-87D6-41E2-AB27-DD6080B3B72F}"/>
    <cellStyle name="Vírgula 4 3 14 2" xfId="42609" xr:uid="{508F326B-A6BB-4DF9-AB23-2CE295BC8153}"/>
    <cellStyle name="Vírgula 4 3 15" xfId="11991" xr:uid="{AA539EAA-E01B-4CBF-8AF3-437FD923929F}"/>
    <cellStyle name="Vírgula 4 3 15 2" xfId="32332" xr:uid="{10245788-5968-47B8-9E43-AF677FC4BD50}"/>
    <cellStyle name="Vírgula 4 3 16" xfId="8730" xr:uid="{5D21B1FF-C126-482B-8842-2E959B4CFEF8}"/>
    <cellStyle name="Vírgula 4 3 16 2" xfId="29073" xr:uid="{E507AF1F-7F38-4D2C-AF75-116B3058C02C}"/>
    <cellStyle name="Vírgula 4 3 17" xfId="25575" xr:uid="{F6603FF1-56D9-43AE-8255-4AF123402651}"/>
    <cellStyle name="Vírgula 4 3 18" xfId="45843" xr:uid="{EF7918C0-1970-4E92-AAB1-6CD45220F65B}"/>
    <cellStyle name="Vírgula 4 3 19" xfId="46329" xr:uid="{B1FEB20C-E044-41BC-8DB4-D74BA2E1D3AB}"/>
    <cellStyle name="Vírgula 4 3 2" xfId="161" xr:uid="{21ABD18F-D7E3-4873-A930-DF0DD12DEC5E}"/>
    <cellStyle name="Vírgula 4 3 2 10" xfId="1765" xr:uid="{B4D79444-0D3B-4357-8DE4-6F61151C6453}"/>
    <cellStyle name="Vírgula 4 3 2 10 2" xfId="42724" xr:uid="{2E9FEFB3-C17E-4C94-BF29-FCE395354EE5}"/>
    <cellStyle name="Vírgula 4 3 2 10 3" xfId="22389" xr:uid="{835BF229-787A-48DF-8E14-76EE42067820}"/>
    <cellStyle name="Vírgula 4 3 2 11" xfId="12106" xr:uid="{13B8C90E-1AD6-4DA0-B77E-B8B2AAC12A65}"/>
    <cellStyle name="Vírgula 4 3 2 11 2" xfId="32447" xr:uid="{BACD1800-167C-4E11-80BE-FF964054CA23}"/>
    <cellStyle name="Vírgula 4 3 2 12" xfId="8845" xr:uid="{5A9E1275-7AAD-4B96-A0C4-EFF3B7A3D55C}"/>
    <cellStyle name="Vírgula 4 3 2 12 2" xfId="29188" xr:uid="{2AEDF5A1-E270-47ED-AF90-0FCA2372F7C9}"/>
    <cellStyle name="Vírgula 4 3 2 13" xfId="25694" xr:uid="{D3AFEA77-3396-48DD-A8F4-8B24D895E3FE}"/>
    <cellStyle name="Vírgula 4 3 2 14" xfId="45903" xr:uid="{AEBAAE7C-46CB-478C-B12D-CB0A0ECC32AA}"/>
    <cellStyle name="Vírgula 4 3 2 15" xfId="46389" xr:uid="{EF99CEEA-574E-440A-B604-EDD658418917}"/>
    <cellStyle name="Vírgula 4 3 2 16" xfId="46881" xr:uid="{C51610B3-A395-497B-A936-BD0AC3148CA4}"/>
    <cellStyle name="Vírgula 4 3 2 17" xfId="47349" xr:uid="{9430844F-E5A9-4E73-972F-633D94D58798}"/>
    <cellStyle name="Vírgula 4 3 2 18" xfId="47475" xr:uid="{FBE94278-7320-4B02-8FB3-19953657E18B}"/>
    <cellStyle name="Vírgula 4 3 2 19" xfId="47601" xr:uid="{86217175-C1FF-48A6-9C78-255A37F35FB2}"/>
    <cellStyle name="Vírgula 4 3 2 2" xfId="239" xr:uid="{D1BA749D-2EEA-46BC-972E-50BDDE8D5129}"/>
    <cellStyle name="Vírgula 4 3 2 2 10" xfId="12493" xr:uid="{582F5ECC-F00A-45F8-8F5D-834BC3621E76}"/>
    <cellStyle name="Vírgula 4 3 2 2 10 2" xfId="32834" xr:uid="{A4622A97-203E-47BF-8AA0-E678D6DF00D5}"/>
    <cellStyle name="Vírgula 4 3 2 2 11" xfId="9232" xr:uid="{2DD99DA7-8F77-4CF9-B30F-5EA71CBFA463}"/>
    <cellStyle name="Vírgula 4 3 2 2 11 2" xfId="29575" xr:uid="{460A495C-DF5E-4CB1-ACDB-D264555A163E}"/>
    <cellStyle name="Vírgula 4 3 2 2 12" xfId="26081" xr:uid="{F8555D6A-596B-4CAB-8DA7-18F36BB11892}"/>
    <cellStyle name="Vírgula 4 3 2 2 13" xfId="46006" xr:uid="{794143F5-8DED-4D5F-BC5C-483B5A5F82D1}"/>
    <cellStyle name="Vírgula 4 3 2 2 14" xfId="46492" xr:uid="{B22FAD82-C0C3-47E8-A99B-6CD2059FAD1F}"/>
    <cellStyle name="Vírgula 4 3 2 2 15" xfId="46984" xr:uid="{F6EFC1A9-CC97-4BA0-BB30-13B5BF13125A}"/>
    <cellStyle name="Vírgula 4 3 2 2 16" xfId="47405" xr:uid="{7FCCEA47-EEFE-4318-B9C0-BDC86E31E992}"/>
    <cellStyle name="Vírgula 4 3 2 2 17" xfId="47531" xr:uid="{EDFDB586-C652-4BDE-91E0-9C1BF8CA4991}"/>
    <cellStyle name="Vírgula 4 3 2 2 18" xfId="47657" xr:uid="{F3B4F8F6-C003-421C-BE6F-AB3BB41EA1DB}"/>
    <cellStyle name="Vírgula 4 3 2 2 19" xfId="49008" xr:uid="{3F166C19-3DB5-4C34-87FA-0960BEC863C2}"/>
    <cellStyle name="Vírgula 4 3 2 2 2" xfId="428" xr:uid="{4AC39639-8C0A-419B-81A6-A65601F22235}"/>
    <cellStyle name="Vírgula 4 3 2 2 2 10" xfId="46735" xr:uid="{AF94486D-C484-45BB-BEDA-1BD5E06ADD88}"/>
    <cellStyle name="Vírgula 4 3 2 2 2 11" xfId="47227" xr:uid="{9D8BCEC7-43B9-4BDB-BE15-EB8402310949}"/>
    <cellStyle name="Vírgula 4 3 2 2 2 12" xfId="49009" xr:uid="{BE2634FF-17C6-4F07-9D3E-59BE473AC3A4}"/>
    <cellStyle name="Vírgula 4 3 2 2 2 13" xfId="50679" xr:uid="{698EFBA9-5A45-455E-A980-EA797B0B2FA2}"/>
    <cellStyle name="Vírgula 4 3 2 2 2 14" xfId="53974" xr:uid="{96723FB9-6C68-4BDC-86A6-DAB8D13F2EF1}"/>
    <cellStyle name="Vírgula 4 3 2 2 2 15" xfId="6314" xr:uid="{EA3111AE-E1FB-4986-9979-1C75797AC101}"/>
    <cellStyle name="Vírgula 4 3 2 2 2 16" xfId="4709" xr:uid="{EDDE5120-C5BA-4FC4-B9A2-983836D88B11}"/>
    <cellStyle name="Vírgula 4 3 2 2 2 2" xfId="1244" xr:uid="{C274492F-99AB-4070-ABC2-ED140A5822DC}"/>
    <cellStyle name="Vírgula 4 3 2 2 2 2 10" xfId="53975" xr:uid="{8D9A6210-87D3-42F6-84B1-D1F0B179E343}"/>
    <cellStyle name="Vírgula 4 3 2 2 2 2 11" xfId="7472" xr:uid="{D971CD62-1F7C-44A4-A8E8-637BEF8A5124}"/>
    <cellStyle name="Vírgula 4 3 2 2 2 2 2" xfId="2905" xr:uid="{14582CF1-7655-4DC0-A66D-7DEB4A4063C6}"/>
    <cellStyle name="Vírgula 4 3 2 2 2 2 2 2" xfId="38098" xr:uid="{8DBA9CA9-52FB-4CFF-A193-EB93AA1FF0A4}"/>
    <cellStyle name="Vírgula 4 3 2 2 2 2 2 3" xfId="52312" xr:uid="{B9D003BC-EE8B-4DB7-AB86-2C24E761A87A}"/>
    <cellStyle name="Vírgula 4 3 2 2 2 2 2 4" xfId="55606" xr:uid="{F2F57BA0-C993-4EDD-88EC-2C05F1707BBC}"/>
    <cellStyle name="Vírgula 4 3 2 2 2 2 2 5" xfId="17758" xr:uid="{490FEE28-C9EB-46F2-91DD-C48E94E47B5A}"/>
    <cellStyle name="Vírgula 4 3 2 2 2 2 3" xfId="21260" xr:uid="{8F8C153A-1029-438F-B4D1-FD20A59A69D0}"/>
    <cellStyle name="Vírgula 4 3 2 2 2 2 3 2" xfId="41599" xr:uid="{3EE96D7D-00A9-48AE-A614-83FBB82BAED6}"/>
    <cellStyle name="Vírgula 4 3 2 2 2 2 3 3" xfId="57115" xr:uid="{3143D5EA-79EB-4F55-9DA9-EE84A23E3563}"/>
    <cellStyle name="Vírgula 4 3 2 2 2 2 4" xfId="24515" xr:uid="{F881115B-FF91-44C8-A4F3-2801FDEDBEED}"/>
    <cellStyle name="Vírgula 4 3 2 2 2 2 4 2" xfId="44850" xr:uid="{1907CC46-AA26-4F4B-9ED3-E4C733BC9C03}"/>
    <cellStyle name="Vírgula 4 3 2 2 2 2 5" xfId="14849" xr:uid="{2EA47451-F54F-4A86-B491-2C94C43C4FAF}"/>
    <cellStyle name="Vírgula 4 3 2 2 2 2 5 2" xfId="35190" xr:uid="{0A4DEC8D-ADC1-49CB-9A34-7CBEF07B64D3}"/>
    <cellStyle name="Vírgula 4 3 2 2 2 2 6" xfId="10971" xr:uid="{B2205981-264D-4C79-AFB9-9011D150C39F}"/>
    <cellStyle name="Vírgula 4 3 2 2 2 2 6 2" xfId="31314" xr:uid="{5E7F14F0-A403-410C-AA58-113504FC5C36}"/>
    <cellStyle name="Vírgula 4 3 2 2 2 2 7" xfId="27820" xr:uid="{73E7ED77-5866-430D-8A78-5657DD766E3A}"/>
    <cellStyle name="Vírgula 4 3 2 2 2 2 8" xfId="49010" xr:uid="{7D3AEC12-048B-4684-844E-7453F826ADE9}"/>
    <cellStyle name="Vírgula 4 3 2 2 2 2 9" xfId="50680" xr:uid="{6AA514C9-27C9-4158-A85C-DA5924D04119}"/>
    <cellStyle name="Vírgula 4 3 2 2 2 3" xfId="1650" xr:uid="{8DF562D2-ACDF-4449-A9E1-9B0BB0512880}"/>
    <cellStyle name="Vírgula 4 3 2 2 2 3 2" xfId="3310" xr:uid="{3786D88F-6C1C-4B99-AAD0-4D16E6F75B57}"/>
    <cellStyle name="Vírgula 4 3 2 2 2 3 2 2" xfId="52313" xr:uid="{23D5FACA-554D-43EA-AAFE-D6FB7878DECB}"/>
    <cellStyle name="Vírgula 4 3 2 2 2 3 2 3" xfId="55607" xr:uid="{715BB1FF-3835-4CAE-9F0E-0C2A4E9734A3}"/>
    <cellStyle name="Vírgula 4 3 2 2 2 3 2 4" xfId="36940" xr:uid="{9ADF7ACD-1305-48E5-86D7-189CBF1B06A8}"/>
    <cellStyle name="Vírgula 4 3 2 2 2 3 3" xfId="49011" xr:uid="{EA439AA4-1C29-40C4-A546-8F048FB0643F}"/>
    <cellStyle name="Vírgula 4 3 2 2 2 3 3 2" xfId="57521" xr:uid="{C9195D45-5BA6-4FC9-BAD8-1C257D16DDC5}"/>
    <cellStyle name="Vírgula 4 3 2 2 2 3 4" xfId="50681" xr:uid="{48674D93-B968-4B85-B8B0-7E7374A77C0A}"/>
    <cellStyle name="Vírgula 4 3 2 2 2 3 5" xfId="53976" xr:uid="{FC77539F-1DA5-4CAD-98F1-26B7F0145393}"/>
    <cellStyle name="Vírgula 4 3 2 2 2 3 6" xfId="16600" xr:uid="{BB671F3D-B5FF-4DB0-902C-5C4E6350D022}"/>
    <cellStyle name="Vírgula 4 3 2 2 2 4" xfId="837" xr:uid="{6BABD2FB-00BE-4110-9A00-87C1FA50041C}"/>
    <cellStyle name="Vírgula 4 3 2 2 2 4 2" xfId="2553" xr:uid="{29BA37F0-F81A-4B73-9C04-524CF3934D51}"/>
    <cellStyle name="Vírgula 4 3 2 2 2 4 2 2" xfId="52314" xr:uid="{0B51D67D-D1D2-4740-BF5C-1DB683B67157}"/>
    <cellStyle name="Vírgula 4 3 2 2 2 4 2 3" xfId="55608" xr:uid="{7AB6C4C2-3C09-481A-A77D-6CBEA4BA7B20}"/>
    <cellStyle name="Vírgula 4 3 2 2 2 4 2 4" xfId="40441" xr:uid="{D05AE652-5D6F-4421-BFDC-C97A263947F1}"/>
    <cellStyle name="Vírgula 4 3 2 2 2 4 3" xfId="49012" xr:uid="{4BEE477A-151F-45EB-A87E-8B071123E030}"/>
    <cellStyle name="Vírgula 4 3 2 2 2 4 3 2" xfId="56708" xr:uid="{B35C02FF-C913-4537-B5AD-31579A9F187C}"/>
    <cellStyle name="Vírgula 4 3 2 2 2 4 4" xfId="50682" xr:uid="{8E972BED-06DB-4920-BCEE-0BA4E98D6CE0}"/>
    <cellStyle name="Vírgula 4 3 2 2 2 4 5" xfId="53977" xr:uid="{239FDC00-17EA-45DA-B63C-BB00F985F043}"/>
    <cellStyle name="Vírgula 4 3 2 2 2 4 6" xfId="20102" xr:uid="{4586FBC2-B137-4259-B86B-21A783CC5323}"/>
    <cellStyle name="Vírgula 4 3 2 2 2 5" xfId="3691" xr:uid="{2419254B-D212-4B7C-BAC5-BDBE3669C22B}"/>
    <cellStyle name="Vírgula 4 3 2 2 2 5 2" xfId="43692" xr:uid="{E22F242A-D58E-4536-B6E4-403C9D86836D}"/>
    <cellStyle name="Vírgula 4 3 2 2 2 5 3" xfId="52311" xr:uid="{FDD187D7-BD5A-4B94-A27D-0A4964088EF9}"/>
    <cellStyle name="Vírgula 4 3 2 2 2 5 4" xfId="55605" xr:uid="{8C394E55-4F6F-4DBB-BADE-D954B418C395}"/>
    <cellStyle name="Vírgula 4 3 2 2 2 5 5" xfId="23357" xr:uid="{B751289B-90D9-4DE5-9140-CC1639902401}"/>
    <cellStyle name="Vírgula 4 3 2 2 2 6" xfId="2040" xr:uid="{FB3DFA73-5947-4B71-B7A6-6C6F901E2EA8}"/>
    <cellStyle name="Vírgula 4 3 2 2 2 6 2" xfId="34032" xr:uid="{456BB5C0-C3F5-49C6-903E-ACFD643B7CEF}"/>
    <cellStyle name="Vírgula 4 3 2 2 2 6 3" xfId="56299" xr:uid="{3E569A41-B4EA-459A-B060-7E5DD30FB50A}"/>
    <cellStyle name="Vírgula 4 3 2 2 2 6 4" xfId="13691" xr:uid="{C40CF390-DCD7-4213-8C21-77C4E4860F34}"/>
    <cellStyle name="Vírgula 4 3 2 2 2 7" xfId="9813" xr:uid="{AB8E2D05-7A21-4060-A152-E8845C0C2313}"/>
    <cellStyle name="Vírgula 4 3 2 2 2 7 2" xfId="30156" xr:uid="{EC6817F2-AA8E-45D6-9A06-BC3E425091D0}"/>
    <cellStyle name="Vírgula 4 3 2 2 2 8" xfId="26662" xr:uid="{9CF69429-A06F-445B-8105-37E29F9210E8}"/>
    <cellStyle name="Vírgula 4 3 2 2 2 9" xfId="46249" xr:uid="{1F830A73-38A4-4EAC-9E40-78C3105D7521}"/>
    <cellStyle name="Vírgula 4 3 2 2 20" xfId="50678" xr:uid="{31007CC3-0C4F-4088-9B65-687DA617B9AC}"/>
    <cellStyle name="Vírgula 4 3 2 2 21" xfId="53973" xr:uid="{886FC315-2F5F-4098-B26B-D4E67D3BC890}"/>
    <cellStyle name="Vírgula 4 3 2 2 22" xfId="5739" xr:uid="{86A258B5-A7F5-4364-ADB0-CA20BEFF79C1}"/>
    <cellStyle name="Vírgula 4 3 2 2 23" xfId="4520" xr:uid="{5BEEA9AA-B335-422A-B307-B8A049DB6CCD}"/>
    <cellStyle name="Vírgula 4 3 2 2 3" xfId="1055" xr:uid="{5BE34CF4-48EC-4036-A23C-7458B02936A8}"/>
    <cellStyle name="Vírgula 4 3 2 2 3 10" xfId="53978" xr:uid="{78A9F707-7AF4-4001-8C61-6F6C831012C0}"/>
    <cellStyle name="Vírgula 4 3 2 2 3 11" xfId="6891" xr:uid="{C03203DE-22C3-4A2D-9EC4-3E123E3F5573}"/>
    <cellStyle name="Vírgula 4 3 2 2 3 12" xfId="5124" xr:uid="{708A1063-A897-4436-8390-1D794F9C855D}"/>
    <cellStyle name="Vírgula 4 3 2 2 3 2" xfId="3582" xr:uid="{A9BCBAA8-7D3D-45B8-97F0-3F5C35660471}"/>
    <cellStyle name="Vírgula 4 3 2 2 3 2 2" xfId="37517" xr:uid="{757F6D37-6D1C-48F9-8516-D6D86001554B}"/>
    <cellStyle name="Vírgula 4 3 2 2 3 2 3" xfId="52315" xr:uid="{7132105C-AF73-498A-9E50-568AB1F880B8}"/>
    <cellStyle name="Vírgula 4 3 2 2 3 2 4" xfId="55609" xr:uid="{61E0E30C-4E4D-4A6D-B1A4-8C97C3069493}"/>
    <cellStyle name="Vírgula 4 3 2 2 3 2 5" xfId="17177" xr:uid="{8CA3F52A-3353-4D3E-90C7-63021AFBC3EF}"/>
    <cellStyle name="Vírgula 4 3 2 2 3 3" xfId="1931" xr:uid="{DEF6955A-FDFC-4229-A7F5-713EBB04EDAD}"/>
    <cellStyle name="Vírgula 4 3 2 2 3 3 2" xfId="41018" xr:uid="{ABD382C3-5445-43F9-BBF1-725F4743CE59}"/>
    <cellStyle name="Vírgula 4 3 2 2 3 3 3" xfId="56926" xr:uid="{64D8F15D-EB19-453E-AAD8-B399E362E553}"/>
    <cellStyle name="Vírgula 4 3 2 2 3 3 4" xfId="20679" xr:uid="{D6DB1149-136C-4DF7-B039-19A1CA79BAB3}"/>
    <cellStyle name="Vírgula 4 3 2 2 3 4" xfId="23934" xr:uid="{E6DB45A6-D16B-41B6-A3DD-EF361E1EE3AC}"/>
    <cellStyle name="Vírgula 4 3 2 2 3 4 2" xfId="44269" xr:uid="{50E40651-C9E2-4EDA-B7E5-065CBBC0251D}"/>
    <cellStyle name="Vírgula 4 3 2 2 3 5" xfId="14268" xr:uid="{94F11AD7-0634-4FF0-ACA5-7A3BDEC81F76}"/>
    <cellStyle name="Vírgula 4 3 2 2 3 5 2" xfId="34609" xr:uid="{B514FA98-7D6B-4C42-9622-2FD08156310D}"/>
    <cellStyle name="Vírgula 4 3 2 2 3 6" xfId="10390" xr:uid="{FD75A642-97B2-4FF6-85BA-37CE9FCEEBE4}"/>
    <cellStyle name="Vírgula 4 3 2 2 3 6 2" xfId="30733" xr:uid="{121FB4ED-A265-46D8-818F-1B1BDF14C752}"/>
    <cellStyle name="Vírgula 4 3 2 2 3 7" xfId="27239" xr:uid="{A698581A-A58B-49D0-89F5-5BA0CAF60672}"/>
    <cellStyle name="Vírgula 4 3 2 2 3 8" xfId="49013" xr:uid="{29061CB7-249B-48F9-B509-E35A2C603928}"/>
    <cellStyle name="Vírgula 4 3 2 2 3 9" xfId="50683" xr:uid="{95126FD7-88C1-489F-915F-909FEA8BC2FA}"/>
    <cellStyle name="Vírgula 4 3 2 2 4" xfId="1461" xr:uid="{E096C69C-6058-4726-A0DA-075B9FD65948}"/>
    <cellStyle name="Vírgula 4 3 2 2 4 10" xfId="53979" xr:uid="{2F20A899-82D6-4315-BCDB-B882D36883FB}"/>
    <cellStyle name="Vírgula 4 3 2 2 4 11" xfId="8055" xr:uid="{41E676DD-8BD3-49FF-9EDC-C66F34A0377C}"/>
    <cellStyle name="Vírgula 4 3 2 2 4 2" xfId="3800" xr:uid="{F8F8F3A8-CAE0-48DD-9B89-B7042D22C635}"/>
    <cellStyle name="Vírgula 4 3 2 2 4 2 2" xfId="38680" xr:uid="{F11A84AA-DAF9-4D5D-953A-B243436F9ACE}"/>
    <cellStyle name="Vírgula 4 3 2 2 4 2 3" xfId="52316" xr:uid="{E130D896-129F-4A62-BDBB-51F2B9FF6B89}"/>
    <cellStyle name="Vírgula 4 3 2 2 4 2 4" xfId="55610" xr:uid="{43F8F75C-2754-4CAB-AC70-98AD88945538}"/>
    <cellStyle name="Vírgula 4 3 2 2 4 2 5" xfId="18340" xr:uid="{104D5CAC-D58C-4761-9B51-72C06E4EA3F0}"/>
    <cellStyle name="Vírgula 4 3 2 2 4 3" xfId="3122" xr:uid="{2DB536FD-2A8A-4BB7-9942-57806EBC19E1}"/>
    <cellStyle name="Vírgula 4 3 2 2 4 3 2" xfId="42181" xr:uid="{48B81F72-43C0-4B63-B3AD-000525120D1D}"/>
    <cellStyle name="Vírgula 4 3 2 2 4 3 3" xfId="57332" xr:uid="{F8614F79-D1CD-48E1-BEBD-B3F6EF5DB36A}"/>
    <cellStyle name="Vírgula 4 3 2 2 4 3 4" xfId="21842" xr:uid="{10E1F39E-8A64-4F32-A605-F3A8ED88B62C}"/>
    <cellStyle name="Vírgula 4 3 2 2 4 4" xfId="25097" xr:uid="{D670BB71-E513-4882-AE18-C576245AF5F2}"/>
    <cellStyle name="Vírgula 4 3 2 2 4 4 2" xfId="45432" xr:uid="{1B44C24E-63D1-4655-871A-74F411E76A08}"/>
    <cellStyle name="Vírgula 4 3 2 2 4 5" xfId="15432" xr:uid="{22E8027B-63D9-4F90-A675-889BAB93F3F0}"/>
    <cellStyle name="Vírgula 4 3 2 2 4 5 2" xfId="35772" xr:uid="{7456B804-5D5B-4EBA-A77C-6A2EF5F12A9E}"/>
    <cellStyle name="Vírgula 4 3 2 2 4 6" xfId="11553" xr:uid="{537D0806-2506-41B3-B7BD-DD5E2341B726}"/>
    <cellStyle name="Vírgula 4 3 2 2 4 6 2" xfId="31896" xr:uid="{54EDEC22-6928-47E3-A114-315F6B2B9880}"/>
    <cellStyle name="Vírgula 4 3 2 2 4 7" xfId="28402" xr:uid="{5ED78926-E5AA-4FCF-AF4A-E7F3C4DD60E9}"/>
    <cellStyle name="Vírgula 4 3 2 2 4 8" xfId="49014" xr:uid="{837EF131-9388-4C66-8B56-114D3469A5F2}"/>
    <cellStyle name="Vírgula 4 3 2 2 4 9" xfId="50684" xr:uid="{8631909D-9542-4090-8FBD-6B0234556067}"/>
    <cellStyle name="Vírgula 4 3 2 2 5" xfId="648" xr:uid="{EF808B77-7D20-4736-BCBC-8D76AC1ADD44}"/>
    <cellStyle name="Vírgula 4 3 2 2 5 10" xfId="8293" xr:uid="{D9FE4E6B-9919-4A47-81A5-E0037A7E5FE9}"/>
    <cellStyle name="Vírgula 4 3 2 2 5 2" xfId="2364" xr:uid="{851DFB8B-710C-4A33-8184-758EE1E313E8}"/>
    <cellStyle name="Vírgula 4 3 2 2 5 2 2" xfId="42416" xr:uid="{90410E48-2D42-4881-AC7B-7BF312DEDBC9}"/>
    <cellStyle name="Vírgula 4 3 2 2 5 2 3" xfId="52317" xr:uid="{826BE627-8B3F-4579-9952-4187CBF6370B}"/>
    <cellStyle name="Vírgula 4 3 2 2 5 2 4" xfId="55611" xr:uid="{99B6E7C0-14C5-4D45-B545-C67E79F32280}"/>
    <cellStyle name="Vírgula 4 3 2 2 5 2 5" xfId="22080" xr:uid="{E7AE616C-52D6-43E4-A98E-D87BDDF2FB7D}"/>
    <cellStyle name="Vírgula 4 3 2 2 5 3" xfId="25332" xr:uid="{4F01F7D0-D212-4308-B07B-808C226BE5F8}"/>
    <cellStyle name="Vírgula 4 3 2 2 5 3 2" xfId="45667" xr:uid="{681C7219-992B-4C5E-99F0-8BE799599655}"/>
    <cellStyle name="Vírgula 4 3 2 2 5 3 3" xfId="56519" xr:uid="{1F3E230A-C6FE-4961-B56A-4BBD4CA12F57}"/>
    <cellStyle name="Vírgula 4 3 2 2 5 4" xfId="13122" xr:uid="{EE50BAD3-82FD-44A5-8C91-FA3733FCE4E8}"/>
    <cellStyle name="Vírgula 4 3 2 2 5 4 2" xfId="33463" xr:uid="{203160CF-7353-46C7-A195-4CED16C78511}"/>
    <cellStyle name="Vírgula 4 3 2 2 5 5" xfId="11789" xr:uid="{F6002771-1B6F-41EC-9326-FC6C63299829}"/>
    <cellStyle name="Vírgula 4 3 2 2 5 5 2" xfId="32131" xr:uid="{79D8EADB-7284-4461-AD6D-D6478EC78299}"/>
    <cellStyle name="Vírgula 4 3 2 2 5 6" xfId="28637" xr:uid="{AA8B76A0-0E99-4C10-805E-5F3FCA2A1B57}"/>
    <cellStyle name="Vírgula 4 3 2 2 5 7" xfId="49015" xr:uid="{36E2F2F6-21FB-44C2-AE85-A9E31C116DCB}"/>
    <cellStyle name="Vírgula 4 3 2 2 5 8" xfId="50685" xr:uid="{5F065310-86E1-4252-8FAD-E1EC343F0664}"/>
    <cellStyle name="Vírgula 4 3 2 2 5 9" xfId="53980" xr:uid="{347794EA-991E-4900-A78D-443818F56413}"/>
    <cellStyle name="Vírgula 4 3 2 2 6" xfId="3472" xr:uid="{933343CE-DC98-4479-9B3C-C2A66D8C4F24}"/>
    <cellStyle name="Vírgula 4 3 2 2 6 2" xfId="16019" xr:uid="{A4A13BB7-DA09-43FC-8E60-1ABE6934BEE4}"/>
    <cellStyle name="Vírgula 4 3 2 2 6 2 2" xfId="36359" xr:uid="{E6B0076A-B029-40FE-8EC5-6804CA42853D}"/>
    <cellStyle name="Vírgula 4 3 2 2 6 3" xfId="28974" xr:uid="{453A4568-3D63-42B0-A19F-207545FFAC9D}"/>
    <cellStyle name="Vírgula 4 3 2 2 6 4" xfId="52310" xr:uid="{1DB33C04-EF80-4411-A4C9-97520A0D494E}"/>
    <cellStyle name="Vírgula 4 3 2 2 6 5" xfId="55604" xr:uid="{DAA314E8-8CE3-4287-8A52-557B2C7ED7DF}"/>
    <cellStyle name="Vírgula 4 3 2 2 6 6" xfId="8631" xr:uid="{39B25712-599A-4305-8D22-07E92E7F1E7B}"/>
    <cellStyle name="Vírgula 4 3 2 2 7" xfId="4074" xr:uid="{31BC92C9-C836-4DFC-A465-9CD03262D5E0}"/>
    <cellStyle name="Vírgula 4 3 2 2 7 2" xfId="39273" xr:uid="{95D7AA6E-FDB7-4AE5-AF15-B92D9EA2D3A0}"/>
    <cellStyle name="Vírgula 4 3 2 2 7 3" xfId="56110" xr:uid="{949A477F-1420-4320-84BC-C4A95454C0DB}"/>
    <cellStyle name="Vírgula 4 3 2 2 7 4" xfId="18933" xr:uid="{5B9015C0-4BE7-47D1-A429-BFB673720BD2}"/>
    <cellStyle name="Vírgula 4 3 2 2 8" xfId="1821" xr:uid="{C2AE8A82-F6BF-470A-8513-7F9E1FE0653D}"/>
    <cellStyle name="Vírgula 4 3 2 2 8 2" xfId="39860" xr:uid="{61788F18-88C4-4F6B-BFB6-E471F1795877}"/>
    <cellStyle name="Vírgula 4 3 2 2 8 3" xfId="19521" xr:uid="{784B5888-7D80-464C-B8E7-B089B46CA19E}"/>
    <cellStyle name="Vírgula 4 3 2 2 9" xfId="22776" xr:uid="{2AE2FC18-8A36-4A2F-8689-235AC318DE89}"/>
    <cellStyle name="Vírgula 4 3 2 2 9 2" xfId="43111" xr:uid="{81A35133-8E55-4567-8767-1C220153B138}"/>
    <cellStyle name="Vírgula 4 3 2 20" xfId="49007" xr:uid="{E24D2C17-D657-4748-AE7C-D834B79E9BFA}"/>
    <cellStyle name="Vírgula 4 3 2 21" xfId="50677" xr:uid="{2F88122A-29B7-4F44-8483-4CA55F111397}"/>
    <cellStyle name="Vírgula 4 3 2 22" xfId="53972" xr:uid="{1D97AE0E-407F-43D8-8B15-A143315043D7}"/>
    <cellStyle name="Vírgula 4 3 2 23" xfId="5368" xr:uid="{1FAA585B-C99E-44D0-A9A0-40638CE1A64A}"/>
    <cellStyle name="Vírgula 4 3 2 24" xfId="4442" xr:uid="{D2100E23-9F0B-4476-974E-14CA80904A58}"/>
    <cellStyle name="Vírgula 4 3 2 3" xfId="291" xr:uid="{FB7F1A21-9B86-4F02-8824-C4B3EDC52810}"/>
    <cellStyle name="Vírgula 4 3 2 3 10" xfId="46146" xr:uid="{01626F6C-307C-4723-848C-95E5BD5F6073}"/>
    <cellStyle name="Vírgula 4 3 2 3 11" xfId="46632" xr:uid="{2FEFBE2A-CE19-48AF-ABD4-89877A5FF5F8}"/>
    <cellStyle name="Vírgula 4 3 2 3 12" xfId="47124" xr:uid="{F0B21996-2969-411F-BC54-68CA59F2E9FA}"/>
    <cellStyle name="Vírgula 4 3 2 3 13" xfId="49016" xr:uid="{A29D91B5-0801-49F3-8CD7-2A07E24DF7E8}"/>
    <cellStyle name="Vírgula 4 3 2 3 14" xfId="50686" xr:uid="{B4CD1C3B-BF05-4E53-B018-CCA8968AF40E}"/>
    <cellStyle name="Vírgula 4 3 2 3 15" xfId="53981" xr:uid="{37C8CA30-6901-4C8F-ABC5-3991AA435A68}"/>
    <cellStyle name="Vírgula 4 3 2 3 16" xfId="5927" xr:uid="{C4E0F02E-08A6-4A7B-8C65-00FFB67AB5B7}"/>
    <cellStyle name="Vírgula 4 3 2 3 17" xfId="4572" xr:uid="{D5220444-A00E-4BAD-9246-131AB303A63E}"/>
    <cellStyle name="Vírgula 4 3 2 3 2" xfId="480" xr:uid="{EADDE741-2028-4C88-9513-C0174E916612}"/>
    <cellStyle name="Vírgula 4 3 2 3 2 10" xfId="53982" xr:uid="{319E0501-0FBD-4922-AF63-964D1C150A0F}"/>
    <cellStyle name="Vírgula 4 3 2 3 2 11" xfId="7085" xr:uid="{AB3CBEFE-5705-412F-A978-2ABD474EE0A9}"/>
    <cellStyle name="Vírgula 4 3 2 3 2 12" xfId="4761" xr:uid="{279A3FED-2345-469E-B17F-65E6A61D8795}"/>
    <cellStyle name="Vírgula 4 3 2 3 2 2" xfId="1296" xr:uid="{AF573692-186F-48E8-A760-BA0315E3600B}"/>
    <cellStyle name="Vírgula 4 3 2 3 2 2 2" xfId="2957" xr:uid="{D5AFEFB0-6A42-4D34-8C05-551508F9312F}"/>
    <cellStyle name="Vírgula 4 3 2 3 2 2 2 2" xfId="52320" xr:uid="{3BA16844-8585-4F3B-A7B9-E99CF6D9E6AF}"/>
    <cellStyle name="Vírgula 4 3 2 3 2 2 2 3" xfId="55614" xr:uid="{76FC9424-F68C-4551-AEA9-A639FE64A74C}"/>
    <cellStyle name="Vírgula 4 3 2 3 2 2 2 4" xfId="37711" xr:uid="{988DDC59-648D-4B5C-898E-12D0EBD3D775}"/>
    <cellStyle name="Vírgula 4 3 2 3 2 2 3" xfId="49018" xr:uid="{B9B2A835-C1FB-4473-8579-FA8B52B343D3}"/>
    <cellStyle name="Vírgula 4 3 2 3 2 2 3 2" xfId="57167" xr:uid="{8656FACE-F913-44C0-9522-97C2BE6308BF}"/>
    <cellStyle name="Vírgula 4 3 2 3 2 2 4" xfId="50688" xr:uid="{14A9D67E-DF9C-4B8F-8515-B9805B2D101D}"/>
    <cellStyle name="Vírgula 4 3 2 3 2 2 5" xfId="53983" xr:uid="{73F7961A-8D01-4A0A-B691-1A843C07562D}"/>
    <cellStyle name="Vírgula 4 3 2 3 2 2 6" xfId="17371" xr:uid="{89B24531-7435-4D0C-81A7-82D32323BE5A}"/>
    <cellStyle name="Vírgula 4 3 2 3 2 3" xfId="1702" xr:uid="{9CFAE221-DBE5-4211-9844-95B5552FDFB1}"/>
    <cellStyle name="Vírgula 4 3 2 3 2 3 2" xfId="3362" xr:uid="{0A098690-B82D-4CE1-A1A0-2EA0097AAC95}"/>
    <cellStyle name="Vírgula 4 3 2 3 2 3 2 2" xfId="52321" xr:uid="{29AB9908-DC13-4E0A-87CE-9DF35D5F71C1}"/>
    <cellStyle name="Vírgula 4 3 2 3 2 3 2 3" xfId="55615" xr:uid="{DC36B2F9-7FB1-4CBF-94F9-5C2B268C58BD}"/>
    <cellStyle name="Vírgula 4 3 2 3 2 3 2 4" xfId="41212" xr:uid="{3C62BA69-E992-49A3-BC59-0E2900B496B9}"/>
    <cellStyle name="Vírgula 4 3 2 3 2 3 3" xfId="49019" xr:uid="{8D504290-BF9E-40AD-B1FB-644E0FF5DBEC}"/>
    <cellStyle name="Vírgula 4 3 2 3 2 3 3 2" xfId="57573" xr:uid="{F9E04CED-1F63-4717-A125-2A777026A1C1}"/>
    <cellStyle name="Vírgula 4 3 2 3 2 3 4" xfId="50689" xr:uid="{221B70AF-0D45-4052-9767-69F404481135}"/>
    <cellStyle name="Vírgula 4 3 2 3 2 3 5" xfId="53984" xr:uid="{6244A2F6-2C5F-4AE7-9E83-2697CC368C0D}"/>
    <cellStyle name="Vírgula 4 3 2 3 2 3 6" xfId="20873" xr:uid="{199CCA14-8A2E-4FEA-854E-413F559DB3DF}"/>
    <cellStyle name="Vírgula 4 3 2 3 2 4" xfId="889" xr:uid="{A1E725FD-2D2E-4823-A0DF-FCE264DB5E7A}"/>
    <cellStyle name="Vírgula 4 3 2 3 2 4 2" xfId="2605" xr:uid="{57B6C1A7-4AC7-447D-998E-FA69C95D0903}"/>
    <cellStyle name="Vírgula 4 3 2 3 2 4 2 2" xfId="52322" xr:uid="{6B007111-861B-42BA-A09C-7DD617819EF8}"/>
    <cellStyle name="Vírgula 4 3 2 3 2 4 2 3" xfId="55616" xr:uid="{C74ED48A-B1AC-40EE-8AEB-15A5A906B405}"/>
    <cellStyle name="Vírgula 4 3 2 3 2 4 2 4" xfId="44463" xr:uid="{D27546F2-0000-4A12-BDEC-233DFB9A1667}"/>
    <cellStyle name="Vírgula 4 3 2 3 2 4 3" xfId="49020" xr:uid="{C5013325-9F2E-4D40-95C3-B29D61F05DFC}"/>
    <cellStyle name="Vírgula 4 3 2 3 2 4 3 2" xfId="56760" xr:uid="{147F316D-54D1-4A9F-BF3D-3FAB83170A7B}"/>
    <cellStyle name="Vírgula 4 3 2 3 2 4 4" xfId="50690" xr:uid="{8B634860-AC0C-4140-B592-C589BB3D9F75}"/>
    <cellStyle name="Vírgula 4 3 2 3 2 4 5" xfId="53985" xr:uid="{3D3C133D-EDBE-4C07-911B-AC3F63694BC4}"/>
    <cellStyle name="Vírgula 4 3 2 3 2 4 6" xfId="24128" xr:uid="{8A43820F-FD45-4B30-9C2A-9287A02AC9E0}"/>
    <cellStyle name="Vírgula 4 3 2 3 2 5" xfId="2197" xr:uid="{B9A10AE1-119D-4B25-A21F-5FA8DD3E1937}"/>
    <cellStyle name="Vírgula 4 3 2 3 2 5 2" xfId="34803" xr:uid="{87E9405B-E5AB-4305-8764-FAFE05979D88}"/>
    <cellStyle name="Vírgula 4 3 2 3 2 5 3" xfId="52319" xr:uid="{5A827EEF-38B2-4F7E-B156-3A7881D8B162}"/>
    <cellStyle name="Vírgula 4 3 2 3 2 5 4" xfId="55613" xr:uid="{265DF4F6-F499-468D-B288-2C8D21403174}"/>
    <cellStyle name="Vírgula 4 3 2 3 2 5 5" xfId="14462" xr:uid="{B7774224-6607-4FA7-ABED-D702055878B0}"/>
    <cellStyle name="Vírgula 4 3 2 3 2 6" xfId="10584" xr:uid="{A09ECC28-305B-4C2F-8FBA-F6AC80DC7977}"/>
    <cellStyle name="Vírgula 4 3 2 3 2 6 2" xfId="30927" xr:uid="{E294A380-651C-4C48-8EF7-E87DD49A0B33}"/>
    <cellStyle name="Vírgula 4 3 2 3 2 6 3" xfId="56351" xr:uid="{98465897-7183-4DFD-A7A1-6F2DB7D1FA69}"/>
    <cellStyle name="Vírgula 4 3 2 3 2 7" xfId="27433" xr:uid="{EC56213B-6488-4A22-A8C3-48E0AB829EAE}"/>
    <cellStyle name="Vírgula 4 3 2 3 2 8" xfId="49017" xr:uid="{3522835F-CF75-4B93-9A74-1B1FCB57DA3A}"/>
    <cellStyle name="Vírgula 4 3 2 3 2 9" xfId="50687" xr:uid="{96F01C96-B016-4775-8CEA-0D08DE8A18AB}"/>
    <cellStyle name="Vírgula 4 3 2 3 3" xfId="1107" xr:uid="{8BD7CC0D-1A65-4849-96FC-C0F0595CCD33}"/>
    <cellStyle name="Vírgula 4 3 2 3 3 10" xfId="8294" xr:uid="{9AC2A160-7829-43D3-979D-ABE134F193D1}"/>
    <cellStyle name="Vírgula 4 3 2 3 3 11" xfId="5026" xr:uid="{A86AA8E8-FBBF-4408-876D-4527FA8C9928}"/>
    <cellStyle name="Vírgula 4 3 2 3 3 2" xfId="2770" xr:uid="{EFF728DA-42EE-4B3F-AC99-2A60AB0BDAB4}"/>
    <cellStyle name="Vírgula 4 3 2 3 3 2 2" xfId="42417" xr:uid="{768640A0-C02B-4F9E-92D6-25FE2762E9CA}"/>
    <cellStyle name="Vírgula 4 3 2 3 3 2 3" xfId="52323" xr:uid="{F3BC2525-C9F4-4CE6-AA86-0EC906AC33AC}"/>
    <cellStyle name="Vírgula 4 3 2 3 3 2 4" xfId="55617" xr:uid="{3EC8BD42-23E0-4F84-A776-A47D9471E540}"/>
    <cellStyle name="Vírgula 4 3 2 3 3 2 5" xfId="22081" xr:uid="{65DFB46A-E5D2-447C-B795-F65DA443172F}"/>
    <cellStyle name="Vírgula 4 3 2 3 3 3" xfId="25333" xr:uid="{1C07CDB4-88B4-4515-8E70-5ABBD188365B}"/>
    <cellStyle name="Vírgula 4 3 2 3 3 3 2" xfId="45668" xr:uid="{1E8528BD-7BAF-4210-9F08-F41999D93439}"/>
    <cellStyle name="Vírgula 4 3 2 3 3 3 3" xfId="56978" xr:uid="{587B0061-9F6E-43AB-B5B6-16AA3E97A61D}"/>
    <cellStyle name="Vírgula 4 3 2 3 3 4" xfId="13305" xr:uid="{7F5801AB-BA18-43CF-95E7-6C1B9FF63EF8}"/>
    <cellStyle name="Vírgula 4 3 2 3 3 4 2" xfId="33646" xr:uid="{9187DD81-BF7E-4E22-9028-DC93C19A0907}"/>
    <cellStyle name="Vírgula 4 3 2 3 3 5" xfId="11790" xr:uid="{37236D1C-6DEA-4249-AE60-E8D9406B3D71}"/>
    <cellStyle name="Vírgula 4 3 2 3 3 5 2" xfId="32132" xr:uid="{0E0C94DB-36EF-4963-9527-A676DB802769}"/>
    <cellStyle name="Vírgula 4 3 2 3 3 6" xfId="28638" xr:uid="{40272A50-7787-4DDC-8311-46921BA74218}"/>
    <cellStyle name="Vírgula 4 3 2 3 3 7" xfId="49021" xr:uid="{54D792BE-7DDC-4C28-8A41-2057D6151D9F}"/>
    <cellStyle name="Vírgula 4 3 2 3 3 8" xfId="50691" xr:uid="{F41ECFA7-F3BE-4558-8406-C57A646F673B}"/>
    <cellStyle name="Vírgula 4 3 2 3 3 9" xfId="53986" xr:uid="{F696477B-E7C5-4D81-A6B9-55437C702FCA}"/>
    <cellStyle name="Vírgula 4 3 2 3 4" xfId="1513" xr:uid="{A3A233D9-28BF-45BC-8F52-900D50325F50}"/>
    <cellStyle name="Vírgula 4 3 2 3 4 2" xfId="3174" xr:uid="{A6C3D55A-71E9-4819-A3BB-23E44D730CC4}"/>
    <cellStyle name="Vírgula 4 3 2 3 4 2 2" xfId="52324" xr:uid="{B71C420E-4FB5-4B59-83FB-EC5982DDCC89}"/>
    <cellStyle name="Vírgula 4 3 2 3 4 2 3" xfId="55618" xr:uid="{A4F3ED30-2A3A-43F5-9F5B-D9887A35DB61}"/>
    <cellStyle name="Vírgula 4 3 2 3 4 2 4" xfId="36553" xr:uid="{B8394E3F-868C-45E9-A878-C61752081124}"/>
    <cellStyle name="Vírgula 4 3 2 3 4 3" xfId="49022" xr:uid="{EAB83782-B3EC-411A-BCF9-11ADE688C4BC}"/>
    <cellStyle name="Vírgula 4 3 2 3 4 3 2" xfId="57384" xr:uid="{A3743668-E9C3-455F-8E63-FC9FD0345580}"/>
    <cellStyle name="Vírgula 4 3 2 3 4 4" xfId="50692" xr:uid="{CDD37A01-CFD9-4500-8995-5CFE15E14EF9}"/>
    <cellStyle name="Vírgula 4 3 2 3 4 5" xfId="53987" xr:uid="{FFBDCFF3-AC51-4628-B239-D8C96C36CB11}"/>
    <cellStyle name="Vírgula 4 3 2 3 4 6" xfId="16213" xr:uid="{78D40F02-2271-431C-9A91-2BCCAD7019F6}"/>
    <cellStyle name="Vírgula 4 3 2 3 5" xfId="700" xr:uid="{369ED25D-0D2F-4FFC-A025-000A52B21198}"/>
    <cellStyle name="Vírgula 4 3 2 3 5 2" xfId="2416" xr:uid="{AD796893-4E85-4FFF-BA0A-B7D03799D515}"/>
    <cellStyle name="Vírgula 4 3 2 3 5 2 2" xfId="52325" xr:uid="{91A374DD-458B-49BC-9878-59343E8F55BB}"/>
    <cellStyle name="Vírgula 4 3 2 3 5 2 3" xfId="55619" xr:uid="{757213EE-CC09-4C42-AA7A-DB3394F28E50}"/>
    <cellStyle name="Vírgula 4 3 2 3 5 2 4" xfId="40054" xr:uid="{A7E5E8D7-321E-4FC0-93C2-5E043DA9D088}"/>
    <cellStyle name="Vírgula 4 3 2 3 5 3" xfId="49023" xr:uid="{DF974CCE-AD59-4F10-B0FA-0EEBEDB00479}"/>
    <cellStyle name="Vírgula 4 3 2 3 5 3 2" xfId="56571" xr:uid="{BEC2FCE3-26F6-4521-A0FE-3CC03FC4D369}"/>
    <cellStyle name="Vírgula 4 3 2 3 5 4" xfId="50693" xr:uid="{12D12594-AF75-407F-B29A-ACCD09AABDD7}"/>
    <cellStyle name="Vírgula 4 3 2 3 5 5" xfId="53988" xr:uid="{751C18D5-5AC4-4BB3-A302-EE74B3C58CD6}"/>
    <cellStyle name="Vírgula 4 3 2 3 5 6" xfId="19715" xr:uid="{ECF2E207-C6C9-4ED5-A112-86BCCBA662C2}"/>
    <cellStyle name="Vírgula 4 3 2 3 6" xfId="3636" xr:uid="{FF31D962-8E0F-4DAA-B962-2E40C8F2FDE1}"/>
    <cellStyle name="Vírgula 4 3 2 3 6 2" xfId="43305" xr:uid="{73DF0AD5-11DF-478F-8E1B-E6E91B0EB934}"/>
    <cellStyle name="Vírgula 4 3 2 3 6 3" xfId="52318" xr:uid="{FBA111FB-393C-4B7C-9918-0D33A587FEB0}"/>
    <cellStyle name="Vírgula 4 3 2 3 6 4" xfId="55612" xr:uid="{E236E2EA-8771-4B83-813B-D76BC65C11E0}"/>
    <cellStyle name="Vírgula 4 3 2 3 6 5" xfId="22970" xr:uid="{17AF1086-579A-4D77-98FB-EA28BA60DF7F}"/>
    <cellStyle name="Vírgula 4 3 2 3 7" xfId="4246" xr:uid="{51B665D2-A59F-4BAE-A077-454D6584B1EB}"/>
    <cellStyle name="Vírgula 4 3 2 3 7 2" xfId="32911" xr:uid="{7BA4F4DC-157E-48D4-8744-E72E65E2F488}"/>
    <cellStyle name="Vírgula 4 3 2 3 7 3" xfId="56162" xr:uid="{8DFF27E0-6DBB-4186-8677-8E37FF9F108D}"/>
    <cellStyle name="Vírgula 4 3 2 3 7 4" xfId="12570" xr:uid="{4059CFE9-664D-4C5F-8444-04E6FBD2E1B1}"/>
    <cellStyle name="Vírgula 4 3 2 3 8" xfId="1985" xr:uid="{1ECA2BF6-8DB4-464B-B0C1-C83CD0B97C48}"/>
    <cellStyle name="Vírgula 4 3 2 3 8 2" xfId="29769" xr:uid="{F49BB765-EF86-4F5E-A87B-3F538E275FA2}"/>
    <cellStyle name="Vírgula 4 3 2 3 8 3" xfId="9426" xr:uid="{2EE28FE0-6B9B-4183-83EB-D20AAB0D9B7F}"/>
    <cellStyle name="Vírgula 4 3 2 3 9" xfId="26275" xr:uid="{799E8406-955C-467C-9A7B-993D38C7A840}"/>
    <cellStyle name="Vírgula 4 3 2 4" xfId="350" xr:uid="{46F17C5A-0D1D-46F9-8F8C-90B34DF0C382}"/>
    <cellStyle name="Vírgula 4 3 2 4 10" xfId="53989" xr:uid="{C24E4DE1-40F8-47C3-AACB-1495ED847C3E}"/>
    <cellStyle name="Vírgula 4 3 2 4 11" xfId="6504" xr:uid="{3C943B7E-3EC2-4D50-9034-3776C27ABA62}"/>
    <cellStyle name="Vírgula 4 3 2 4 12" xfId="4631" xr:uid="{870918B6-B096-478E-86FE-D113041A6BBD}"/>
    <cellStyle name="Vírgula 4 3 2 4 2" xfId="1166" xr:uid="{F285F316-AEE2-4E8D-81B8-A8D0167BA65E}"/>
    <cellStyle name="Vírgula 4 3 2 4 2 2" xfId="2827" xr:uid="{361B1E7B-1A48-4D1A-A400-84BCCA117645}"/>
    <cellStyle name="Vírgula 4 3 2 4 2 2 2" xfId="52327" xr:uid="{1F79CF4C-C709-48A4-A3F7-8E9F0CAAC88A}"/>
    <cellStyle name="Vírgula 4 3 2 4 2 2 3" xfId="55621" xr:uid="{810EE497-6D1F-4B32-82C5-31387140089D}"/>
    <cellStyle name="Vírgula 4 3 2 4 2 2 4" xfId="37130" xr:uid="{4500D064-95C0-490E-92CC-61A0696FF982}"/>
    <cellStyle name="Vírgula 4 3 2 4 2 3" xfId="49025" xr:uid="{F528A71A-02B5-40C3-8454-0D3DC94964EE}"/>
    <cellStyle name="Vírgula 4 3 2 4 2 3 2" xfId="57037" xr:uid="{E7FD11B9-FCC6-4D2E-9569-EDC5E4955434}"/>
    <cellStyle name="Vírgula 4 3 2 4 2 4" xfId="50695" xr:uid="{73B843F8-5D7D-428C-82C7-75BFDA7876E6}"/>
    <cellStyle name="Vírgula 4 3 2 4 2 5" xfId="53990" xr:uid="{A9ACBD61-EA07-4B02-99C6-5BF45DC2383E}"/>
    <cellStyle name="Vírgula 4 3 2 4 2 6" xfId="16790" xr:uid="{CBF0088E-F0B2-4EF7-AB55-607951457E93}"/>
    <cellStyle name="Vírgula 4 3 2 4 3" xfId="1572" xr:uid="{394C2F56-69CA-44F9-B856-63DF471B67F3}"/>
    <cellStyle name="Vírgula 4 3 2 4 3 2" xfId="3232" xr:uid="{BECBBD04-12ED-4C2F-B14A-B838E5FC5977}"/>
    <cellStyle name="Vírgula 4 3 2 4 3 2 2" xfId="52328" xr:uid="{F2C8ED3D-FB50-480F-A19D-020F1902F7A0}"/>
    <cellStyle name="Vírgula 4 3 2 4 3 2 3" xfId="55622" xr:uid="{6109A69F-A007-4565-A031-5C71737153C8}"/>
    <cellStyle name="Vírgula 4 3 2 4 3 2 4" xfId="40631" xr:uid="{C7AF45D0-5D5D-4E35-957B-E6468BFF906C}"/>
    <cellStyle name="Vírgula 4 3 2 4 3 3" xfId="49026" xr:uid="{402947F2-EDE9-46D8-98BC-05B8774DD245}"/>
    <cellStyle name="Vírgula 4 3 2 4 3 3 2" xfId="57443" xr:uid="{566B80B5-AE64-407F-90A0-072778D31CE1}"/>
    <cellStyle name="Vírgula 4 3 2 4 3 4" xfId="50696" xr:uid="{B3245413-9861-48E7-9E23-82FD7850944C}"/>
    <cellStyle name="Vírgula 4 3 2 4 3 5" xfId="53991" xr:uid="{33A03B75-BE4F-4CB4-ADC7-5BDFE87ADF7A}"/>
    <cellStyle name="Vírgula 4 3 2 4 3 6" xfId="20292" xr:uid="{D6E0C809-1B54-42A0-B07B-7F879DCFA160}"/>
    <cellStyle name="Vírgula 4 3 2 4 4" xfId="759" xr:uid="{C5D67408-3D2E-4313-ACBF-ED9EF72FF800}"/>
    <cellStyle name="Vírgula 4 3 2 4 4 2" xfId="2475" xr:uid="{D7925E24-DB28-41DF-B5ED-DE029BDE4D51}"/>
    <cellStyle name="Vírgula 4 3 2 4 4 2 2" xfId="52329" xr:uid="{FC581DED-A109-4B46-B041-0B884402919E}"/>
    <cellStyle name="Vírgula 4 3 2 4 4 2 3" xfId="55623" xr:uid="{9E321576-047A-48CE-AFA0-8AE82F7116F6}"/>
    <cellStyle name="Vírgula 4 3 2 4 4 2 4" xfId="43882" xr:uid="{DE81BF7A-A752-499F-A9AA-27EFA8467F90}"/>
    <cellStyle name="Vírgula 4 3 2 4 4 3" xfId="49027" xr:uid="{EC7C94B0-95F4-45FC-8032-8913C5ED0F4D}"/>
    <cellStyle name="Vírgula 4 3 2 4 4 3 2" xfId="56630" xr:uid="{3C4F8E44-56F4-4137-A021-E1F83A3D1D44}"/>
    <cellStyle name="Vírgula 4 3 2 4 4 4" xfId="50697" xr:uid="{A137713B-B10C-494A-806C-7D0C61F1FFF0}"/>
    <cellStyle name="Vírgula 4 3 2 4 4 5" xfId="53992" xr:uid="{D8C50B12-DFD4-48A5-8833-AC467D260945}"/>
    <cellStyle name="Vírgula 4 3 2 4 4 6" xfId="23547" xr:uid="{4DA09485-F7B4-48FC-B968-62FF3E50AD51}"/>
    <cellStyle name="Vírgula 4 3 2 4 5" xfId="3527" xr:uid="{73A55E3B-9774-4366-8EB9-85B20F1E74BA}"/>
    <cellStyle name="Vírgula 4 3 2 4 5 2" xfId="34222" xr:uid="{488895F9-C433-4EC6-8FC0-B6AD362EA736}"/>
    <cellStyle name="Vírgula 4 3 2 4 5 3" xfId="52326" xr:uid="{39DA929B-A8E9-493B-80D4-458FCACE541B}"/>
    <cellStyle name="Vírgula 4 3 2 4 5 4" xfId="55620" xr:uid="{A7D599CE-CEED-41B8-AA04-CCF43B855A6B}"/>
    <cellStyle name="Vírgula 4 3 2 4 5 5" xfId="13881" xr:uid="{F0879695-A3A0-473F-BD87-A855BF5916A3}"/>
    <cellStyle name="Vírgula 4 3 2 4 6" xfId="1876" xr:uid="{F65A6BD5-69FF-4C05-83A5-B09903FDE1AC}"/>
    <cellStyle name="Vírgula 4 3 2 4 6 2" xfId="30346" xr:uid="{2805029F-8945-47FF-93A5-4F378B417DC1}"/>
    <cellStyle name="Vírgula 4 3 2 4 6 3" xfId="56221" xr:uid="{891BEB03-13C6-489E-AE13-584E3EE1BD06}"/>
    <cellStyle name="Vírgula 4 3 2 4 6 4" xfId="10003" xr:uid="{ED7EB3B4-A117-468B-BCF0-6444979B16A7}"/>
    <cellStyle name="Vírgula 4 3 2 4 7" xfId="26852" xr:uid="{ECB45916-EFA9-48AB-9786-5C88CF031F8C}"/>
    <cellStyle name="Vírgula 4 3 2 4 8" xfId="49024" xr:uid="{F0C479BF-26F9-4A68-B5CE-E7171138053E}"/>
    <cellStyle name="Vírgula 4 3 2 4 9" xfId="50694" xr:uid="{7A3BD9BA-4AE1-4A5B-B885-957D0C6BFC0B}"/>
    <cellStyle name="Vírgula 4 3 2 5" xfId="977" xr:uid="{80483F97-D712-46BA-8F30-12823D47FB53}"/>
    <cellStyle name="Vírgula 4 3 2 5 10" xfId="53993" xr:uid="{A12254FA-F2D1-49D0-AA79-9B699E662B23}"/>
    <cellStyle name="Vírgula 4 3 2 5 11" xfId="7668" xr:uid="{51A67979-054F-46D8-8A64-5DAE6EF881BE}"/>
    <cellStyle name="Vírgula 4 3 2 5 12" xfId="4905" xr:uid="{CCBA8DE5-E8E3-4F96-90A4-14839494D213}"/>
    <cellStyle name="Vírgula 4 3 2 5 2" xfId="3745" xr:uid="{25DE70E0-9C15-485B-BBD8-391429DA1250}"/>
    <cellStyle name="Vírgula 4 3 2 5 2 2" xfId="38293" xr:uid="{0ED54EA1-3805-43D5-A8EE-4DCCED1DAB05}"/>
    <cellStyle name="Vírgula 4 3 2 5 2 3" xfId="52330" xr:uid="{90EAEE24-2F6D-48BC-9F7D-4904969A90E8}"/>
    <cellStyle name="Vírgula 4 3 2 5 2 4" xfId="55624" xr:uid="{033E33FC-BA10-41C6-B026-B0C61C9A6EA9}"/>
    <cellStyle name="Vírgula 4 3 2 5 2 5" xfId="17953" xr:uid="{26583522-7A57-4722-89AF-095F953E0D08}"/>
    <cellStyle name="Vírgula 4 3 2 5 3" xfId="2691" xr:uid="{88C28432-B267-4BD2-9C5C-3D5CA14FA224}"/>
    <cellStyle name="Vírgula 4 3 2 5 3 2" xfId="41794" xr:uid="{8FAD63F3-6167-4BEE-B1BC-3BA681BA52A4}"/>
    <cellStyle name="Vírgula 4 3 2 5 3 3" xfId="56848" xr:uid="{AC1C45E7-D5B0-4857-ABCF-9B7EB8E76CB1}"/>
    <cellStyle name="Vírgula 4 3 2 5 3 4" xfId="21455" xr:uid="{B78C6FEA-54FE-4973-A1A7-895B48DB93A7}"/>
    <cellStyle name="Vírgula 4 3 2 5 4" xfId="24710" xr:uid="{48DD1FF7-E104-4290-91CE-2AF91379D82D}"/>
    <cellStyle name="Vírgula 4 3 2 5 4 2" xfId="45045" xr:uid="{1924DAF0-5C4B-4D0E-A99A-6FA2350034FE}"/>
    <cellStyle name="Vírgula 4 3 2 5 5" xfId="15045" xr:uid="{EF8F192D-8A64-42B5-95D8-329BC3A1A28C}"/>
    <cellStyle name="Vírgula 4 3 2 5 5 2" xfId="35385" xr:uid="{5CE2DBC1-097B-4E7D-9778-39FADBD59416}"/>
    <cellStyle name="Vírgula 4 3 2 5 6" xfId="11166" xr:uid="{B9CC1AAC-CB16-4485-AF4D-473650D39670}"/>
    <cellStyle name="Vírgula 4 3 2 5 6 2" xfId="31509" xr:uid="{E00004F0-B8CD-4D02-A427-32C31ABF1FBC}"/>
    <cellStyle name="Vírgula 4 3 2 5 7" xfId="28015" xr:uid="{BC2B514E-2B80-48C8-AC78-E54BC18ACAA0}"/>
    <cellStyle name="Vírgula 4 3 2 5 8" xfId="49028" xr:uid="{0E807095-67D7-4ECE-8073-B57B26C6DB1E}"/>
    <cellStyle name="Vírgula 4 3 2 5 9" xfId="50698" xr:uid="{AA4A4889-C3F8-417E-9010-49FF934DFC13}"/>
    <cellStyle name="Vírgula 4 3 2 6" xfId="1383" xr:uid="{3ECE62A9-B957-437D-B830-F4F4419D8CBD}"/>
    <cellStyle name="Vírgula 4 3 2 6 10" xfId="8292" xr:uid="{50BCE272-B58F-47FA-A896-246FC85DEA30}"/>
    <cellStyle name="Vírgula 4 3 2 6 2" xfId="3044" xr:uid="{C1B9629A-9CCF-49B3-85E8-0CB13F2FC72B}"/>
    <cellStyle name="Vírgula 4 3 2 6 2 2" xfId="42415" xr:uid="{C72EDF35-6A77-43B6-A212-C98C97DC5562}"/>
    <cellStyle name="Vírgula 4 3 2 6 2 3" xfId="52331" xr:uid="{C61E9DFB-8D91-4F87-92DD-304235C0ED7D}"/>
    <cellStyle name="Vírgula 4 3 2 6 2 4" xfId="55625" xr:uid="{512BB054-BDAF-440E-8CF0-8B819B6EDC28}"/>
    <cellStyle name="Vírgula 4 3 2 6 2 5" xfId="22079" xr:uid="{9F66675A-A23E-4853-A57F-4C7240B7FD14}"/>
    <cellStyle name="Vírgula 4 3 2 6 3" xfId="25331" xr:uid="{BF566839-8B51-4A7E-8C41-5EB3F9DB8294}"/>
    <cellStyle name="Vírgula 4 3 2 6 3 2" xfId="45666" xr:uid="{84F38FF6-B598-4FB7-9702-45E45EAD2169}"/>
    <cellStyle name="Vírgula 4 3 2 6 3 3" xfId="57254" xr:uid="{EFA1A507-E75D-4110-827F-486CAE7D9DE1}"/>
    <cellStyle name="Vírgula 4 3 2 6 4" xfId="12736" xr:uid="{07D64BED-F689-4A1A-A1A4-D7AF0D427894}"/>
    <cellStyle name="Vírgula 4 3 2 6 4 2" xfId="33077" xr:uid="{22E2EF3A-81E9-49A6-8DE6-38D518A5F3F5}"/>
    <cellStyle name="Vírgula 4 3 2 6 5" xfId="11788" xr:uid="{AB8600B8-7852-4309-97A9-0F65135CC6F6}"/>
    <cellStyle name="Vírgula 4 3 2 6 5 2" xfId="32130" xr:uid="{4B99A422-4173-41D6-9540-E2D4D9F76A93}"/>
    <cellStyle name="Vírgula 4 3 2 6 6" xfId="28636" xr:uid="{5487FDE0-F2BD-428D-8311-6250C7800224}"/>
    <cellStyle name="Vírgula 4 3 2 6 7" xfId="49029" xr:uid="{BA30F9F7-59C2-4A83-8E3C-EAB4CD046513}"/>
    <cellStyle name="Vírgula 4 3 2 6 8" xfId="50699" xr:uid="{0A431ECD-71B3-4F94-9307-75F8A3D19E08}"/>
    <cellStyle name="Vírgula 4 3 2 6 9" xfId="53994" xr:uid="{5DD01F47-6A49-442C-BD8F-76BA8189300A}"/>
    <cellStyle name="Vírgula 4 3 2 7" xfId="570" xr:uid="{64625326-06E6-40D3-9A73-39248AFA2A49}"/>
    <cellStyle name="Vírgula 4 3 2 7 2" xfId="2286" xr:uid="{B8FDAF20-70E9-4156-8F60-742C048DDEDD}"/>
    <cellStyle name="Vírgula 4 3 2 7 2 2" xfId="35972" xr:uid="{11891B02-4FC1-419A-8033-E4D4408DD772}"/>
    <cellStyle name="Vírgula 4 3 2 7 2 3" xfId="52332" xr:uid="{F0E00D02-3D7F-4777-8DD9-CEDBEADE6794}"/>
    <cellStyle name="Vírgula 4 3 2 7 2 4" xfId="55626" xr:uid="{DF9E51D4-CBDD-4E7E-895B-1F0E909EBD51}"/>
    <cellStyle name="Vírgula 4 3 2 7 2 5" xfId="15632" xr:uid="{2A076BBD-7C52-4C93-A8C3-166DE2F3D632}"/>
    <cellStyle name="Vírgula 4 3 2 7 3" xfId="28871" xr:uid="{C9F3998C-6481-4901-9EB2-DD136D2309AB}"/>
    <cellStyle name="Vírgula 4 3 2 7 3 2" xfId="56441" xr:uid="{4B687297-9FCA-4469-A78E-7140C95C4D9C}"/>
    <cellStyle name="Vírgula 4 3 2 7 4" xfId="49030" xr:uid="{7C901F04-4911-49C4-8A2A-A6E1D0683F33}"/>
    <cellStyle name="Vírgula 4 3 2 7 5" xfId="50700" xr:uid="{3A738784-AFC5-4591-9768-0D7532E27F79}"/>
    <cellStyle name="Vírgula 4 3 2 7 6" xfId="53995" xr:uid="{D5DCF334-80E7-4337-979D-26DF95C41D88}"/>
    <cellStyle name="Vírgula 4 3 2 7 7" xfId="8528" xr:uid="{F9F47F50-D2D7-49EE-8072-9B664C07B30E}"/>
    <cellStyle name="Vírgula 4 3 2 8" xfId="3417" xr:uid="{66F6B0F9-3CFF-4766-A31B-E27EBFF11BBB}"/>
    <cellStyle name="Vírgula 4 3 2 8 2" xfId="38886" xr:uid="{BB528F2A-BFE9-4CCA-B408-1FF02EFF8C8B}"/>
    <cellStyle name="Vírgula 4 3 2 8 3" xfId="52309" xr:uid="{165BDC6F-A161-4E14-B13D-7F1FDE646510}"/>
    <cellStyle name="Vírgula 4 3 2 8 4" xfId="55603" xr:uid="{7A84D68E-99B7-4B07-8B30-A245BD163FF4}"/>
    <cellStyle name="Vírgula 4 3 2 8 5" xfId="18546" xr:uid="{767B2039-0FC8-4146-B1D0-A4606F7EC5BD}"/>
    <cellStyle name="Vírgula 4 3 2 9" xfId="3903" xr:uid="{95A4F671-C260-4600-A98D-16E1D7B4BF54}"/>
    <cellStyle name="Vírgula 4 3 2 9 2" xfId="39473" xr:uid="{942A6FBA-E93B-4C8D-9218-46E5FB7B73AD}"/>
    <cellStyle name="Vírgula 4 3 2 9 3" xfId="56032" xr:uid="{51C2EC45-FB81-4A7A-8CCB-AC043B3226D7}"/>
    <cellStyle name="Vírgula 4 3 2 9 4" xfId="19134" xr:uid="{42E0F107-D1A8-4260-8ED6-600F6D534AC2}"/>
    <cellStyle name="Vírgula 4 3 20" xfId="46821" xr:uid="{96DE13D2-506E-46ED-96FB-B16AA7942A0F}"/>
    <cellStyle name="Vírgula 4 3 21" xfId="47323" xr:uid="{C812C597-E1B6-4721-8895-1EA3E8AD9898}"/>
    <cellStyle name="Vírgula 4 3 22" xfId="47449" xr:uid="{594F0E69-8D8C-4743-BEFC-F28C934EED9C}"/>
    <cellStyle name="Vírgula 4 3 23" xfId="47575" xr:uid="{98A28D0D-0396-47B6-A734-4F3A7BB19E60}"/>
    <cellStyle name="Vírgula 4 3 24" xfId="49006" xr:uid="{CBCD8DFC-8359-473A-BC27-D7931CBFDE2D}"/>
    <cellStyle name="Vírgula 4 3 25" xfId="50676" xr:uid="{3135D980-C279-4DFC-840A-547DE93AD260}"/>
    <cellStyle name="Vírgula 4 3 26" xfId="53971" xr:uid="{9E20202E-7F97-457D-84BA-92CFE72408F7}"/>
    <cellStyle name="Vírgula 4 3 27" xfId="5245" xr:uid="{FEA9DDC5-23D8-41A9-8679-A38F55FCA1A7}"/>
    <cellStyle name="Vírgula 4 3 28" xfId="4413" xr:uid="{D2EFA836-1D80-4A58-B8B3-D6AACE538A87}"/>
    <cellStyle name="Vírgula 4 3 3" xfId="187" xr:uid="{9B579E17-9971-4408-BCD1-B0B9D3CB59F5}"/>
    <cellStyle name="Vírgula 4 3 3 10" xfId="12202" xr:uid="{93CBA25E-64E4-4A89-9B8F-B55473152C30}"/>
    <cellStyle name="Vírgula 4 3 3 10 2" xfId="32543" xr:uid="{E37B60A0-9594-4D84-8572-6A533D48C7F3}"/>
    <cellStyle name="Vírgula 4 3 3 11" xfId="8941" xr:uid="{B48B28BF-57C8-47B9-B143-6B5639193EAD}"/>
    <cellStyle name="Vírgula 4 3 3 11 2" xfId="29284" xr:uid="{68083C5D-83A6-4016-BED0-5BCC8A22AD0B}"/>
    <cellStyle name="Vírgula 4 3 3 12" xfId="25790" xr:uid="{08063CB5-9E68-469D-B8AC-51706D00EE7F}"/>
    <cellStyle name="Vírgula 4 3 3 13" xfId="46005" xr:uid="{05EB1756-39ED-4181-896B-2F0277B1A9EE}"/>
    <cellStyle name="Vírgula 4 3 3 14" xfId="46491" xr:uid="{00C9C59E-86DF-4711-B3F3-37A38524306F}"/>
    <cellStyle name="Vírgula 4 3 3 15" xfId="46983" xr:uid="{0CE611E4-F029-49CE-A4EA-E55B39456B45}"/>
    <cellStyle name="Vírgula 4 3 3 16" xfId="47379" xr:uid="{8C7E1229-BB60-41E3-ADDA-6AF6BC7EE435}"/>
    <cellStyle name="Vírgula 4 3 3 17" xfId="47505" xr:uid="{F8AFB015-F8D0-4924-B18D-DC2009CCDAAE}"/>
    <cellStyle name="Vírgula 4 3 3 18" xfId="47631" xr:uid="{7FEE9ACE-4F5C-4816-8719-644F78EA6F83}"/>
    <cellStyle name="Vírgula 4 3 3 19" xfId="49031" xr:uid="{416784CA-D6DB-4A8C-8FE9-831A7529DDA6}"/>
    <cellStyle name="Vírgula 4 3 3 2" xfId="376" xr:uid="{7A89767A-D582-45F6-811D-31B7D23909C6}"/>
    <cellStyle name="Vírgula 4 3 3 2 10" xfId="46734" xr:uid="{BCF71F55-A04F-4F61-A98E-1B189A4C7D82}"/>
    <cellStyle name="Vírgula 4 3 3 2 11" xfId="47226" xr:uid="{85D7D43D-D6CE-4E77-AD24-5883DCDCF985}"/>
    <cellStyle name="Vírgula 4 3 3 2 12" xfId="49032" xr:uid="{F595DFA1-2213-4D73-886B-4CDC96906F55}"/>
    <cellStyle name="Vírgula 4 3 3 2 13" xfId="50702" xr:uid="{88A5ECE7-8CBE-4588-9899-D7D493E33047}"/>
    <cellStyle name="Vírgula 4 3 3 2 14" xfId="53997" xr:uid="{442B6C0F-411D-4E0E-A131-775AF8F633DB}"/>
    <cellStyle name="Vírgula 4 3 3 2 15" xfId="6023" xr:uid="{9D3C1AD7-EC34-48AF-8190-7913DBD6BA45}"/>
    <cellStyle name="Vírgula 4 3 3 2 16" xfId="4657" xr:uid="{179DBF84-0F9C-4504-BA23-E17367ADC9ED}"/>
    <cellStyle name="Vírgula 4 3 3 2 2" xfId="1192" xr:uid="{39A87878-2288-4688-855E-BCE9195A756B}"/>
    <cellStyle name="Vírgula 4 3 3 2 2 10" xfId="53998" xr:uid="{3B57BE29-7064-4308-A556-D53FB140F6B4}"/>
    <cellStyle name="Vírgula 4 3 3 2 2 11" xfId="7181" xr:uid="{F3A9C95D-4307-45D5-930A-671B4B810232}"/>
    <cellStyle name="Vírgula 4 3 3 2 2 12" xfId="5123" xr:uid="{8C09BF16-279C-445D-BCD5-3259B723935B}"/>
    <cellStyle name="Vírgula 4 3 3 2 2 2" xfId="2853" xr:uid="{4FEAF599-D79C-43D4-8CC4-55011F712771}"/>
    <cellStyle name="Vírgula 4 3 3 2 2 2 2" xfId="37807" xr:uid="{D8F33A18-1F2C-4213-8B82-C0EB32BA6BED}"/>
    <cellStyle name="Vírgula 4 3 3 2 2 2 3" xfId="52335" xr:uid="{2F8C1D0A-94B2-4A1B-9EE3-B5BDEFFFDF60}"/>
    <cellStyle name="Vírgula 4 3 3 2 2 2 4" xfId="55629" xr:uid="{1FFD6F6F-E6E4-4B5D-9E0F-F3C6C9A81EE7}"/>
    <cellStyle name="Vírgula 4 3 3 2 2 2 5" xfId="17467" xr:uid="{EAEBEA3C-6A2D-48F0-96E4-274391F89208}"/>
    <cellStyle name="Vírgula 4 3 3 2 2 3" xfId="20969" xr:uid="{8DFB39AC-475E-421E-A086-04C4768A7E71}"/>
    <cellStyle name="Vírgula 4 3 3 2 2 3 2" xfId="41308" xr:uid="{A2F92B4D-11F2-461A-923B-F400A27CE2AF}"/>
    <cellStyle name="Vírgula 4 3 3 2 2 3 3" xfId="57063" xr:uid="{6FB07C98-9556-4CC2-85E5-890BF11EBD62}"/>
    <cellStyle name="Vírgula 4 3 3 2 2 4" xfId="24224" xr:uid="{EC247C76-2CDE-443A-A9AA-AFD4845D72B8}"/>
    <cellStyle name="Vírgula 4 3 3 2 2 4 2" xfId="44559" xr:uid="{71787BC6-F872-48C8-A5CE-6BBADA3EBEAA}"/>
    <cellStyle name="Vírgula 4 3 3 2 2 5" xfId="14558" xr:uid="{034DB71B-62AA-43AB-991D-A0104A534D19}"/>
    <cellStyle name="Vírgula 4 3 3 2 2 5 2" xfId="34899" xr:uid="{F6881274-29D8-4DBD-AFF5-2C1D8F041236}"/>
    <cellStyle name="Vírgula 4 3 3 2 2 6" xfId="10680" xr:uid="{10D19BDD-7DFF-4A25-83FD-2EE25139639D}"/>
    <cellStyle name="Vírgula 4 3 3 2 2 6 2" xfId="31023" xr:uid="{A122C8A8-BE03-4C23-882F-287EF08AA3B8}"/>
    <cellStyle name="Vírgula 4 3 3 2 2 7" xfId="27529" xr:uid="{CECA9827-C562-457A-B840-61296EF761F8}"/>
    <cellStyle name="Vírgula 4 3 3 2 2 8" xfId="49033" xr:uid="{30C4D173-F25C-4FFF-AB61-DCE5F0E48954}"/>
    <cellStyle name="Vírgula 4 3 3 2 2 9" xfId="50703" xr:uid="{51F016E4-F9FA-45D7-B128-AC7D8124EACB}"/>
    <cellStyle name="Vírgula 4 3 3 2 3" xfId="1598" xr:uid="{EE0D2327-E7FD-4A10-9EC0-9978FB058160}"/>
    <cellStyle name="Vírgula 4 3 3 2 3 2" xfId="3258" xr:uid="{AE4AAC22-E683-4598-98DD-A45833A74CBB}"/>
    <cellStyle name="Vírgula 4 3 3 2 3 2 2" xfId="52336" xr:uid="{D58D33F0-A1BB-466F-A67F-4FD165ADBCE0}"/>
    <cellStyle name="Vírgula 4 3 3 2 3 2 3" xfId="55630" xr:uid="{C7593257-22B5-4766-9791-E965A65F9E2B}"/>
    <cellStyle name="Vírgula 4 3 3 2 3 2 4" xfId="36649" xr:uid="{BBB0B0EA-8188-42AE-B92A-3DF9E78027DE}"/>
    <cellStyle name="Vírgula 4 3 3 2 3 3" xfId="49034" xr:uid="{5996BB68-EFD6-4013-B8C4-3F10E2B0067C}"/>
    <cellStyle name="Vírgula 4 3 3 2 3 3 2" xfId="57469" xr:uid="{2EE1F48F-6A4C-49D9-A7B3-C364AE30CA81}"/>
    <cellStyle name="Vírgula 4 3 3 2 3 4" xfId="50704" xr:uid="{CFE7AAC2-F498-48E5-ADA9-00AF580A1026}"/>
    <cellStyle name="Vírgula 4 3 3 2 3 5" xfId="53999" xr:uid="{CA6E3623-F602-4547-9362-27264774A0E7}"/>
    <cellStyle name="Vírgula 4 3 3 2 3 6" xfId="16309" xr:uid="{07CF8BEF-1DE4-40C5-A590-DB653EDACB71}"/>
    <cellStyle name="Vírgula 4 3 3 2 4" xfId="785" xr:uid="{02A2DF67-588E-4984-9C4C-2D0B075CFB82}"/>
    <cellStyle name="Vírgula 4 3 3 2 4 2" xfId="2501" xr:uid="{5DB93DFC-7E51-4E0E-BAA6-58674BA664B4}"/>
    <cellStyle name="Vírgula 4 3 3 2 4 2 2" xfId="52337" xr:uid="{6463BEC0-2BDA-489A-ABEC-E46AC5CB6D88}"/>
    <cellStyle name="Vírgula 4 3 3 2 4 2 3" xfId="55631" xr:uid="{20B07F8E-68C2-490D-A090-5B53BFFD7A33}"/>
    <cellStyle name="Vírgula 4 3 3 2 4 2 4" xfId="40150" xr:uid="{A6B2F094-97C6-4AA9-9AEA-8C1A258026B0}"/>
    <cellStyle name="Vírgula 4 3 3 2 4 3" xfId="49035" xr:uid="{52B9BC61-0164-49A8-A4E6-7A915D583A8B}"/>
    <cellStyle name="Vírgula 4 3 3 2 4 3 2" xfId="56656" xr:uid="{2D68BAD3-09E8-47B4-BB37-EACD3928E808}"/>
    <cellStyle name="Vírgula 4 3 3 2 4 4" xfId="50705" xr:uid="{720781E4-4353-4161-BF2A-BC5C20742EB0}"/>
    <cellStyle name="Vírgula 4 3 3 2 4 5" xfId="54000" xr:uid="{D7D84F03-1879-4083-9FED-2D0FF8D92F72}"/>
    <cellStyle name="Vírgula 4 3 3 2 4 6" xfId="19811" xr:uid="{53C2783F-DBDD-455E-9E24-ACF2558E6916}"/>
    <cellStyle name="Vírgula 4 3 3 2 5" xfId="3665" xr:uid="{CD56E75B-DF15-445B-8880-B64571E10F57}"/>
    <cellStyle name="Vírgula 4 3 3 2 5 2" xfId="43401" xr:uid="{73E84AEF-A495-4546-8082-2DB5168A963D}"/>
    <cellStyle name="Vírgula 4 3 3 2 5 3" xfId="52334" xr:uid="{113960C3-1243-4ED3-86F7-C34A15D19827}"/>
    <cellStyle name="Vírgula 4 3 3 2 5 4" xfId="55628" xr:uid="{DA92FA4C-946B-4059-B134-BB32DFE84E98}"/>
    <cellStyle name="Vírgula 4 3 3 2 5 5" xfId="23066" xr:uid="{F212ECC1-C7FF-42CC-8D25-58D176C852CC}"/>
    <cellStyle name="Vírgula 4 3 3 2 6" xfId="4147" xr:uid="{7FDB9F11-55AF-4B74-B31B-AC576DC0A7BC}"/>
    <cellStyle name="Vírgula 4 3 3 2 6 2" xfId="33741" xr:uid="{6853CFF3-8236-42C8-A731-9B97EE8A013A}"/>
    <cellStyle name="Vírgula 4 3 3 2 6 3" xfId="56247" xr:uid="{3DBD2239-0E76-4FDA-BBB7-C55A22655BCD}"/>
    <cellStyle name="Vírgula 4 3 3 2 6 4" xfId="13400" xr:uid="{422FCDAF-8A69-4790-9B2A-2700B2E26DCF}"/>
    <cellStyle name="Vírgula 4 3 3 2 7" xfId="2014" xr:uid="{6B19C0BA-BE6D-4EDF-A4CB-40ADA14EDB19}"/>
    <cellStyle name="Vírgula 4 3 3 2 7 2" xfId="29865" xr:uid="{960D0815-E259-4D1A-A18A-07B0B653036D}"/>
    <cellStyle name="Vírgula 4 3 3 2 7 3" xfId="9522" xr:uid="{06016F88-8293-495D-9D81-D0348CDBCC3C}"/>
    <cellStyle name="Vírgula 4 3 3 2 8" xfId="26371" xr:uid="{D12B3A4B-C310-4149-95B6-9A1C5B71BE6E}"/>
    <cellStyle name="Vírgula 4 3 3 2 9" xfId="46248" xr:uid="{C19C3D5A-BB3C-4369-9873-72E859858ECE}"/>
    <cellStyle name="Vírgula 4 3 3 20" xfId="50701" xr:uid="{2FBEA2A7-7F7A-4999-9C3E-78921B021ED1}"/>
    <cellStyle name="Vírgula 4 3 3 21" xfId="53996" xr:uid="{B2586D36-516F-4CEB-9FB5-A3D8B54247A5}"/>
    <cellStyle name="Vírgula 4 3 3 22" xfId="5456" xr:uid="{3615E38F-5D70-4FC6-A8B1-8A7635754546}"/>
    <cellStyle name="Vírgula 4 3 3 23" xfId="4468" xr:uid="{15776A66-92EB-42C8-91CC-4733E61F36F4}"/>
    <cellStyle name="Vírgula 4 3 3 3" xfId="1003" xr:uid="{588215B0-D377-43C1-94AC-09B79990E7F5}"/>
    <cellStyle name="Vírgula 4 3 3 3 10" xfId="54001" xr:uid="{5FB0BDEE-93D9-47C0-87C2-DF5BA545370E}"/>
    <cellStyle name="Vírgula 4 3 3 3 11" xfId="6600" xr:uid="{51FCF9D1-249F-4EBB-A75A-BD4D323662DB}"/>
    <cellStyle name="Vírgula 4 3 3 3 12" xfId="4904" xr:uid="{141979EC-5812-4AC5-88E7-439769BC486A}"/>
    <cellStyle name="Vírgula 4 3 3 3 2" xfId="3556" xr:uid="{0E99A67F-58B2-40D2-8031-E04F1CBD47EF}"/>
    <cellStyle name="Vírgula 4 3 3 3 2 2" xfId="37226" xr:uid="{8B1DDB51-30E7-483B-94A2-4FCF036BC5BD}"/>
    <cellStyle name="Vírgula 4 3 3 3 2 3" xfId="52338" xr:uid="{F11E7F62-E925-41B6-813A-7EA843C5AE03}"/>
    <cellStyle name="Vírgula 4 3 3 3 2 4" xfId="55632" xr:uid="{12CA1800-70E9-442B-BCF3-3595218F2AD2}"/>
    <cellStyle name="Vírgula 4 3 3 3 2 5" xfId="16886" xr:uid="{0B798DF8-9DD5-4BF4-A2C4-209249AD42AE}"/>
    <cellStyle name="Vírgula 4 3 3 3 3" xfId="4319" xr:uid="{4274261C-399D-4BE4-88AB-3367D695CCAC}"/>
    <cellStyle name="Vírgula 4 3 3 3 3 2" xfId="40727" xr:uid="{933A0FA6-52F9-4212-8D79-929A89EB0BA8}"/>
    <cellStyle name="Vírgula 4 3 3 3 3 3" xfId="56874" xr:uid="{8CAC3971-C3E9-447F-8E57-91A40319EA80}"/>
    <cellStyle name="Vírgula 4 3 3 3 3 4" xfId="20388" xr:uid="{154ECC25-3205-4CC1-A1CD-ED66766A7DCD}"/>
    <cellStyle name="Vírgula 4 3 3 3 4" xfId="1905" xr:uid="{0FC4C2B3-34CE-4397-9927-1651D928EA76}"/>
    <cellStyle name="Vírgula 4 3 3 3 4 2" xfId="43978" xr:uid="{DC7C50CC-715D-4220-A998-3CB3F22C24E8}"/>
    <cellStyle name="Vírgula 4 3 3 3 4 3" xfId="23643" xr:uid="{2D250511-C28E-46BB-B725-90CA815C227D}"/>
    <cellStyle name="Vírgula 4 3 3 3 5" xfId="13977" xr:uid="{0523F6F2-1822-4C35-BD79-4848B4F35638}"/>
    <cellStyle name="Vírgula 4 3 3 3 5 2" xfId="34318" xr:uid="{7C6BA32A-E7E9-48A0-8A06-FDEA17CFB06E}"/>
    <cellStyle name="Vírgula 4 3 3 3 6" xfId="10099" xr:uid="{7D459918-7ACC-473D-9B54-2F58F9072B23}"/>
    <cellStyle name="Vírgula 4 3 3 3 6 2" xfId="30442" xr:uid="{ACD49C34-E905-4BF0-A103-B1D528453961}"/>
    <cellStyle name="Vírgula 4 3 3 3 7" xfId="26948" xr:uid="{44F30149-411D-4CEF-9E02-34138410ED5C}"/>
    <cellStyle name="Vírgula 4 3 3 3 8" xfId="49036" xr:uid="{979B47B6-C0EB-4593-87EB-76A42B61051C}"/>
    <cellStyle name="Vírgula 4 3 3 3 9" xfId="50706" xr:uid="{76984204-1932-4A42-8398-18367530D572}"/>
    <cellStyle name="Vírgula 4 3 3 4" xfId="1409" xr:uid="{1003DABB-2F66-4779-8A66-D2FF74C75933}"/>
    <cellStyle name="Vírgula 4 3 3 4 10" xfId="54002" xr:uid="{15F1AB63-C6BA-4F02-8958-E9E907384D84}"/>
    <cellStyle name="Vírgula 4 3 3 4 11" xfId="7764" xr:uid="{08753D3E-5857-4746-B5FB-DC6A5902D448}"/>
    <cellStyle name="Vírgula 4 3 3 4 2" xfId="3774" xr:uid="{A49433E9-20AC-4623-8BAA-E29A107D0399}"/>
    <cellStyle name="Vírgula 4 3 3 4 2 2" xfId="38389" xr:uid="{6DCE6987-F721-4AB0-9E54-C0C79C860E68}"/>
    <cellStyle name="Vírgula 4 3 3 4 2 3" xfId="52339" xr:uid="{1FA135C8-FC1F-4AF3-9BD4-F5ECB90D8A49}"/>
    <cellStyle name="Vírgula 4 3 3 4 2 4" xfId="55633" xr:uid="{32F1F39D-8FCC-4A85-A911-E274B31E38E6}"/>
    <cellStyle name="Vírgula 4 3 3 4 2 5" xfId="18049" xr:uid="{93051839-92E6-4E5D-90E9-F0B58FF40970}"/>
    <cellStyle name="Vírgula 4 3 3 4 3" xfId="3070" xr:uid="{A80AB907-9C41-4FD2-9FA3-1D284920320B}"/>
    <cellStyle name="Vírgula 4 3 3 4 3 2" xfId="41890" xr:uid="{065FE40C-6185-4375-B4B5-BD62DE129742}"/>
    <cellStyle name="Vírgula 4 3 3 4 3 3" xfId="57280" xr:uid="{FB51B263-44C0-40C7-93DD-EFB477055656}"/>
    <cellStyle name="Vírgula 4 3 3 4 3 4" xfId="21551" xr:uid="{912B4C71-E5D4-4C6D-8C31-738B39FFF065}"/>
    <cellStyle name="Vírgula 4 3 3 4 4" xfId="24806" xr:uid="{0D6AF67C-A843-4B0D-84FB-033DBDC7C8D3}"/>
    <cellStyle name="Vírgula 4 3 3 4 4 2" xfId="45141" xr:uid="{5E22C5A7-9147-4047-89D0-CEDE685BB81B}"/>
    <cellStyle name="Vírgula 4 3 3 4 5" xfId="15141" xr:uid="{9077FA2F-2D2B-4E0C-BDDD-14220CDFBAD5}"/>
    <cellStyle name="Vírgula 4 3 3 4 5 2" xfId="35481" xr:uid="{E62FCB3D-4AD6-445E-958B-3D7C022BA3FB}"/>
    <cellStyle name="Vírgula 4 3 3 4 6" xfId="11262" xr:uid="{14DF6A3A-2EB2-498C-BF66-A475BF9CF08C}"/>
    <cellStyle name="Vírgula 4 3 3 4 6 2" xfId="31605" xr:uid="{EDB5F61A-70DC-46B0-8FA9-4B7EFA9A1FAB}"/>
    <cellStyle name="Vírgula 4 3 3 4 7" xfId="28111" xr:uid="{02A0D725-0AA2-4416-A6EC-4D81C12E491A}"/>
    <cellStyle name="Vírgula 4 3 3 4 8" xfId="49037" xr:uid="{9BF7EFBD-8907-4AD0-962C-4536563B890A}"/>
    <cellStyle name="Vírgula 4 3 3 4 9" xfId="50707" xr:uid="{DE7FBA7F-E031-4FAB-AA98-DF485951311F}"/>
    <cellStyle name="Vírgula 4 3 3 5" xfId="596" xr:uid="{AD0CC6B6-109F-44A5-93DB-CEFD360D9A54}"/>
    <cellStyle name="Vírgula 4 3 3 5 10" xfId="8295" xr:uid="{904C0356-A0FA-4DAF-A44A-B9FE96995A62}"/>
    <cellStyle name="Vírgula 4 3 3 5 2" xfId="2312" xr:uid="{8305658C-66C9-4D8B-947F-97222EE421F8}"/>
    <cellStyle name="Vírgula 4 3 3 5 2 2" xfId="42418" xr:uid="{D696E73A-512D-4AC4-A272-83F9AC173684}"/>
    <cellStyle name="Vírgula 4 3 3 5 2 3" xfId="52340" xr:uid="{D1C64B3F-C06D-4719-8B3E-514B2B78EBE2}"/>
    <cellStyle name="Vírgula 4 3 3 5 2 4" xfId="55634" xr:uid="{3E192EC0-BDFD-4E3C-8CC9-221D578E4734}"/>
    <cellStyle name="Vírgula 4 3 3 5 2 5" xfId="22082" xr:uid="{5A367C1F-36DB-4CF5-B703-14EDF9F0BE51}"/>
    <cellStyle name="Vírgula 4 3 3 5 3" xfId="25334" xr:uid="{785004BD-F05C-4340-BF8F-73C55C5C7D43}"/>
    <cellStyle name="Vírgula 4 3 3 5 3 2" xfId="45669" xr:uid="{51EF3302-DCBC-4153-B5E9-EE4BA0E26EC4}"/>
    <cellStyle name="Vírgula 4 3 3 5 3 3" xfId="56467" xr:uid="{2AFE328D-06D5-4FE8-9C8F-3A3C26CB06F8}"/>
    <cellStyle name="Vírgula 4 3 3 5 4" xfId="12831" xr:uid="{D85AAA22-7A32-4C90-9F14-A4CC9801366C}"/>
    <cellStyle name="Vírgula 4 3 3 5 4 2" xfId="33172" xr:uid="{7D46E19F-ED40-457A-9A30-7C61A755995B}"/>
    <cellStyle name="Vírgula 4 3 3 5 5" xfId="11791" xr:uid="{0FC31DBE-48C4-4D76-91CB-22309130E92B}"/>
    <cellStyle name="Vírgula 4 3 3 5 5 2" xfId="32133" xr:uid="{93F36EDB-C6AA-423C-8971-C3C989FC16D1}"/>
    <cellStyle name="Vírgula 4 3 3 5 6" xfId="28639" xr:uid="{7E9E2465-FA91-475D-95DD-CA6985DDDB9F}"/>
    <cellStyle name="Vírgula 4 3 3 5 7" xfId="49038" xr:uid="{3B4B43F5-5161-4C09-AE23-36E871F0D0A8}"/>
    <cellStyle name="Vírgula 4 3 3 5 8" xfId="50708" xr:uid="{9986C879-ECD6-4D4E-927D-7F14EBBC4BF2}"/>
    <cellStyle name="Vírgula 4 3 3 5 9" xfId="54003" xr:uid="{F45037C9-EA25-4982-B6A0-FECCD8A9DDFA}"/>
    <cellStyle name="Vírgula 4 3 3 6" xfId="3446" xr:uid="{346B050E-9911-49C0-AB36-8C14D225CD10}"/>
    <cellStyle name="Vírgula 4 3 3 6 2" xfId="15728" xr:uid="{76098691-2CDC-47AB-A671-0C586FB05244}"/>
    <cellStyle name="Vírgula 4 3 3 6 2 2" xfId="36068" xr:uid="{BFC20DAF-4694-4131-B26B-A1972C5DD3D5}"/>
    <cellStyle name="Vírgula 4 3 3 6 3" xfId="28973" xr:uid="{2937A731-0EAA-4218-8D70-186D5356A434}"/>
    <cellStyle name="Vírgula 4 3 3 6 4" xfId="52333" xr:uid="{BAC05B3B-9208-4DFD-B5BC-0020DBE8E5C5}"/>
    <cellStyle name="Vírgula 4 3 3 6 5" xfId="55627" xr:uid="{25B18354-E606-4A75-8AD4-C627240F6B69}"/>
    <cellStyle name="Vírgula 4 3 3 6 6" xfId="8630" xr:uid="{F981F9DB-90C4-416B-85E4-1C1C007DE0FF}"/>
    <cellStyle name="Vírgula 4 3 3 7" xfId="3975" xr:uid="{EBEB2774-5D7A-45F3-A8ED-99F08B877AF9}"/>
    <cellStyle name="Vírgula 4 3 3 7 2" xfId="38982" xr:uid="{1FC40EC0-1B6A-4BF1-85B0-0BA7F55907C8}"/>
    <cellStyle name="Vírgula 4 3 3 7 3" xfId="56058" xr:uid="{8B511C31-0DEB-4313-A18E-BB1ADC3A8788}"/>
    <cellStyle name="Vírgula 4 3 3 7 4" xfId="18642" xr:uid="{B17BFBDD-A454-470F-A93D-CCCF0F8EBD51}"/>
    <cellStyle name="Vírgula 4 3 3 8" xfId="1795" xr:uid="{26685B54-5CA1-426D-B4E5-FBCD50DB246C}"/>
    <cellStyle name="Vírgula 4 3 3 8 2" xfId="39569" xr:uid="{615862C1-7B13-4898-BED7-6A96CCDBCB1E}"/>
    <cellStyle name="Vírgula 4 3 3 8 3" xfId="19230" xr:uid="{37002BBE-CB58-4357-B8D5-A7C79E295665}"/>
    <cellStyle name="Vírgula 4 3 3 9" xfId="22485" xr:uid="{183A72C8-D57F-4A5D-8BB5-6E29E2866CA0}"/>
    <cellStyle name="Vírgula 4 3 3 9 2" xfId="42820" xr:uid="{4C0299CB-D6B5-45BF-9116-CBDA098A4EC7}"/>
    <cellStyle name="Vírgula 4 3 4" xfId="213" xr:uid="{095BE91F-19AF-4B27-9251-349404CA3F9F}"/>
    <cellStyle name="Vírgula 4 3 4 10" xfId="12260" xr:uid="{36363509-CA17-4AD6-8964-BF0EDC90BBF1}"/>
    <cellStyle name="Vírgula 4 3 4 10 2" xfId="32601" xr:uid="{7BE4BF00-7405-4010-837A-37999F4DB549}"/>
    <cellStyle name="Vírgula 4 3 4 11" xfId="8999" xr:uid="{286EE341-E712-4FE5-8BF0-59E57106AA15}"/>
    <cellStyle name="Vírgula 4 3 4 11 2" xfId="29342" xr:uid="{5C0E2B67-982D-401A-95D3-C8F789923196}"/>
    <cellStyle name="Vírgula 4 3 4 12" xfId="25848" xr:uid="{F2F41279-EF74-4669-8BD7-B1832178AE31}"/>
    <cellStyle name="Vírgula 4 3 4 13" xfId="46086" xr:uid="{74F2F9F0-ED31-4B85-8F5A-084D348A330B}"/>
    <cellStyle name="Vírgula 4 3 4 14" xfId="46572" xr:uid="{CE6EDD69-8982-47F1-8BA3-D3371E9244A4}"/>
    <cellStyle name="Vírgula 4 3 4 15" xfId="47064" xr:uid="{92B8B45F-B80D-4A04-92A3-64E6E59B933B}"/>
    <cellStyle name="Vírgula 4 3 4 16" xfId="49039" xr:uid="{9E10B890-F661-467E-B0DB-45911C4BFD30}"/>
    <cellStyle name="Vírgula 4 3 4 17" xfId="50709" xr:uid="{EC78B686-F1A1-4C02-B71F-B533FDD96EEB}"/>
    <cellStyle name="Vírgula 4 3 4 18" xfId="54004" xr:uid="{955B25A3-159A-46EA-9BAD-456318E1F791}"/>
    <cellStyle name="Vírgula 4 3 4 19" xfId="5509" xr:uid="{8127CE68-485E-460A-A599-5F35A8C81CAB}"/>
    <cellStyle name="Vírgula 4 3 4 2" xfId="402" xr:uid="{EED27A4D-FC2F-4C7D-AE9B-581A8FB2FA9B}"/>
    <cellStyle name="Vírgula 4 3 4 2 10" xfId="50710" xr:uid="{F86DB59E-B684-4C50-AD34-090AA6158EFD}"/>
    <cellStyle name="Vírgula 4 3 4 2 11" xfId="54005" xr:uid="{1B7AB329-5354-4A25-A28A-ABED259BD29E}"/>
    <cellStyle name="Vírgula 4 3 4 2 12" xfId="6081" xr:uid="{904D3992-F524-41E2-80B4-FB233CC6C308}"/>
    <cellStyle name="Vírgula 4 3 4 2 13" xfId="4683" xr:uid="{1A81BE77-B532-4113-A112-B0E6206686AC}"/>
    <cellStyle name="Vírgula 4 3 4 2 2" xfId="1218" xr:uid="{CA4D0040-261C-4CAA-AA0F-51267300BC2A}"/>
    <cellStyle name="Vírgula 4 3 4 2 2 10" xfId="54006" xr:uid="{5C7AAF16-B790-498D-95C6-A677BA5BF628}"/>
    <cellStyle name="Vírgula 4 3 4 2 2 11" xfId="7239" xr:uid="{C63AD429-2A8A-4227-BF2E-0D53C7821641}"/>
    <cellStyle name="Vírgula 4 3 4 2 2 2" xfId="2879" xr:uid="{24070E24-E307-4EE3-8DA9-5B9606E518B3}"/>
    <cellStyle name="Vírgula 4 3 4 2 2 2 2" xfId="37865" xr:uid="{16CD207A-6642-4E52-A83D-FED814799C9E}"/>
    <cellStyle name="Vírgula 4 3 4 2 2 2 3" xfId="52343" xr:uid="{7547C2A2-4CCA-4CD2-A904-F4548E0CE378}"/>
    <cellStyle name="Vírgula 4 3 4 2 2 2 4" xfId="55637" xr:uid="{CC941A14-CA55-4888-8FC7-7CBDEF9298F6}"/>
    <cellStyle name="Vírgula 4 3 4 2 2 2 5" xfId="17525" xr:uid="{DD69531D-71A1-4EF4-94A7-959E550ACBDB}"/>
    <cellStyle name="Vírgula 4 3 4 2 2 3" xfId="21027" xr:uid="{E282C593-B18A-4C82-AEFA-12D8957A639A}"/>
    <cellStyle name="Vírgula 4 3 4 2 2 3 2" xfId="41366" xr:uid="{5FC15170-0D89-4CF3-9904-EEB6F656BE86}"/>
    <cellStyle name="Vírgula 4 3 4 2 2 3 3" xfId="57089" xr:uid="{CCA2A6E8-FE20-42D3-9E3D-2630C384851C}"/>
    <cellStyle name="Vírgula 4 3 4 2 2 4" xfId="24282" xr:uid="{79A58A40-30A0-45F9-9E50-1E2E0645DFA8}"/>
    <cellStyle name="Vírgula 4 3 4 2 2 4 2" xfId="44617" xr:uid="{8241A4C6-0133-4039-9798-290BDDE1E3DE}"/>
    <cellStyle name="Vírgula 4 3 4 2 2 5" xfId="14616" xr:uid="{2B2F7B76-1E46-4569-A131-7647B9C978F4}"/>
    <cellStyle name="Vírgula 4 3 4 2 2 5 2" xfId="34957" xr:uid="{30F5C054-E591-4247-B448-51C5E5561326}"/>
    <cellStyle name="Vírgula 4 3 4 2 2 6" xfId="10738" xr:uid="{66347B18-15E9-41F8-B8B7-4BD3F444968F}"/>
    <cellStyle name="Vírgula 4 3 4 2 2 6 2" xfId="31081" xr:uid="{F594A5E5-B2BA-4FBC-86BB-FF65940BC8FF}"/>
    <cellStyle name="Vírgula 4 3 4 2 2 7" xfId="27587" xr:uid="{44FCAC4D-2696-4E6D-83BD-2D80FDEC1D9D}"/>
    <cellStyle name="Vírgula 4 3 4 2 2 8" xfId="49041" xr:uid="{D8E54DFD-C30A-4DAE-9857-43885909E269}"/>
    <cellStyle name="Vírgula 4 3 4 2 2 9" xfId="50711" xr:uid="{6E5B72DD-FE26-40E6-8A6E-7B4645F80955}"/>
    <cellStyle name="Vírgula 4 3 4 2 3" xfId="1624" xr:uid="{D5F3CD48-F121-40F7-855E-117CE6170855}"/>
    <cellStyle name="Vírgula 4 3 4 2 3 2" xfId="3284" xr:uid="{1964AAFB-7921-4B84-93E0-8A52DA8AC174}"/>
    <cellStyle name="Vírgula 4 3 4 2 3 2 2" xfId="52344" xr:uid="{4008F7BB-99BA-4EC5-83FA-8E3417F4D265}"/>
    <cellStyle name="Vírgula 4 3 4 2 3 2 3" xfId="55638" xr:uid="{70E51DBB-D352-485F-86EA-F5DA44F20C55}"/>
    <cellStyle name="Vírgula 4 3 4 2 3 2 4" xfId="36707" xr:uid="{1B9DB8CD-2B29-4B49-A0B2-E2372DC50DCE}"/>
    <cellStyle name="Vírgula 4 3 4 2 3 3" xfId="49042" xr:uid="{9005D1F3-862B-474E-A050-5D8166F5F1DE}"/>
    <cellStyle name="Vírgula 4 3 4 2 3 3 2" xfId="57495" xr:uid="{F285389A-6C2E-4C95-A847-1A990BD331D3}"/>
    <cellStyle name="Vírgula 4 3 4 2 3 4" xfId="50712" xr:uid="{75D7160D-45CB-47D7-9E84-5AD098681375}"/>
    <cellStyle name="Vírgula 4 3 4 2 3 5" xfId="54007" xr:uid="{A54D4E18-9AA6-43B4-B168-76CE9603CED9}"/>
    <cellStyle name="Vírgula 4 3 4 2 3 6" xfId="16367" xr:uid="{DFEB71DC-C248-4699-AF47-FF9B2502E009}"/>
    <cellStyle name="Vírgula 4 3 4 2 4" xfId="811" xr:uid="{85FBD18B-782F-4994-9F7B-A9D20686FBFF}"/>
    <cellStyle name="Vírgula 4 3 4 2 4 2" xfId="2527" xr:uid="{383AB122-8285-47B6-82E8-D4F1A78081E8}"/>
    <cellStyle name="Vírgula 4 3 4 2 4 2 2" xfId="52345" xr:uid="{E5B976B3-5E2D-48CC-BE4D-49AA5F778E40}"/>
    <cellStyle name="Vírgula 4 3 4 2 4 2 3" xfId="55639" xr:uid="{83294AB8-EB0A-452E-91FE-3F14C7BF03D4}"/>
    <cellStyle name="Vírgula 4 3 4 2 4 2 4" xfId="40208" xr:uid="{576A8244-0B2A-4275-9FC9-C1137F77F6AB}"/>
    <cellStyle name="Vírgula 4 3 4 2 4 3" xfId="49043" xr:uid="{3667E510-BE84-4969-B66B-440E5A432A31}"/>
    <cellStyle name="Vírgula 4 3 4 2 4 3 2" xfId="56682" xr:uid="{28204C97-045D-45A3-8D35-90368F29C8A1}"/>
    <cellStyle name="Vírgula 4 3 4 2 4 4" xfId="50713" xr:uid="{9B8BB3CE-B971-4DF6-B2ED-5F7BEA48F030}"/>
    <cellStyle name="Vírgula 4 3 4 2 4 5" xfId="54008" xr:uid="{133AFA14-324F-4086-8AE8-8CDF10F4F9E2}"/>
    <cellStyle name="Vírgula 4 3 4 2 4 6" xfId="19869" xr:uid="{22E5899A-A099-47FF-BED4-C9A8475AE601}"/>
    <cellStyle name="Vírgula 4 3 4 2 5" xfId="2145" xr:uid="{33DCA08F-3D23-4BDC-9C15-96881140F38D}"/>
    <cellStyle name="Vírgula 4 3 4 2 5 2" xfId="43459" xr:uid="{7D755AFC-5471-4FA6-B9CF-583303FB1AA0}"/>
    <cellStyle name="Vírgula 4 3 4 2 5 3" xfId="52342" xr:uid="{9539E0EA-CCAB-4010-95DA-C203CBB61832}"/>
    <cellStyle name="Vírgula 4 3 4 2 5 4" xfId="55636" xr:uid="{95FA2356-6D0C-4926-9A23-D058F4487C5A}"/>
    <cellStyle name="Vírgula 4 3 4 2 5 5" xfId="23124" xr:uid="{E7289BE1-AA8B-4FD0-B05F-D3753104ACC0}"/>
    <cellStyle name="Vírgula 4 3 4 2 6" xfId="13458" xr:uid="{B359F5D9-8BFD-43B9-B383-15883B0EA8C8}"/>
    <cellStyle name="Vírgula 4 3 4 2 6 2" xfId="33799" xr:uid="{FCEF4759-E00B-426A-8758-BA73DE968ECD}"/>
    <cellStyle name="Vírgula 4 3 4 2 6 3" xfId="56273" xr:uid="{A3C03240-13CB-4258-B88B-0B01D2057B39}"/>
    <cellStyle name="Vírgula 4 3 4 2 7" xfId="9580" xr:uid="{57C15527-E955-4049-A049-FB644974857C}"/>
    <cellStyle name="Vírgula 4 3 4 2 7 2" xfId="29923" xr:uid="{121F4B71-332F-43D1-9B24-DEF9992D969B}"/>
    <cellStyle name="Vírgula 4 3 4 2 8" xfId="26429" xr:uid="{219C90C9-D1FA-4FB1-938C-F0BDA3544727}"/>
    <cellStyle name="Vírgula 4 3 4 2 9" xfId="49040" xr:uid="{F991725C-3588-4F70-8481-4CEA6F4EF75D}"/>
    <cellStyle name="Vírgula 4 3 4 20" xfId="4494" xr:uid="{9F4A1767-8F95-4768-A561-D3B96828559F}"/>
    <cellStyle name="Vírgula 4 3 4 3" xfId="1029" xr:uid="{D195F6DF-CA27-4D62-9632-85DE773273E5}"/>
    <cellStyle name="Vírgula 4 3 4 3 10" xfId="54009" xr:uid="{77362BED-9F48-422B-B309-95C04CA14B0C}"/>
    <cellStyle name="Vírgula 4 3 4 3 11" xfId="6658" xr:uid="{CB16F998-5377-4ED2-82AA-F5B94BF39920}"/>
    <cellStyle name="Vírgula 4 3 4 3 12" xfId="4981" xr:uid="{4A79D2F5-6DC3-4C93-B704-46CC00D98618}"/>
    <cellStyle name="Vírgula 4 3 4 3 2" xfId="2717" xr:uid="{0308594D-FAD1-477B-BCFB-E2E94576EF9F}"/>
    <cellStyle name="Vírgula 4 3 4 3 2 2" xfId="37284" xr:uid="{DB02462B-5008-4668-B502-3397C9E8789E}"/>
    <cellStyle name="Vírgula 4 3 4 3 2 3" xfId="52346" xr:uid="{1C42CE73-ECA4-42C9-B204-239F179D6531}"/>
    <cellStyle name="Vírgula 4 3 4 3 2 4" xfId="55640" xr:uid="{530914F8-F642-417E-BFE2-CD4E48058894}"/>
    <cellStyle name="Vírgula 4 3 4 3 2 5" xfId="16944" xr:uid="{E5D82977-DAB8-4E55-8338-65E484B803AA}"/>
    <cellStyle name="Vírgula 4 3 4 3 3" xfId="20446" xr:uid="{9F16C6AA-3FD2-4670-9AF1-6DA57D9B94AE}"/>
    <cellStyle name="Vírgula 4 3 4 3 3 2" xfId="40785" xr:uid="{554F739C-E8D4-4BEC-BEB8-03493370223B}"/>
    <cellStyle name="Vírgula 4 3 4 3 3 3" xfId="56900" xr:uid="{0761BD34-9C69-49D4-8C61-F7A65F21AD82}"/>
    <cellStyle name="Vírgula 4 3 4 3 4" xfId="23701" xr:uid="{E4822BFB-6887-4143-8553-A54549D4527B}"/>
    <cellStyle name="Vírgula 4 3 4 3 4 2" xfId="44036" xr:uid="{4655F587-8E2A-4CF2-B39F-271D716B9F44}"/>
    <cellStyle name="Vírgula 4 3 4 3 5" xfId="14035" xr:uid="{F39B5BCC-2E2A-4B3B-8096-9A4B9871B78B}"/>
    <cellStyle name="Vírgula 4 3 4 3 5 2" xfId="34376" xr:uid="{A26BFD52-B854-4894-BF3A-13F98EF27C96}"/>
    <cellStyle name="Vírgula 4 3 4 3 6" xfId="10157" xr:uid="{D1BA6700-E2A6-4B6F-8A9F-7B71E74A462F}"/>
    <cellStyle name="Vírgula 4 3 4 3 6 2" xfId="30500" xr:uid="{AF2BE01E-43E3-45C3-98CD-D6B0198D8336}"/>
    <cellStyle name="Vírgula 4 3 4 3 7" xfId="27006" xr:uid="{35A20591-E2C7-4E2A-87EB-CB4D4E4E30D9}"/>
    <cellStyle name="Vírgula 4 3 4 3 8" xfId="49044" xr:uid="{0366832F-62B1-42B0-859E-988B51A86506}"/>
    <cellStyle name="Vírgula 4 3 4 3 9" xfId="50714" xr:uid="{2CB380D1-4D20-4FC9-95CF-7BA19D9C9CD0}"/>
    <cellStyle name="Vírgula 4 3 4 4" xfId="1435" xr:uid="{704EEDE0-E61B-4429-BB2E-6BC0BD7AE528}"/>
    <cellStyle name="Vírgula 4 3 4 4 10" xfId="54010" xr:uid="{E099B29E-C2C1-4F79-9D59-C7C67A172563}"/>
    <cellStyle name="Vírgula 4 3 4 4 11" xfId="7822" xr:uid="{06063FEC-B59D-40D2-80D3-BF63F71F4F5C}"/>
    <cellStyle name="Vírgula 4 3 4 4 2" xfId="3096" xr:uid="{FF231C23-EBB1-416C-802B-9654F6D46053}"/>
    <cellStyle name="Vírgula 4 3 4 4 2 2" xfId="38447" xr:uid="{5C4D4D75-3008-463D-A8BD-BB95C909A00F}"/>
    <cellStyle name="Vírgula 4 3 4 4 2 3" xfId="52347" xr:uid="{1535D5C6-33E5-42AD-BC24-E52D170FEC50}"/>
    <cellStyle name="Vírgula 4 3 4 4 2 4" xfId="55641" xr:uid="{4E4B4734-F894-44B1-B9D4-1665EE0CF6A4}"/>
    <cellStyle name="Vírgula 4 3 4 4 2 5" xfId="18107" xr:uid="{1AD977BE-FB78-4F32-AB14-936F4D7E1B40}"/>
    <cellStyle name="Vírgula 4 3 4 4 3" xfId="21609" xr:uid="{F32AAA5C-233C-45C3-93C0-BC6348FE8ADB}"/>
    <cellStyle name="Vírgula 4 3 4 4 3 2" xfId="41948" xr:uid="{0CAACB4B-B15D-4980-A6C5-0F454A6306C7}"/>
    <cellStyle name="Vírgula 4 3 4 4 3 3" xfId="57306" xr:uid="{452C3E45-6CF4-4212-B856-44E53AE69CBA}"/>
    <cellStyle name="Vírgula 4 3 4 4 4" xfId="24864" xr:uid="{5C59884D-6E17-4262-AA59-0F762140B45E}"/>
    <cellStyle name="Vírgula 4 3 4 4 4 2" xfId="45199" xr:uid="{18331DEB-FBB7-4E13-81F2-6841CE6BD9CC}"/>
    <cellStyle name="Vírgula 4 3 4 4 5" xfId="15199" xr:uid="{C1B96048-6697-4C77-8954-9FB0371B7674}"/>
    <cellStyle name="Vírgula 4 3 4 4 5 2" xfId="35539" xr:uid="{887375D3-D80D-4E43-A212-ECC1A81CDF61}"/>
    <cellStyle name="Vírgula 4 3 4 4 6" xfId="11320" xr:uid="{98B33DFB-3A67-4DC1-BF60-7F2F83F18C67}"/>
    <cellStyle name="Vírgula 4 3 4 4 6 2" xfId="31663" xr:uid="{06831E8C-2B09-4A10-8926-C6D4728F2DE0}"/>
    <cellStyle name="Vírgula 4 3 4 4 7" xfId="28169" xr:uid="{410C30BD-1AAC-4390-BB13-9501A80A8F0F}"/>
    <cellStyle name="Vírgula 4 3 4 4 8" xfId="49045" xr:uid="{50EC8EA5-39CE-4F3E-B0A9-4159BF2DCFB8}"/>
    <cellStyle name="Vírgula 4 3 4 4 9" xfId="50715" xr:uid="{09A65F46-95DF-437A-B5B0-EC1FD5BBACE9}"/>
    <cellStyle name="Vírgula 4 3 4 5" xfId="622" xr:uid="{519B12E8-6B25-41E8-B7B3-F6E7E3784851}"/>
    <cellStyle name="Vírgula 4 3 4 5 10" xfId="8296" xr:uid="{D7279D22-8C59-4BA1-927E-46AC0E16E416}"/>
    <cellStyle name="Vírgula 4 3 4 5 2" xfId="2338" xr:uid="{D7602EB4-D751-416D-9FA2-64CC8179B4F5}"/>
    <cellStyle name="Vírgula 4 3 4 5 2 2" xfId="42419" xr:uid="{48BA9B57-BAAC-4A6E-964A-8DB8E1789A13}"/>
    <cellStyle name="Vírgula 4 3 4 5 2 3" xfId="52348" xr:uid="{23D9E2B5-FBAB-408D-A19C-5587E34668EF}"/>
    <cellStyle name="Vírgula 4 3 4 5 2 4" xfId="55642" xr:uid="{112A117F-BC24-4E5B-B72A-E52F2FDF277D}"/>
    <cellStyle name="Vírgula 4 3 4 5 2 5" xfId="22083" xr:uid="{E42F26B7-2D54-4E91-A21A-20F00EB11005}"/>
    <cellStyle name="Vírgula 4 3 4 5 3" xfId="25335" xr:uid="{B66CC528-7C8A-455F-9690-583E63F716EE}"/>
    <cellStyle name="Vírgula 4 3 4 5 3 2" xfId="45670" xr:uid="{0E3EBC1D-B5AC-4E60-ADE6-5DBE4FD9C177}"/>
    <cellStyle name="Vírgula 4 3 4 5 3 3" xfId="56493" xr:uid="{D74BBC77-E302-453B-9DA3-DE38DE9DB665}"/>
    <cellStyle name="Vírgula 4 3 4 5 4" xfId="12889" xr:uid="{9EE32F51-B239-4CF7-AE93-6D981666FDA7}"/>
    <cellStyle name="Vírgula 4 3 4 5 4 2" xfId="33230" xr:uid="{69D9DC7F-CFDA-47E1-B2EC-0650AF91AAE4}"/>
    <cellStyle name="Vírgula 4 3 4 5 5" xfId="11792" xr:uid="{54810D1C-F6F8-4EF9-9AF4-4DF98F8EB675}"/>
    <cellStyle name="Vírgula 4 3 4 5 5 2" xfId="32134" xr:uid="{D9A96E8B-270E-4DD3-A5DE-24580457982E}"/>
    <cellStyle name="Vírgula 4 3 4 5 6" xfId="28640" xr:uid="{A613B1DC-FA55-4031-B66E-C5AE1A47E7BC}"/>
    <cellStyle name="Vírgula 4 3 4 5 7" xfId="49046" xr:uid="{327567FF-9BAD-4054-8598-A9022A2B70BD}"/>
    <cellStyle name="Vírgula 4 3 4 5 8" xfId="50716" xr:uid="{AA636292-0D62-4131-9548-49EE44834DF3}"/>
    <cellStyle name="Vírgula 4 3 4 5 9" xfId="54011" xr:uid="{F166E0CC-5FF5-48A1-B41D-DC114AB7FFE4}"/>
    <cellStyle name="Vírgula 4 3 4 6" xfId="3610" xr:uid="{D935E447-0CFA-4A86-9892-038AAEDCED27}"/>
    <cellStyle name="Vírgula 4 3 4 6 2" xfId="36126" xr:uid="{60FA43BB-0894-47F4-9B8B-44334707A663}"/>
    <cellStyle name="Vírgula 4 3 4 6 3" xfId="52341" xr:uid="{4757898A-80DF-49D0-92CD-57D246EF3681}"/>
    <cellStyle name="Vírgula 4 3 4 6 4" xfId="55635" xr:uid="{8CD35C08-4D15-4286-98DC-E9B3A79525C3}"/>
    <cellStyle name="Vírgula 4 3 4 6 5" xfId="15786" xr:uid="{EFCB37FB-799C-40C8-8FCD-4CC8C2780799}"/>
    <cellStyle name="Vírgula 4 3 4 7" xfId="4034" xr:uid="{5E73A9A7-E912-4797-AF59-90A3C6218B04}"/>
    <cellStyle name="Vírgula 4 3 4 7 2" xfId="39040" xr:uid="{A70942E1-21F6-4A1B-AE17-14A38599BE5D}"/>
    <cellStyle name="Vírgula 4 3 4 7 3" xfId="56084" xr:uid="{C06B6F13-0CD4-4BE5-9E9A-C6CEB55BBAD4}"/>
    <cellStyle name="Vírgula 4 3 4 7 4" xfId="18700" xr:uid="{8FF6D856-037E-4CD9-8567-567B553C4E02}"/>
    <cellStyle name="Vírgula 4 3 4 8" xfId="1959" xr:uid="{FF52A613-6EA6-4D5F-8965-D87D746D642C}"/>
    <cellStyle name="Vírgula 4 3 4 8 2" xfId="39627" xr:uid="{7177E947-C5A5-464C-BF38-9F9638B3E75C}"/>
    <cellStyle name="Vírgula 4 3 4 8 3" xfId="19288" xr:uid="{25CFD63B-129C-481A-8453-3FD0C72FB5D5}"/>
    <cellStyle name="Vírgula 4 3 4 9" xfId="22543" xr:uid="{88C70D4C-33B1-4D68-886E-B486C1524067}"/>
    <cellStyle name="Vírgula 4 3 4 9 2" xfId="42878" xr:uid="{2235C3DD-EFDD-4C25-86E3-E12421C356D2}"/>
    <cellStyle name="Vírgula 4 3 5" xfId="265" xr:uid="{4CFACCF9-A14F-44E0-9530-58FAF6178547}"/>
    <cellStyle name="Vírgula 4 3 5 10" xfId="12335" xr:uid="{0EA5378E-ABDB-4D8F-99B3-B76625E70B1C}"/>
    <cellStyle name="Vírgula 4 3 5 10 2" xfId="32676" xr:uid="{7FF0BF78-9202-41FC-B2F3-AD3CED637969}"/>
    <cellStyle name="Vírgula 4 3 5 11" xfId="9074" xr:uid="{BD3EA383-16BD-4207-B2B6-3A69F5AAB0F1}"/>
    <cellStyle name="Vírgula 4 3 5 11 2" xfId="29417" xr:uid="{0C90B4B8-0628-43DF-9751-58285B2381F0}"/>
    <cellStyle name="Vírgula 4 3 5 12" xfId="25923" xr:uid="{57AF76DB-8CED-441A-9D1A-135C2A8349A4}"/>
    <cellStyle name="Vírgula 4 3 5 13" xfId="49047" xr:uid="{BD134EF5-D674-4F0E-A565-AA4E341D5519}"/>
    <cellStyle name="Vírgula 4 3 5 14" xfId="50717" xr:uid="{49363370-CF57-4260-A80B-7DFE1D23E1A5}"/>
    <cellStyle name="Vírgula 4 3 5 15" xfId="54012" xr:uid="{983157D4-72A9-4B84-9867-EF37C254BAF9}"/>
    <cellStyle name="Vírgula 4 3 5 16" xfId="5584" xr:uid="{9CF747D3-D63D-4AC8-8E6A-9ACB4AFE6BD1}"/>
    <cellStyle name="Vírgula 4 3 5 17" xfId="4546" xr:uid="{026DC297-B27C-4969-875A-9132581160D1}"/>
    <cellStyle name="Vírgula 4 3 5 2" xfId="454" xr:uid="{92990608-3CD3-4A65-BECD-D617242B4A25}"/>
    <cellStyle name="Vírgula 4 3 5 2 10" xfId="50718" xr:uid="{AF7C0475-7B3A-4D88-9347-734C77434C7F}"/>
    <cellStyle name="Vírgula 4 3 5 2 11" xfId="54013" xr:uid="{F52B114D-3856-4B39-998A-F204B9AE5931}"/>
    <cellStyle name="Vírgula 4 3 5 2 12" xfId="6156" xr:uid="{8F26D917-2E63-4001-BC21-806D95573C26}"/>
    <cellStyle name="Vírgula 4 3 5 2 13" xfId="4735" xr:uid="{7C462DC9-8BCB-4BF3-A5DC-7AD07450B394}"/>
    <cellStyle name="Vírgula 4 3 5 2 2" xfId="1270" xr:uid="{073B9A61-E964-4CE4-8DDB-1A51980AD060}"/>
    <cellStyle name="Vírgula 4 3 5 2 2 10" xfId="54014" xr:uid="{F96CC36C-3126-4ACC-9CE9-BD81CCF93941}"/>
    <cellStyle name="Vírgula 4 3 5 2 2 11" xfId="7314" xr:uid="{376F7941-2BB6-4A4C-A7AC-59D12301DD19}"/>
    <cellStyle name="Vírgula 4 3 5 2 2 2" xfId="2931" xr:uid="{1768D80F-35F5-41FD-AA93-55D61FBF1DB2}"/>
    <cellStyle name="Vírgula 4 3 5 2 2 2 2" xfId="37940" xr:uid="{2A4A435D-982C-4775-9F24-3B53A2E9C92A}"/>
    <cellStyle name="Vírgula 4 3 5 2 2 2 3" xfId="52351" xr:uid="{63FFBDFB-3A39-498B-9360-D1570A54D534}"/>
    <cellStyle name="Vírgula 4 3 5 2 2 2 4" xfId="55645" xr:uid="{36FD9DFD-E0C6-4DF8-9002-790E32B857B5}"/>
    <cellStyle name="Vírgula 4 3 5 2 2 2 5" xfId="17600" xr:uid="{FFB91D59-AD79-4933-8D2C-F4C1C74986E5}"/>
    <cellStyle name="Vírgula 4 3 5 2 2 3" xfId="21102" xr:uid="{20959B10-4641-44F9-B33A-5770C6F05766}"/>
    <cellStyle name="Vírgula 4 3 5 2 2 3 2" xfId="41441" xr:uid="{24A9909A-AD9E-4DB1-95DE-6A355CCEB53A}"/>
    <cellStyle name="Vírgula 4 3 5 2 2 3 3" xfId="57141" xr:uid="{C541781F-96F9-43BC-A2CF-3E7CF79459D6}"/>
    <cellStyle name="Vírgula 4 3 5 2 2 4" xfId="24357" xr:uid="{FB494F3E-8DFE-465D-9B14-EEC4558CB7F7}"/>
    <cellStyle name="Vírgula 4 3 5 2 2 4 2" xfId="44692" xr:uid="{C17EDD1E-8CB9-4F7B-8E80-0594AA30D0D4}"/>
    <cellStyle name="Vírgula 4 3 5 2 2 5" xfId="14691" xr:uid="{DE1969BA-B1D7-461A-A160-80FE85A16C5E}"/>
    <cellStyle name="Vírgula 4 3 5 2 2 5 2" xfId="35032" xr:uid="{E3EB930F-1544-4569-9474-F09222276A1B}"/>
    <cellStyle name="Vírgula 4 3 5 2 2 6" xfId="10813" xr:uid="{7D70F46C-0E32-4FA7-BEE8-9383F8A31D2F}"/>
    <cellStyle name="Vírgula 4 3 5 2 2 6 2" xfId="31156" xr:uid="{0011F804-6A6A-4707-84BE-60B137578BA9}"/>
    <cellStyle name="Vírgula 4 3 5 2 2 7" xfId="27662" xr:uid="{E59FD635-EC1B-47AA-826F-FE9D0531CBE7}"/>
    <cellStyle name="Vírgula 4 3 5 2 2 8" xfId="49049" xr:uid="{C3A12BDC-8E7C-4983-99ED-B4C724421612}"/>
    <cellStyle name="Vírgula 4 3 5 2 2 9" xfId="50719" xr:uid="{089B3504-DF61-4018-81C0-A8D4CDD7B927}"/>
    <cellStyle name="Vírgula 4 3 5 2 3" xfId="1676" xr:uid="{84D330A3-68E7-40F9-95C8-0A753E513A32}"/>
    <cellStyle name="Vírgula 4 3 5 2 3 2" xfId="3336" xr:uid="{05261C96-F7DB-413C-8685-7988B3E95B5C}"/>
    <cellStyle name="Vírgula 4 3 5 2 3 2 2" xfId="52352" xr:uid="{0F520B80-B1FE-461F-9549-192F250C71B0}"/>
    <cellStyle name="Vírgula 4 3 5 2 3 2 3" xfId="55646" xr:uid="{1BFAA7D1-9CA8-47B7-BDB9-8DD8A18B803D}"/>
    <cellStyle name="Vírgula 4 3 5 2 3 2 4" xfId="36782" xr:uid="{E66A4919-154B-4DED-8CB2-05B6A6878ED5}"/>
    <cellStyle name="Vírgula 4 3 5 2 3 3" xfId="49050" xr:uid="{22020F3F-B251-4F66-9B02-394E518AA1E4}"/>
    <cellStyle name="Vírgula 4 3 5 2 3 3 2" xfId="57547" xr:uid="{F24B069A-DF59-4B69-9B16-0D87DACF18A9}"/>
    <cellStyle name="Vírgula 4 3 5 2 3 4" xfId="50720" xr:uid="{7709A47A-5D27-4332-B033-CE9B7895C3FB}"/>
    <cellStyle name="Vírgula 4 3 5 2 3 5" xfId="54015" xr:uid="{6AF661AF-4588-4246-85C3-448ADD7E08EE}"/>
    <cellStyle name="Vírgula 4 3 5 2 3 6" xfId="16442" xr:uid="{2E350D65-63C4-4005-B7DD-06EA9FC36CA6}"/>
    <cellStyle name="Vírgula 4 3 5 2 4" xfId="863" xr:uid="{9B29F26B-7F53-46ED-AF8C-DA4F302EBC9D}"/>
    <cellStyle name="Vírgula 4 3 5 2 4 2" xfId="2579" xr:uid="{8B181DEB-DBC6-450F-965E-2C4C80B2F814}"/>
    <cellStyle name="Vírgula 4 3 5 2 4 2 2" xfId="52353" xr:uid="{13AC93E4-9BD0-4EAE-9291-8AF77617D2B1}"/>
    <cellStyle name="Vírgula 4 3 5 2 4 2 3" xfId="55647" xr:uid="{3DE02D39-A642-474B-B3D4-9F1C48F4E2AE}"/>
    <cellStyle name="Vírgula 4 3 5 2 4 2 4" xfId="40283" xr:uid="{1101EFAE-9B2C-423A-B4E3-81ADAA6A4208}"/>
    <cellStyle name="Vírgula 4 3 5 2 4 3" xfId="49051" xr:uid="{13B39A92-7A3D-4613-B498-1FEB38AF2989}"/>
    <cellStyle name="Vírgula 4 3 5 2 4 3 2" xfId="56734" xr:uid="{46023830-2C79-4895-AE18-3525E5BF1607}"/>
    <cellStyle name="Vírgula 4 3 5 2 4 4" xfId="50721" xr:uid="{DEE09D22-A8B9-45A1-938E-BBB1BC12F462}"/>
    <cellStyle name="Vírgula 4 3 5 2 4 5" xfId="54016" xr:uid="{F4340FB0-3C60-4A25-9BB8-6480CDCB826E}"/>
    <cellStyle name="Vírgula 4 3 5 2 4 6" xfId="19944" xr:uid="{EA4916B5-270D-4B8F-A4DC-B6EF8312C915}"/>
    <cellStyle name="Vírgula 4 3 5 2 5" xfId="2171" xr:uid="{8CB79AB1-1A1E-4D90-B1BB-5747B0F5B7C0}"/>
    <cellStyle name="Vírgula 4 3 5 2 5 2" xfId="43534" xr:uid="{DF3EB767-F3DC-4696-9088-9D5C5E12D41E}"/>
    <cellStyle name="Vírgula 4 3 5 2 5 3" xfId="52350" xr:uid="{392ECC0B-9843-4679-8792-8C7C712900CF}"/>
    <cellStyle name="Vírgula 4 3 5 2 5 4" xfId="55644" xr:uid="{8F0F6310-E68C-4F15-AAD0-F4FBE4E77B83}"/>
    <cellStyle name="Vírgula 4 3 5 2 5 5" xfId="23199" xr:uid="{C4B8C535-70AF-4F4A-B849-FE719B40DCC9}"/>
    <cellStyle name="Vírgula 4 3 5 2 6" xfId="13533" xr:uid="{15A9B99F-D56F-4F94-BC40-B61B8BE10D8F}"/>
    <cellStyle name="Vírgula 4 3 5 2 6 2" xfId="33874" xr:uid="{01B1A9DD-AFB8-4C85-9D98-C0855A18FAAA}"/>
    <cellStyle name="Vírgula 4 3 5 2 6 3" xfId="56325" xr:uid="{DFB9E59A-0E95-472E-BF29-61263D675BBF}"/>
    <cellStyle name="Vírgula 4 3 5 2 7" xfId="9655" xr:uid="{7ADEFA68-827F-4D6C-9B8A-5FE3E9E4369D}"/>
    <cellStyle name="Vírgula 4 3 5 2 7 2" xfId="29998" xr:uid="{C0208131-7196-4490-ACBE-1FE5E6E8E71D}"/>
    <cellStyle name="Vírgula 4 3 5 2 8" xfId="26504" xr:uid="{4291EC3E-E73E-45E8-9E9E-EC2C1587AD91}"/>
    <cellStyle name="Vírgula 4 3 5 2 9" xfId="49048" xr:uid="{3B0967CC-B015-486A-B8B9-39BA56D4C91D}"/>
    <cellStyle name="Vírgula 4 3 5 3" xfId="1081" xr:uid="{9E8F1BD2-859F-4DD6-B707-A9DE2B1656F8}"/>
    <cellStyle name="Vírgula 4 3 5 3 10" xfId="54017" xr:uid="{32CDC0B6-11E5-4742-8F09-B49A498AF834}"/>
    <cellStyle name="Vírgula 4 3 5 3 11" xfId="6733" xr:uid="{AF73B82E-54CD-4D91-856A-DB52E746DCF7}"/>
    <cellStyle name="Vírgula 4 3 5 3 2" xfId="2744" xr:uid="{58E50847-B26C-4DAB-AF3F-CBE33B0DC2E3}"/>
    <cellStyle name="Vírgula 4 3 5 3 2 2" xfId="37359" xr:uid="{66070300-AB6A-4D18-AFAD-BB73EE897427}"/>
    <cellStyle name="Vírgula 4 3 5 3 2 3" xfId="52354" xr:uid="{B12ECE72-85A5-48B6-BB07-4C42F58E01C3}"/>
    <cellStyle name="Vírgula 4 3 5 3 2 4" xfId="55648" xr:uid="{F18E4A9C-A163-4EFA-8841-A8969AF4ABCD}"/>
    <cellStyle name="Vírgula 4 3 5 3 2 5" xfId="17019" xr:uid="{9229FD86-78CB-4CFA-92D1-704028A669B3}"/>
    <cellStyle name="Vírgula 4 3 5 3 3" xfId="20521" xr:uid="{366C2C87-CE30-46E0-9FAE-0A1D1AEFE13A}"/>
    <cellStyle name="Vírgula 4 3 5 3 3 2" xfId="40860" xr:uid="{753C4936-C85D-4432-B610-D66404CDDE89}"/>
    <cellStyle name="Vírgula 4 3 5 3 3 3" xfId="56952" xr:uid="{9DF9FBEE-34D4-470C-9361-FA11C74725D2}"/>
    <cellStyle name="Vírgula 4 3 5 3 4" xfId="23776" xr:uid="{CF0BF43A-9B18-43B0-BD3D-84F305C4403F}"/>
    <cellStyle name="Vírgula 4 3 5 3 4 2" xfId="44111" xr:uid="{89C8640E-9FBF-42C7-80B1-F6CA7F919D1B}"/>
    <cellStyle name="Vírgula 4 3 5 3 5" xfId="14110" xr:uid="{A0BC7CBD-2F91-4D11-A31D-0027CA687830}"/>
    <cellStyle name="Vírgula 4 3 5 3 5 2" xfId="34451" xr:uid="{10ED7232-1E69-418E-9233-CDFC1DECDBD8}"/>
    <cellStyle name="Vírgula 4 3 5 3 6" xfId="10232" xr:uid="{28BB974C-E86E-4E3F-8031-A0B2DA09D33D}"/>
    <cellStyle name="Vírgula 4 3 5 3 6 2" xfId="30575" xr:uid="{20D224B9-56F8-4B84-99C9-C1B4D26C9278}"/>
    <cellStyle name="Vírgula 4 3 5 3 7" xfId="27081" xr:uid="{35684790-228F-4148-8237-7BA501E7F086}"/>
    <cellStyle name="Vírgula 4 3 5 3 8" xfId="49052" xr:uid="{AA4DF4D6-C1A8-4770-B1FA-2FAE047FA24D}"/>
    <cellStyle name="Vírgula 4 3 5 3 9" xfId="50722" xr:uid="{13FF6458-DB47-4FF1-AF6F-8A83597A2B4D}"/>
    <cellStyle name="Vírgula 4 3 5 4" xfId="1487" xr:uid="{BB87974B-1D3D-4BB9-88A7-897033F5B84F}"/>
    <cellStyle name="Vírgula 4 3 5 4 10" xfId="54018" xr:uid="{E6A9EABE-BAD6-49AC-A58B-DA6CD588D6B7}"/>
    <cellStyle name="Vírgula 4 3 5 4 11" xfId="7897" xr:uid="{3AB1B793-050D-4674-94A5-DEC22444B1E3}"/>
    <cellStyle name="Vírgula 4 3 5 4 2" xfId="3148" xr:uid="{D1516B35-D0BE-453F-9B26-0694DE4BDC4D}"/>
    <cellStyle name="Vírgula 4 3 5 4 2 2" xfId="38522" xr:uid="{F621CEE2-E598-4EFE-A857-B96ECA12A91B}"/>
    <cellStyle name="Vírgula 4 3 5 4 2 3" xfId="52355" xr:uid="{0E8EA28C-8F3A-4F44-A067-4692D90DB8DA}"/>
    <cellStyle name="Vírgula 4 3 5 4 2 4" xfId="55649" xr:uid="{34A75D97-1E29-4A28-ABBE-F9D4B58CA561}"/>
    <cellStyle name="Vírgula 4 3 5 4 2 5" xfId="18182" xr:uid="{FD486E62-B48C-4C20-AC84-D62E3220F834}"/>
    <cellStyle name="Vírgula 4 3 5 4 3" xfId="21684" xr:uid="{46E8B62C-AFDD-42D0-8254-84EB62D7FA02}"/>
    <cellStyle name="Vírgula 4 3 5 4 3 2" xfId="42023" xr:uid="{781E6E7A-64A5-47C9-ABD2-3F06D09C82E7}"/>
    <cellStyle name="Vírgula 4 3 5 4 3 3" xfId="57358" xr:uid="{DC53C0F2-1CC6-4C81-AC75-A4AC7AACC698}"/>
    <cellStyle name="Vírgula 4 3 5 4 4" xfId="24939" xr:uid="{5487B115-94FF-4505-98A6-1194D7E85F32}"/>
    <cellStyle name="Vírgula 4 3 5 4 4 2" xfId="45274" xr:uid="{19B20099-80E8-4477-A5FD-0C7C49033BB8}"/>
    <cellStyle name="Vírgula 4 3 5 4 5" xfId="15274" xr:uid="{6AF2FC3D-8CD4-4DA4-A21F-DA9CC590BC5C}"/>
    <cellStyle name="Vírgula 4 3 5 4 5 2" xfId="35614" xr:uid="{B5A87233-417E-456C-A802-6EEC0EBE6F69}"/>
    <cellStyle name="Vírgula 4 3 5 4 6" xfId="11395" xr:uid="{EBE407B1-CEAE-41CA-B02E-C45EAAC0897A}"/>
    <cellStyle name="Vírgula 4 3 5 4 6 2" xfId="31738" xr:uid="{CC5EADE7-DF2D-4269-9938-858B754F4949}"/>
    <cellStyle name="Vírgula 4 3 5 4 7" xfId="28244" xr:uid="{C6F9B39B-40B6-4C59-BBE6-3D2EA16EDB1D}"/>
    <cellStyle name="Vírgula 4 3 5 4 8" xfId="49053" xr:uid="{5F23E968-DC42-441A-A612-C06CCEAD4F83}"/>
    <cellStyle name="Vírgula 4 3 5 4 9" xfId="50723" xr:uid="{07A20040-98FF-4071-BDB3-0ADCB453502C}"/>
    <cellStyle name="Vírgula 4 3 5 5" xfId="674" xr:uid="{DBBF3821-6A2A-417E-BA4E-4EB6E64F084C}"/>
    <cellStyle name="Vírgula 4 3 5 5 2" xfId="2390" xr:uid="{69F94E53-7CDD-41E2-84AB-3BDDD3738E13}"/>
    <cellStyle name="Vírgula 4 3 5 5 2 2" xfId="52356" xr:uid="{9001A020-A832-470E-9D58-E95118155C82}"/>
    <cellStyle name="Vírgula 4 3 5 5 2 3" xfId="55650" xr:uid="{6DCF266E-D552-4328-B15A-F31B65E93455}"/>
    <cellStyle name="Vírgula 4 3 5 5 2 4" xfId="33305" xr:uid="{D61474F5-9862-46B4-B7C9-2D272603692C}"/>
    <cellStyle name="Vírgula 4 3 5 5 3" xfId="49054" xr:uid="{5966943C-8DEA-4D43-917B-41E2C39A5872}"/>
    <cellStyle name="Vírgula 4 3 5 5 3 2" xfId="56545" xr:uid="{695C5E8F-1EE3-41C1-B49D-F0336A980070}"/>
    <cellStyle name="Vírgula 4 3 5 5 4" xfId="50724" xr:uid="{197A2EAF-8698-4FB6-AA84-1DB7794C38EA}"/>
    <cellStyle name="Vírgula 4 3 5 5 5" xfId="54019" xr:uid="{5BBC0785-EF92-47CB-BDD3-434B3C531A52}"/>
    <cellStyle name="Vírgula 4 3 5 5 6" xfId="12964" xr:uid="{6EBFD020-841B-457D-A653-A1FEE9B05AB8}"/>
    <cellStyle name="Vírgula 4 3 5 6" xfId="3501" xr:uid="{02B43D91-CFC7-40CE-8B46-0873420F0A83}"/>
    <cellStyle name="Vírgula 4 3 5 6 2" xfId="36201" xr:uid="{38AA0FBA-F159-48F5-9CC4-39D1B9EBFAB4}"/>
    <cellStyle name="Vírgula 4 3 5 6 3" xfId="52349" xr:uid="{043164E1-7DA0-4A51-9D63-9D33732F75A3}"/>
    <cellStyle name="Vírgula 4 3 5 6 4" xfId="55643" xr:uid="{E561FBCE-3C4F-4184-8E8B-7180FC48B776}"/>
    <cellStyle name="Vírgula 4 3 5 6 5" xfId="15861" xr:uid="{28F1851C-48CD-491A-B5A4-6F7B2C7DB826}"/>
    <cellStyle name="Vírgula 4 3 5 7" xfId="4206" xr:uid="{3A0B93F1-D12C-4648-AEA9-D153C1E5DA67}"/>
    <cellStyle name="Vírgula 4 3 5 7 2" xfId="39115" xr:uid="{8CEEDCCC-8036-4C17-BAF5-6764466E7123}"/>
    <cellStyle name="Vírgula 4 3 5 7 3" xfId="56136" xr:uid="{6DCB2E7B-3A87-4C88-B60A-BFE8B822882D}"/>
    <cellStyle name="Vírgula 4 3 5 7 4" xfId="18775" xr:uid="{B4D7754C-81A0-4655-8D81-D0B0711E2A3C}"/>
    <cellStyle name="Vírgula 4 3 5 8" xfId="1850" xr:uid="{06DDB75F-CB8C-4FD0-9D34-16786DA924FE}"/>
    <cellStyle name="Vírgula 4 3 5 8 2" xfId="39702" xr:uid="{89EF2709-53D8-4C0D-BE79-783288F93FE5}"/>
    <cellStyle name="Vírgula 4 3 5 8 3" xfId="19363" xr:uid="{6B8CD689-B6C8-48B9-A321-0F90BC5FEBFC}"/>
    <cellStyle name="Vírgula 4 3 5 9" xfId="22618" xr:uid="{721B4BD0-CBE6-4569-936A-7975634909B9}"/>
    <cellStyle name="Vírgula 4 3 5 9 2" xfId="42953" xr:uid="{1029AF66-0833-4D66-9E10-2219F812ECC8}"/>
    <cellStyle name="Vírgula 4 3 6" xfId="321" xr:uid="{7F52ADFD-744A-489F-9E2A-F9FF58876102}"/>
    <cellStyle name="Vírgula 4 3 6 10" xfId="12433" xr:uid="{4B8D3878-663E-4AC6-AB21-6C857EB48345}"/>
    <cellStyle name="Vírgula 4 3 6 10 2" xfId="32774" xr:uid="{F95F59BE-54F1-4B99-B1D5-8187E7F60A3E}"/>
    <cellStyle name="Vírgula 4 3 6 11" xfId="9172" xr:uid="{4254CDA7-0D4E-4F91-9BD6-AF37924CB436}"/>
    <cellStyle name="Vírgula 4 3 6 11 2" xfId="29515" xr:uid="{07AEF733-B2EB-4A32-B210-E57B65624AD2}"/>
    <cellStyle name="Vírgula 4 3 6 12" xfId="26021" xr:uid="{9962B1CC-65B1-4D0D-A00A-8682959A9FC0}"/>
    <cellStyle name="Vírgula 4 3 6 13" xfId="49055" xr:uid="{A2681C6A-1963-433F-8B68-008D7B58FFFE}"/>
    <cellStyle name="Vírgula 4 3 6 14" xfId="50725" xr:uid="{7D4E1693-CA14-49F6-B43F-9B4FF486CBE4}"/>
    <cellStyle name="Vírgula 4 3 6 15" xfId="54020" xr:uid="{DE73021C-1883-4EAF-97EF-EFB3AF742891}"/>
    <cellStyle name="Vírgula 4 3 6 16" xfId="5682" xr:uid="{C949E58C-B360-4C66-866F-67308ACC1590}"/>
    <cellStyle name="Vírgula 4 3 6 17" xfId="4602" xr:uid="{F76FD582-C9DA-4742-B3FD-A042BD50F4F8}"/>
    <cellStyle name="Vírgula 4 3 6 2" xfId="1137" xr:uid="{F73CC2AE-90FE-412A-8E71-E3CC41926493}"/>
    <cellStyle name="Vírgula 4 3 6 2 10" xfId="50726" xr:uid="{86086D5F-6EC0-4C3D-A98F-D5BB95E5DC3B}"/>
    <cellStyle name="Vírgula 4 3 6 2 11" xfId="54021" xr:uid="{6C00221F-7534-4E38-86E6-3CDBFB607DEE}"/>
    <cellStyle name="Vírgula 4 3 6 2 12" xfId="6254" xr:uid="{1767C492-EDC5-43A0-AD7D-7EE876B2EDFC}"/>
    <cellStyle name="Vírgula 4 3 6 2 2" xfId="2799" xr:uid="{A31B32B2-219C-4112-B8F4-FE5B62DEBA7E}"/>
    <cellStyle name="Vírgula 4 3 6 2 2 10" xfId="7412" xr:uid="{1CCFC19E-57DA-4506-8309-3FBAC75BB331}"/>
    <cellStyle name="Vírgula 4 3 6 2 2 2" xfId="17698" xr:uid="{967893FC-17B2-4854-AC07-72CA849927DF}"/>
    <cellStyle name="Vírgula 4 3 6 2 2 2 2" xfId="38038" xr:uid="{87A015C6-079E-4DE8-8DF2-7E400BDCDEB7}"/>
    <cellStyle name="Vírgula 4 3 6 2 2 3" xfId="21200" xr:uid="{3606DF73-14AA-4645-AFC1-69484EC1391B}"/>
    <cellStyle name="Vírgula 4 3 6 2 2 3 2" xfId="41539" xr:uid="{709593AA-D55A-4F8D-A859-F4ADC0FDCC03}"/>
    <cellStyle name="Vírgula 4 3 6 2 2 4" xfId="24455" xr:uid="{3DB6516A-FD0D-4B5E-A939-BCE3175BE821}"/>
    <cellStyle name="Vírgula 4 3 6 2 2 4 2" xfId="44790" xr:uid="{1E37B68F-1BAD-433A-B516-1E3DDB7B76A1}"/>
    <cellStyle name="Vírgula 4 3 6 2 2 5" xfId="14789" xr:uid="{D338CF51-CE59-4022-A1F5-332D801F61A2}"/>
    <cellStyle name="Vírgula 4 3 6 2 2 5 2" xfId="35130" xr:uid="{752C70DB-9B56-4FDA-B37D-41383129DC50}"/>
    <cellStyle name="Vírgula 4 3 6 2 2 6" xfId="10911" xr:uid="{F4FC5E7B-937C-4DB6-A8C3-2C8933F510B8}"/>
    <cellStyle name="Vírgula 4 3 6 2 2 6 2" xfId="31254" xr:uid="{FE044218-5C52-41CF-97EE-9460891C86AF}"/>
    <cellStyle name="Vírgula 4 3 6 2 2 7" xfId="27760" xr:uid="{EBE856C1-83DB-477F-9568-15B5C5FD4F6E}"/>
    <cellStyle name="Vírgula 4 3 6 2 2 8" xfId="52358" xr:uid="{71B57396-7321-4969-B9C9-F5C1D7C667B2}"/>
    <cellStyle name="Vírgula 4 3 6 2 2 9" xfId="55652" xr:uid="{235C4987-9D53-4E38-85FC-F5A9A49C1E5A}"/>
    <cellStyle name="Vírgula 4 3 6 2 3" xfId="16540" xr:uid="{198ED211-A2AA-4A64-A83A-B0F5E090FFD5}"/>
    <cellStyle name="Vírgula 4 3 6 2 3 2" xfId="36880" xr:uid="{1D0132EC-0B33-41B4-8B8C-90CC1442E6E1}"/>
    <cellStyle name="Vírgula 4 3 6 2 3 3" xfId="57008" xr:uid="{5F63F8CF-A863-4D41-BCEA-B706EB4C6B2B}"/>
    <cellStyle name="Vírgula 4 3 6 2 4" xfId="20042" xr:uid="{DEC1F200-B7AE-4FF9-931E-658735B882D3}"/>
    <cellStyle name="Vírgula 4 3 6 2 4 2" xfId="40381" xr:uid="{B06F208C-D537-4B4B-A9A3-CA9902610FE4}"/>
    <cellStyle name="Vírgula 4 3 6 2 5" xfId="23297" xr:uid="{E1BC5E16-2A76-423B-AAB9-7D18BBE9F4A1}"/>
    <cellStyle name="Vírgula 4 3 6 2 5 2" xfId="43632" xr:uid="{0A449F01-50A2-4016-BD59-072A4623CACC}"/>
    <cellStyle name="Vírgula 4 3 6 2 6" xfId="13631" xr:uid="{DA98C471-9F2F-4976-B844-58B3AA0083E0}"/>
    <cellStyle name="Vírgula 4 3 6 2 6 2" xfId="33972" xr:uid="{18FCB915-7E15-454B-AB55-54BD0B91B38A}"/>
    <cellStyle name="Vírgula 4 3 6 2 7" xfId="9753" xr:uid="{EAB75BC5-2D3E-4D08-B166-180BE9951A4E}"/>
    <cellStyle name="Vírgula 4 3 6 2 7 2" xfId="30096" xr:uid="{03391E34-C3ED-4579-9A0E-7092503052F2}"/>
    <cellStyle name="Vírgula 4 3 6 2 8" xfId="26602" xr:uid="{6A2F7CE2-3ABB-48D9-AC70-DC259A2C4DBF}"/>
    <cellStyle name="Vírgula 4 3 6 2 9" xfId="49056" xr:uid="{04208600-92BA-424B-BCA0-36668430B2C2}"/>
    <cellStyle name="Vírgula 4 3 6 3" xfId="1543" xr:uid="{8A43F4FA-F213-4248-8300-584B3C691F59}"/>
    <cellStyle name="Vírgula 4 3 6 3 10" xfId="54022" xr:uid="{94A3EFA5-239A-416F-8B39-128E5E65BCFA}"/>
    <cellStyle name="Vírgula 4 3 6 3 11" xfId="6831" xr:uid="{707365B1-6A3B-44C6-9EEB-D66A056C5B38}"/>
    <cellStyle name="Vírgula 4 3 6 3 2" xfId="3204" xr:uid="{164882CA-B7C0-4325-8FDC-D9611AF24F45}"/>
    <cellStyle name="Vírgula 4 3 6 3 2 2" xfId="37457" xr:uid="{0DCD1085-0C89-4685-B2C0-6447C04BA933}"/>
    <cellStyle name="Vírgula 4 3 6 3 2 3" xfId="52359" xr:uid="{681885E2-A2A6-49E7-A57C-4D5753E1EEF7}"/>
    <cellStyle name="Vírgula 4 3 6 3 2 4" xfId="55653" xr:uid="{58BEFB85-86D5-41B3-996F-E8673D4E4738}"/>
    <cellStyle name="Vírgula 4 3 6 3 2 5" xfId="17117" xr:uid="{7C3D7441-53D2-4A2A-9638-F0C160322BF0}"/>
    <cellStyle name="Vírgula 4 3 6 3 3" xfId="20619" xr:uid="{E409A064-AD1A-4556-867C-9FDE075CEF06}"/>
    <cellStyle name="Vírgula 4 3 6 3 3 2" xfId="40958" xr:uid="{3988369A-C157-4762-A073-ED00E940F193}"/>
    <cellStyle name="Vírgula 4 3 6 3 3 3" xfId="57414" xr:uid="{16142FA8-874A-4FBF-A675-3EDC3D74E306}"/>
    <cellStyle name="Vírgula 4 3 6 3 4" xfId="23874" xr:uid="{B9E4FD38-B4C5-4CE2-AA54-819EB617468A}"/>
    <cellStyle name="Vírgula 4 3 6 3 4 2" xfId="44209" xr:uid="{F04B02FF-A7EA-4D0E-95F6-C5CEC78A5943}"/>
    <cellStyle name="Vírgula 4 3 6 3 5" xfId="14208" xr:uid="{36A4D069-B35D-4A8B-B5EC-C0592DFCBA03}"/>
    <cellStyle name="Vírgula 4 3 6 3 5 2" xfId="34549" xr:uid="{867AD227-3CBD-4962-84C2-85ACC034A18C}"/>
    <cellStyle name="Vírgula 4 3 6 3 6" xfId="10330" xr:uid="{AF5E3525-B8BB-4CC1-A295-D76DB16E02F6}"/>
    <cellStyle name="Vírgula 4 3 6 3 6 2" xfId="30673" xr:uid="{483339C3-2E35-422A-A379-199CEE23B61A}"/>
    <cellStyle name="Vírgula 4 3 6 3 7" xfId="27179" xr:uid="{1F2878A4-14AA-4374-BC39-1F5A15CDD081}"/>
    <cellStyle name="Vírgula 4 3 6 3 8" xfId="49057" xr:uid="{A4658CD6-8832-474B-81CA-720D7F0A1E9D}"/>
    <cellStyle name="Vírgula 4 3 6 3 9" xfId="50727" xr:uid="{16F6B0FF-FB80-4C13-BF29-3E44788F2A05}"/>
    <cellStyle name="Vírgula 4 3 6 4" xfId="730" xr:uid="{99703A24-3003-4246-A589-BBCBED989DB5}"/>
    <cellStyle name="Vírgula 4 3 6 4 10" xfId="54023" xr:uid="{3CDDAE81-F859-4A7E-8A0E-CB3E9F9625EC}"/>
    <cellStyle name="Vírgula 4 3 6 4 11" xfId="7995" xr:uid="{6D2DE04B-6BD9-4C43-BC74-FB26243C3034}"/>
    <cellStyle name="Vírgula 4 3 6 4 2" xfId="2446" xr:uid="{9812FB27-6DF9-4EC2-90FE-DABC5108B931}"/>
    <cellStyle name="Vírgula 4 3 6 4 2 2" xfId="38620" xr:uid="{018B807E-5DB4-4605-8D8C-2B9860B82C41}"/>
    <cellStyle name="Vírgula 4 3 6 4 2 3" xfId="52360" xr:uid="{6F9CFD7C-38E3-4EC1-9B1E-D550646D699A}"/>
    <cellStyle name="Vírgula 4 3 6 4 2 4" xfId="55654" xr:uid="{86504C28-207B-4E04-B236-7FEEE223D606}"/>
    <cellStyle name="Vírgula 4 3 6 4 2 5" xfId="18280" xr:uid="{899C4175-1808-48F6-A16D-C544296C0390}"/>
    <cellStyle name="Vírgula 4 3 6 4 3" xfId="21782" xr:uid="{175D2246-1182-4054-B281-E18AA1A3AB0C}"/>
    <cellStyle name="Vírgula 4 3 6 4 3 2" xfId="42121" xr:uid="{103A799D-E9E9-4491-B1CB-2E14B1968C06}"/>
    <cellStyle name="Vírgula 4 3 6 4 3 3" xfId="56601" xr:uid="{5FF5E7B4-BA8A-477F-BF3E-0BF3DD7114E2}"/>
    <cellStyle name="Vírgula 4 3 6 4 4" xfId="25037" xr:uid="{F2AFC12E-FA98-427A-8204-76EBE1059A39}"/>
    <cellStyle name="Vírgula 4 3 6 4 4 2" xfId="45372" xr:uid="{4DCF41D2-B5DC-4F71-8E3F-EC9966A31F35}"/>
    <cellStyle name="Vírgula 4 3 6 4 5" xfId="15372" xr:uid="{9E2B8F89-8A3D-4B1F-A3FB-BBA2DA32C51E}"/>
    <cellStyle name="Vírgula 4 3 6 4 5 2" xfId="35712" xr:uid="{D21F72D4-FFA3-4C44-B4FE-D9EAF9C3695E}"/>
    <cellStyle name="Vírgula 4 3 6 4 6" xfId="11493" xr:uid="{DE82BAD6-2FB4-4BE3-8719-E15460835C46}"/>
    <cellStyle name="Vírgula 4 3 6 4 6 2" xfId="31836" xr:uid="{B2C479E2-E0D1-45CB-BA31-F31B5C0C8611}"/>
    <cellStyle name="Vírgula 4 3 6 4 7" xfId="28342" xr:uid="{4D35969E-366A-4113-B7A5-28AD66B3C5C1}"/>
    <cellStyle name="Vírgula 4 3 6 4 8" xfId="49058" xr:uid="{84D538BC-1C57-4F6E-A1E5-AE496C86C444}"/>
    <cellStyle name="Vírgula 4 3 6 4 9" xfId="50728" xr:uid="{2CE6601E-3F32-4772-A2A3-E1A679B5A7DD}"/>
    <cellStyle name="Vírgula 4 3 6 5" xfId="3719" xr:uid="{80C61BF0-0017-4877-993B-FF6641BD4402}"/>
    <cellStyle name="Vírgula 4 3 6 5 2" xfId="33403" xr:uid="{81B59B4F-8572-4FFB-98B8-F5094BC6A2D4}"/>
    <cellStyle name="Vírgula 4 3 6 5 3" xfId="52357" xr:uid="{2E27EB9D-47F3-4FC6-B085-A1005F413541}"/>
    <cellStyle name="Vírgula 4 3 6 5 4" xfId="55651" xr:uid="{A978396F-1CDE-48E1-AC1F-22582FAD5B64}"/>
    <cellStyle name="Vírgula 4 3 6 5 5" xfId="13062" xr:uid="{4516B70A-2266-4150-A7A6-843B1238F4AD}"/>
    <cellStyle name="Vírgula 4 3 6 6" xfId="2122" xr:uid="{33609F25-44EF-4D6B-840E-511CFE90554E}"/>
    <cellStyle name="Vírgula 4 3 6 6 2" xfId="36299" xr:uid="{9F93B419-9672-4CE1-9309-EDAD5592238A}"/>
    <cellStyle name="Vírgula 4 3 6 6 3" xfId="56192" xr:uid="{263D67A8-12E6-4C43-B3FF-6F06BE3B27D2}"/>
    <cellStyle name="Vírgula 4 3 6 6 4" xfId="15959" xr:uid="{DEE6EE6A-9E01-49BB-BF02-B18BD282BB60}"/>
    <cellStyle name="Vírgula 4 3 6 7" xfId="18873" xr:uid="{4D53125A-F38B-4605-B92D-4AB849CED99B}"/>
    <cellStyle name="Vírgula 4 3 6 7 2" xfId="39213" xr:uid="{E3DA6033-A20D-4820-896E-59077CFBBF52}"/>
    <cellStyle name="Vírgula 4 3 6 8" xfId="19461" xr:uid="{1B49C7F8-0491-4072-B79C-1044DFBE454A}"/>
    <cellStyle name="Vírgula 4 3 6 8 2" xfId="39800" xr:uid="{33AF9B66-95AF-4C50-ADC8-70EDEB29B0BC}"/>
    <cellStyle name="Vírgula 4 3 6 9" xfId="22716" xr:uid="{5135199B-B52A-4AD0-AA7F-FEF44FFB15A7}"/>
    <cellStyle name="Vírgula 4 3 6 9 2" xfId="43051" xr:uid="{5EE7471F-0387-4189-8272-1FF71C0299B7}"/>
    <cellStyle name="Vírgula 4 3 7" xfId="948" xr:uid="{9ED079A1-DD28-4E27-A593-88C556B7B860}"/>
    <cellStyle name="Vírgula 4 3 7 10" xfId="49059" xr:uid="{2A20A70A-0939-4C66-B10F-31B38CE755DC}"/>
    <cellStyle name="Vírgula 4 3 7 11" xfId="50729" xr:uid="{0B578C51-D273-4AE6-B276-B5FE72C39D19}"/>
    <cellStyle name="Vírgula 4 3 7 12" xfId="54024" xr:uid="{3116E430-6031-4723-84A9-8249CF97B0EA}"/>
    <cellStyle name="Vírgula 4 3 7 13" xfId="5812" xr:uid="{DDB6FD3B-A6A7-412A-8C9D-5E25A31A02BA}"/>
    <cellStyle name="Vírgula 4 3 7 14" xfId="4815" xr:uid="{AD15F262-5683-4A44-9B81-E66E4E86A0DC}"/>
    <cellStyle name="Vírgula 4 3 7 2" xfId="2663" xr:uid="{3C901546-A059-4BC9-8EEA-35BFBD1C6D63}"/>
    <cellStyle name="Vírgula 4 3 7 2 10" xfId="6970" xr:uid="{B8686B29-F26E-4B4A-9FD1-FD578B149865}"/>
    <cellStyle name="Vírgula 4 3 7 2 2" xfId="17256" xr:uid="{8ED9A984-ADE6-4320-B94D-8A31B9EF87EC}"/>
    <cellStyle name="Vírgula 4 3 7 2 2 2" xfId="37596" xr:uid="{B32E3136-2AC0-4F2A-87FA-F9149F472FD6}"/>
    <cellStyle name="Vírgula 4 3 7 2 3" xfId="20758" xr:uid="{DF693184-3894-4878-9FA7-DE15AFD7E471}"/>
    <cellStyle name="Vírgula 4 3 7 2 3 2" xfId="41097" xr:uid="{DB3BF253-22AF-497E-834B-AB54ED37C102}"/>
    <cellStyle name="Vírgula 4 3 7 2 4" xfId="24013" xr:uid="{214C34AB-FFF6-44DD-A1A3-797E6781D6FF}"/>
    <cellStyle name="Vírgula 4 3 7 2 4 2" xfId="44348" xr:uid="{68A27611-3CFB-45C6-851C-2456DEB69844}"/>
    <cellStyle name="Vírgula 4 3 7 2 5" xfId="14347" xr:uid="{2BE4E156-B147-479F-92D3-FD8F77A4CE9A}"/>
    <cellStyle name="Vírgula 4 3 7 2 5 2" xfId="34688" xr:uid="{A9D1720B-8D4C-45D8-AFE0-089B6C1756DF}"/>
    <cellStyle name="Vírgula 4 3 7 2 6" xfId="10469" xr:uid="{9A9A098E-7AC7-4D72-8B6C-02A760325CFE}"/>
    <cellStyle name="Vírgula 4 3 7 2 6 2" xfId="30812" xr:uid="{9ACB1D33-221A-4683-B422-57ACAFBAB891}"/>
    <cellStyle name="Vírgula 4 3 7 2 7" xfId="27318" xr:uid="{6048162C-93CB-45E6-9A68-CFD75D7F508C}"/>
    <cellStyle name="Vírgula 4 3 7 2 8" xfId="52361" xr:uid="{F6D2E4AE-437F-45CF-B7A3-928EFCC495A9}"/>
    <cellStyle name="Vírgula 4 3 7 2 9" xfId="55655" xr:uid="{CB7C1523-02DB-4AD9-BFCD-CE073676BA33}"/>
    <cellStyle name="Vírgula 4 3 7 3" xfId="13194" xr:uid="{FFD5521B-1855-414C-815A-BFBF0D97BB20}"/>
    <cellStyle name="Vírgula 4 3 7 3 2" xfId="33535" xr:uid="{995B12E2-2D53-4234-A06C-12B66B7C651B}"/>
    <cellStyle name="Vírgula 4 3 7 3 3" xfId="56819" xr:uid="{2CDB47B0-CBF0-4697-BCEF-EEF440C12102}"/>
    <cellStyle name="Vírgula 4 3 7 4" xfId="16098" xr:uid="{64EF0D86-8CD7-49C3-88BE-BC48A3EB87D1}"/>
    <cellStyle name="Vírgula 4 3 7 4 2" xfId="36438" xr:uid="{86CDF80A-FE44-4D81-A3B7-6876CE1E7A0F}"/>
    <cellStyle name="Vírgula 4 3 7 5" xfId="19600" xr:uid="{171F2E25-DF1A-4B90-B3A4-C89D31293C60}"/>
    <cellStyle name="Vírgula 4 3 7 5 2" xfId="39939" xr:uid="{CC7EFA2D-3628-48B0-A056-D3955C2E717A}"/>
    <cellStyle name="Vírgula 4 3 7 6" xfId="22855" xr:uid="{F5749F87-B0A7-45D6-AB38-C4B9755C7650}"/>
    <cellStyle name="Vírgula 4 3 7 6 2" xfId="43190" xr:uid="{3C581D5C-DCD4-44DA-B3D3-AC3943C020D0}"/>
    <cellStyle name="Vírgula 4 3 7 7" xfId="12544" xr:uid="{1FE40DF8-FA99-4D0C-8BAF-451D35D8C7E4}"/>
    <cellStyle name="Vírgula 4 3 7 7 2" xfId="32885" xr:uid="{650B0299-4AC1-4A58-9211-851B75F67F97}"/>
    <cellStyle name="Vírgula 4 3 7 8" xfId="9311" xr:uid="{B8349FB9-A418-4919-8BB8-49F1515563DA}"/>
    <cellStyle name="Vírgula 4 3 7 8 2" xfId="29654" xr:uid="{90DC48C8-0263-4AE3-A8EC-430A32452F00}"/>
    <cellStyle name="Vírgula 4 3 7 9" xfId="26160" xr:uid="{13CF80E0-D24F-4AED-9F39-D83F4A690885}"/>
    <cellStyle name="Vírgula 4 3 8" xfId="1354" xr:uid="{802B0D5D-757E-49FF-BC33-A07732477CF4}"/>
    <cellStyle name="Vírgula 4 3 8 10" xfId="54025" xr:uid="{6A9123A4-C45A-4554-B47B-AB6863654630}"/>
    <cellStyle name="Vírgula 4 3 8 11" xfId="6389" xr:uid="{095222BE-FDE5-4E5B-A9BD-556170A74896}"/>
    <cellStyle name="Vírgula 4 3 8 2" xfId="3015" xr:uid="{3BF0B625-CA6C-49A2-AC8E-DA48FA8B4E11}"/>
    <cellStyle name="Vírgula 4 3 8 2 2" xfId="37015" xr:uid="{B87CC973-EDD2-46D3-9F80-604E3546516F}"/>
    <cellStyle name="Vírgula 4 3 8 2 3" xfId="52362" xr:uid="{E0154827-F74F-4BE2-873C-26459411D7BD}"/>
    <cellStyle name="Vírgula 4 3 8 2 4" xfId="55656" xr:uid="{1675580B-5A36-449A-A377-E93106356101}"/>
    <cellStyle name="Vírgula 4 3 8 2 5" xfId="16675" xr:uid="{3877510F-7D27-4D23-96B8-4FFFEBAF5DA7}"/>
    <cellStyle name="Vírgula 4 3 8 3" xfId="20177" xr:uid="{3F46BFA6-B21F-496E-BDB7-02F106754818}"/>
    <cellStyle name="Vírgula 4 3 8 3 2" xfId="40516" xr:uid="{E82CEEA4-0E16-45C3-A9FE-A1C2A4C2D10D}"/>
    <cellStyle name="Vírgula 4 3 8 3 3" xfId="57225" xr:uid="{9E2F0C8C-5F8C-48B3-A431-68E10C5913EE}"/>
    <cellStyle name="Vírgula 4 3 8 4" xfId="23432" xr:uid="{155CF1A7-0263-46AF-92A8-EC741B4EC8FA}"/>
    <cellStyle name="Vírgula 4 3 8 4 2" xfId="43767" xr:uid="{1053C6D2-0A06-4FEB-8E3A-6D14630B8014}"/>
    <cellStyle name="Vírgula 4 3 8 5" xfId="13766" xr:uid="{8BB731E5-07B3-427A-86A2-8335A1C3BDB7}"/>
    <cellStyle name="Vírgula 4 3 8 5 2" xfId="34107" xr:uid="{DBB0A467-9661-4F42-B62F-C537BC7D3D28}"/>
    <cellStyle name="Vírgula 4 3 8 6" xfId="9888" xr:uid="{5239B237-991B-4E04-9DD7-B0B80A9753FF}"/>
    <cellStyle name="Vírgula 4 3 8 6 2" xfId="30231" xr:uid="{7CEC091B-22D9-473B-A25D-1922FA00AA06}"/>
    <cellStyle name="Vírgula 4 3 8 7" xfId="26737" xr:uid="{D5D23AF9-4D81-4F91-AF79-9A3D0FC28D29}"/>
    <cellStyle name="Vírgula 4 3 8 8" xfId="49060" xr:uid="{8BFBA2A7-B766-4B7D-A630-1F93C90169F8}"/>
    <cellStyle name="Vírgula 4 3 8 9" xfId="50730" xr:uid="{3EF49C17-EFEE-45A6-9420-59080FEBF57E}"/>
    <cellStyle name="Vírgula 4 3 9" xfId="541" xr:uid="{F4DA1F4A-CA09-407B-9671-474E963844F4}"/>
    <cellStyle name="Vírgula 4 3 9 10" xfId="54026" xr:uid="{60A3EE04-7F92-4736-84F9-2E91191CD51C}"/>
    <cellStyle name="Vírgula 4 3 9 11" xfId="7553" xr:uid="{B25E6DE6-138F-452D-B8CE-BFEDD378C1FA}"/>
    <cellStyle name="Vírgula 4 3 9 2" xfId="2257" xr:uid="{5156B7B4-45B5-4DF1-821B-88D30CF743B7}"/>
    <cellStyle name="Vírgula 4 3 9 2 2" xfId="38178" xr:uid="{2BA07DCA-702F-461B-86FD-B0736FDA2AC7}"/>
    <cellStyle name="Vírgula 4 3 9 2 3" xfId="52363" xr:uid="{C4BF6435-38CC-41B0-854E-47456CE9D3EF}"/>
    <cellStyle name="Vírgula 4 3 9 2 4" xfId="55657" xr:uid="{E6B244C0-3B6E-451D-B2C1-FFCACF1E533B}"/>
    <cellStyle name="Vírgula 4 3 9 2 5" xfId="17838" xr:uid="{1122BA0A-413D-4272-AAA8-2C4A18885A5D}"/>
    <cellStyle name="Vírgula 4 3 9 3" xfId="21340" xr:uid="{104672AD-92E3-4919-B040-34602F280516}"/>
    <cellStyle name="Vírgula 4 3 9 3 2" xfId="41679" xr:uid="{E74D9480-114A-4319-A24A-02D35CC15A7C}"/>
    <cellStyle name="Vírgula 4 3 9 3 3" xfId="56412" xr:uid="{BE805170-5EBA-4598-9818-09F8FBE4C004}"/>
    <cellStyle name="Vírgula 4 3 9 4" xfId="24595" xr:uid="{E88464EC-8525-40F3-8AB7-57741001453A}"/>
    <cellStyle name="Vírgula 4 3 9 4 2" xfId="44930" xr:uid="{98473560-41BD-40EA-9B90-FC1D892F22D6}"/>
    <cellStyle name="Vírgula 4 3 9 5" xfId="14930" xr:uid="{FD04FF55-7C99-470F-9F8D-22B63BBAA5E1}"/>
    <cellStyle name="Vírgula 4 3 9 5 2" xfId="35270" xr:uid="{6C0D6F5D-88E9-4D21-916C-D86CD153B6DA}"/>
    <cellStyle name="Vírgula 4 3 9 6" xfId="11051" xr:uid="{08E0CE6E-7412-4DC3-9B33-4F4AE2B4394D}"/>
    <cellStyle name="Vírgula 4 3 9 6 2" xfId="31394" xr:uid="{69DA6DD4-57E1-4164-A322-403F26378465}"/>
    <cellStyle name="Vírgula 4 3 9 7" xfId="27900" xr:uid="{B84CA7C6-FE7E-4685-B33C-578496B32CBE}"/>
    <cellStyle name="Vírgula 4 3 9 8" xfId="49061" xr:uid="{87480D67-4988-4CFA-891B-E3D99D98958E}"/>
    <cellStyle name="Vírgula 4 3 9 9" xfId="50731" xr:uid="{1862919E-0C75-4087-9165-A2DBB7729170}"/>
    <cellStyle name="Vírgula 4 30" xfId="47683" xr:uid="{4AF4CE7B-7D75-429A-B6FA-A86332DFFF5D}"/>
    <cellStyle name="Vírgula 4 31" xfId="47692" xr:uid="{D6906FBC-632B-4867-81E0-D53CC8B7BB27}"/>
    <cellStyle name="Vírgula 4 32" xfId="48884" xr:uid="{E7CD46CC-B96D-4374-B7FF-5CCCAC0BA8CB}"/>
    <cellStyle name="Vírgula 4 33" xfId="50554" xr:uid="{C4B69DB9-BAA7-4883-A66E-4D3AE0E79196}"/>
    <cellStyle name="Vírgula 4 34" xfId="53849" xr:uid="{1A1E95F9-4C3F-4C0E-940C-63981B1F08D0}"/>
    <cellStyle name="Vírgula 4 35" xfId="5213" xr:uid="{68AC6678-B99E-46BE-A32C-99FF67A4C908}"/>
    <cellStyle name="Vírgula 4 36" xfId="4382" xr:uid="{27BB4F60-EA4A-4B14-9A9C-F3A40F70F308}"/>
    <cellStyle name="Vírgula 4 37" xfId="57601" xr:uid="{EFEDE608-0A0C-4CED-B7BE-2FC80CD13E03}"/>
    <cellStyle name="Vírgula 4 4" xfId="147" xr:uid="{3853DFF6-F712-48DF-838F-AA9AA318933D}"/>
    <cellStyle name="Vírgula 4 4 10" xfId="1752" xr:uid="{69FDAC35-E363-4575-A0F4-587C11235311}"/>
    <cellStyle name="Vírgula 4 4 10 2" xfId="38743" xr:uid="{2574030F-D468-4F97-92FD-6A6E2804D40A}"/>
    <cellStyle name="Vírgula 4 4 10 3" xfId="18403" xr:uid="{A70858DE-42BE-4CC9-B82E-2E7EF0D85437}"/>
    <cellStyle name="Vírgula 4 4 11" xfId="18991" xr:uid="{E7B5D1E1-213F-4469-9EB4-C86421448A9B}"/>
    <cellStyle name="Vírgula 4 4 11 2" xfId="39330" xr:uid="{E3789FD4-9A31-45D0-8179-CA0C3EA57B32}"/>
    <cellStyle name="Vírgula 4 4 12" xfId="22246" xr:uid="{F47733C1-99F8-44AC-990B-F006CDF9D7EE}"/>
    <cellStyle name="Vírgula 4 4 12 2" xfId="42581" xr:uid="{1B248C9D-BA2A-4A1F-B875-61955A7C15C0}"/>
    <cellStyle name="Vírgula 4 4 13" xfId="11963" xr:uid="{424CF759-D852-4516-8368-1F420BBC627A}"/>
    <cellStyle name="Vírgula 4 4 13 2" xfId="32304" xr:uid="{EAC54ABB-6698-424C-B660-BFE1809170C5}"/>
    <cellStyle name="Vírgula 4 4 14" xfId="8702" xr:uid="{01F91193-56ED-4206-8911-36D585D6DC4D}"/>
    <cellStyle name="Vírgula 4 4 14 2" xfId="29045" xr:uid="{6F554E42-D37E-42B9-A8FF-2BC15A20A58E}"/>
    <cellStyle name="Vírgula 4 4 15" xfId="25547" xr:uid="{EE4C0763-6CD9-40E2-B9CE-49133A0408B9}"/>
    <cellStyle name="Vírgula 4 4 16" xfId="45875" xr:uid="{50124B58-F1DA-40E2-B881-BE397F79D950}"/>
    <cellStyle name="Vírgula 4 4 17" xfId="46361" xr:uid="{86CDDA78-1D89-4BBC-AC09-471F20872AA6}"/>
    <cellStyle name="Vírgula 4 4 18" xfId="46853" xr:uid="{A86C8FA9-4AD6-4767-B7C3-311EDDCE0F03}"/>
    <cellStyle name="Vírgula 4 4 19" xfId="47336" xr:uid="{4BA9EADE-EF35-4FCA-B40A-B3E4B244472C}"/>
    <cellStyle name="Vírgula 4 4 2" xfId="226" xr:uid="{5D641F03-6C03-490F-A7E9-A13031CC5E2F}"/>
    <cellStyle name="Vírgula 4 4 2 10" xfId="12078" xr:uid="{2162D87E-6A32-48E3-A983-25A0041637C6}"/>
    <cellStyle name="Vírgula 4 4 2 10 2" xfId="32419" xr:uid="{8A9141EE-4822-4B71-AC66-A87E1129A446}"/>
    <cellStyle name="Vírgula 4 4 2 11" xfId="8817" xr:uid="{16E9C643-19D1-4B5D-A098-AF47739E0F6C}"/>
    <cellStyle name="Vírgula 4 4 2 11 2" xfId="29160" xr:uid="{1D62B338-AFAD-424D-B510-D733C32F38E4}"/>
    <cellStyle name="Vírgula 4 4 2 12" xfId="25666" xr:uid="{3175FBB9-5D25-4F8C-9179-90ECBB87A07A}"/>
    <cellStyle name="Vírgula 4 4 2 13" xfId="46007" xr:uid="{F4378527-4287-4316-B1BD-B67CA3B93621}"/>
    <cellStyle name="Vírgula 4 4 2 14" xfId="46493" xr:uid="{71FA2977-ADEA-4A1A-A5C0-C7F81E2ECB3D}"/>
    <cellStyle name="Vírgula 4 4 2 15" xfId="46985" xr:uid="{C3913AFD-A856-4692-94DD-2AD2EFC74B91}"/>
    <cellStyle name="Vírgula 4 4 2 16" xfId="47392" xr:uid="{524639C7-BEBD-44FF-AB8A-E3B169D9020F}"/>
    <cellStyle name="Vírgula 4 4 2 17" xfId="47518" xr:uid="{C41D8C51-22B4-482A-91F7-9A538AC37356}"/>
    <cellStyle name="Vírgula 4 4 2 18" xfId="47644" xr:uid="{D72473B8-9CE3-4F4D-BDD4-1E9DC95A6556}"/>
    <cellStyle name="Vírgula 4 4 2 19" xfId="49063" xr:uid="{408C2F59-9EC3-4A94-8CC4-530A84435605}"/>
    <cellStyle name="Vírgula 4 4 2 2" xfId="415" xr:uid="{2F43AFB1-59D5-4A8C-9168-051F39EF08B0}"/>
    <cellStyle name="Vírgula 4 4 2 2 10" xfId="46736" xr:uid="{1FE68FA6-6BF9-4B86-A491-A6BA6CE87AB9}"/>
    <cellStyle name="Vírgula 4 4 2 2 11" xfId="47228" xr:uid="{866BD506-7FEC-4455-B0D2-AB957C8A9C6C}"/>
    <cellStyle name="Vírgula 4 4 2 2 12" xfId="49064" xr:uid="{55BED703-477B-4F4F-9058-6901AC7A7331}"/>
    <cellStyle name="Vírgula 4 4 2 2 13" xfId="50734" xr:uid="{CDDD220F-05D8-41EE-BC47-AA1DCDAFEE47}"/>
    <cellStyle name="Vírgula 4 4 2 2 14" xfId="54029" xr:uid="{CFA1E801-0830-4186-8789-5B71065F0CC0}"/>
    <cellStyle name="Vírgula 4 4 2 2 15" xfId="5899" xr:uid="{D0BE70CF-C04F-49FE-8CE7-64F04DF6621F}"/>
    <cellStyle name="Vírgula 4 4 2 2 16" xfId="4696" xr:uid="{4987DA21-C06C-4024-A183-AC85FCF575DF}"/>
    <cellStyle name="Vírgula 4 4 2 2 2" xfId="1231" xr:uid="{34BAA924-75F3-4F44-95FB-15601D9CAA37}"/>
    <cellStyle name="Vírgula 4 4 2 2 2 10" xfId="54030" xr:uid="{C35F8212-D469-4140-993A-1B45E50B6CED}"/>
    <cellStyle name="Vírgula 4 4 2 2 2 11" xfId="7057" xr:uid="{7D6CE5A7-0F4C-4394-9759-24F067049037}"/>
    <cellStyle name="Vírgula 4 4 2 2 2 2" xfId="2892" xr:uid="{21CB7F2D-E0FA-4E4E-B7EC-D1B2FD0FE3FD}"/>
    <cellStyle name="Vírgula 4 4 2 2 2 2 2" xfId="37683" xr:uid="{6797657D-58E8-432F-8F59-A735CB1DA3B9}"/>
    <cellStyle name="Vírgula 4 4 2 2 2 2 3" xfId="52367" xr:uid="{6C214A25-209B-407C-8C16-3565E40726CE}"/>
    <cellStyle name="Vírgula 4 4 2 2 2 2 4" xfId="55661" xr:uid="{F59C0EAA-4105-4126-B432-ADD67D950875}"/>
    <cellStyle name="Vírgula 4 4 2 2 2 2 5" xfId="17343" xr:uid="{4C4165D0-2B8F-4986-BCF7-5EC8325062F3}"/>
    <cellStyle name="Vírgula 4 4 2 2 2 3" xfId="20845" xr:uid="{3C2122E9-47B5-4351-B00C-81ADC09305B3}"/>
    <cellStyle name="Vírgula 4 4 2 2 2 3 2" xfId="41184" xr:uid="{D5076DBC-F7D6-447B-858E-B433A13C20F0}"/>
    <cellStyle name="Vírgula 4 4 2 2 2 3 3" xfId="57102" xr:uid="{6DF5C29B-D4FD-47A4-925C-670017DE52DD}"/>
    <cellStyle name="Vírgula 4 4 2 2 2 4" xfId="24100" xr:uid="{B5E6185A-84B4-47A2-9972-7777A29B8A4D}"/>
    <cellStyle name="Vírgula 4 4 2 2 2 4 2" xfId="44435" xr:uid="{240BF4FA-1C35-4F4B-A372-F1DB126A612E}"/>
    <cellStyle name="Vírgula 4 4 2 2 2 5" xfId="14434" xr:uid="{D8C53C1D-7500-4DCC-810A-B8E91DEADBF3}"/>
    <cellStyle name="Vírgula 4 4 2 2 2 5 2" xfId="34775" xr:uid="{D8185356-AC78-4E0E-9F9A-C3754F746862}"/>
    <cellStyle name="Vírgula 4 4 2 2 2 6" xfId="10556" xr:uid="{A7C83298-18F3-40BA-A279-7E5209849C21}"/>
    <cellStyle name="Vírgula 4 4 2 2 2 6 2" xfId="30899" xr:uid="{E060B7F3-6DB1-4571-9879-F4950DD92FA1}"/>
    <cellStyle name="Vírgula 4 4 2 2 2 7" xfId="27405" xr:uid="{666AD1F3-9BB1-4121-8FCE-4174AFA10F5D}"/>
    <cellStyle name="Vírgula 4 4 2 2 2 8" xfId="49065" xr:uid="{8E2586A6-31D6-44B9-BBAA-8FE0531B551A}"/>
    <cellStyle name="Vírgula 4 4 2 2 2 9" xfId="50735" xr:uid="{444E8175-ED96-4D1C-A139-21C449AF91A1}"/>
    <cellStyle name="Vírgula 4 4 2 2 3" xfId="1637" xr:uid="{359A40B4-56A9-4915-88B7-BCFC85F5386C}"/>
    <cellStyle name="Vírgula 4 4 2 2 3 2" xfId="3297" xr:uid="{14F51B5F-E679-43B6-B656-A62EF9BF34B1}"/>
    <cellStyle name="Vírgula 4 4 2 2 3 2 2" xfId="52368" xr:uid="{D2982804-24BE-44A2-9AC9-3CFEF77276F5}"/>
    <cellStyle name="Vírgula 4 4 2 2 3 2 3" xfId="55662" xr:uid="{96C66E82-3AF9-421F-9D9A-EB2D631B8FC2}"/>
    <cellStyle name="Vírgula 4 4 2 2 3 2 4" xfId="36525" xr:uid="{BD4E1E2D-F291-427E-940A-54D674AF5222}"/>
    <cellStyle name="Vírgula 4 4 2 2 3 3" xfId="49066" xr:uid="{43E92367-A891-4ED3-88EB-D2EEB09703A9}"/>
    <cellStyle name="Vírgula 4 4 2 2 3 3 2" xfId="57508" xr:uid="{090E800C-B7F1-43E4-A9BC-E6DA4C07365B}"/>
    <cellStyle name="Vírgula 4 4 2 2 3 4" xfId="50736" xr:uid="{74B2AF8D-F09A-42DF-A0BC-76209C9646A2}"/>
    <cellStyle name="Vírgula 4 4 2 2 3 5" xfId="54031" xr:uid="{FD5F5E9B-EEAF-4C12-BED0-19731C32AEAC}"/>
    <cellStyle name="Vírgula 4 4 2 2 3 6" xfId="16185" xr:uid="{24A0726E-5506-4841-B4D7-A221ECD79606}"/>
    <cellStyle name="Vírgula 4 4 2 2 4" xfId="824" xr:uid="{1E6C9919-0719-4C7C-AE0A-760F431A2838}"/>
    <cellStyle name="Vírgula 4 4 2 2 4 2" xfId="2540" xr:uid="{DF0DA41A-9AD2-4F16-8D1F-AE4C93C6FF5C}"/>
    <cellStyle name="Vírgula 4 4 2 2 4 2 2" xfId="52369" xr:uid="{E0F04FE7-DACB-4C8B-A4DC-2470AF6EB64E}"/>
    <cellStyle name="Vírgula 4 4 2 2 4 2 3" xfId="55663" xr:uid="{2BB7E762-6152-493A-AE36-659AD609C5E5}"/>
    <cellStyle name="Vírgula 4 4 2 2 4 2 4" xfId="40026" xr:uid="{4E391DE4-78FF-4E70-8569-4596F84252F4}"/>
    <cellStyle name="Vírgula 4 4 2 2 4 3" xfId="49067" xr:uid="{1CFB63FC-B3B2-4814-9645-3077618A0905}"/>
    <cellStyle name="Vírgula 4 4 2 2 4 3 2" xfId="56695" xr:uid="{39F803FE-3395-4EE5-8C26-6EEFDFD6D385}"/>
    <cellStyle name="Vírgula 4 4 2 2 4 4" xfId="50737" xr:uid="{7BA2D705-46DB-479E-A58B-67F8C4223E18}"/>
    <cellStyle name="Vírgula 4 4 2 2 4 5" xfId="54032" xr:uid="{DE1E8339-5BC8-43C5-A9AE-F2E5F3589ACC}"/>
    <cellStyle name="Vírgula 4 4 2 2 4 6" xfId="19687" xr:uid="{CCCFDAAF-7606-4528-AD41-70F22B7E24F5}"/>
    <cellStyle name="Vírgula 4 4 2 2 5" xfId="3678" xr:uid="{FC2D8E78-2D5B-4351-8AFC-D018F72AB53B}"/>
    <cellStyle name="Vírgula 4 4 2 2 5 2" xfId="43277" xr:uid="{7D9D18AE-C326-4869-887D-AED9C6BA9D61}"/>
    <cellStyle name="Vírgula 4 4 2 2 5 3" xfId="52366" xr:uid="{508C2769-1802-4BC9-912F-3070D7467553}"/>
    <cellStyle name="Vírgula 4 4 2 2 5 4" xfId="55660" xr:uid="{29C2C77E-26E3-4596-B873-988C0B046CEB}"/>
    <cellStyle name="Vírgula 4 4 2 2 5 5" xfId="22942" xr:uid="{7D528E52-9235-409B-AF34-AD4A47F66E27}"/>
    <cellStyle name="Vírgula 4 4 2 2 6" xfId="4086" xr:uid="{2A2492F9-FF6A-4EA7-82A3-6DB02882CE0F}"/>
    <cellStyle name="Vírgula 4 4 2 2 6 2" xfId="33619" xr:uid="{F3394E2E-EDF1-48B5-92F4-03B18B2ADA62}"/>
    <cellStyle name="Vírgula 4 4 2 2 6 3" xfId="56286" xr:uid="{119C99FC-5373-46EB-ADEC-78DCEA29EE96}"/>
    <cellStyle name="Vírgula 4 4 2 2 6 4" xfId="13278" xr:uid="{31E63D5E-AA15-413E-87D6-402AD371DFC7}"/>
    <cellStyle name="Vírgula 4 4 2 2 7" xfId="2027" xr:uid="{FE5F3B9F-88F3-4D3A-AEB0-46936C71873F}"/>
    <cellStyle name="Vírgula 4 4 2 2 7 2" xfId="29741" xr:uid="{4C28F682-8A00-4899-9AAB-3CEA4F66E3C8}"/>
    <cellStyle name="Vírgula 4 4 2 2 7 3" xfId="9398" xr:uid="{D490CB21-3AC7-44E2-8760-888E5891BA30}"/>
    <cellStyle name="Vírgula 4 4 2 2 8" xfId="26247" xr:uid="{A5338E8D-C20A-4929-8343-BEB364E2A7DD}"/>
    <cellStyle name="Vírgula 4 4 2 2 9" xfId="46250" xr:uid="{794C6ED7-0789-42B5-928C-667B9CC2FADC}"/>
    <cellStyle name="Vírgula 4 4 2 20" xfId="50733" xr:uid="{FB977332-C9BF-49E9-A238-8E185835BC40}"/>
    <cellStyle name="Vírgula 4 4 2 21" xfId="54028" xr:uid="{2CEC4F5C-AA99-443E-B32E-82FB1D9CC81A}"/>
    <cellStyle name="Vírgula 4 4 2 22" xfId="5346" xr:uid="{1C2C0C10-BA52-4FFA-AFA2-4EE8D96F2959}"/>
    <cellStyle name="Vírgula 4 4 2 23" xfId="4507" xr:uid="{ED358EAD-81C6-414E-8EDE-720A53F78A67}"/>
    <cellStyle name="Vírgula 4 4 2 3" xfId="1042" xr:uid="{8102E7C2-50F4-4440-B75A-15606809D7AF}"/>
    <cellStyle name="Vírgula 4 4 2 3 10" xfId="54033" xr:uid="{FB5543BD-932C-4D49-BB13-16162F383CBF}"/>
    <cellStyle name="Vírgula 4 4 2 3 11" xfId="6476" xr:uid="{D64ED6BB-C594-4469-A977-4039D257DDEA}"/>
    <cellStyle name="Vírgula 4 4 2 3 12" xfId="5125" xr:uid="{3DCEA557-DECE-4069-A059-21708665E681}"/>
    <cellStyle name="Vírgula 4 4 2 3 2" xfId="3569" xr:uid="{8E204482-6C01-41ED-91EF-E9608E642D4D}"/>
    <cellStyle name="Vírgula 4 4 2 3 2 2" xfId="37102" xr:uid="{739A7C48-BCD5-44FB-810A-EAFF81DE1F69}"/>
    <cellStyle name="Vírgula 4 4 2 3 2 3" xfId="52370" xr:uid="{7D21C9AE-A7DE-46EC-B1F7-5B504E2FBEF0}"/>
    <cellStyle name="Vírgula 4 4 2 3 2 4" xfId="55664" xr:uid="{19FBE45E-3779-436D-8006-4E9CC52D7C1B}"/>
    <cellStyle name="Vírgula 4 4 2 3 2 5" xfId="16762" xr:uid="{126A7ED3-05C1-4928-B7AC-2EC173DEAE97}"/>
    <cellStyle name="Vírgula 4 4 2 3 3" xfId="4258" xr:uid="{C24EA49D-1026-49CB-96CE-E8237CAE8A71}"/>
    <cellStyle name="Vírgula 4 4 2 3 3 2" xfId="40603" xr:uid="{DE8005AE-DF07-44EB-909E-27D418B1B6DA}"/>
    <cellStyle name="Vírgula 4 4 2 3 3 3" xfId="56913" xr:uid="{A1F3F0CA-0D38-4913-AD39-151CB2812729}"/>
    <cellStyle name="Vírgula 4 4 2 3 3 4" xfId="20264" xr:uid="{EFBEA8D8-5069-4CA8-B020-3BDA53146D75}"/>
    <cellStyle name="Vírgula 4 4 2 3 4" xfId="1918" xr:uid="{741009C5-5F0E-4ED3-BC40-249AB466333B}"/>
    <cellStyle name="Vírgula 4 4 2 3 4 2" xfId="43854" xr:uid="{0E7E17C4-016E-43ED-A295-311F57134446}"/>
    <cellStyle name="Vírgula 4 4 2 3 4 3" xfId="23519" xr:uid="{45751071-FEE1-40FB-ACB3-E266750F3CC4}"/>
    <cellStyle name="Vírgula 4 4 2 3 5" xfId="13853" xr:uid="{BBED6AAB-8C50-44C8-9732-B5306D1A9989}"/>
    <cellStyle name="Vírgula 4 4 2 3 5 2" xfId="34194" xr:uid="{D2047156-8C77-48D2-B083-AB14BD427220}"/>
    <cellStyle name="Vírgula 4 4 2 3 6" xfId="9975" xr:uid="{EE81C451-2D30-4228-A682-FF09C4A33A40}"/>
    <cellStyle name="Vírgula 4 4 2 3 6 2" xfId="30318" xr:uid="{12F45850-DF96-4D9E-92CD-B3309E79AE79}"/>
    <cellStyle name="Vírgula 4 4 2 3 7" xfId="26824" xr:uid="{6BCDB39A-5B97-4D8E-B7DE-884D2A0301E8}"/>
    <cellStyle name="Vírgula 4 4 2 3 8" xfId="49068" xr:uid="{AF044A4D-649A-4228-9BCE-496B48FAE6EE}"/>
    <cellStyle name="Vírgula 4 4 2 3 9" xfId="50738" xr:uid="{41BFC0F9-36F7-47EB-B64B-64C5B0094F99}"/>
    <cellStyle name="Vírgula 4 4 2 4" xfId="1448" xr:uid="{CC69E933-FDC9-423F-AD39-F3F6F8449A00}"/>
    <cellStyle name="Vírgula 4 4 2 4 10" xfId="54034" xr:uid="{83E0FF72-D1E2-45D4-BC5E-04BB821C9846}"/>
    <cellStyle name="Vírgula 4 4 2 4 11" xfId="7640" xr:uid="{8D51694B-4CAE-4384-A066-E82929CBB62C}"/>
    <cellStyle name="Vírgula 4 4 2 4 2" xfId="3787" xr:uid="{C920BDD3-7638-4F16-8A5D-E2A64E315B71}"/>
    <cellStyle name="Vírgula 4 4 2 4 2 2" xfId="38265" xr:uid="{28D8E49B-7143-48F2-927F-C0346FF583F2}"/>
    <cellStyle name="Vírgula 4 4 2 4 2 3" xfId="52371" xr:uid="{E754A767-DBF0-487D-A8E9-5BD7D51E9352}"/>
    <cellStyle name="Vírgula 4 4 2 4 2 4" xfId="55665" xr:uid="{B28C6F4D-8695-4B3F-8FAB-E4C836180FAB}"/>
    <cellStyle name="Vírgula 4 4 2 4 2 5" xfId="17925" xr:uid="{C375B10B-67C2-483A-B189-96E983B9D83E}"/>
    <cellStyle name="Vírgula 4 4 2 4 3" xfId="3109" xr:uid="{4335AEBF-DD26-4CEC-8C67-DB6A5A5B7B01}"/>
    <cellStyle name="Vírgula 4 4 2 4 3 2" xfId="41766" xr:uid="{FDB4B940-F50F-4421-9ACA-BAF84562BF4B}"/>
    <cellStyle name="Vírgula 4 4 2 4 3 3" xfId="57319" xr:uid="{EC235BAB-82A1-4D51-952D-C4905525BB25}"/>
    <cellStyle name="Vírgula 4 4 2 4 3 4" xfId="21427" xr:uid="{676F0FAB-4563-4C44-A2C4-4D2C3E4D8C0F}"/>
    <cellStyle name="Vírgula 4 4 2 4 4" xfId="24682" xr:uid="{C68690DB-F177-416E-AB65-8C81C2C5F12D}"/>
    <cellStyle name="Vírgula 4 4 2 4 4 2" xfId="45017" xr:uid="{B9F2A9A3-6D67-4202-9693-68BF9298CE1D}"/>
    <cellStyle name="Vírgula 4 4 2 4 5" xfId="15017" xr:uid="{C972FC7C-2AF4-4850-B080-E9DBDD997356}"/>
    <cellStyle name="Vírgula 4 4 2 4 5 2" xfId="35357" xr:uid="{ABA69A3B-F991-4ECB-9D21-E233CCCE0193}"/>
    <cellStyle name="Vírgula 4 4 2 4 6" xfId="11138" xr:uid="{117855AF-1EAD-4AB3-BB61-94F6B98EFE64}"/>
    <cellStyle name="Vírgula 4 4 2 4 6 2" xfId="31481" xr:uid="{6900ACC8-C468-4902-BD76-54C71C05784D}"/>
    <cellStyle name="Vírgula 4 4 2 4 7" xfId="27987" xr:uid="{5B9D737B-A939-4F21-A8CF-6EFAA6DE8FFF}"/>
    <cellStyle name="Vírgula 4 4 2 4 8" xfId="49069" xr:uid="{B2675F72-D412-4D7E-8753-E23774B9ECA9}"/>
    <cellStyle name="Vírgula 4 4 2 4 9" xfId="50739" xr:uid="{DC2987D4-A097-4439-879D-BD680EF51A95}"/>
    <cellStyle name="Vírgula 4 4 2 5" xfId="635" xr:uid="{9BA839DA-A688-417E-9AB9-98CC8B58EE52}"/>
    <cellStyle name="Vírgula 4 4 2 5 10" xfId="8298" xr:uid="{E07B5A84-4EE5-420A-9A50-569052AF286D}"/>
    <cellStyle name="Vírgula 4 4 2 5 2" xfId="2351" xr:uid="{360AAAC7-D6E0-4AFF-A0C0-84FD5F943449}"/>
    <cellStyle name="Vírgula 4 4 2 5 2 2" xfId="42421" xr:uid="{E6E10509-17E6-4805-83E2-34A11F05639F}"/>
    <cellStyle name="Vírgula 4 4 2 5 2 3" xfId="52372" xr:uid="{546B6510-3FAA-486A-BBF0-162122835502}"/>
    <cellStyle name="Vírgula 4 4 2 5 2 4" xfId="55666" xr:uid="{2562C599-687C-4414-89BE-D81A7D6E5F1F}"/>
    <cellStyle name="Vírgula 4 4 2 5 2 5" xfId="22085" xr:uid="{1F5E88F6-C02F-45A1-8FD5-73E00FA37301}"/>
    <cellStyle name="Vírgula 4 4 2 5 3" xfId="25337" xr:uid="{B9DD58BC-CC24-434E-9553-B38B5C2DBEA1}"/>
    <cellStyle name="Vírgula 4 4 2 5 3 2" xfId="45672" xr:uid="{FE483B7A-C817-4B36-BBAD-529C003D289F}"/>
    <cellStyle name="Vírgula 4 4 2 5 3 3" xfId="56506" xr:uid="{DDFB06FA-407F-4373-A4C0-84E0A61B4DE1}"/>
    <cellStyle name="Vírgula 4 4 2 5 4" xfId="12709" xr:uid="{12915471-1FDD-4362-9B44-A09DB287C66A}"/>
    <cellStyle name="Vírgula 4 4 2 5 4 2" xfId="33050" xr:uid="{8807634C-B283-4961-B08C-D5E2510A4731}"/>
    <cellStyle name="Vírgula 4 4 2 5 5" xfId="11794" xr:uid="{44B5183D-218C-450D-8455-3CADA382E913}"/>
    <cellStyle name="Vírgula 4 4 2 5 5 2" xfId="32136" xr:uid="{10CFEB75-5AD3-49D0-8EF2-8954655FCD5E}"/>
    <cellStyle name="Vírgula 4 4 2 5 6" xfId="28642" xr:uid="{D118DF21-3C2A-418A-AD7B-7390299C84FC}"/>
    <cellStyle name="Vírgula 4 4 2 5 7" xfId="49070" xr:uid="{81086230-1AB0-46B1-A5D1-B782AB323A0A}"/>
    <cellStyle name="Vírgula 4 4 2 5 8" xfId="50740" xr:uid="{BC337369-C0E9-484D-A325-A32D7D355E38}"/>
    <cellStyle name="Vírgula 4 4 2 5 9" xfId="54035" xr:uid="{383AFEB6-E1FC-4527-A771-CBE6A18DB346}"/>
    <cellStyle name="Vírgula 4 4 2 6" xfId="3459" xr:uid="{A2471605-DE07-4991-BD9A-A4AC0F12F791}"/>
    <cellStyle name="Vírgula 4 4 2 6 2" xfId="15604" xr:uid="{53E299DF-5C4F-4AC5-886C-2C4A4E31C987}"/>
    <cellStyle name="Vírgula 4 4 2 6 2 2" xfId="35944" xr:uid="{EC53FBBF-0B58-4011-886D-6E29B983BC0E}"/>
    <cellStyle name="Vírgula 4 4 2 6 3" xfId="28975" xr:uid="{63C9776A-CFFF-4269-8378-CE3DD89F26E0}"/>
    <cellStyle name="Vírgula 4 4 2 6 4" xfId="52365" xr:uid="{EC1BC6D1-D7AE-461D-AEAB-790E7C03E519}"/>
    <cellStyle name="Vírgula 4 4 2 6 5" xfId="55659" xr:uid="{BAB2BF66-6FAD-42BA-9A84-C618DDC1FC2B}"/>
    <cellStyle name="Vírgula 4 4 2 6 6" xfId="8632" xr:uid="{86D726DD-22D9-4ED3-84DE-A802E3FED37A}"/>
    <cellStyle name="Vírgula 4 4 2 7" xfId="3915" xr:uid="{754C1733-0514-4B5D-9531-2EBFD7AF8CF1}"/>
    <cellStyle name="Vírgula 4 4 2 7 2" xfId="38858" xr:uid="{A77E580B-2851-4F69-846F-A941DCBE9425}"/>
    <cellStyle name="Vírgula 4 4 2 7 3" xfId="56097" xr:uid="{B19F7EFD-8DB7-447C-9A13-63B418D45F65}"/>
    <cellStyle name="Vírgula 4 4 2 7 4" xfId="18518" xr:uid="{AAB3D956-0136-40C1-8746-B921E4F073DF}"/>
    <cellStyle name="Vírgula 4 4 2 8" xfId="1808" xr:uid="{E4974ACF-1997-4AE1-89E8-CC44CA8FAD8B}"/>
    <cellStyle name="Vírgula 4 4 2 8 2" xfId="39445" xr:uid="{82900441-E3B2-401F-B097-924B202EFBA7}"/>
    <cellStyle name="Vírgula 4 4 2 8 3" xfId="19106" xr:uid="{FBCC00AC-4049-447F-AED6-A2BA7B63524D}"/>
    <cellStyle name="Vírgula 4 4 2 9" xfId="22361" xr:uid="{50FE2523-24FA-496E-8D33-30676F98E8B2}"/>
    <cellStyle name="Vírgula 4 4 2 9 2" xfId="42696" xr:uid="{9135D143-5F83-44D4-94B8-AC98912EE9FA}"/>
    <cellStyle name="Vírgula 4 4 20" xfId="47462" xr:uid="{F2A8EC0C-BF67-4BED-A3AB-264A15C68B85}"/>
    <cellStyle name="Vírgula 4 4 21" xfId="47588" xr:uid="{CA7F8735-E25E-464F-9A9C-31C459437EF4}"/>
    <cellStyle name="Vírgula 4 4 22" xfId="49062" xr:uid="{7587D205-BB80-4660-AF71-406091CA7FCF}"/>
    <cellStyle name="Vírgula 4 4 23" xfId="50732" xr:uid="{F0C64823-DAB8-40ED-9A11-DBAD6F6F038E}"/>
    <cellStyle name="Vírgula 4 4 24" xfId="54027" xr:uid="{1978AA66-9C03-44CC-90EC-662BBEF65424}"/>
    <cellStyle name="Vírgula 4 4 25" xfId="5224" xr:uid="{BA5811DC-B32F-4FD8-85E5-ED01D0C0A987}"/>
    <cellStyle name="Vírgula 4 4 26" xfId="4428" xr:uid="{63217EA2-A361-4582-B83C-869602FB0B46}"/>
    <cellStyle name="Vírgula 4 4 3" xfId="278" xr:uid="{1E2069D9-0C15-4C6C-B82B-3B6CB83984F9}"/>
    <cellStyle name="Vírgula 4 4 3 10" xfId="12307" xr:uid="{4B586DEC-25D4-49BC-9DB2-52194DA9554D}"/>
    <cellStyle name="Vírgula 4 4 3 10 2" xfId="32648" xr:uid="{0886632A-FAD6-443E-923A-865D749D28F9}"/>
    <cellStyle name="Vírgula 4 4 3 11" xfId="9046" xr:uid="{CA220BB1-5C73-414F-B05F-58D24F23536E}"/>
    <cellStyle name="Vírgula 4 4 3 11 2" xfId="29389" xr:uid="{D14A256F-A87E-4148-9416-5BC88DA8A79E}"/>
    <cellStyle name="Vírgula 4 4 3 12" xfId="25895" xr:uid="{34684928-05AF-4415-9017-7CE9FCD93896}"/>
    <cellStyle name="Vírgula 4 4 3 13" xfId="46118" xr:uid="{7E8D43C0-8341-4014-BBB8-391B52C7A47E}"/>
    <cellStyle name="Vírgula 4 4 3 14" xfId="46604" xr:uid="{E9CC2DA2-FE6F-4F23-847B-17C1459BF359}"/>
    <cellStyle name="Vírgula 4 4 3 15" xfId="47096" xr:uid="{A6E5D59D-5F46-4808-AADC-8B094D8E4CC0}"/>
    <cellStyle name="Vírgula 4 4 3 16" xfId="49071" xr:uid="{C4DB116B-2014-4BBB-8DD8-2DB0FB989580}"/>
    <cellStyle name="Vírgula 4 4 3 17" xfId="50741" xr:uid="{46AB9F5A-BF2C-47BA-9DE1-A6495C8D19C6}"/>
    <cellStyle name="Vírgula 4 4 3 18" xfId="54036" xr:uid="{C0CBDA7D-EEA5-4811-A79D-295C46723285}"/>
    <cellStyle name="Vírgula 4 4 3 19" xfId="5556" xr:uid="{24FBE880-74F0-46DF-9B82-BBB78F9E3792}"/>
    <cellStyle name="Vírgula 4 4 3 2" xfId="467" xr:uid="{B15FAA55-85C6-44AF-BFE9-023D06A23169}"/>
    <cellStyle name="Vírgula 4 4 3 2 10" xfId="50742" xr:uid="{501CE0BB-637D-4672-96F5-5A34D0BFC2B3}"/>
    <cellStyle name="Vírgula 4 4 3 2 11" xfId="54037" xr:uid="{F278671C-7D9F-45DC-8FBF-70DF132AD59F}"/>
    <cellStyle name="Vírgula 4 4 3 2 12" xfId="6128" xr:uid="{559A3136-8B48-4C66-8AF2-C2DA40FC412A}"/>
    <cellStyle name="Vírgula 4 4 3 2 13" xfId="4748" xr:uid="{A21B5C4F-4135-4EBD-949E-3DFE9DC4BE03}"/>
    <cellStyle name="Vírgula 4 4 3 2 2" xfId="1283" xr:uid="{479CE24C-F74C-46F9-B754-3F8FA5B54EFD}"/>
    <cellStyle name="Vírgula 4 4 3 2 2 10" xfId="54038" xr:uid="{A5FA365D-28A6-4C18-B647-38DBEEFD33F0}"/>
    <cellStyle name="Vírgula 4 4 3 2 2 11" xfId="7286" xr:uid="{2B888262-EC8F-4657-9B09-5C2E81E0B87E}"/>
    <cellStyle name="Vírgula 4 4 3 2 2 2" xfId="2944" xr:uid="{341D4842-011C-4C90-9A3B-02C85B6AB3D0}"/>
    <cellStyle name="Vírgula 4 4 3 2 2 2 2" xfId="37912" xr:uid="{A88DD77F-6808-44C7-8BE8-A7C5F2CF8C15}"/>
    <cellStyle name="Vírgula 4 4 3 2 2 2 3" xfId="52375" xr:uid="{427D5E68-7E6E-43B3-AC32-60F8DFD93691}"/>
    <cellStyle name="Vírgula 4 4 3 2 2 2 4" xfId="55669" xr:uid="{A33051AC-A724-4FA3-A4DA-55E2618C0639}"/>
    <cellStyle name="Vírgula 4 4 3 2 2 2 5" xfId="17572" xr:uid="{50FF3B3D-3C38-4EAC-B46B-C8F1ABACEFB7}"/>
    <cellStyle name="Vírgula 4 4 3 2 2 3" xfId="21074" xr:uid="{8D00B6B0-DDCD-41B1-95EA-A9F5D03C0366}"/>
    <cellStyle name="Vírgula 4 4 3 2 2 3 2" xfId="41413" xr:uid="{F0A524EC-E448-4F64-850B-13085A47D185}"/>
    <cellStyle name="Vírgula 4 4 3 2 2 3 3" xfId="57154" xr:uid="{FD01BFAC-85E9-4761-84EE-ECA02C26CB84}"/>
    <cellStyle name="Vírgula 4 4 3 2 2 4" xfId="24329" xr:uid="{FA0F8B0D-4CEF-4787-AF06-4B7C7E2EEDE5}"/>
    <cellStyle name="Vírgula 4 4 3 2 2 4 2" xfId="44664" xr:uid="{5E6063E1-9314-44CB-95E2-7999ACFE5E11}"/>
    <cellStyle name="Vírgula 4 4 3 2 2 5" xfId="14663" xr:uid="{F42E11FF-BD48-430C-B44D-9E731865B4A7}"/>
    <cellStyle name="Vírgula 4 4 3 2 2 5 2" xfId="35004" xr:uid="{DAB71B1C-0B1D-4E49-A1F0-D0F8169BEEEC}"/>
    <cellStyle name="Vírgula 4 4 3 2 2 6" xfId="10785" xr:uid="{51AB8A04-E84E-41B5-AA6D-9E3F72CECE53}"/>
    <cellStyle name="Vírgula 4 4 3 2 2 6 2" xfId="31128" xr:uid="{57A2EBC8-0AE8-424B-8C71-72A9F2E3C1B1}"/>
    <cellStyle name="Vírgula 4 4 3 2 2 7" xfId="27634" xr:uid="{3E996416-941E-462A-A648-B53407D951F1}"/>
    <cellStyle name="Vírgula 4 4 3 2 2 8" xfId="49073" xr:uid="{6B1C7D2E-1713-40D9-AEE8-80D950194A19}"/>
    <cellStyle name="Vírgula 4 4 3 2 2 9" xfId="50743" xr:uid="{6CC280D4-4CA9-455E-BC50-28728C16CD4D}"/>
    <cellStyle name="Vírgula 4 4 3 2 3" xfId="1689" xr:uid="{1E567C8F-F592-4836-AE80-59AA22F0FB25}"/>
    <cellStyle name="Vírgula 4 4 3 2 3 2" xfId="3349" xr:uid="{96EF82C2-CFAB-423F-9CF5-4CF33BBD7615}"/>
    <cellStyle name="Vírgula 4 4 3 2 3 2 2" xfId="52376" xr:uid="{5C9AF1F2-8A09-4E88-B8F3-59ABDEE9106F}"/>
    <cellStyle name="Vírgula 4 4 3 2 3 2 3" xfId="55670" xr:uid="{096A7D4D-D69E-4401-A4C7-945F7E3AA1F3}"/>
    <cellStyle name="Vírgula 4 4 3 2 3 2 4" xfId="36754" xr:uid="{BA787EA2-2251-4D9A-9093-5359011B313D}"/>
    <cellStyle name="Vírgula 4 4 3 2 3 3" xfId="49074" xr:uid="{2D601AF5-F557-4434-B4DF-1D8AA8E377D4}"/>
    <cellStyle name="Vírgula 4 4 3 2 3 3 2" xfId="57560" xr:uid="{995865CB-C994-4576-8886-BD315FC3CCC4}"/>
    <cellStyle name="Vírgula 4 4 3 2 3 4" xfId="50744" xr:uid="{ED52EFCE-9872-4E74-9EE7-5B5B96A5DC82}"/>
    <cellStyle name="Vírgula 4 4 3 2 3 5" xfId="54039" xr:uid="{2CB4EBAB-C70E-4615-A60F-A7626359B8A6}"/>
    <cellStyle name="Vírgula 4 4 3 2 3 6" xfId="16414" xr:uid="{8BEC520E-18C9-4F95-A74B-11F1E8A95763}"/>
    <cellStyle name="Vírgula 4 4 3 2 4" xfId="876" xr:uid="{E58C0B30-AEA4-4694-B69C-8577D47C7904}"/>
    <cellStyle name="Vírgula 4 4 3 2 4 2" xfId="2592" xr:uid="{A02785D5-7CB2-44FC-A3B0-7F824D776CCA}"/>
    <cellStyle name="Vírgula 4 4 3 2 4 2 2" xfId="52377" xr:uid="{CC9A97D4-5B1B-4247-AC36-018812C1723D}"/>
    <cellStyle name="Vírgula 4 4 3 2 4 2 3" xfId="55671" xr:uid="{36AEF87A-8C44-4A64-A4A2-ED9C3E7AA26D}"/>
    <cellStyle name="Vírgula 4 4 3 2 4 2 4" xfId="40255" xr:uid="{20E3226A-E77E-49FD-9701-A0AF0A7EEAAE}"/>
    <cellStyle name="Vírgula 4 4 3 2 4 3" xfId="49075" xr:uid="{F6CDFE96-7D2F-493A-BE8C-B3E1E21CD672}"/>
    <cellStyle name="Vírgula 4 4 3 2 4 3 2" xfId="56747" xr:uid="{F353C1D8-7F97-48AB-9915-844B7E6CDD8A}"/>
    <cellStyle name="Vírgula 4 4 3 2 4 4" xfId="50745" xr:uid="{1AC4CB8C-4A23-41CB-958E-E76361FD26DF}"/>
    <cellStyle name="Vírgula 4 4 3 2 4 5" xfId="54040" xr:uid="{C3CDEBBE-8E56-459C-B49B-0AA632B3B161}"/>
    <cellStyle name="Vírgula 4 4 3 2 4 6" xfId="19916" xr:uid="{5A26B6A5-EC6E-47E5-A8B2-730EA8D9F889}"/>
    <cellStyle name="Vírgula 4 4 3 2 5" xfId="4121" xr:uid="{16093676-BE78-4EA3-AA40-365D3AE15E52}"/>
    <cellStyle name="Vírgula 4 4 3 2 5 2" xfId="43506" xr:uid="{0CFBC47A-AFB5-4AFA-A166-D0FAA2906EF4}"/>
    <cellStyle name="Vírgula 4 4 3 2 5 3" xfId="52374" xr:uid="{01F1B3C8-C011-4E1A-9EFC-FF76FD4EF1C1}"/>
    <cellStyle name="Vírgula 4 4 3 2 5 4" xfId="55668" xr:uid="{C6F5A479-C517-41A3-B4AB-D89AA2F2D56D}"/>
    <cellStyle name="Vírgula 4 4 3 2 5 5" xfId="23171" xr:uid="{D32FF580-A99D-40A7-B801-76A3CC1160EC}"/>
    <cellStyle name="Vírgula 4 4 3 2 6" xfId="2184" xr:uid="{39CE3BFC-20E4-403A-BBB5-00C3C1BF5D17}"/>
    <cellStyle name="Vírgula 4 4 3 2 6 2" xfId="33846" xr:uid="{F4143D33-B248-4ACC-830E-FC33F68DFF88}"/>
    <cellStyle name="Vírgula 4 4 3 2 6 3" xfId="56338" xr:uid="{525E9B8E-DDC7-4C8F-91F1-ED8951148342}"/>
    <cellStyle name="Vírgula 4 4 3 2 6 4" xfId="13505" xr:uid="{5D997AE5-533B-45AA-857B-4184DE4A0EBE}"/>
    <cellStyle name="Vírgula 4 4 3 2 7" xfId="9627" xr:uid="{17305D66-0437-4E39-A24B-CF0E5DF9C139}"/>
    <cellStyle name="Vírgula 4 4 3 2 7 2" xfId="29970" xr:uid="{32F889AD-DBB0-4962-A6B1-055B6CAD9EBF}"/>
    <cellStyle name="Vírgula 4 4 3 2 8" xfId="26476" xr:uid="{23C2025B-6ABB-4D79-95F7-B5BC70509DFC}"/>
    <cellStyle name="Vírgula 4 4 3 2 9" xfId="49072" xr:uid="{C73F8CCC-0D1C-4FD3-A332-94D798390E62}"/>
    <cellStyle name="Vírgula 4 4 3 20" xfId="4559" xr:uid="{EC67F6BC-3439-423B-95BA-A79DC48DA730}"/>
    <cellStyle name="Vírgula 4 4 3 3" xfId="1094" xr:uid="{4F82FD6D-B3F1-4E70-B28C-E18C6FB63B66}"/>
    <cellStyle name="Vírgula 4 4 3 3 10" xfId="54041" xr:uid="{88618599-9285-4EB7-A4E7-94D87680EC4D}"/>
    <cellStyle name="Vírgula 4 4 3 3 11" xfId="6705" xr:uid="{C1D2A768-4DCE-4128-8E79-CF62AE8BB25D}"/>
    <cellStyle name="Vírgula 4 4 3 3 12" xfId="5005" xr:uid="{AEBE4989-76D5-4A0E-887F-9360C0E1B3BE}"/>
    <cellStyle name="Vírgula 4 4 3 3 2" xfId="4293" xr:uid="{E6D16A25-76E5-4558-B44E-5A5C64938EEE}"/>
    <cellStyle name="Vírgula 4 4 3 3 2 2" xfId="37331" xr:uid="{665274A8-79FC-4E1C-B5B5-8018EBFAB488}"/>
    <cellStyle name="Vírgula 4 4 3 3 2 3" xfId="52378" xr:uid="{1D35E44A-6008-4D03-B35F-5087C1133083}"/>
    <cellStyle name="Vírgula 4 4 3 3 2 4" xfId="55672" xr:uid="{09B1A6FA-E07F-4C50-91A3-84A618D68387}"/>
    <cellStyle name="Vírgula 4 4 3 3 2 5" xfId="16991" xr:uid="{E8C5E524-0245-42F8-AC17-ADC19A10BE62}"/>
    <cellStyle name="Vírgula 4 4 3 3 3" xfId="2757" xr:uid="{7E3496A2-80A2-41B1-B432-5EB60C36F91A}"/>
    <cellStyle name="Vírgula 4 4 3 3 3 2" xfId="40832" xr:uid="{8A291C38-A967-4649-923F-34BF299459E3}"/>
    <cellStyle name="Vírgula 4 4 3 3 3 3" xfId="56965" xr:uid="{0944FED2-7FCF-4ACD-B227-C203A8654AE8}"/>
    <cellStyle name="Vírgula 4 4 3 3 3 4" xfId="20493" xr:uid="{07593075-3C39-4DC9-B5E6-BE1A21D8D0AE}"/>
    <cellStyle name="Vírgula 4 4 3 3 4" xfId="23748" xr:uid="{EC1B43CE-591F-4DC1-B3BF-9B466B7EF1DD}"/>
    <cellStyle name="Vírgula 4 4 3 3 4 2" xfId="44083" xr:uid="{9A69F385-B496-4417-ABEA-03027FE8BB0D}"/>
    <cellStyle name="Vírgula 4 4 3 3 5" xfId="14082" xr:uid="{BC78CC2C-D40D-4342-90A9-549F76BBA443}"/>
    <cellStyle name="Vírgula 4 4 3 3 5 2" xfId="34423" xr:uid="{FE37FA4A-49C4-4D9E-ACBA-435B4D3E0C61}"/>
    <cellStyle name="Vírgula 4 4 3 3 6" xfId="10204" xr:uid="{DD503B2F-7A74-454C-A11E-7B273926F779}"/>
    <cellStyle name="Vírgula 4 4 3 3 6 2" xfId="30547" xr:uid="{DE9E2322-7109-4743-8A61-5C6DAEF9FCB2}"/>
    <cellStyle name="Vírgula 4 4 3 3 7" xfId="27053" xr:uid="{0D141F81-EC27-462E-82EC-53CDCD537A93}"/>
    <cellStyle name="Vírgula 4 4 3 3 8" xfId="49076" xr:uid="{D4B063A2-CF04-4737-91DD-90BC00512F7C}"/>
    <cellStyle name="Vírgula 4 4 3 3 9" xfId="50746" xr:uid="{8A108ACF-E7EC-4012-9B2C-CEF32F4138EC}"/>
    <cellStyle name="Vírgula 4 4 3 4" xfId="1500" xr:uid="{27F42B83-EE74-4D8F-BFF1-CEE3E6BAC7AF}"/>
    <cellStyle name="Vírgula 4 4 3 4 10" xfId="54042" xr:uid="{924678F5-2DFD-4257-B022-2D7C6E2A3DB7}"/>
    <cellStyle name="Vírgula 4 4 3 4 11" xfId="7869" xr:uid="{1F861B3F-D36D-4C92-A790-5972CE7D4ABB}"/>
    <cellStyle name="Vírgula 4 4 3 4 2" xfId="3161" xr:uid="{726072BA-646C-4E44-BC8C-EEAAC911527A}"/>
    <cellStyle name="Vírgula 4 4 3 4 2 2" xfId="38494" xr:uid="{832627BA-5669-4469-BDD6-852BA2B8B531}"/>
    <cellStyle name="Vírgula 4 4 3 4 2 3" xfId="52379" xr:uid="{E253BFF7-BFD3-4D24-9254-153651DE3EB5}"/>
    <cellStyle name="Vírgula 4 4 3 4 2 4" xfId="55673" xr:uid="{0739962C-A2D5-4FE7-ADD0-A0CF32E35FF4}"/>
    <cellStyle name="Vírgula 4 4 3 4 2 5" xfId="18154" xr:uid="{787328AF-723C-45B6-962A-71D5B080E66F}"/>
    <cellStyle name="Vírgula 4 4 3 4 3" xfId="21656" xr:uid="{05A492EA-1909-4D9A-A83F-8E5E40A388BF}"/>
    <cellStyle name="Vírgula 4 4 3 4 3 2" xfId="41995" xr:uid="{F8027E72-CCBC-4DEA-B34E-1F334D1B946E}"/>
    <cellStyle name="Vírgula 4 4 3 4 3 3" xfId="57371" xr:uid="{E62C759A-B578-4BF1-A879-FBC005D0EF57}"/>
    <cellStyle name="Vírgula 4 4 3 4 4" xfId="24911" xr:uid="{1963AA32-990F-444E-9289-664C0615A3E7}"/>
    <cellStyle name="Vírgula 4 4 3 4 4 2" xfId="45246" xr:uid="{3386226E-8CB2-4EB4-A9CA-BE0F2BFFB255}"/>
    <cellStyle name="Vírgula 4 4 3 4 5" xfId="15246" xr:uid="{C73DFE1F-FDB3-4894-B0DE-77A551C92CA1}"/>
    <cellStyle name="Vírgula 4 4 3 4 5 2" xfId="35586" xr:uid="{327D31B2-EA05-4E1F-A5E5-98C45A3E4C03}"/>
    <cellStyle name="Vírgula 4 4 3 4 6" xfId="11367" xr:uid="{81408509-34BD-4260-9725-BCDE45138B80}"/>
    <cellStyle name="Vírgula 4 4 3 4 6 2" xfId="31710" xr:uid="{D69A040F-E18F-4750-81D3-990936CB5F40}"/>
    <cellStyle name="Vírgula 4 4 3 4 7" xfId="28216" xr:uid="{D0C3D1D5-F89F-46B6-BF86-26A72ACDE0AE}"/>
    <cellStyle name="Vírgula 4 4 3 4 8" xfId="49077" xr:uid="{EEFA1CF3-CBAF-46F4-8A09-D452BAC5DCF8}"/>
    <cellStyle name="Vírgula 4 4 3 4 9" xfId="50747" xr:uid="{3B7C8D6B-0487-4EE9-9755-A1792BF15544}"/>
    <cellStyle name="Vírgula 4 4 3 5" xfId="687" xr:uid="{51B7655D-3DA5-4BC6-A931-141985169A96}"/>
    <cellStyle name="Vírgula 4 4 3 5 10" xfId="8299" xr:uid="{4C5231BF-CE57-42A9-80E0-98D9C11FB285}"/>
    <cellStyle name="Vírgula 4 4 3 5 2" xfId="2403" xr:uid="{2B422A63-C984-4919-BEA7-A06C006E6C42}"/>
    <cellStyle name="Vírgula 4 4 3 5 2 2" xfId="42422" xr:uid="{9F826B23-8E69-44A3-86BB-A3558146DFA0}"/>
    <cellStyle name="Vírgula 4 4 3 5 2 3" xfId="52380" xr:uid="{40A1BDA9-3701-4B3B-AFAA-0A2DACCD3CC9}"/>
    <cellStyle name="Vírgula 4 4 3 5 2 4" xfId="55674" xr:uid="{024CD19A-389B-4094-8917-D49AC83FEA68}"/>
    <cellStyle name="Vírgula 4 4 3 5 2 5" xfId="22086" xr:uid="{DD3DD4C9-85B1-4CEA-8825-B673EEDD5518}"/>
    <cellStyle name="Vírgula 4 4 3 5 3" xfId="25338" xr:uid="{249FED93-99AD-4B77-91C6-7A95704D83A5}"/>
    <cellStyle name="Vírgula 4 4 3 5 3 2" xfId="45673" xr:uid="{7EE8FBEB-643F-4B4E-ABF6-DB6F66E78D32}"/>
    <cellStyle name="Vírgula 4 4 3 5 3 3" xfId="56558" xr:uid="{E55C45BE-CB08-4EA8-85F3-F762362D9FC4}"/>
    <cellStyle name="Vírgula 4 4 3 5 4" xfId="12936" xr:uid="{A72F1B6B-F67E-4AF0-8255-0E59E288C832}"/>
    <cellStyle name="Vírgula 4 4 3 5 4 2" xfId="33277" xr:uid="{61A782A9-57EB-4532-BAE1-AC34CBA2EA24}"/>
    <cellStyle name="Vírgula 4 4 3 5 5" xfId="11795" xr:uid="{AEE66414-C60C-4832-BF0F-C1A60FBA7174}"/>
    <cellStyle name="Vírgula 4 4 3 5 5 2" xfId="32137" xr:uid="{1FF0C842-E291-408B-A351-F47E9BFC2270}"/>
    <cellStyle name="Vírgula 4 4 3 5 6" xfId="28643" xr:uid="{26D4F9DF-FC2F-4FA7-AF97-E30A4F3602BB}"/>
    <cellStyle name="Vírgula 4 4 3 5 7" xfId="49078" xr:uid="{0DC059B5-71A8-4FBD-91CB-90211F2D8A66}"/>
    <cellStyle name="Vírgula 4 4 3 5 8" xfId="50748" xr:uid="{11E6CCDB-5834-486C-BBDD-36488191608D}"/>
    <cellStyle name="Vírgula 4 4 3 5 9" xfId="54043" xr:uid="{E8DD5105-2FC7-46D3-A64B-CC1504BC2445}"/>
    <cellStyle name="Vírgula 4 4 3 6" xfId="3623" xr:uid="{CDBE29F0-9E4C-4917-9CC9-CF95C477A4E7}"/>
    <cellStyle name="Vírgula 4 4 3 6 2" xfId="36173" xr:uid="{2158035B-69EA-4A6C-9A9C-92E072CBA52A}"/>
    <cellStyle name="Vírgula 4 4 3 6 3" xfId="52373" xr:uid="{22B1CEB1-28A3-44A4-8A36-37029CFB1C44}"/>
    <cellStyle name="Vírgula 4 4 3 6 4" xfId="55667" xr:uid="{99B83C37-40A7-48B2-962F-34581D04D8B2}"/>
    <cellStyle name="Vírgula 4 4 3 6 5" xfId="15833" xr:uid="{D353C026-9CAE-49C1-93DC-F3B0CD9A7C39}"/>
    <cellStyle name="Vírgula 4 4 3 7" xfId="3949" xr:uid="{BE7B665D-4FC9-4710-947C-24487F6D9FC8}"/>
    <cellStyle name="Vírgula 4 4 3 7 2" xfId="39087" xr:uid="{69D92916-F3EE-48F2-A447-7D36082374B3}"/>
    <cellStyle name="Vírgula 4 4 3 7 3" xfId="56149" xr:uid="{5E7D6C6F-74CB-4FD9-A099-701606029526}"/>
    <cellStyle name="Vírgula 4 4 3 7 4" xfId="18747" xr:uid="{863EBC5A-62F3-4C61-831C-EB6F21748BF5}"/>
    <cellStyle name="Vírgula 4 4 3 8" xfId="1972" xr:uid="{3267DD7D-0895-4B2C-BE1D-1541F67FBF23}"/>
    <cellStyle name="Vírgula 4 4 3 8 2" xfId="39674" xr:uid="{C3128A95-0941-49CF-B23B-246ABA074C32}"/>
    <cellStyle name="Vírgula 4 4 3 8 3" xfId="19335" xr:uid="{A28CE8F1-C098-4F82-BE02-5EAF4B8238A7}"/>
    <cellStyle name="Vírgula 4 4 3 9" xfId="22590" xr:uid="{F1545BF9-1D68-4FC5-827C-81B380445570}"/>
    <cellStyle name="Vírgula 4 4 3 9 2" xfId="42925" xr:uid="{D2863973-E85B-4815-B037-A7517016D318}"/>
    <cellStyle name="Vírgula 4 4 4" xfId="336" xr:uid="{C38EB364-0592-43D7-806B-50890477516A}"/>
    <cellStyle name="Vírgula 4 4 4 10" xfId="12465" xr:uid="{9A5B9A2A-AB2B-47EF-9B94-39FE5E43C22E}"/>
    <cellStyle name="Vírgula 4 4 4 10 2" xfId="32806" xr:uid="{29DFAE46-1FEF-423E-B8C9-4914BAD36F4A}"/>
    <cellStyle name="Vírgula 4 4 4 11" xfId="9204" xr:uid="{194DAB62-3467-4778-B557-C86C1F9DDE13}"/>
    <cellStyle name="Vírgula 4 4 4 11 2" xfId="29547" xr:uid="{AC5B52CD-8CE5-4784-9289-A111571F4EEA}"/>
    <cellStyle name="Vírgula 4 4 4 12" xfId="26053" xr:uid="{5AA3B330-6796-4C80-85B6-A656A1BCFCD7}"/>
    <cellStyle name="Vírgula 4 4 4 13" xfId="49079" xr:uid="{79E10878-ED1A-4F63-BA11-2BEA12D72210}"/>
    <cellStyle name="Vírgula 4 4 4 14" xfId="50749" xr:uid="{5AEC1B9D-483F-4FE2-AA6C-7DC0AF0D619D}"/>
    <cellStyle name="Vírgula 4 4 4 15" xfId="54044" xr:uid="{DEFBBEB2-DF94-491C-932F-0834AEFF5B22}"/>
    <cellStyle name="Vírgula 4 4 4 16" xfId="5714" xr:uid="{FDDD7D6C-0FDD-4B94-9A9C-010AF59CEBE6}"/>
    <cellStyle name="Vírgula 4 4 4 17" xfId="4617" xr:uid="{B0DD03F5-2B57-4550-AE87-5882896C784B}"/>
    <cellStyle name="Vírgula 4 4 4 2" xfId="1152" xr:uid="{083B8586-DBE7-46DF-AB7F-F3A30F940659}"/>
    <cellStyle name="Vírgula 4 4 4 2 10" xfId="50750" xr:uid="{9CACE957-14BB-433C-8EB9-6E1936D58E75}"/>
    <cellStyle name="Vírgula 4 4 4 2 11" xfId="54045" xr:uid="{DDF3EEDB-94C4-4B28-BDB1-D1CB98DD9AFE}"/>
    <cellStyle name="Vírgula 4 4 4 2 12" xfId="6286" xr:uid="{184458BD-BC81-4BAD-BB86-EE10305AE70D}"/>
    <cellStyle name="Vírgula 4 4 4 2 2" xfId="2813" xr:uid="{246A2804-D045-4953-81D5-9FB99F58E201}"/>
    <cellStyle name="Vírgula 4 4 4 2 2 10" xfId="7444" xr:uid="{2A27CF91-CE34-4D6B-829D-B90145F2B6F2}"/>
    <cellStyle name="Vírgula 4 4 4 2 2 2" xfId="17730" xr:uid="{D4EA6F29-F1F5-469A-86CB-2FF75C836392}"/>
    <cellStyle name="Vírgula 4 4 4 2 2 2 2" xfId="38070" xr:uid="{E0B494AB-3C37-4B05-B521-42180EB32F4F}"/>
    <cellStyle name="Vírgula 4 4 4 2 2 3" xfId="21232" xr:uid="{3504E33C-3733-40D8-9D7A-BD433EC4B96D}"/>
    <cellStyle name="Vírgula 4 4 4 2 2 3 2" xfId="41571" xr:uid="{08A6B019-D26E-44B0-A0A6-4DBDB385A4D6}"/>
    <cellStyle name="Vírgula 4 4 4 2 2 4" xfId="24487" xr:uid="{A3F8D810-26D9-42E9-8ACC-5BC67B3EDF7A}"/>
    <cellStyle name="Vírgula 4 4 4 2 2 4 2" xfId="44822" xr:uid="{ECED90CB-72A1-43FE-B3F7-10F902926928}"/>
    <cellStyle name="Vírgula 4 4 4 2 2 5" xfId="14821" xr:uid="{E65C39BA-202C-4B21-9850-5805C2F8D81B}"/>
    <cellStyle name="Vírgula 4 4 4 2 2 5 2" xfId="35162" xr:uid="{5B340369-EFAC-459E-B4E5-AE702E4B6D5A}"/>
    <cellStyle name="Vírgula 4 4 4 2 2 6" xfId="10943" xr:uid="{6E42A840-2617-4B68-9EC6-1CE5241B9645}"/>
    <cellStyle name="Vírgula 4 4 4 2 2 6 2" xfId="31286" xr:uid="{BAA8ECF5-7E46-4B09-BE77-8F93211A1990}"/>
    <cellStyle name="Vírgula 4 4 4 2 2 7" xfId="27792" xr:uid="{54A9B0FE-5C1F-4F68-823D-B8F3AB0F9A19}"/>
    <cellStyle name="Vírgula 4 4 4 2 2 8" xfId="52382" xr:uid="{4901C0EF-4B69-4154-B68E-3EAB5956134B}"/>
    <cellStyle name="Vírgula 4 4 4 2 2 9" xfId="55676" xr:uid="{75852BAD-68B9-47BE-BD31-ACD33CE4C1EC}"/>
    <cellStyle name="Vírgula 4 4 4 2 3" xfId="16572" xr:uid="{00B1D26A-EF3F-48E1-B1B6-D95686A5233D}"/>
    <cellStyle name="Vírgula 4 4 4 2 3 2" xfId="36912" xr:uid="{A5FCF8E5-4840-438A-94FE-13605F6C4603}"/>
    <cellStyle name="Vírgula 4 4 4 2 3 3" xfId="57023" xr:uid="{3A24EAB4-E178-4D07-A3BA-27AE65B4A326}"/>
    <cellStyle name="Vírgula 4 4 4 2 4" xfId="20074" xr:uid="{22CA7BA0-A7CA-489B-BF5D-7853248D7956}"/>
    <cellStyle name="Vírgula 4 4 4 2 4 2" xfId="40413" xr:uid="{26B5F764-E03E-41B4-8D62-BA76D1427C11}"/>
    <cellStyle name="Vírgula 4 4 4 2 5" xfId="23329" xr:uid="{E81CB250-A20B-451F-9326-A0D56D939996}"/>
    <cellStyle name="Vírgula 4 4 4 2 5 2" xfId="43664" xr:uid="{7FF7F185-2671-4152-B6B8-EF6A4F360B39}"/>
    <cellStyle name="Vírgula 4 4 4 2 6" xfId="13663" xr:uid="{F2609292-9C27-4144-BEE3-DF0978A35F9B}"/>
    <cellStyle name="Vírgula 4 4 4 2 6 2" xfId="34004" xr:uid="{F818E04F-5DD9-4DA5-A72C-7D4A512569D5}"/>
    <cellStyle name="Vírgula 4 4 4 2 7" xfId="9785" xr:uid="{A961B3E1-3F8A-4B81-8EC3-23F3EE1B95DE}"/>
    <cellStyle name="Vírgula 4 4 4 2 7 2" xfId="30128" xr:uid="{41855E4D-1A4F-4872-ACDF-868FC064F420}"/>
    <cellStyle name="Vírgula 4 4 4 2 8" xfId="26634" xr:uid="{B1129244-5D1C-4BE4-A61F-674A1385E133}"/>
    <cellStyle name="Vírgula 4 4 4 2 9" xfId="49080" xr:uid="{798C2F98-A344-42B3-A67C-5A6B210ED79D}"/>
    <cellStyle name="Vírgula 4 4 4 3" xfId="1558" xr:uid="{D3E8EE3C-A6EA-4CB9-AC71-0BA09171817F}"/>
    <cellStyle name="Vírgula 4 4 4 3 10" xfId="54046" xr:uid="{CB3A988D-21E1-4BE2-A337-5086B86516C7}"/>
    <cellStyle name="Vírgula 4 4 4 3 11" xfId="6863" xr:uid="{47E20B24-5BF1-413C-BFF6-2160E606A44F}"/>
    <cellStyle name="Vírgula 4 4 4 3 2" xfId="3218" xr:uid="{7B8B4031-C04A-4DCB-AF6D-426638D67659}"/>
    <cellStyle name="Vírgula 4 4 4 3 2 2" xfId="37489" xr:uid="{3259EE82-F942-4A04-B69C-EE66B2EA8EAA}"/>
    <cellStyle name="Vírgula 4 4 4 3 2 3" xfId="52383" xr:uid="{BF2AFDB0-C813-479B-BE0D-1D582CB27BF1}"/>
    <cellStyle name="Vírgula 4 4 4 3 2 4" xfId="55677" xr:uid="{15A20F73-BC4E-427D-8096-D945D8F91DD7}"/>
    <cellStyle name="Vírgula 4 4 4 3 2 5" xfId="17149" xr:uid="{59568E2D-73CD-4885-8F08-214A54326E15}"/>
    <cellStyle name="Vírgula 4 4 4 3 3" xfId="20651" xr:uid="{5667F7A4-EA09-4E81-8B52-36F3865165CD}"/>
    <cellStyle name="Vírgula 4 4 4 3 3 2" xfId="40990" xr:uid="{FF3DC787-E154-43FD-BC41-050FE3B82E27}"/>
    <cellStyle name="Vírgula 4 4 4 3 3 3" xfId="57429" xr:uid="{05A17B0F-3651-4F5D-8517-EAFF06328DB2}"/>
    <cellStyle name="Vírgula 4 4 4 3 4" xfId="23906" xr:uid="{F162689A-8A37-44FF-9EC0-40E73139CFEC}"/>
    <cellStyle name="Vírgula 4 4 4 3 4 2" xfId="44241" xr:uid="{F3574457-64B9-4903-8718-BD2B51446CDB}"/>
    <cellStyle name="Vírgula 4 4 4 3 5" xfId="14240" xr:uid="{8694C6A9-829A-49F2-A198-F95D4F109A23}"/>
    <cellStyle name="Vírgula 4 4 4 3 5 2" xfId="34581" xr:uid="{BFF16EC6-E303-405A-87D9-3169B6045413}"/>
    <cellStyle name="Vírgula 4 4 4 3 6" xfId="10362" xr:uid="{6FDFFDBA-182C-4611-87FC-A8A00CA56C64}"/>
    <cellStyle name="Vírgula 4 4 4 3 6 2" xfId="30705" xr:uid="{CAE5BFA6-1DB7-4B3E-89C2-E68D233D3A67}"/>
    <cellStyle name="Vírgula 4 4 4 3 7" xfId="27211" xr:uid="{D2722883-E032-4782-822D-CF1E53C0857B}"/>
    <cellStyle name="Vírgula 4 4 4 3 8" xfId="49081" xr:uid="{F209C216-0017-45C2-9B2D-D14BE633B093}"/>
    <cellStyle name="Vírgula 4 4 4 3 9" xfId="50751" xr:uid="{942268C6-DF12-4B6F-A0F5-4F9E55626101}"/>
    <cellStyle name="Vírgula 4 4 4 4" xfId="745" xr:uid="{E1201688-2EEA-46E6-9E94-00F3C6133CC2}"/>
    <cellStyle name="Vírgula 4 4 4 4 10" xfId="54047" xr:uid="{B711FE7A-317E-4BA4-BBA7-56969B662EB8}"/>
    <cellStyle name="Vírgula 4 4 4 4 11" xfId="8027" xr:uid="{504ABC36-C6C0-46C2-9C01-320B8EEC3224}"/>
    <cellStyle name="Vírgula 4 4 4 4 2" xfId="2461" xr:uid="{3209AF54-4230-4E32-9BF4-D9FC0F4750AA}"/>
    <cellStyle name="Vírgula 4 4 4 4 2 2" xfId="38652" xr:uid="{5A549C5C-0F7F-4801-B968-87FE78B04088}"/>
    <cellStyle name="Vírgula 4 4 4 4 2 3" xfId="52384" xr:uid="{5DE68023-7D7C-4EF8-A7B5-5F8F5373F93A}"/>
    <cellStyle name="Vírgula 4 4 4 4 2 4" xfId="55678" xr:uid="{2FFCE253-25D5-40A7-9296-D3C6E47508A3}"/>
    <cellStyle name="Vírgula 4 4 4 4 2 5" xfId="18312" xr:uid="{F7CD0073-3188-40C2-8209-34C8DBA0ECE7}"/>
    <cellStyle name="Vírgula 4 4 4 4 3" xfId="21814" xr:uid="{E2CA7A05-D2BF-4719-955E-F09F4575B777}"/>
    <cellStyle name="Vírgula 4 4 4 4 3 2" xfId="42153" xr:uid="{3C8A1EC0-3825-4702-8F22-125BB680260D}"/>
    <cellStyle name="Vírgula 4 4 4 4 3 3" xfId="56616" xr:uid="{269D0BBF-F46E-49E9-977C-4F8D56762007}"/>
    <cellStyle name="Vírgula 4 4 4 4 4" xfId="25069" xr:uid="{B3B0C12C-6E3C-44BD-92B9-06E166388D36}"/>
    <cellStyle name="Vírgula 4 4 4 4 4 2" xfId="45404" xr:uid="{F21C3BD8-41F8-4980-9EE8-064768AD7424}"/>
    <cellStyle name="Vírgula 4 4 4 4 5" xfId="15404" xr:uid="{8D872DDC-6CA4-4959-8426-BA2CC9EF97F6}"/>
    <cellStyle name="Vírgula 4 4 4 4 5 2" xfId="35744" xr:uid="{1406B81F-0C56-41D6-AC18-50680BC1DCE6}"/>
    <cellStyle name="Vírgula 4 4 4 4 6" xfId="11525" xr:uid="{25DD7715-8903-4756-B4E8-AB7F36F3939A}"/>
    <cellStyle name="Vírgula 4 4 4 4 6 2" xfId="31868" xr:uid="{68CB0ABC-731F-4717-B21A-7FE077F2AB60}"/>
    <cellStyle name="Vírgula 4 4 4 4 7" xfId="28374" xr:uid="{1581B797-06E9-4231-A170-C80E923DC3C4}"/>
    <cellStyle name="Vírgula 4 4 4 4 8" xfId="49082" xr:uid="{081ECC4D-3FEB-4020-A560-21D2B6BAAA67}"/>
    <cellStyle name="Vírgula 4 4 4 4 9" xfId="50752" xr:uid="{C979A9C4-2EFA-4CEF-B565-58EC2EB4EAEA}"/>
    <cellStyle name="Vírgula 4 4 4 5" xfId="3514" xr:uid="{4BFA3560-D610-4809-AD69-544E6EB651F3}"/>
    <cellStyle name="Vírgula 4 4 4 5 2" xfId="33435" xr:uid="{F07953CF-221E-4B9C-9577-3822904A969D}"/>
    <cellStyle name="Vírgula 4 4 4 5 3" xfId="52381" xr:uid="{52125B46-F66B-40DF-8931-505667C380E2}"/>
    <cellStyle name="Vírgula 4 4 4 5 4" xfId="55675" xr:uid="{3E94BE65-EEA5-4CE0-9A28-A67A73505A44}"/>
    <cellStyle name="Vírgula 4 4 4 5 5" xfId="13094" xr:uid="{F8E12B5D-064B-4F83-8785-5185F1D77700}"/>
    <cellStyle name="Vírgula 4 4 4 6" xfId="4008" xr:uid="{26CC8060-AA82-4214-8126-5F4E0579BC25}"/>
    <cellStyle name="Vírgula 4 4 4 6 2" xfId="36331" xr:uid="{62278793-4BD9-4D19-8191-095234B0BE7B}"/>
    <cellStyle name="Vírgula 4 4 4 6 3" xfId="56207" xr:uid="{1FD3A8E7-D390-49DC-95B4-3A5726F17FAF}"/>
    <cellStyle name="Vírgula 4 4 4 6 4" xfId="15991" xr:uid="{24A8934A-59C8-455A-B847-EBD7241E20F5}"/>
    <cellStyle name="Vírgula 4 4 4 7" xfId="1863" xr:uid="{C1BA1DCC-18E3-4A2E-B116-E9E921EB68FD}"/>
    <cellStyle name="Vírgula 4 4 4 7 2" xfId="39245" xr:uid="{A8297AF2-116E-4CB3-9F1A-AB9BDA052ADE}"/>
    <cellStyle name="Vírgula 4 4 4 7 3" xfId="18905" xr:uid="{23CEBBF2-9E63-4C74-9400-25072CC1B5B9}"/>
    <cellStyle name="Vírgula 4 4 4 8" xfId="19493" xr:uid="{4B6ABB51-A7A3-4347-B684-BB2B690A2676}"/>
    <cellStyle name="Vírgula 4 4 4 8 2" xfId="39832" xr:uid="{1FCF76F5-E111-493D-ADE5-6BC894B90DCA}"/>
    <cellStyle name="Vírgula 4 4 4 9" xfId="22748" xr:uid="{C41DACD8-F7EC-43D6-A153-B4B16FAE87F6}"/>
    <cellStyle name="Vírgula 4 4 4 9 2" xfId="43083" xr:uid="{4E3125F1-A99A-4424-AFF3-E74E9C135EAD}"/>
    <cellStyle name="Vírgula 4 4 5" xfId="963" xr:uid="{84B19F65-D6D2-4B2C-BE3D-2FE78D1B29FF}"/>
    <cellStyle name="Vírgula 4 4 5 10" xfId="49083" xr:uid="{9D81530D-6F8A-4C38-8B37-97456C1AD747}"/>
    <cellStyle name="Vírgula 4 4 5 11" xfId="50753" xr:uid="{5B211B7E-A1F5-408C-8921-0F85F83856EC}"/>
    <cellStyle name="Vírgula 4 4 5 12" xfId="54048" xr:uid="{8E2E1F2C-92A9-4AB1-BB71-8DFAF0310EE2}"/>
    <cellStyle name="Vírgula 4 4 5 13" xfId="5784" xr:uid="{5D11DDE2-401B-4021-ADE0-77FDCCDDDB5D}"/>
    <cellStyle name="Vírgula 4 4 5 14" xfId="4906" xr:uid="{B8547A9F-4AC4-4C95-AD13-109C161C861C}"/>
    <cellStyle name="Vírgula 4 4 5 2" xfId="3732" xr:uid="{DAB3F96A-EC67-4113-9BDE-C2899EAE9E95}"/>
    <cellStyle name="Vírgula 4 4 5 2 10" xfId="6942" xr:uid="{875D76A4-0F3B-4DC8-99BC-530EB41E114A}"/>
    <cellStyle name="Vírgula 4 4 5 2 2" xfId="17228" xr:uid="{5A53618A-F73B-41D7-90B1-B5BBAE6CE4AB}"/>
    <cellStyle name="Vírgula 4 4 5 2 2 2" xfId="37568" xr:uid="{B02CA3B2-09DE-4CC4-9463-AF629D4BBBD0}"/>
    <cellStyle name="Vírgula 4 4 5 2 3" xfId="20730" xr:uid="{8F7191C6-E429-48CF-9D44-EB6F7E59A9F3}"/>
    <cellStyle name="Vírgula 4 4 5 2 3 2" xfId="41069" xr:uid="{F53D05B5-3942-4A47-A908-995131A4CC8B}"/>
    <cellStyle name="Vírgula 4 4 5 2 4" xfId="23985" xr:uid="{91245AE4-4F69-4C50-885B-AE1B3658AF12}"/>
    <cellStyle name="Vírgula 4 4 5 2 4 2" xfId="44320" xr:uid="{CA34D031-4C35-4E81-A071-9820FFF7CF3C}"/>
    <cellStyle name="Vírgula 4 4 5 2 5" xfId="14319" xr:uid="{6D54EE8F-1391-4011-B97F-3A943EB42CC8}"/>
    <cellStyle name="Vírgula 4 4 5 2 5 2" xfId="34660" xr:uid="{164064B3-78B1-4D4F-9F32-CC8B925C57F5}"/>
    <cellStyle name="Vírgula 4 4 5 2 6" xfId="10441" xr:uid="{634C5B96-6097-4B38-9653-D372FAE289C3}"/>
    <cellStyle name="Vírgula 4 4 5 2 6 2" xfId="30784" xr:uid="{90E99617-DD48-4EFC-B04E-1BB0A820FE06}"/>
    <cellStyle name="Vírgula 4 4 5 2 7" xfId="27290" xr:uid="{8EE06E56-EAC8-4E35-8C06-FD662045E6CD}"/>
    <cellStyle name="Vírgula 4 4 5 2 8" xfId="52385" xr:uid="{03AF2C57-FC4B-46B8-B96A-0825D35A41C6}"/>
    <cellStyle name="Vírgula 4 4 5 2 9" xfId="55679" xr:uid="{BB6B3846-E04D-44EA-98FC-4A47EAF162C2}"/>
    <cellStyle name="Vírgula 4 4 5 3" xfId="4180" xr:uid="{01BB3384-101E-47E3-8A90-415E45FFC49C}"/>
    <cellStyle name="Vírgula 4 4 5 3 2" xfId="33512" xr:uid="{7A6A347C-5792-4526-B14D-2A3BF76709ED}"/>
    <cellStyle name="Vírgula 4 4 5 3 3" xfId="56834" xr:uid="{12B06ECC-94F8-4D0D-8028-F803AB31A1A3}"/>
    <cellStyle name="Vírgula 4 4 5 3 4" xfId="13171" xr:uid="{9DE3143F-BC28-4B1A-AB29-03AAE2DB20DB}"/>
    <cellStyle name="Vírgula 4 4 5 4" xfId="2678" xr:uid="{B2F0D820-34E6-44BB-A1AE-91C7F111E5C3}"/>
    <cellStyle name="Vírgula 4 4 5 4 2" xfId="36410" xr:uid="{660683BA-A163-4853-AB7B-AEDEC5629116}"/>
    <cellStyle name="Vírgula 4 4 5 4 3" xfId="16070" xr:uid="{E5293D56-A8EA-4747-84D6-7D361B0CA8CF}"/>
    <cellStyle name="Vírgula 4 4 5 5" xfId="19572" xr:uid="{AA17F519-43EF-46EF-99DB-7EF3DB7EB948}"/>
    <cellStyle name="Vírgula 4 4 5 5 2" xfId="39911" xr:uid="{84BF077E-7E7A-4DAF-917A-6B7585846FC4}"/>
    <cellStyle name="Vírgula 4 4 5 6" xfId="22827" xr:uid="{99AF4AA3-F5DF-4F73-A572-1BFF1632DC40}"/>
    <cellStyle name="Vírgula 4 4 5 6 2" xfId="43162" xr:uid="{45B58A9F-9ACC-41F0-B92A-B72FFEC5C7C1}"/>
    <cellStyle name="Vírgula 4 4 5 7" xfId="12557" xr:uid="{43E230BF-6DFF-472F-A34D-11ECA57E42D8}"/>
    <cellStyle name="Vírgula 4 4 5 7 2" xfId="32898" xr:uid="{9E360A5E-46EA-411F-8F74-2E93F3BD55FA}"/>
    <cellStyle name="Vírgula 4 4 5 8" xfId="9283" xr:uid="{F13FEB66-B26A-4CD4-BB68-6DB7E710F7C0}"/>
    <cellStyle name="Vírgula 4 4 5 8 2" xfId="29626" xr:uid="{2A5CF546-DBCC-439E-9458-ED94D0AFA473}"/>
    <cellStyle name="Vírgula 4 4 5 9" xfId="26132" xr:uid="{20E37234-8322-4655-BB8C-6C3A903927B6}"/>
    <cellStyle name="Vírgula 4 4 6" xfId="1369" xr:uid="{AE54A4D9-D2BE-491D-BA8A-A7F1A65658C8}"/>
    <cellStyle name="Vírgula 4 4 6 10" xfId="54049" xr:uid="{0B659206-4E3A-4027-BBD5-7D813D6F7145}"/>
    <cellStyle name="Vírgula 4 4 6 11" xfId="6361" xr:uid="{D3D824C4-2399-450E-A8FF-AB4C38788601}"/>
    <cellStyle name="Vírgula 4 4 6 2" xfId="3030" xr:uid="{28815C08-5756-421B-8AC3-2F66ED1FDA42}"/>
    <cellStyle name="Vírgula 4 4 6 2 2" xfId="36987" xr:uid="{DE04AD29-2029-4442-90EE-8C56F0D09FA8}"/>
    <cellStyle name="Vírgula 4 4 6 2 3" xfId="52386" xr:uid="{C63AF125-AC58-461E-9735-A07C26ED5247}"/>
    <cellStyle name="Vírgula 4 4 6 2 4" xfId="55680" xr:uid="{67A388C3-EF1B-425A-B490-7A45ECD5FCDC}"/>
    <cellStyle name="Vírgula 4 4 6 2 5" xfId="16647" xr:uid="{5FACD843-D010-4BAA-806E-402F255A8070}"/>
    <cellStyle name="Vírgula 4 4 6 3" xfId="20149" xr:uid="{16AB9D14-DBBB-4DAA-BB69-C7A85A782CB1}"/>
    <cellStyle name="Vírgula 4 4 6 3 2" xfId="40488" xr:uid="{F460DEE6-AE7A-45FF-9CD6-7E72016BC80A}"/>
    <cellStyle name="Vírgula 4 4 6 3 3" xfId="57240" xr:uid="{B71B419B-239D-48DA-A84B-428C9C8B29C5}"/>
    <cellStyle name="Vírgula 4 4 6 4" xfId="23404" xr:uid="{AC1996B3-F4D4-4B37-AAF6-C323F36D5652}"/>
    <cellStyle name="Vírgula 4 4 6 4 2" xfId="43739" xr:uid="{F1EB14BF-B73B-4347-8A33-8D6B8C3A31B2}"/>
    <cellStyle name="Vírgula 4 4 6 5" xfId="13738" xr:uid="{E8CA2C72-075E-453B-8BF1-0A6FDC26E022}"/>
    <cellStyle name="Vírgula 4 4 6 5 2" xfId="34079" xr:uid="{DD72EA6F-F66C-426F-B3E9-DEFFE2ADA6CE}"/>
    <cellStyle name="Vírgula 4 4 6 6" xfId="9860" xr:uid="{D5AF365B-C2AA-4D1F-ACF8-185E0D661DB8}"/>
    <cellStyle name="Vírgula 4 4 6 6 2" xfId="30203" xr:uid="{F2696A48-9425-46FF-BB7F-B0DB21CA7393}"/>
    <cellStyle name="Vírgula 4 4 6 7" xfId="26709" xr:uid="{A683F39F-6AF3-4AC1-9454-AA1F8980FC36}"/>
    <cellStyle name="Vírgula 4 4 6 8" xfId="49084" xr:uid="{861CCC25-7205-44CC-A519-258EDA1026A4}"/>
    <cellStyle name="Vírgula 4 4 6 9" xfId="50754" xr:uid="{08FE4CC4-A25A-41EA-A2E4-F4E70669FB03}"/>
    <cellStyle name="Vírgula 4 4 7" xfId="556" xr:uid="{3BB1FB25-0C09-41B5-948A-57A15D2C2E1A}"/>
    <cellStyle name="Vírgula 4 4 7 10" xfId="54050" xr:uid="{51F044B3-13BB-45CB-AEF0-A645A5BC053D}"/>
    <cellStyle name="Vírgula 4 4 7 11" xfId="7525" xr:uid="{632F2898-B4F2-42CE-ACC8-8D238158632C}"/>
    <cellStyle name="Vírgula 4 4 7 2" xfId="2272" xr:uid="{F4B3FFAB-1BD0-49D5-92DD-72FF22A150DE}"/>
    <cellStyle name="Vírgula 4 4 7 2 2" xfId="38150" xr:uid="{C4E5E5C0-2644-4A0F-8DD0-AF1D1677B64D}"/>
    <cellStyle name="Vírgula 4 4 7 2 3" xfId="52387" xr:uid="{BFEB1BAF-3637-4F3E-BE86-1CDA6137F54A}"/>
    <cellStyle name="Vírgula 4 4 7 2 4" xfId="55681" xr:uid="{9FE78554-16A8-4BD2-80CD-1C2FD2EC233E}"/>
    <cellStyle name="Vírgula 4 4 7 2 5" xfId="17810" xr:uid="{6291F8F6-19DA-422D-B345-FB495E69C8E0}"/>
    <cellStyle name="Vírgula 4 4 7 3" xfId="21312" xr:uid="{A4B911FA-D825-41DE-BEC4-623C88A667CE}"/>
    <cellStyle name="Vírgula 4 4 7 3 2" xfId="41651" xr:uid="{53406237-9E0C-4AC8-98BD-C36DB69253CF}"/>
    <cellStyle name="Vírgula 4 4 7 3 3" xfId="56427" xr:uid="{C5F8E35A-9CEC-44D7-82BA-393E74E6EC1E}"/>
    <cellStyle name="Vírgula 4 4 7 4" xfId="24567" xr:uid="{64DABC6E-36E7-49C5-89DE-E74A1DDDC3DD}"/>
    <cellStyle name="Vírgula 4 4 7 4 2" xfId="44902" xr:uid="{7B4D1949-8108-4039-8A77-CF94212021C8}"/>
    <cellStyle name="Vírgula 4 4 7 5" xfId="14902" xr:uid="{AACB32BE-999A-4379-A0C8-28A5D6DCEC33}"/>
    <cellStyle name="Vírgula 4 4 7 5 2" xfId="35242" xr:uid="{CEA06DE2-3BCF-4FBF-84CC-5A63C27FAA01}"/>
    <cellStyle name="Vírgula 4 4 7 6" xfId="11023" xr:uid="{42D2C5AF-B5B3-4369-897D-701B328623A5}"/>
    <cellStyle name="Vírgula 4 4 7 6 2" xfId="31366" xr:uid="{4CED3B0A-3325-4CAF-ACAB-FFE1240E6538}"/>
    <cellStyle name="Vírgula 4 4 7 7" xfId="27872" xr:uid="{5853446E-E706-4BFB-98D6-234EF4401B50}"/>
    <cellStyle name="Vírgula 4 4 7 8" xfId="49085" xr:uid="{D319C4C0-C378-40B6-B66B-18DB2F889707}"/>
    <cellStyle name="Vírgula 4 4 7 9" xfId="50755" xr:uid="{47EA4191-532A-4AEF-9965-E408D91B81EE}"/>
    <cellStyle name="Vírgula 4 4 8" xfId="3404" xr:uid="{902E11DD-A50D-4E95-8DC8-142DB5821D16}"/>
    <cellStyle name="Vírgula 4 4 8 2" xfId="22084" xr:uid="{6BC2FEEE-C5B6-4EF7-94E9-1234AF074DE7}"/>
    <cellStyle name="Vírgula 4 4 8 2 2" xfId="42420" xr:uid="{AEC38760-0625-4574-BC61-35AAE25B598B}"/>
    <cellStyle name="Vírgula 4 4 8 3" xfId="25336" xr:uid="{0601B5E9-E12E-4705-99CA-8D17E26B5680}"/>
    <cellStyle name="Vírgula 4 4 8 3 2" xfId="45671" xr:uid="{924A611D-FDD0-4DCA-A017-CABB4B20E09F}"/>
    <cellStyle name="Vírgula 4 4 8 4" xfId="12602" xr:uid="{0F170025-5E4D-4556-B355-3DA046E5B91B}"/>
    <cellStyle name="Vírgula 4 4 8 4 2" xfId="32943" xr:uid="{0EB2445A-9626-44FB-99CE-9ED69044032B}"/>
    <cellStyle name="Vírgula 4 4 8 5" xfId="11793" xr:uid="{0799E0CC-5026-4106-B362-A86BACF69D4B}"/>
    <cellStyle name="Vírgula 4 4 8 5 2" xfId="32135" xr:uid="{8E568752-35D5-4CEB-B188-4929E1A90CB7}"/>
    <cellStyle name="Vírgula 4 4 8 6" xfId="28641" xr:uid="{C1DEF938-1BE3-48C1-8C52-5B5B4615E809}"/>
    <cellStyle name="Vírgula 4 4 8 7" xfId="52364" xr:uid="{65358778-83B6-432F-B9A0-9DE392513CA6}"/>
    <cellStyle name="Vírgula 4 4 8 8" xfId="55658" xr:uid="{3462352B-CEC8-433D-9F49-7176F89983DC}"/>
    <cellStyle name="Vírgula 4 4 8 9" xfId="8297" xr:uid="{387E0A22-6FD7-4BF0-B6E6-D8FD8E293484}"/>
    <cellStyle name="Vírgula 4 4 9" xfId="3837" xr:uid="{230DA5AD-17D6-4820-ADBE-068C8F5C4F29}"/>
    <cellStyle name="Vírgula 4 4 9 2" xfId="15489" xr:uid="{2F8914CD-6AFF-4426-A930-6ED55CEF62E2}"/>
    <cellStyle name="Vírgula 4 4 9 2 2" xfId="35829" xr:uid="{D96D159C-2BBE-49C5-8646-173940D837A8}"/>
    <cellStyle name="Vírgula 4 4 9 3" xfId="28843" xr:uid="{AFFDC7F7-B533-4880-AA87-1834FD688E52}"/>
    <cellStyle name="Vírgula 4 4 9 4" xfId="56018" xr:uid="{90CCC9BF-D441-4D4B-A17A-5C18584E56B6}"/>
    <cellStyle name="Vírgula 4 4 9 5" xfId="8500" xr:uid="{60C86CA3-43A3-4598-8FBE-D1C18F4421C5}"/>
    <cellStyle name="Vírgula 4 5" xfId="174" xr:uid="{0FE3354F-998F-4D31-A023-03B5C959A4C3}"/>
    <cellStyle name="Vírgula 4 5 10" xfId="19060" xr:uid="{242B7C35-7CB2-417E-80AF-E561C997A897}"/>
    <cellStyle name="Vírgula 4 5 10 2" xfId="39399" xr:uid="{05433A0A-9D76-46E2-BDFB-CD312D44E58E}"/>
    <cellStyle name="Vírgula 4 5 11" xfId="22315" xr:uid="{CBF3CCB9-FD1C-4A29-B634-47A64AB04303}"/>
    <cellStyle name="Vírgula 4 5 11 2" xfId="42650" xr:uid="{6AC83399-CA24-4404-B731-E61550C2F33C}"/>
    <cellStyle name="Vírgula 4 5 12" xfId="12032" xr:uid="{4C256219-EB81-4EE7-82BB-21B163304393}"/>
    <cellStyle name="Vírgula 4 5 12 2" xfId="32373" xr:uid="{F61646F6-736C-4FEE-A2B5-7A108251CCFE}"/>
    <cellStyle name="Vírgula 4 5 13" xfId="8771" xr:uid="{2D021732-D97D-4274-97CF-25072420D1D3}"/>
    <cellStyle name="Vírgula 4 5 13 2" xfId="29114" xr:uid="{CA070122-E93A-43DA-8C52-12033DF1E52E}"/>
    <cellStyle name="Vírgula 4 5 14" xfId="25620" xr:uid="{04B54DA5-CFCD-4E8F-A696-05C7CBCE0A04}"/>
    <cellStyle name="Vírgula 4 5 15" xfId="46000" xr:uid="{395BAB3F-ECD2-48E5-BAB1-2C5D73F745D6}"/>
    <cellStyle name="Vírgula 4 5 16" xfId="46486" xr:uid="{E32DD892-2FB4-4A63-9217-73E96777B3D9}"/>
    <cellStyle name="Vírgula 4 5 17" xfId="46978" xr:uid="{B9A8E155-6A8E-4518-BF1F-6C712D7C5612}"/>
    <cellStyle name="Vírgula 4 5 18" xfId="47366" xr:uid="{BCCC7954-30FE-4B7D-9E55-AFACC456359B}"/>
    <cellStyle name="Vírgula 4 5 19" xfId="47492" xr:uid="{FA234DFD-421E-45C2-9242-64821BB13414}"/>
    <cellStyle name="Vírgula 4 5 2" xfId="363" xr:uid="{FB3A5C50-4670-4160-8875-15A24916FECD}"/>
    <cellStyle name="Vírgula 4 5 2 10" xfId="12147" xr:uid="{756EC188-58E7-4442-95F9-D425938E683C}"/>
    <cellStyle name="Vírgula 4 5 2 10 2" xfId="32488" xr:uid="{4191E089-A046-41E5-9340-93A6E518AB26}"/>
    <cellStyle name="Vírgula 4 5 2 11" xfId="8886" xr:uid="{BBAA468A-4F42-4331-B3F2-F03DA7B24563}"/>
    <cellStyle name="Vírgula 4 5 2 11 2" xfId="29229" xr:uid="{86499F0C-3B43-4FF4-B9B8-64A5B03F3AE0}"/>
    <cellStyle name="Vírgula 4 5 2 12" xfId="25735" xr:uid="{A5949B38-9CF1-4A05-96B6-C72351C8D11B}"/>
    <cellStyle name="Vírgula 4 5 2 13" xfId="46243" xr:uid="{AF187A04-43DD-4DF0-ADB4-1460FE48C876}"/>
    <cellStyle name="Vírgula 4 5 2 14" xfId="46729" xr:uid="{B6BB4E32-3B2B-4057-B08F-7D194B2C6233}"/>
    <cellStyle name="Vírgula 4 5 2 15" xfId="47221" xr:uid="{2D738D68-D23A-44EC-A0B6-023F0A5ABEC9}"/>
    <cellStyle name="Vírgula 4 5 2 16" xfId="49087" xr:uid="{36680AA6-787E-4938-9752-FD36EAD530C7}"/>
    <cellStyle name="Vírgula 4 5 2 17" xfId="50757" xr:uid="{A672407E-8CB2-441C-BBF6-2B0F0DD2613F}"/>
    <cellStyle name="Vírgula 4 5 2 18" xfId="54052" xr:uid="{977ABD3F-741C-4432-9652-21BA2E1C3AA4}"/>
    <cellStyle name="Vírgula 4 5 2 19" xfId="5404" xr:uid="{FC329DC0-C131-4B6F-B9DB-F5C154360E32}"/>
    <cellStyle name="Vírgula 4 5 2 2" xfId="1179" xr:uid="{6EA8820F-A109-458F-BDED-C6C1DBEFA1E5}"/>
    <cellStyle name="Vírgula 4 5 2 2 10" xfId="50758" xr:uid="{CF9CCAAF-7269-4D07-A8EF-7AAD2B5191BE}"/>
    <cellStyle name="Vírgula 4 5 2 2 11" xfId="54053" xr:uid="{36533A0B-0409-443A-A35F-1EDD434064C8}"/>
    <cellStyle name="Vírgula 4 5 2 2 12" xfId="5968" xr:uid="{D74F21D6-114C-4D46-9EAB-6313820597C0}"/>
    <cellStyle name="Vírgula 4 5 2 2 13" xfId="5118" xr:uid="{6048FF2C-6885-456B-8DAE-3FC456C3B91D}"/>
    <cellStyle name="Vírgula 4 5 2 2 2" xfId="2840" xr:uid="{29BA558B-E4BA-4E61-9EAC-2267B8A17219}"/>
    <cellStyle name="Vírgula 4 5 2 2 2 10" xfId="7126" xr:uid="{B101E45E-C307-4859-A6FB-3AF1C957E6C4}"/>
    <cellStyle name="Vírgula 4 5 2 2 2 2" xfId="17412" xr:uid="{78283A7A-798A-4782-8416-57B8A2AD4CCD}"/>
    <cellStyle name="Vírgula 4 5 2 2 2 2 2" xfId="37752" xr:uid="{D89AF2EB-05BE-4DD4-93DC-C3A2FD6B52EB}"/>
    <cellStyle name="Vírgula 4 5 2 2 2 3" xfId="20914" xr:uid="{5DE8E6B6-C953-4C4F-9866-720F1F69A856}"/>
    <cellStyle name="Vírgula 4 5 2 2 2 3 2" xfId="41253" xr:uid="{0950077A-F557-48D4-A4B4-F5E387BF98E4}"/>
    <cellStyle name="Vírgula 4 5 2 2 2 4" xfId="24169" xr:uid="{5007EF45-B652-480F-A531-AE585DD27C8B}"/>
    <cellStyle name="Vírgula 4 5 2 2 2 4 2" xfId="44504" xr:uid="{199B6ECB-5279-436E-97E7-35B786A92551}"/>
    <cellStyle name="Vírgula 4 5 2 2 2 5" xfId="14503" xr:uid="{FDDC0B88-B58D-457C-99B7-73F7B5FA139F}"/>
    <cellStyle name="Vírgula 4 5 2 2 2 5 2" xfId="34844" xr:uid="{76746FA7-CB38-43AA-9DC1-E18D101AF3EB}"/>
    <cellStyle name="Vírgula 4 5 2 2 2 6" xfId="10625" xr:uid="{820D16F8-9335-48EF-99BD-577508E532FC}"/>
    <cellStyle name="Vírgula 4 5 2 2 2 6 2" xfId="30968" xr:uid="{48B5F622-770F-4EC2-8065-10F04E887E5E}"/>
    <cellStyle name="Vírgula 4 5 2 2 2 7" xfId="27474" xr:uid="{3D28326A-ADA3-4A73-BB1E-ECD3C8E05FC2}"/>
    <cellStyle name="Vírgula 4 5 2 2 2 8" xfId="52390" xr:uid="{769616EA-B96C-4622-B678-80E7845DA269}"/>
    <cellStyle name="Vírgula 4 5 2 2 2 9" xfId="55684" xr:uid="{9C23D7A7-A72F-4763-80A9-57E95A9C482C}"/>
    <cellStyle name="Vírgula 4 5 2 2 3" xfId="16254" xr:uid="{7DBB3576-88C9-407D-A2FA-7DA425151824}"/>
    <cellStyle name="Vírgula 4 5 2 2 3 2" xfId="36594" xr:uid="{A7E753C1-F6BA-4A83-BD7E-E1298E4C5CE9}"/>
    <cellStyle name="Vírgula 4 5 2 2 3 3" xfId="57050" xr:uid="{D10E6BD6-B1CE-438C-9312-1DBEF22777BA}"/>
    <cellStyle name="Vírgula 4 5 2 2 4" xfId="19756" xr:uid="{8CFEB2ED-9475-4474-BD2E-C362ED1416F7}"/>
    <cellStyle name="Vírgula 4 5 2 2 4 2" xfId="40095" xr:uid="{808C024B-822F-4F14-8D50-DEE328669818}"/>
    <cellStyle name="Vírgula 4 5 2 2 5" xfId="23011" xr:uid="{81D37E47-A528-4B23-9D43-393C8CB45442}"/>
    <cellStyle name="Vírgula 4 5 2 2 5 2" xfId="43346" xr:uid="{C64D903D-F2FD-4802-9386-159C3C6B9CA4}"/>
    <cellStyle name="Vírgula 4 5 2 2 6" xfId="13345" xr:uid="{C7FC0838-F968-4C6D-8F94-6773902267FE}"/>
    <cellStyle name="Vírgula 4 5 2 2 6 2" xfId="33686" xr:uid="{C45C97AB-DC09-431D-83F0-7A5C028C2A60}"/>
    <cellStyle name="Vírgula 4 5 2 2 7" xfId="9467" xr:uid="{C7009A82-A70C-4E51-A9CF-D64BC7E64372}"/>
    <cellStyle name="Vírgula 4 5 2 2 7 2" xfId="29810" xr:uid="{BD3F3DC5-9EFA-4A12-AD6A-736C8BC764FE}"/>
    <cellStyle name="Vírgula 4 5 2 2 8" xfId="26316" xr:uid="{E842B202-F322-46BB-AC84-A3816CCB41C7}"/>
    <cellStyle name="Vírgula 4 5 2 2 9" xfId="49088" xr:uid="{A811723F-4EA2-408D-9F23-A29AD235FA77}"/>
    <cellStyle name="Vírgula 4 5 2 20" xfId="4644" xr:uid="{C106C38C-F30F-4712-84C0-ED94C9BBAD89}"/>
    <cellStyle name="Vírgula 4 5 2 3" xfId="1585" xr:uid="{8E40437E-89B5-499C-80FD-C80B2DF90EDF}"/>
    <cellStyle name="Vírgula 4 5 2 3 10" xfId="54054" xr:uid="{20631664-C6EE-4096-8EAF-F5D54A7A99C1}"/>
    <cellStyle name="Vírgula 4 5 2 3 11" xfId="6545" xr:uid="{FA130DDD-B4E2-44A8-BC9C-AB37AF75EE5F}"/>
    <cellStyle name="Vírgula 4 5 2 3 2" xfId="3245" xr:uid="{1AFEC1AC-FD54-4ED9-9511-40B144A63B2D}"/>
    <cellStyle name="Vírgula 4 5 2 3 2 2" xfId="37171" xr:uid="{0BB2B55A-FC8B-487F-BD2D-3682ED6361B2}"/>
    <cellStyle name="Vírgula 4 5 2 3 2 3" xfId="52391" xr:uid="{EBB896E7-6C10-458C-B8B7-3A57F0C3D45F}"/>
    <cellStyle name="Vírgula 4 5 2 3 2 4" xfId="55685" xr:uid="{5DE4536D-8A12-4D21-9915-798708B9A9BD}"/>
    <cellStyle name="Vírgula 4 5 2 3 2 5" xfId="16831" xr:uid="{E4943BF5-C046-42DD-B2A4-B8510ED3E393}"/>
    <cellStyle name="Vírgula 4 5 2 3 3" xfId="20333" xr:uid="{A02E19A9-C9FC-43B9-8F27-44271A23ACC7}"/>
    <cellStyle name="Vírgula 4 5 2 3 3 2" xfId="40672" xr:uid="{80ED7CB5-031E-44C5-9EBD-39370F80BADA}"/>
    <cellStyle name="Vírgula 4 5 2 3 3 3" xfId="57456" xr:uid="{FB90E17A-81F8-4821-AE91-4658515BD529}"/>
    <cellStyle name="Vírgula 4 5 2 3 4" xfId="23588" xr:uid="{BF30FC45-ECE0-4744-BF64-2FA1F3AABFDE}"/>
    <cellStyle name="Vírgula 4 5 2 3 4 2" xfId="43923" xr:uid="{AAED354A-1EA3-4CDB-8117-578C3CF33C6F}"/>
    <cellStyle name="Vírgula 4 5 2 3 5" xfId="13922" xr:uid="{2F78C81E-132C-4CA3-B029-13E82AB0C9B4}"/>
    <cellStyle name="Vírgula 4 5 2 3 5 2" xfId="34263" xr:uid="{635F0C58-E9F1-40D1-988D-92DB6C801DF1}"/>
    <cellStyle name="Vírgula 4 5 2 3 6" xfId="10044" xr:uid="{17107376-2927-4EEA-A468-2DF06F1AED8E}"/>
    <cellStyle name="Vírgula 4 5 2 3 6 2" xfId="30387" xr:uid="{4AD99DEE-B2EC-4C43-8D49-A62E18AAC564}"/>
    <cellStyle name="Vírgula 4 5 2 3 7" xfId="26893" xr:uid="{F0F32B2A-F92B-4205-AB14-4A05198F96DE}"/>
    <cellStyle name="Vírgula 4 5 2 3 8" xfId="49089" xr:uid="{F3B174D8-A196-4D2B-91E1-5C0C304121E7}"/>
    <cellStyle name="Vírgula 4 5 2 3 9" xfId="50759" xr:uid="{8388E425-45E5-4DE8-B71D-E45671900BCB}"/>
    <cellStyle name="Vírgula 4 5 2 4" xfId="772" xr:uid="{D29213E1-C1FA-4488-AC8A-DCA559E82D63}"/>
    <cellStyle name="Vírgula 4 5 2 4 10" xfId="54055" xr:uid="{A5BE18BD-A120-4994-A61E-03106AAEFFD1}"/>
    <cellStyle name="Vírgula 4 5 2 4 11" xfId="7709" xr:uid="{4E56C029-AC8D-4DEA-944F-B71DAF823823}"/>
    <cellStyle name="Vírgula 4 5 2 4 2" xfId="2488" xr:uid="{61F2B41B-D881-4FFE-8F13-2A869042320A}"/>
    <cellStyle name="Vírgula 4 5 2 4 2 2" xfId="38334" xr:uid="{CEDA4529-FB4C-4ABF-9C94-913AF1C47B8D}"/>
    <cellStyle name="Vírgula 4 5 2 4 2 3" xfId="52392" xr:uid="{0E0CF7A7-1E0F-4ACA-BDB1-15D5C5064E9B}"/>
    <cellStyle name="Vírgula 4 5 2 4 2 4" xfId="55686" xr:uid="{62768F16-E158-49E0-8A61-29D64E7C3506}"/>
    <cellStyle name="Vírgula 4 5 2 4 2 5" xfId="17994" xr:uid="{3C37FE71-8B6D-4237-AF81-B9D9BE320C7B}"/>
    <cellStyle name="Vírgula 4 5 2 4 3" xfId="21496" xr:uid="{4CC7D61E-4204-4A3E-AD4F-EF09FA3C0F12}"/>
    <cellStyle name="Vírgula 4 5 2 4 3 2" xfId="41835" xr:uid="{02FCE06B-B5F6-4A76-8333-6D608A43E67B}"/>
    <cellStyle name="Vírgula 4 5 2 4 3 3" xfId="56643" xr:uid="{4950EB4E-57AA-4D99-AFBB-C259C0D4E629}"/>
    <cellStyle name="Vírgula 4 5 2 4 4" xfId="24751" xr:uid="{EADC30B3-AE41-4CCC-8545-2B126A36B4D5}"/>
    <cellStyle name="Vírgula 4 5 2 4 4 2" xfId="45086" xr:uid="{52AA3AAB-FE2D-40CC-9F99-7BA499B8332C}"/>
    <cellStyle name="Vírgula 4 5 2 4 5" xfId="15086" xr:uid="{791EFF65-1462-47B0-B3F9-6D6661050679}"/>
    <cellStyle name="Vírgula 4 5 2 4 5 2" xfId="35426" xr:uid="{4209CF14-AD26-41D2-AD25-3C09CC662926}"/>
    <cellStyle name="Vírgula 4 5 2 4 6" xfId="11207" xr:uid="{0F9C8413-3E61-4AD5-8BE6-C21038851CA6}"/>
    <cellStyle name="Vírgula 4 5 2 4 6 2" xfId="31550" xr:uid="{832545F3-EF7C-4C20-9C89-625B0BB96530}"/>
    <cellStyle name="Vírgula 4 5 2 4 7" xfId="28056" xr:uid="{F21F10E4-66E6-46AA-A3C6-C9BA39AFC3BF}"/>
    <cellStyle name="Vírgula 4 5 2 4 8" xfId="49090" xr:uid="{B0AD8003-DECC-47E4-8BAE-6C2504755B5A}"/>
    <cellStyle name="Vírgula 4 5 2 4 9" xfId="50760" xr:uid="{F83CC4AD-6005-42E4-960E-EC497A6397A3}"/>
    <cellStyle name="Vírgula 4 5 2 5" xfId="3652" xr:uid="{5853411A-2069-42D8-A022-3BBB57D6AB50}"/>
    <cellStyle name="Vírgula 4 5 2 5 2" xfId="33117" xr:uid="{3348A888-6382-4EB0-A29E-974CA1A89C81}"/>
    <cellStyle name="Vírgula 4 5 2 5 3" xfId="52389" xr:uid="{DA469D27-4560-4920-9219-258A3701B3E5}"/>
    <cellStyle name="Vírgula 4 5 2 5 4" xfId="55683" xr:uid="{BD883DD2-7E32-4C67-9E93-6691DA589B4D}"/>
    <cellStyle name="Vírgula 4 5 2 5 5" xfId="12776" xr:uid="{E1370A51-15EC-4DF3-9D83-CB84853D2466}"/>
    <cellStyle name="Vírgula 4 5 2 6" xfId="4094" xr:uid="{E553D1C1-20C4-4404-A70A-367C5F08D458}"/>
    <cellStyle name="Vírgula 4 5 2 6 2" xfId="36013" xr:uid="{A7E1CC3D-ADE0-4D6A-9ACB-CD2A5FDF6978}"/>
    <cellStyle name="Vírgula 4 5 2 6 3" xfId="56234" xr:uid="{F27929AF-37EF-4A39-9858-83D4A2497E5C}"/>
    <cellStyle name="Vírgula 4 5 2 6 4" xfId="15673" xr:uid="{4056E5E1-CDFA-4E53-A10F-1D7984A3C152}"/>
    <cellStyle name="Vírgula 4 5 2 7" xfId="2001" xr:uid="{8EAF853A-B4F7-428B-971F-7E1AD96302C2}"/>
    <cellStyle name="Vírgula 4 5 2 7 2" xfId="38927" xr:uid="{52BF1F9F-057A-489F-B5EC-9D47101A5993}"/>
    <cellStyle name="Vírgula 4 5 2 7 3" xfId="18587" xr:uid="{723B887F-F3FB-41E9-9B73-1FEE344373E5}"/>
    <cellStyle name="Vírgula 4 5 2 8" xfId="19175" xr:uid="{0A7237E5-655C-4B8A-9827-DB6D3BA9BA0F}"/>
    <cellStyle name="Vírgula 4 5 2 8 2" xfId="39514" xr:uid="{8E0CB0D0-B76F-4394-AD74-4BDB9B8FA1E7}"/>
    <cellStyle name="Vírgula 4 5 2 9" xfId="22430" xr:uid="{F2CDB2E8-E190-4BF5-A58F-15F0ACBA8567}"/>
    <cellStyle name="Vírgula 4 5 2 9 2" xfId="42765" xr:uid="{85F77415-5425-4512-B1F1-27312F0BE89B}"/>
    <cellStyle name="Vírgula 4 5 20" xfId="47618" xr:uid="{ED385624-3918-4726-88AB-234E5DDF692B}"/>
    <cellStyle name="Vírgula 4 5 21" xfId="49086" xr:uid="{6D3405DC-D5E3-4CC6-ABA9-71FBB845A81B}"/>
    <cellStyle name="Vírgula 4 5 22" xfId="50756" xr:uid="{B8E84E41-4488-4372-9F6E-4800C1AB3DD2}"/>
    <cellStyle name="Vírgula 4 5 23" xfId="54051" xr:uid="{E255CFD6-7E68-4CA6-ACF3-C4BD2DE46C7D}"/>
    <cellStyle name="Vírgula 4 5 24" xfId="5302" xr:uid="{D9EAAF98-05CD-4C96-B02A-F80003B5552E}"/>
    <cellStyle name="Vírgula 4 5 25" xfId="4455" xr:uid="{B741417C-39D4-4448-AF34-ADDFD18F1BE7}"/>
    <cellStyle name="Vírgula 4 5 3" xfId="990" xr:uid="{A52ECC9C-50C6-4169-832A-35ED9FE68253}"/>
    <cellStyle name="Vírgula 4 5 3 10" xfId="12376" xr:uid="{934E00DA-E31A-42E9-94FA-E05E4EE2E47A}"/>
    <cellStyle name="Vírgula 4 5 3 10 2" xfId="32717" xr:uid="{3661A9CE-962C-471C-81E2-51B7818C2CF0}"/>
    <cellStyle name="Vírgula 4 5 3 11" xfId="9115" xr:uid="{917612EF-A450-4D6A-81D7-765811B3FCA4}"/>
    <cellStyle name="Vírgula 4 5 3 11 2" xfId="29458" xr:uid="{F0503D48-6D16-41D2-8E92-755D6D86FBA2}"/>
    <cellStyle name="Vírgula 4 5 3 12" xfId="25964" xr:uid="{AFEE4738-C426-48F4-BB21-421BB5B680ED}"/>
    <cellStyle name="Vírgula 4 5 3 13" xfId="49091" xr:uid="{F76E2985-83B0-4251-AF72-8C0E02C86AD9}"/>
    <cellStyle name="Vírgula 4 5 3 14" xfId="50761" xr:uid="{28261EB4-AAC0-4DC9-A6F0-1F0AE456D583}"/>
    <cellStyle name="Vírgula 4 5 3 15" xfId="54056" xr:uid="{4163DF44-B907-4E79-B11A-1650F2F19B08}"/>
    <cellStyle name="Vírgula 4 5 3 16" xfId="5625" xr:uid="{FCBB390D-9324-4BE6-9676-5D3D90E99ED0}"/>
    <cellStyle name="Vírgula 4 5 3 17" xfId="4899" xr:uid="{B0990B40-5163-43E1-BA7A-FBF9C4F6A116}"/>
    <cellStyle name="Vírgula 4 5 3 2" xfId="3543" xr:uid="{276E27B7-43DC-460B-9EAE-02288CFEE106}"/>
    <cellStyle name="Vírgula 4 5 3 2 10" xfId="55687" xr:uid="{80C85977-6750-4FF0-B85F-1CA7A22461F4}"/>
    <cellStyle name="Vírgula 4 5 3 2 11" xfId="6197" xr:uid="{F2EB1F9A-36D5-4769-8790-7E72FA9F68E1}"/>
    <cellStyle name="Vírgula 4 5 3 2 2" xfId="7355" xr:uid="{6FD431E4-D2A5-47F8-B0C0-7F55DA048E90}"/>
    <cellStyle name="Vírgula 4 5 3 2 2 2" xfId="17641" xr:uid="{4E7AA3B0-7AEF-43F9-BFCA-F901492C35B6}"/>
    <cellStyle name="Vírgula 4 5 3 2 2 2 2" xfId="37981" xr:uid="{727CF714-8810-40EE-A2DA-C55458D5CB19}"/>
    <cellStyle name="Vírgula 4 5 3 2 2 3" xfId="21143" xr:uid="{4E7669CF-6A99-4446-B460-EE4215C53473}"/>
    <cellStyle name="Vírgula 4 5 3 2 2 3 2" xfId="41482" xr:uid="{F68C3F79-0E2C-4F62-A02A-8143660ECD68}"/>
    <cellStyle name="Vírgula 4 5 3 2 2 4" xfId="24398" xr:uid="{8B73E834-464D-44BB-BAA6-2FD40DF84406}"/>
    <cellStyle name="Vírgula 4 5 3 2 2 4 2" xfId="44733" xr:uid="{D4B95B2E-8B62-405E-A3CC-CFC77D94B1E6}"/>
    <cellStyle name="Vírgula 4 5 3 2 2 5" xfId="14732" xr:uid="{CB6BB0CB-C273-4CB1-BCAA-59C49FE3438F}"/>
    <cellStyle name="Vírgula 4 5 3 2 2 5 2" xfId="35073" xr:uid="{C41775DB-B567-416E-A455-09CCE892B8E2}"/>
    <cellStyle name="Vírgula 4 5 3 2 2 6" xfId="10854" xr:uid="{C323C3D3-140C-4865-AD15-3F1D168C0D7B}"/>
    <cellStyle name="Vírgula 4 5 3 2 2 6 2" xfId="31197" xr:uid="{0DE37743-B38C-4796-8995-1EFD94A4F98D}"/>
    <cellStyle name="Vírgula 4 5 3 2 2 7" xfId="27703" xr:uid="{FC0B5F98-DFD5-4C7D-AC28-6A2A96CE6D43}"/>
    <cellStyle name="Vírgula 4 5 3 2 3" xfId="16483" xr:uid="{64AFEFF9-F116-4D5B-8825-1297A0D8F820}"/>
    <cellStyle name="Vírgula 4 5 3 2 3 2" xfId="36823" xr:uid="{60399076-83F9-4270-AB8C-D08755EFE4A7}"/>
    <cellStyle name="Vírgula 4 5 3 2 4" xfId="19985" xr:uid="{68E27D5D-B09F-468A-A3AD-336D848C4714}"/>
    <cellStyle name="Vírgula 4 5 3 2 4 2" xfId="40324" xr:uid="{E8FB54B7-A328-41C6-8C46-84F823D88B8B}"/>
    <cellStyle name="Vírgula 4 5 3 2 5" xfId="23240" xr:uid="{8C428F4C-1DFF-426D-8952-B625FA157B13}"/>
    <cellStyle name="Vírgula 4 5 3 2 5 2" xfId="43575" xr:uid="{B77EA821-BED4-4542-895E-5A9AB51ABFEC}"/>
    <cellStyle name="Vírgula 4 5 3 2 6" xfId="13574" xr:uid="{F70F8499-062F-4A3B-8F04-2A86DE7DC8D4}"/>
    <cellStyle name="Vírgula 4 5 3 2 6 2" xfId="33915" xr:uid="{C9022D45-4120-45D5-96B0-463DE951F8C1}"/>
    <cellStyle name="Vírgula 4 5 3 2 7" xfId="9696" xr:uid="{4EC482D8-1686-4DF7-B088-26D4C4B64BF7}"/>
    <cellStyle name="Vírgula 4 5 3 2 7 2" xfId="30039" xr:uid="{12F70B75-31D8-4EC9-BBAD-9CDCAF51F48C}"/>
    <cellStyle name="Vírgula 4 5 3 2 8" xfId="26545" xr:uid="{310A9138-7852-4B69-B5CC-4B43998C873B}"/>
    <cellStyle name="Vírgula 4 5 3 2 9" xfId="52393" xr:uid="{2FAE3C40-788C-46AF-ADE2-E1B92061E746}"/>
    <cellStyle name="Vírgula 4 5 3 3" xfId="4266" xr:uid="{DE4B70B6-C246-4071-B738-F21BCF12F341}"/>
    <cellStyle name="Vírgula 4 5 3 3 2" xfId="17060" xr:uid="{66BCD5A6-642E-4812-B1D1-FF5E07A2E8C3}"/>
    <cellStyle name="Vírgula 4 5 3 3 2 2" xfId="37400" xr:uid="{617DE045-2385-43BD-AAFC-56CAB63EB6B2}"/>
    <cellStyle name="Vírgula 4 5 3 3 3" xfId="20562" xr:uid="{C4FC51B2-F48F-412A-BC7B-EF4C7E1AE836}"/>
    <cellStyle name="Vírgula 4 5 3 3 3 2" xfId="40901" xr:uid="{D84D00CE-CEA6-47EF-A423-0ABCD9D06BFC}"/>
    <cellStyle name="Vírgula 4 5 3 3 4" xfId="23817" xr:uid="{6A023ABD-6310-4515-A8FC-FC2365716A36}"/>
    <cellStyle name="Vírgula 4 5 3 3 4 2" xfId="44152" xr:uid="{EE91C973-7146-439D-8AE6-DA06F0412E0E}"/>
    <cellStyle name="Vírgula 4 5 3 3 5" xfId="14151" xr:uid="{CAFBC552-C9B7-4975-82A1-D1385651A1E5}"/>
    <cellStyle name="Vírgula 4 5 3 3 5 2" xfId="34492" xr:uid="{B409D69B-EC87-43A0-B38D-83B915A557CB}"/>
    <cellStyle name="Vírgula 4 5 3 3 6" xfId="10273" xr:uid="{3CC97AD9-8B1E-41D3-BBE5-F79827FD3B4C}"/>
    <cellStyle name="Vírgula 4 5 3 3 6 2" xfId="30616" xr:uid="{C7411E5A-31BF-45C5-9CD5-03087611D9D1}"/>
    <cellStyle name="Vírgula 4 5 3 3 7" xfId="27122" xr:uid="{37B5DDEF-2818-42E6-A007-32FC0544B691}"/>
    <cellStyle name="Vírgula 4 5 3 3 8" xfId="56861" xr:uid="{0F7EB58F-31F7-45D7-86B3-C8A20645DC0D}"/>
    <cellStyle name="Vírgula 4 5 3 3 9" xfId="6774" xr:uid="{E2B0ED32-CE41-48C2-9BD8-269EF1940ADC}"/>
    <cellStyle name="Vírgula 4 5 3 4" xfId="1892" xr:uid="{9D6CBD00-5377-48AE-9965-E81A4BEE9B60}"/>
    <cellStyle name="Vírgula 4 5 3 4 2" xfId="18223" xr:uid="{B9EDF0BD-6642-495E-9769-E4B8512873FA}"/>
    <cellStyle name="Vírgula 4 5 3 4 2 2" xfId="38563" xr:uid="{3BD79A3B-779B-4C38-BC8B-1142C247292B}"/>
    <cellStyle name="Vírgula 4 5 3 4 3" xfId="21725" xr:uid="{0041575A-5591-4352-BEF7-E589DD8F8327}"/>
    <cellStyle name="Vírgula 4 5 3 4 3 2" xfId="42064" xr:uid="{49B65B4E-4803-40BC-AF85-F5FEEAE50509}"/>
    <cellStyle name="Vírgula 4 5 3 4 4" xfId="24980" xr:uid="{536DD52A-0747-4DE6-9E0F-F2BBEFAA4ABA}"/>
    <cellStyle name="Vírgula 4 5 3 4 4 2" xfId="45315" xr:uid="{32FF67BE-72B6-4DD4-9FCC-52625F1A38F4}"/>
    <cellStyle name="Vírgula 4 5 3 4 5" xfId="15315" xr:uid="{68ABE83E-F276-45CA-B733-92A8C2E5C491}"/>
    <cellStyle name="Vírgula 4 5 3 4 5 2" xfId="35655" xr:uid="{F97CDEA8-4E39-48D1-8F13-36373FDF39A0}"/>
    <cellStyle name="Vírgula 4 5 3 4 6" xfId="11436" xr:uid="{3540378E-54C0-4417-926F-C04CA9BCDFCD}"/>
    <cellStyle name="Vírgula 4 5 3 4 6 2" xfId="31779" xr:uid="{D12917DD-03CC-43CB-A083-39992A00F50D}"/>
    <cellStyle name="Vírgula 4 5 3 4 7" xfId="28285" xr:uid="{D79699BC-2304-46A6-8225-D8589052779C}"/>
    <cellStyle name="Vírgula 4 5 3 4 8" xfId="7938" xr:uid="{A816FAAA-858E-4210-A286-CB4106018C5D}"/>
    <cellStyle name="Vírgula 4 5 3 5" xfId="13005" xr:uid="{489B539B-F640-4F95-A5BA-E5707E12E65E}"/>
    <cellStyle name="Vírgula 4 5 3 5 2" xfId="33346" xr:uid="{9D74211A-9C34-4FF5-84A8-622FEC8B0802}"/>
    <cellStyle name="Vírgula 4 5 3 6" xfId="15902" xr:uid="{B4A45739-D897-4AE1-9BA6-4077C7ED717D}"/>
    <cellStyle name="Vírgula 4 5 3 6 2" xfId="36242" xr:uid="{83D5A353-CBCE-4DDA-8AF2-5BF42BCBF9EF}"/>
    <cellStyle name="Vírgula 4 5 3 7" xfId="18816" xr:uid="{6B071B7D-5057-42DF-8EDE-F936D663E0FB}"/>
    <cellStyle name="Vírgula 4 5 3 7 2" xfId="39156" xr:uid="{59BF3BF0-4843-47C0-89E2-D86EFA0FA0C7}"/>
    <cellStyle name="Vírgula 4 5 3 8" xfId="19404" xr:uid="{DFA5C0A5-666F-4694-A2CB-CC55140A0748}"/>
    <cellStyle name="Vírgula 4 5 3 8 2" xfId="39743" xr:uid="{253CF762-CD80-4F92-BD06-AD8E696FF655}"/>
    <cellStyle name="Vírgula 4 5 3 9" xfId="22659" xr:uid="{3D6E8217-5F3D-4078-AC84-5FC1FBF1ED39}"/>
    <cellStyle name="Vírgula 4 5 3 9 2" xfId="42994" xr:uid="{5FB4D128-1CE3-4488-9324-E862B5520ADF}"/>
    <cellStyle name="Vírgula 4 5 4" xfId="1396" xr:uid="{7D9B5C81-0BD8-4F07-A679-7290FE7C5F83}"/>
    <cellStyle name="Vírgula 4 5 4 10" xfId="50762" xr:uid="{92CBF240-16AA-4061-8C18-5D03E48D0172}"/>
    <cellStyle name="Vírgula 4 5 4 11" xfId="54057" xr:uid="{86F36D85-07A6-44B9-8E38-E44243ED1CBD}"/>
    <cellStyle name="Vírgula 4 5 4 12" xfId="5853" xr:uid="{9B24C880-6565-47F8-AD53-8AD406B6F4FE}"/>
    <cellStyle name="Vírgula 4 5 4 2" xfId="3761" xr:uid="{F7023E5A-D05C-4C1F-8D5D-4BCF43BBF3C0}"/>
    <cellStyle name="Vírgula 4 5 4 2 10" xfId="7011" xr:uid="{90BF2501-D118-4D2A-B8B9-DF9579104BD4}"/>
    <cellStyle name="Vírgula 4 5 4 2 2" xfId="17297" xr:uid="{8010E3D0-56EC-4AEC-BFB7-A616CB79B29F}"/>
    <cellStyle name="Vírgula 4 5 4 2 2 2" xfId="37637" xr:uid="{05C6B800-0390-46A9-BF32-A53A9B9E840A}"/>
    <cellStyle name="Vírgula 4 5 4 2 3" xfId="20799" xr:uid="{76F0AE80-19DA-4E40-BC9F-C2C1AC555DAA}"/>
    <cellStyle name="Vírgula 4 5 4 2 3 2" xfId="41138" xr:uid="{A3284D35-B3BD-4AB0-9335-47E194082EA5}"/>
    <cellStyle name="Vírgula 4 5 4 2 4" xfId="24054" xr:uid="{E32A884B-7ADF-4505-9FB7-EA5A1F0C60BC}"/>
    <cellStyle name="Vírgula 4 5 4 2 4 2" xfId="44389" xr:uid="{5779F7B4-F9B7-4342-B3EA-91DE07EA5228}"/>
    <cellStyle name="Vírgula 4 5 4 2 5" xfId="14388" xr:uid="{FA03EB36-0A5D-47C3-A644-4518D514D238}"/>
    <cellStyle name="Vírgula 4 5 4 2 5 2" xfId="34729" xr:uid="{D7AEA62B-92DB-4206-92A2-6FDF97664DA9}"/>
    <cellStyle name="Vírgula 4 5 4 2 6" xfId="10510" xr:uid="{B470C069-A7E5-4B89-9830-6F57CBAE23B4}"/>
    <cellStyle name="Vírgula 4 5 4 2 6 2" xfId="30853" xr:uid="{DE08C48A-BBC8-4803-8AAD-3178CD21A62C}"/>
    <cellStyle name="Vírgula 4 5 4 2 7" xfId="27359" xr:uid="{0F2F9E68-9F09-4612-A6C1-FB33ECA79C79}"/>
    <cellStyle name="Vírgula 4 5 4 2 8" xfId="52394" xr:uid="{41E7B5B0-A0F5-41C6-96F6-F6E95F03CF28}"/>
    <cellStyle name="Vírgula 4 5 4 2 9" xfId="55688" xr:uid="{84897B83-EFFF-43F4-95D6-C0E358D896E2}"/>
    <cellStyle name="Vírgula 4 5 4 3" xfId="3057" xr:uid="{4AE357C0-6F29-47B0-BD91-07163DBCA196}"/>
    <cellStyle name="Vírgula 4 5 4 3 2" xfId="36479" xr:uid="{B5987759-E6DA-4D89-8F33-40BC05423F6C}"/>
    <cellStyle name="Vírgula 4 5 4 3 3" xfId="57267" xr:uid="{18081017-D2BB-4D49-95AB-8ADA0A2B91DE}"/>
    <cellStyle name="Vírgula 4 5 4 3 4" xfId="16139" xr:uid="{6E2D7870-679F-4F11-AA60-4C805FD084F6}"/>
    <cellStyle name="Vírgula 4 5 4 4" xfId="19641" xr:uid="{CE0AC9EC-7261-4C02-B07B-DE14EE88C577}"/>
    <cellStyle name="Vírgula 4 5 4 4 2" xfId="39980" xr:uid="{449652C4-07FC-4EF1-A509-9EF8ACE16493}"/>
    <cellStyle name="Vírgula 4 5 4 5" xfId="22896" xr:uid="{1FFECBCE-09AC-458E-9FD3-D977A8ED61B3}"/>
    <cellStyle name="Vírgula 4 5 4 5 2" xfId="43231" xr:uid="{69FAEE51-C713-4121-BAD5-34C11A043303}"/>
    <cellStyle name="Vírgula 4 5 4 6" xfId="13232" xr:uid="{7E2A9BB5-CC56-49EA-BF36-5505AF49F62E}"/>
    <cellStyle name="Vírgula 4 5 4 6 2" xfId="33573" xr:uid="{9D1B63BE-C4CC-4E7D-AADD-D66EE69EF34A}"/>
    <cellStyle name="Vírgula 4 5 4 7" xfId="9352" xr:uid="{F6E5501D-B29E-448E-96C6-2A710914F07D}"/>
    <cellStyle name="Vírgula 4 5 4 7 2" xfId="29695" xr:uid="{2A18B2BB-7BCE-4C52-ABAE-715251F0C3F4}"/>
    <cellStyle name="Vírgula 4 5 4 8" xfId="26201" xr:uid="{45A84FD3-8456-4E00-892B-E8FF651AFD5D}"/>
    <cellStyle name="Vírgula 4 5 4 9" xfId="49092" xr:uid="{72138A6E-F09B-40F6-8FF2-AA57E3298D93}"/>
    <cellStyle name="Vírgula 4 5 5" xfId="583" xr:uid="{08DBB74E-5C85-40C5-8391-6F5D5E35846D}"/>
    <cellStyle name="Vírgula 4 5 5 10" xfId="54058" xr:uid="{2C372B4E-661F-46EB-8311-E54495F20998}"/>
    <cellStyle name="Vírgula 4 5 5 11" xfId="6430" xr:uid="{C0C920CD-84B8-4AC7-BFF9-53487454A89A}"/>
    <cellStyle name="Vírgula 4 5 5 2" xfId="2299" xr:uid="{47401FFB-ECB4-4C35-9D75-1DD635A59097}"/>
    <cellStyle name="Vírgula 4 5 5 2 2" xfId="37056" xr:uid="{D4676F8B-CDA2-40A5-B7B9-6FF323735BF4}"/>
    <cellStyle name="Vírgula 4 5 5 2 3" xfId="52395" xr:uid="{0FEA0013-E070-4D49-8834-0F9D9B68BA08}"/>
    <cellStyle name="Vírgula 4 5 5 2 4" xfId="55689" xr:uid="{24A62325-6F17-4A9E-8F15-F76B45F45FAB}"/>
    <cellStyle name="Vírgula 4 5 5 2 5" xfId="16716" xr:uid="{0844D8E4-5040-403A-8370-79D6A930AD3B}"/>
    <cellStyle name="Vírgula 4 5 5 3" xfId="20218" xr:uid="{D172A374-6369-4163-8501-9531EB785145}"/>
    <cellStyle name="Vírgula 4 5 5 3 2" xfId="40557" xr:uid="{58B084E9-F133-4F42-B20E-CCF614C62745}"/>
    <cellStyle name="Vírgula 4 5 5 3 3" xfId="56454" xr:uid="{11C05FC3-A8BF-4A4F-BBF8-C736601FE436}"/>
    <cellStyle name="Vírgula 4 5 5 4" xfId="23473" xr:uid="{8879CD9B-E4EA-49F7-AA74-862DC609EBCE}"/>
    <cellStyle name="Vírgula 4 5 5 4 2" xfId="43808" xr:uid="{B5987280-6AB4-4458-BEF4-DF4BED29693C}"/>
    <cellStyle name="Vírgula 4 5 5 5" xfId="13807" xr:uid="{525D066D-F1F5-469A-BE01-B96414304C3F}"/>
    <cellStyle name="Vírgula 4 5 5 5 2" xfId="34148" xr:uid="{05421A16-00E0-4A11-97F5-5ABB54F0DA80}"/>
    <cellStyle name="Vírgula 4 5 5 6" xfId="9929" xr:uid="{E3C8D221-4DAF-4FBB-88EA-985717DEA56E}"/>
    <cellStyle name="Vírgula 4 5 5 6 2" xfId="30272" xr:uid="{A22B90C3-89CB-4EA8-81F7-4D183714637D}"/>
    <cellStyle name="Vírgula 4 5 5 7" xfId="26778" xr:uid="{C1D13C06-9FA5-497F-932C-CD49014D6E93}"/>
    <cellStyle name="Vírgula 4 5 5 8" xfId="49093" xr:uid="{4E868D02-0D94-4E43-BA16-B6AE9C9DABD4}"/>
    <cellStyle name="Vírgula 4 5 5 9" xfId="50763" xr:uid="{C92421E8-0B0F-4B77-BC7B-4F8E4C5020DF}"/>
    <cellStyle name="Vírgula 4 5 6" xfId="3433" xr:uid="{E074D604-F7AB-4307-A27E-33BF9A2693CB}"/>
    <cellStyle name="Vírgula 4 5 6 10" xfId="7594" xr:uid="{00B9197C-3BB6-40B6-8851-2067B8044E7E}"/>
    <cellStyle name="Vírgula 4 5 6 2" xfId="17879" xr:uid="{CF03B5E8-4D2E-49AE-BEA5-2E24F7F2DCD4}"/>
    <cellStyle name="Vírgula 4 5 6 2 2" xfId="38219" xr:uid="{C7F9FD11-C91A-4463-AB0C-F6F325257964}"/>
    <cellStyle name="Vírgula 4 5 6 3" xfId="21381" xr:uid="{340942EB-7C9F-4FAB-AEFD-50C73E17BFB3}"/>
    <cellStyle name="Vírgula 4 5 6 3 2" xfId="41720" xr:uid="{A53DCAD0-F001-47A1-9BA8-8E87022AF2A8}"/>
    <cellStyle name="Vírgula 4 5 6 4" xfId="24636" xr:uid="{2DAA65BE-573D-4C87-90BF-A1B311A7F00B}"/>
    <cellStyle name="Vírgula 4 5 6 4 2" xfId="44971" xr:uid="{8C0291EC-9EFC-4BC2-A1AE-0D1DD689EB92}"/>
    <cellStyle name="Vírgula 4 5 6 5" xfId="14971" xr:uid="{8633BACB-5B25-4CEB-8C83-2438920F3E09}"/>
    <cellStyle name="Vírgula 4 5 6 5 2" xfId="35311" xr:uid="{128E52B7-080C-4056-97ED-E8E8A7CD112E}"/>
    <cellStyle name="Vírgula 4 5 6 6" xfId="11092" xr:uid="{C49C3A93-3679-47F0-B38C-ECB9D120B098}"/>
    <cellStyle name="Vírgula 4 5 6 6 2" xfId="31435" xr:uid="{3126A6FF-DC72-4193-ABB6-2C9787CB7F44}"/>
    <cellStyle name="Vírgula 4 5 6 7" xfId="27941" xr:uid="{2AF287E4-A336-4CE4-84AB-804254F4A9EA}"/>
    <cellStyle name="Vírgula 4 5 6 8" xfId="52388" xr:uid="{69707B41-139A-402C-9CB2-36DABFD14404}"/>
    <cellStyle name="Vírgula 4 5 6 9" xfId="55682" xr:uid="{F1E91203-6E27-42F1-BC58-4AE6040BEE12}"/>
    <cellStyle name="Vírgula 4 5 7" xfId="3923" xr:uid="{B2D12376-7DBF-4C74-867C-68FDC20E5E26}"/>
    <cellStyle name="Vírgula 4 5 7 2" xfId="22087" xr:uid="{88D10546-6EA9-4902-8CF1-27433D5AFB61}"/>
    <cellStyle name="Vírgula 4 5 7 2 2" xfId="42423" xr:uid="{CD2842A7-E6A0-4297-AC18-2A03FA74FC73}"/>
    <cellStyle name="Vírgula 4 5 7 3" xfId="25339" xr:uid="{4B58EBD5-399E-4D3D-BCA3-89EB3AC97508}"/>
    <cellStyle name="Vírgula 4 5 7 3 2" xfId="45674" xr:uid="{C9A212FE-3225-4560-A6FB-6D1B5DE73D19}"/>
    <cellStyle name="Vírgula 4 5 7 4" xfId="12663" xr:uid="{25B4BF4D-D02F-4B61-B3FD-16600369CCE7}"/>
    <cellStyle name="Vírgula 4 5 7 4 2" xfId="33004" xr:uid="{56EF7300-3BE7-47B5-BB6F-7CEFE52C0513}"/>
    <cellStyle name="Vírgula 4 5 7 5" xfId="11796" xr:uid="{74E8B438-7730-4097-A2C1-1DD7C036A9E2}"/>
    <cellStyle name="Vírgula 4 5 7 5 2" xfId="32138" xr:uid="{E056D164-C64F-4B95-BE55-07C3AC4DDF85}"/>
    <cellStyle name="Vírgula 4 5 7 6" xfId="28644" xr:uid="{6241CF0D-F95A-41B0-A017-2B78F5EFE637}"/>
    <cellStyle name="Vírgula 4 5 7 7" xfId="56045" xr:uid="{6DEB1577-585A-43E5-9853-02306266CC35}"/>
    <cellStyle name="Vírgula 4 5 7 8" xfId="8300" xr:uid="{C42259D2-ADF7-4D6B-BCF5-B541AD582337}"/>
    <cellStyle name="Vírgula 4 5 8" xfId="1782" xr:uid="{CA52A044-8B5C-41DE-B86C-6AC1DA7626B4}"/>
    <cellStyle name="Vírgula 4 5 8 2" xfId="15558" xr:uid="{0A0FB990-35D4-42E2-8EC0-85C49B0E4334}"/>
    <cellStyle name="Vírgula 4 5 8 2 2" xfId="35898" xr:uid="{53E7BD3C-7935-460F-875A-6E73F1750712}"/>
    <cellStyle name="Vírgula 4 5 8 3" xfId="28968" xr:uid="{8DFC3836-E6DC-4D69-A53C-0955A98589FB}"/>
    <cellStyle name="Vírgula 4 5 8 4" xfId="8625" xr:uid="{5C21023C-BA6C-4357-B025-642A7B0F832B}"/>
    <cellStyle name="Vírgula 4 5 9" xfId="18472" xr:uid="{56F31832-0870-45C6-84BD-4C104DF23128}"/>
    <cellStyle name="Vírgula 4 5 9 2" xfId="38812" xr:uid="{0E0BEC5E-18FB-478E-A159-7371C7B1EAE1}"/>
    <cellStyle name="Vírgula 4 6" xfId="200" xr:uid="{712EDF76-9B45-416B-81A5-0DFAF622DC2B}"/>
    <cellStyle name="Vírgula 4 6 10" xfId="12062" xr:uid="{14BC67C9-523E-4F69-976C-294EA95501A3}"/>
    <cellStyle name="Vírgula 4 6 10 2" xfId="32403" xr:uid="{57DD786A-EDE8-4FED-8F21-0388A5AE34B8}"/>
    <cellStyle name="Vírgula 4 6 11" xfId="8801" xr:uid="{C3B82830-1A4B-4B69-8F8C-FB7F0B2D5384}"/>
    <cellStyle name="Vírgula 4 6 11 2" xfId="29144" xr:uid="{4A64A62B-4AA8-40B1-B65A-BBBBD954B090}"/>
    <cellStyle name="Vírgula 4 6 12" xfId="25650" xr:uid="{8B90E42A-8010-4FA0-B097-C21E8AB99E7E}"/>
    <cellStyle name="Vírgula 4 6 13" xfId="46058" xr:uid="{25415CDB-D775-4110-834F-5FC6DA9A4754}"/>
    <cellStyle name="Vírgula 4 6 14" xfId="46544" xr:uid="{79A65A67-E43F-4CC2-82BD-E91DD0FEE5D0}"/>
    <cellStyle name="Vírgula 4 6 15" xfId="47036" xr:uid="{37558BCC-47BA-4BCA-AA84-4DFD1630386E}"/>
    <cellStyle name="Vírgula 4 6 16" xfId="49094" xr:uid="{7EDAC38B-40BA-48D0-A949-B9300E5D1BC3}"/>
    <cellStyle name="Vírgula 4 6 17" xfId="50764" xr:uid="{9210407D-7D69-4949-A27A-68CF9FC798E6}"/>
    <cellStyle name="Vírgula 4 6 18" xfId="54059" xr:uid="{19ABED11-09EF-42BD-9EA1-7958A7619BD1}"/>
    <cellStyle name="Vírgula 4 6 19" xfId="5332" xr:uid="{86362077-FDAC-4999-92FA-38A5752CC924}"/>
    <cellStyle name="Vírgula 4 6 2" xfId="389" xr:uid="{AC982C12-8049-4AB0-A98A-5DACDFA60CFF}"/>
    <cellStyle name="Vírgula 4 6 2 10" xfId="50765" xr:uid="{E1FC440D-A2AB-4925-8AA0-D021C8A0CA79}"/>
    <cellStyle name="Vírgula 4 6 2 11" xfId="54060" xr:uid="{E1DBFE2E-B390-4CEF-86CF-AC499116A243}"/>
    <cellStyle name="Vírgula 4 6 2 12" xfId="5883" xr:uid="{282D02EE-9068-4AA8-AE57-A23CB74844E4}"/>
    <cellStyle name="Vírgula 4 6 2 13" xfId="4670" xr:uid="{EBA513AE-0EF7-4040-840C-804077E5C6D6}"/>
    <cellStyle name="Vírgula 4 6 2 2" xfId="1205" xr:uid="{148FC937-E95A-4416-AA71-0673E421EC38}"/>
    <cellStyle name="Vírgula 4 6 2 2 10" xfId="54061" xr:uid="{A9AF322B-3838-46D2-9886-40598FC97D0B}"/>
    <cellStyle name="Vírgula 4 6 2 2 11" xfId="7041" xr:uid="{E632C8F4-D691-40BB-B322-9A7ECD3265B7}"/>
    <cellStyle name="Vírgula 4 6 2 2 2" xfId="2866" xr:uid="{1A6858A2-FEF4-490A-89FA-3D523CFCBD3C}"/>
    <cellStyle name="Vírgula 4 6 2 2 2 2" xfId="37667" xr:uid="{A883F608-41E0-465B-8651-1A5DB69397B4}"/>
    <cellStyle name="Vírgula 4 6 2 2 2 3" xfId="52398" xr:uid="{664E874D-2A70-4CBD-ADAD-1BE01C88E377}"/>
    <cellStyle name="Vírgula 4 6 2 2 2 4" xfId="55692" xr:uid="{6D9358B4-40D3-49D3-B7A5-343790A9AB0A}"/>
    <cellStyle name="Vírgula 4 6 2 2 2 5" xfId="17327" xr:uid="{EADCB4C4-8126-403A-9525-45BC4374F3E1}"/>
    <cellStyle name="Vírgula 4 6 2 2 3" xfId="20829" xr:uid="{C5890053-3D39-4B2E-A725-F2F357370834}"/>
    <cellStyle name="Vírgula 4 6 2 2 3 2" xfId="41168" xr:uid="{B974858C-F650-4EC3-ADC2-0E6A699613DE}"/>
    <cellStyle name="Vírgula 4 6 2 2 3 3" xfId="57076" xr:uid="{F7D1BECA-953C-4679-8F06-F2532A9A382D}"/>
    <cellStyle name="Vírgula 4 6 2 2 4" xfId="24084" xr:uid="{C21B178C-DE83-4530-A478-E4692ED1E1D4}"/>
    <cellStyle name="Vírgula 4 6 2 2 4 2" xfId="44419" xr:uid="{6D01FA3E-111A-4C04-A183-987A2C47EBA0}"/>
    <cellStyle name="Vírgula 4 6 2 2 5" xfId="14418" xr:uid="{32D139CC-9949-46D2-BAFB-CB8FF8FDC418}"/>
    <cellStyle name="Vírgula 4 6 2 2 5 2" xfId="34759" xr:uid="{6A87128D-D763-456C-8967-CA8C16ABF878}"/>
    <cellStyle name="Vírgula 4 6 2 2 6" xfId="10540" xr:uid="{A04FFE43-B314-43C0-B72C-F503F4EAC03E}"/>
    <cellStyle name="Vírgula 4 6 2 2 6 2" xfId="30883" xr:uid="{271EE643-A4BE-4A48-8163-A2D691C6734D}"/>
    <cellStyle name="Vírgula 4 6 2 2 7" xfId="27389" xr:uid="{E9763252-89F4-4CD3-8BF1-3DDD66FF0E47}"/>
    <cellStyle name="Vírgula 4 6 2 2 8" xfId="49096" xr:uid="{D9A4D5A0-8CD9-429F-AF58-376967CF9437}"/>
    <cellStyle name="Vírgula 4 6 2 2 9" xfId="50766" xr:uid="{18B1C899-6F14-4AFC-8D74-2B2F1E395690}"/>
    <cellStyle name="Vírgula 4 6 2 3" xfId="1611" xr:uid="{15A95ED8-EC70-495B-B0BF-E146F15E2460}"/>
    <cellStyle name="Vírgula 4 6 2 3 2" xfId="3271" xr:uid="{1C817FE9-C004-4D88-90FF-D7DB544695F1}"/>
    <cellStyle name="Vírgula 4 6 2 3 2 2" xfId="52399" xr:uid="{E0A4F2E3-5787-4A27-B2F5-83FD6568213A}"/>
    <cellStyle name="Vírgula 4 6 2 3 2 3" xfId="55693" xr:uid="{D6811970-1118-4BE9-AFB6-26C0B8553ABC}"/>
    <cellStyle name="Vírgula 4 6 2 3 2 4" xfId="36509" xr:uid="{0400F596-0D8B-4A39-B3FB-840E7AF8A2C5}"/>
    <cellStyle name="Vírgula 4 6 2 3 3" xfId="49097" xr:uid="{8E64016C-75EF-48D9-B214-A532D1667EEB}"/>
    <cellStyle name="Vírgula 4 6 2 3 3 2" xfId="57482" xr:uid="{4AE87174-1991-4105-8E72-301BC4207455}"/>
    <cellStyle name="Vírgula 4 6 2 3 4" xfId="50767" xr:uid="{0FE5C083-4C04-4EEE-B868-CFC0A63E946A}"/>
    <cellStyle name="Vírgula 4 6 2 3 5" xfId="54062" xr:uid="{F52B43A6-C820-4A02-A015-8BE1029D4300}"/>
    <cellStyle name="Vírgula 4 6 2 3 6" xfId="16169" xr:uid="{08777DF3-DB83-40A4-AD8D-6BB5F807E835}"/>
    <cellStyle name="Vírgula 4 6 2 4" xfId="798" xr:uid="{59349A35-3282-4D10-AB19-6A9F40B80458}"/>
    <cellStyle name="Vírgula 4 6 2 4 2" xfId="2514" xr:uid="{846AC93E-F6BE-4EE1-9442-72F76B3C2E71}"/>
    <cellStyle name="Vírgula 4 6 2 4 2 2" xfId="52400" xr:uid="{BA3CF78C-41A7-42C3-B2F5-7F39C01865D5}"/>
    <cellStyle name="Vírgula 4 6 2 4 2 3" xfId="55694" xr:uid="{3BF92D76-49B5-444A-85B8-C54731EFA361}"/>
    <cellStyle name="Vírgula 4 6 2 4 2 4" xfId="40010" xr:uid="{FB1C583A-2BFE-46B3-B926-B3BE8083D8ED}"/>
    <cellStyle name="Vírgula 4 6 2 4 3" xfId="49098" xr:uid="{FD1BC7DE-A271-4598-8055-D7ECD96DC9BC}"/>
    <cellStyle name="Vírgula 4 6 2 4 3 2" xfId="56669" xr:uid="{B57F019E-3358-4558-AADD-768F39381DBD}"/>
    <cellStyle name="Vírgula 4 6 2 4 4" xfId="50768" xr:uid="{998AC533-AEAF-4A36-BB02-D3F07BAB912E}"/>
    <cellStyle name="Vírgula 4 6 2 4 5" xfId="54063" xr:uid="{5658B9F4-DA2C-42A7-AD48-3F0B8FAC0DBE}"/>
    <cellStyle name="Vírgula 4 6 2 4 6" xfId="19671" xr:uid="{4D51D9FB-3978-4594-AD2D-95DF9E29A0DB}"/>
    <cellStyle name="Vírgula 4 6 2 5" xfId="4096" xr:uid="{0F3509F6-E730-4D7F-AF0F-16485CA0885B}"/>
    <cellStyle name="Vírgula 4 6 2 5 2" xfId="43261" xr:uid="{BDC9379A-EDC7-4079-9C03-B1279F3C4012}"/>
    <cellStyle name="Vírgula 4 6 2 5 3" xfId="52397" xr:uid="{2B8C8E09-5B5D-447F-A67A-A7F55F843CB2}"/>
    <cellStyle name="Vírgula 4 6 2 5 4" xfId="55691" xr:uid="{12DEAE13-28DD-4795-AA3B-A39D21C090A2}"/>
    <cellStyle name="Vírgula 4 6 2 5 5" xfId="22926" xr:uid="{46AC72B5-2B84-4D1A-B330-793C7BC8816E}"/>
    <cellStyle name="Vírgula 4 6 2 6" xfId="1947" xr:uid="{E02EF235-1EEF-4385-9007-77B6853211F5}"/>
    <cellStyle name="Vírgula 4 6 2 6 2" xfId="33603" xr:uid="{B0E28502-0F79-4DD1-8920-27DEA44BE3A3}"/>
    <cellStyle name="Vírgula 4 6 2 6 3" xfId="56260" xr:uid="{38BAEA33-A358-401E-8D72-77FB4816A73E}"/>
    <cellStyle name="Vírgula 4 6 2 6 4" xfId="13262" xr:uid="{EC572EFD-07F7-47EC-84B7-C300D18FB9B7}"/>
    <cellStyle name="Vírgula 4 6 2 7" xfId="9382" xr:uid="{8723C134-FC48-48E7-AAB6-693BC3A1C693}"/>
    <cellStyle name="Vírgula 4 6 2 7 2" xfId="29725" xr:uid="{C82866CE-5012-4A08-98A8-180F8156F47F}"/>
    <cellStyle name="Vírgula 4 6 2 8" xfId="26231" xr:uid="{97736703-0804-4DF0-8767-542BD0E6591D}"/>
    <cellStyle name="Vírgula 4 6 2 9" xfId="49095" xr:uid="{DEB14C0F-992A-4C70-A284-895E26FBA02B}"/>
    <cellStyle name="Vírgula 4 6 20" xfId="4481" xr:uid="{05E651A2-42C0-464E-86C0-DD5A6CCAC963}"/>
    <cellStyle name="Vírgula 4 6 3" xfId="1016" xr:uid="{BF59761C-41D0-4413-A1C9-62A6D68B57C6}"/>
    <cellStyle name="Vírgula 4 6 3 10" xfId="54064" xr:uid="{B3288458-8A82-4572-9613-5F97659C9B69}"/>
    <cellStyle name="Vírgula 4 6 3 11" xfId="6460" xr:uid="{47DCB36E-0879-453A-90E8-9E3EF33E5A5D}"/>
    <cellStyle name="Vírgula 4 6 3 12" xfId="4960" xr:uid="{1E234DFC-E900-41BC-B2E9-0224CFB9DC67}"/>
    <cellStyle name="Vírgula 4 6 3 2" xfId="4268" xr:uid="{B43DC4DA-8EE1-4E6E-A585-B74E3BE76F78}"/>
    <cellStyle name="Vírgula 4 6 3 2 2" xfId="37086" xr:uid="{E632C91C-8D0F-4276-9B1D-E79DA652DE98}"/>
    <cellStyle name="Vírgula 4 6 3 2 3" xfId="52401" xr:uid="{874E8BC1-9266-4478-A869-5DE9B132BE07}"/>
    <cellStyle name="Vírgula 4 6 3 2 4" xfId="55695" xr:uid="{A342C43F-2A67-445F-9891-7F0FBCCCFAFF}"/>
    <cellStyle name="Vírgula 4 6 3 2 5" xfId="16746" xr:uid="{C7885862-2CF7-4DB0-B91F-8CD3F40935CF}"/>
    <cellStyle name="Vírgula 4 6 3 3" xfId="2705" xr:uid="{3BD43D68-D667-42EC-9B23-1CE7297E119A}"/>
    <cellStyle name="Vírgula 4 6 3 3 2" xfId="40587" xr:uid="{A2A8EED0-957D-4AE8-A564-505D7296CB0F}"/>
    <cellStyle name="Vírgula 4 6 3 3 3" xfId="56887" xr:uid="{B60255B0-4691-40DB-BE69-5751A3FEA398}"/>
    <cellStyle name="Vírgula 4 6 3 3 4" xfId="20248" xr:uid="{A5AE24E0-88D8-4C20-9503-4EC33423579E}"/>
    <cellStyle name="Vírgula 4 6 3 4" xfId="23503" xr:uid="{C38386F9-4E7A-48DE-B9AE-27058DC4FC1D}"/>
    <cellStyle name="Vírgula 4 6 3 4 2" xfId="43838" xr:uid="{281674B6-8CBC-48C2-B9F2-4262767DA853}"/>
    <cellStyle name="Vírgula 4 6 3 5" xfId="13837" xr:uid="{44355F62-7DAC-4439-ADA6-ECCF8A30C7CE}"/>
    <cellStyle name="Vírgula 4 6 3 5 2" xfId="34178" xr:uid="{21A6E4F5-CE48-47CF-B9D4-25014140E994}"/>
    <cellStyle name="Vírgula 4 6 3 6" xfId="9959" xr:uid="{2D457613-E2F1-4D39-B774-CC515C54CC65}"/>
    <cellStyle name="Vírgula 4 6 3 6 2" xfId="30302" xr:uid="{1546553E-F560-4E35-BDE4-84FF1D4B8E3B}"/>
    <cellStyle name="Vírgula 4 6 3 7" xfId="26808" xr:uid="{770A7447-02D0-469B-897E-DE82F7C9EF8C}"/>
    <cellStyle name="Vírgula 4 6 3 8" xfId="49099" xr:uid="{AA0E7D4D-99AF-4798-A0D9-F7B604FFD03E}"/>
    <cellStyle name="Vírgula 4 6 3 9" xfId="50769" xr:uid="{551F05EB-E2A7-421D-9EDD-ABE68F75651C}"/>
    <cellStyle name="Vírgula 4 6 4" xfId="1422" xr:uid="{1FB0EDD6-9E71-4B3C-9C8B-92DA7DE57DF8}"/>
    <cellStyle name="Vírgula 4 6 4 10" xfId="54065" xr:uid="{C0883E1E-5354-4F70-8F5B-78A07D2C9D6A}"/>
    <cellStyle name="Vírgula 4 6 4 11" xfId="7624" xr:uid="{2C7E5B81-CE3C-4EFE-A3F8-5320371C9AE1}"/>
    <cellStyle name="Vírgula 4 6 4 2" xfId="3083" xr:uid="{B01D2195-020C-41FA-8DA0-C93DF89B649D}"/>
    <cellStyle name="Vírgula 4 6 4 2 2" xfId="38249" xr:uid="{E7F1F6E6-BDBA-443C-931C-0407ABFA1522}"/>
    <cellStyle name="Vírgula 4 6 4 2 3" xfId="52402" xr:uid="{AF4898ED-1506-4444-BF7F-D69C7CF34D76}"/>
    <cellStyle name="Vírgula 4 6 4 2 4" xfId="55696" xr:uid="{FF857074-D252-4586-8C47-2763AC3FDAD3}"/>
    <cellStyle name="Vírgula 4 6 4 2 5" xfId="17909" xr:uid="{0AF97960-0EC3-456D-AED5-CC453599C02B}"/>
    <cellStyle name="Vírgula 4 6 4 3" xfId="21411" xr:uid="{34A19274-1AA2-4B19-AABD-1CE46E5A7640}"/>
    <cellStyle name="Vírgula 4 6 4 3 2" xfId="41750" xr:uid="{37F8CB63-832D-4CBC-9C80-898700D6A474}"/>
    <cellStyle name="Vírgula 4 6 4 3 3" xfId="57293" xr:uid="{5D836FD0-827E-4A6E-AA13-3F5DE9B42F9A}"/>
    <cellStyle name="Vírgula 4 6 4 4" xfId="24666" xr:uid="{F541BAE2-E6A0-448C-845D-2E77FB19979F}"/>
    <cellStyle name="Vírgula 4 6 4 4 2" xfId="45001" xr:uid="{22D9C31D-67A3-4030-BB63-408851B7F97F}"/>
    <cellStyle name="Vírgula 4 6 4 5" xfId="15001" xr:uid="{AFB6B2D1-9706-430E-8C91-820F0118076A}"/>
    <cellStyle name="Vírgula 4 6 4 5 2" xfId="35341" xr:uid="{DFC2314C-602D-41BB-92E2-E2C9F2F71952}"/>
    <cellStyle name="Vírgula 4 6 4 6" xfId="11122" xr:uid="{A7F93FE8-9CB7-4AC5-81E4-CFA9F5DD04A1}"/>
    <cellStyle name="Vírgula 4 6 4 6 2" xfId="31465" xr:uid="{B1C4C7DC-B222-4190-AAD8-5821C83C3B19}"/>
    <cellStyle name="Vírgula 4 6 4 7" xfId="27971" xr:uid="{354BED40-92A7-46AA-81C5-393D58987F5F}"/>
    <cellStyle name="Vírgula 4 6 4 8" xfId="49100" xr:uid="{842BF639-EEEC-41E0-82E2-0E30EF2D4888}"/>
    <cellStyle name="Vírgula 4 6 4 9" xfId="50770" xr:uid="{528E238F-92F3-40B4-AF87-5B03B61D6B54}"/>
    <cellStyle name="Vírgula 4 6 5" xfId="609" xr:uid="{DEC238BC-86C5-483A-91E3-6FEC61A741E9}"/>
    <cellStyle name="Vírgula 4 6 5 10" xfId="8301" xr:uid="{13C9136B-8A59-4C6D-BF02-2AE83B31DBFE}"/>
    <cellStyle name="Vírgula 4 6 5 2" xfId="2325" xr:uid="{83FC657C-DE76-444F-81E2-A2B188D2BADA}"/>
    <cellStyle name="Vírgula 4 6 5 2 2" xfId="42424" xr:uid="{E12B31CB-45C5-4201-8324-ECF73949B88F}"/>
    <cellStyle name="Vírgula 4 6 5 2 3" xfId="52403" xr:uid="{41515B05-44E4-4478-B25E-BFC7F5636C63}"/>
    <cellStyle name="Vírgula 4 6 5 2 4" xfId="55697" xr:uid="{0773CBC0-6473-4D47-932A-55EE0951C2DD}"/>
    <cellStyle name="Vírgula 4 6 5 2 5" xfId="22088" xr:uid="{CCEE0658-C9D7-4D7B-97F0-C79FA429A22B}"/>
    <cellStyle name="Vírgula 4 6 5 3" xfId="25340" xr:uid="{712280FE-09B9-48FC-883C-F67D0FBBD239}"/>
    <cellStyle name="Vírgula 4 6 5 3 2" xfId="45675" xr:uid="{17205CFD-6998-4216-BA2E-670612A95579}"/>
    <cellStyle name="Vírgula 4 6 5 3 3" xfId="56480" xr:uid="{9CE5C3DD-B4B0-4D6D-B86A-E3AD96529C3A}"/>
    <cellStyle name="Vírgula 4 6 5 4" xfId="12693" xr:uid="{B5DD979E-6F02-4133-BE9A-7024F94EB303}"/>
    <cellStyle name="Vírgula 4 6 5 4 2" xfId="33034" xr:uid="{BC83987C-94F3-4887-838F-23486C7A33C5}"/>
    <cellStyle name="Vírgula 4 6 5 5" xfId="11797" xr:uid="{FB0EACD0-8EC3-4735-8E3B-BB0C53B4D055}"/>
    <cellStyle name="Vírgula 4 6 5 5 2" xfId="32139" xr:uid="{F9A14418-0537-4182-9A6F-421D15089CC1}"/>
    <cellStyle name="Vírgula 4 6 5 6" xfId="28645" xr:uid="{35942CEB-13EA-4D05-AA09-EE3EF67F4D63}"/>
    <cellStyle name="Vírgula 4 6 5 7" xfId="49101" xr:uid="{90B9D5B3-B40E-461F-879E-66F732589E18}"/>
    <cellStyle name="Vírgula 4 6 5 8" xfId="50771" xr:uid="{E1606F77-1337-4E86-B96B-6E8F2EC45A6E}"/>
    <cellStyle name="Vírgula 4 6 5 9" xfId="54066" xr:uid="{805B9EA8-E617-4139-9E7A-CBEAAAEA110B}"/>
    <cellStyle name="Vírgula 4 6 6" xfId="3598" xr:uid="{1335136A-BD92-41EB-81ED-C36752D6416C}"/>
    <cellStyle name="Vírgula 4 6 6 2" xfId="35928" xr:uid="{564D44B2-4423-4DED-8395-33A586645A9C}"/>
    <cellStyle name="Vírgula 4 6 6 3" xfId="52396" xr:uid="{32AD053F-3421-4922-9551-2B7E605103E6}"/>
    <cellStyle name="Vírgula 4 6 6 4" xfId="55690" xr:uid="{1EAF41FD-4E38-4E29-863F-913F97E3D52E}"/>
    <cellStyle name="Vírgula 4 6 6 5" xfId="15588" xr:uid="{1E4F5337-9A66-4D64-ACA1-EAEAA908201E}"/>
    <cellStyle name="Vírgula 4 6 7" xfId="3925" xr:uid="{AE2A474B-0497-4813-BB0F-221326016B03}"/>
    <cellStyle name="Vírgula 4 6 7 2" xfId="38842" xr:uid="{93057934-6753-4431-973F-E5FEE64527A2}"/>
    <cellStyle name="Vírgula 4 6 7 3" xfId="56071" xr:uid="{7B4162D5-EDD7-4354-9BC3-56FAB7F2B65F}"/>
    <cellStyle name="Vírgula 4 6 7 4" xfId="18502" xr:uid="{ABAD8430-480F-4A99-8AE2-80CB88E9FFA8}"/>
    <cellStyle name="Vírgula 4 6 8" xfId="1727" xr:uid="{9BEF06FA-EB55-4DE7-82E4-2845E131F1F2}"/>
    <cellStyle name="Vírgula 4 6 8 2" xfId="39429" xr:uid="{D7A4831D-1564-4427-B626-FFBEF1D8FB58}"/>
    <cellStyle name="Vírgula 4 6 8 3" xfId="19090" xr:uid="{235B6E4F-B0D4-45CE-8794-2A6A79F4E99E}"/>
    <cellStyle name="Vírgula 4 6 9" xfId="22345" xr:uid="{4FC75960-9A3D-494E-ACC0-9A73C2487D84}"/>
    <cellStyle name="Vírgula 4 6 9 2" xfId="42680" xr:uid="{09B23EF3-6BDC-4372-8B9C-D96F40AA1F56}"/>
    <cellStyle name="Vírgula 4 7" xfId="252" xr:uid="{5E39E633-F871-4B56-9DD0-CC11448F5B12}"/>
    <cellStyle name="Vírgula 4 7 10" xfId="12174" xr:uid="{698CA1C4-16D2-47CD-81F7-724650CEEB47}"/>
    <cellStyle name="Vírgula 4 7 10 2" xfId="32515" xr:uid="{753C4C46-E209-4165-A296-C4012557BF7C}"/>
    <cellStyle name="Vírgula 4 7 11" xfId="8913" xr:uid="{1D43D86D-85BA-445C-9EEB-C38FF8C6AFCC}"/>
    <cellStyle name="Vírgula 4 7 11 2" xfId="29256" xr:uid="{E9BFFDE6-1D25-4DB7-94CF-A5BD12C02F53}"/>
    <cellStyle name="Vírgula 4 7 12" xfId="25762" xr:uid="{99DD3DEB-17B8-4ACE-8818-8D5A3AF848BB}"/>
    <cellStyle name="Vírgula 4 7 13" xfId="49102" xr:uid="{CF756115-22DE-48EF-9883-7C7C81A3F6E5}"/>
    <cellStyle name="Vírgula 4 7 14" xfId="50772" xr:uid="{280E7CE3-A825-4BC4-862D-D0C8803582AC}"/>
    <cellStyle name="Vírgula 4 7 15" xfId="54067" xr:uid="{01A59763-5F36-43AA-AB23-6869CC0361A6}"/>
    <cellStyle name="Vírgula 4 7 16" xfId="5431" xr:uid="{CBB8191C-6749-4BE5-8F26-D97E5E19D997}"/>
    <cellStyle name="Vírgula 4 7 17" xfId="4533" xr:uid="{47720ED5-83CF-4816-BD4F-B03C01B8410F}"/>
    <cellStyle name="Vírgula 4 7 2" xfId="441" xr:uid="{E84B6569-4138-44D3-AF01-13A03C4820D6}"/>
    <cellStyle name="Vírgula 4 7 2 10" xfId="50773" xr:uid="{6CB6AEF0-4C23-45F0-B294-6C2E0FB28184}"/>
    <cellStyle name="Vírgula 4 7 2 11" xfId="54068" xr:uid="{A04DCFA7-1797-47DD-B277-976A10096D30}"/>
    <cellStyle name="Vírgula 4 7 2 12" xfId="5995" xr:uid="{DD4732E2-B5FF-4D84-B796-28C0674322D8}"/>
    <cellStyle name="Vírgula 4 7 2 13" xfId="4722" xr:uid="{F78CBF32-EEDF-4022-940E-61EC4F33E74A}"/>
    <cellStyle name="Vírgula 4 7 2 2" xfId="1257" xr:uid="{91D03C00-B53C-4692-97CA-448AB2E1B103}"/>
    <cellStyle name="Vírgula 4 7 2 2 10" xfId="54069" xr:uid="{2BC9B42C-B660-4025-94AC-9C0DA5167159}"/>
    <cellStyle name="Vírgula 4 7 2 2 11" xfId="7153" xr:uid="{2848E3E9-B0FD-4EF6-89EB-2643B3DCBE3E}"/>
    <cellStyle name="Vírgula 4 7 2 2 2" xfId="2918" xr:uid="{C5DB04A3-ACB6-40B5-A332-0CB4B163C4E1}"/>
    <cellStyle name="Vírgula 4 7 2 2 2 2" xfId="37779" xr:uid="{9338DEC0-C7B2-4756-9B59-E59784E75242}"/>
    <cellStyle name="Vírgula 4 7 2 2 2 3" xfId="52406" xr:uid="{607021E4-2363-466C-8E9E-F619AEE32AC0}"/>
    <cellStyle name="Vírgula 4 7 2 2 2 4" xfId="55700" xr:uid="{FC1C8CE5-0E89-4374-A8FA-BB82A6B61EEE}"/>
    <cellStyle name="Vírgula 4 7 2 2 2 5" xfId="17439" xr:uid="{A748962C-D6D2-4AE0-8823-1F25FF3634BE}"/>
    <cellStyle name="Vírgula 4 7 2 2 3" xfId="20941" xr:uid="{B7BD1A6C-A01D-4F8F-B0C6-72942610F796}"/>
    <cellStyle name="Vírgula 4 7 2 2 3 2" xfId="41280" xr:uid="{68C80C20-4CBE-40F4-8B67-17F651DDA5EF}"/>
    <cellStyle name="Vírgula 4 7 2 2 3 3" xfId="57128" xr:uid="{23081093-22CC-44CC-9B72-35DB42479950}"/>
    <cellStyle name="Vírgula 4 7 2 2 4" xfId="24196" xr:uid="{1C962A88-66D1-40EC-80A7-00163E47F137}"/>
    <cellStyle name="Vírgula 4 7 2 2 4 2" xfId="44531" xr:uid="{C36D2FBC-6D54-4DA4-96B5-4FEC44892D6F}"/>
    <cellStyle name="Vírgula 4 7 2 2 5" xfId="14530" xr:uid="{84478E9B-29CC-4BB8-88E6-B92479029AA2}"/>
    <cellStyle name="Vírgula 4 7 2 2 5 2" xfId="34871" xr:uid="{BF9CA3E8-AD47-4027-A4E7-DFCA8B2FB53F}"/>
    <cellStyle name="Vírgula 4 7 2 2 6" xfId="10652" xr:uid="{884B8B5A-0EAC-4842-85E1-740B396DD7F3}"/>
    <cellStyle name="Vírgula 4 7 2 2 6 2" xfId="30995" xr:uid="{E15AF878-C87B-4C77-B84B-8919DE39D55C}"/>
    <cellStyle name="Vírgula 4 7 2 2 7" xfId="27501" xr:uid="{2123BB79-1EC5-4BA5-94CF-C79065A39AAB}"/>
    <cellStyle name="Vírgula 4 7 2 2 8" xfId="49104" xr:uid="{ACEC2AA4-3A33-49B2-BE90-76CE6595BCA4}"/>
    <cellStyle name="Vírgula 4 7 2 2 9" xfId="50774" xr:uid="{A4AF7B7B-8058-4690-97A3-5C406DD60BD9}"/>
    <cellStyle name="Vírgula 4 7 2 3" xfId="1663" xr:uid="{3CE63F04-2518-49A0-8A6C-DF5F640DA69B}"/>
    <cellStyle name="Vírgula 4 7 2 3 2" xfId="3323" xr:uid="{FC123D03-0218-4068-9343-A35DB64E054D}"/>
    <cellStyle name="Vírgula 4 7 2 3 2 2" xfId="52407" xr:uid="{B25D19F8-94F1-4E68-B61D-4DB49FBDB865}"/>
    <cellStyle name="Vírgula 4 7 2 3 2 3" xfId="55701" xr:uid="{71FA12DE-74AC-4A16-9060-47BA62934421}"/>
    <cellStyle name="Vírgula 4 7 2 3 2 4" xfId="36621" xr:uid="{AF0CF6A9-41A6-41A1-9789-BFA15E99AFED}"/>
    <cellStyle name="Vírgula 4 7 2 3 3" xfId="49105" xr:uid="{519C9346-E58D-4F11-9869-5F67CE11B8B6}"/>
    <cellStyle name="Vírgula 4 7 2 3 3 2" xfId="57534" xr:uid="{F2AE33BF-F1EA-465E-B36A-EB2AFA36BBE0}"/>
    <cellStyle name="Vírgula 4 7 2 3 4" xfId="50775" xr:uid="{BB290D25-62DD-469B-B8FE-B23F60ADCEFB}"/>
    <cellStyle name="Vírgula 4 7 2 3 5" xfId="54070" xr:uid="{6092E184-73EE-42FF-A88C-BD77F9B4E3CA}"/>
    <cellStyle name="Vírgula 4 7 2 3 6" xfId="16281" xr:uid="{549C30FA-2ECD-4291-B769-C913840F8FAE}"/>
    <cellStyle name="Vírgula 4 7 2 4" xfId="850" xr:uid="{103FB7B0-2C76-41E2-B857-89DD61FB78C6}"/>
    <cellStyle name="Vírgula 4 7 2 4 2" xfId="2566" xr:uid="{56D3E9C9-F175-4AE2-AAD3-88E9B4DA8F91}"/>
    <cellStyle name="Vírgula 4 7 2 4 2 2" xfId="52408" xr:uid="{9CB23C91-020A-458B-8516-F9874F785540}"/>
    <cellStyle name="Vírgula 4 7 2 4 2 3" xfId="55702" xr:uid="{94DFACBE-75B7-464A-A650-02983BAA91B2}"/>
    <cellStyle name="Vírgula 4 7 2 4 2 4" xfId="40122" xr:uid="{D3DD116D-06E3-4453-9ACF-FD97DBB1BB5E}"/>
    <cellStyle name="Vírgula 4 7 2 4 3" xfId="49106" xr:uid="{F14A6248-2A7A-4D81-9CF7-12695D6E8DDB}"/>
    <cellStyle name="Vírgula 4 7 2 4 3 2" xfId="56721" xr:uid="{F6441BCF-0346-4C04-9BBE-F53FD0443DD0}"/>
    <cellStyle name="Vírgula 4 7 2 4 4" xfId="50776" xr:uid="{5F7E3365-2295-4520-9BED-C3E1C2B28D79}"/>
    <cellStyle name="Vírgula 4 7 2 4 5" xfId="54071" xr:uid="{4CA4D290-2E50-437C-BEA2-ED40BFF45F43}"/>
    <cellStyle name="Vírgula 4 7 2 4 6" xfId="19783" xr:uid="{80BDBF04-68BA-47E1-8090-BC2AF7E20610}"/>
    <cellStyle name="Vírgula 4 7 2 5" xfId="4048" xr:uid="{6A76DFDC-AA7F-48EA-9BE1-9823B42AB0AB}"/>
    <cellStyle name="Vírgula 4 7 2 5 2" xfId="43373" xr:uid="{5B5E033F-26F3-44EE-AA02-53CF23BF506D}"/>
    <cellStyle name="Vírgula 4 7 2 5 3" xfId="52405" xr:uid="{F8E90402-83C2-4FEF-A60D-1C491A1E40F1}"/>
    <cellStyle name="Vírgula 4 7 2 5 4" xfId="55699" xr:uid="{026FE788-709B-4E74-901D-671DFCDA29EF}"/>
    <cellStyle name="Vírgula 4 7 2 5 5" xfId="23038" xr:uid="{134CFA1D-6985-4A1C-9FA3-BACE9A0D6102}"/>
    <cellStyle name="Vírgula 4 7 2 6" xfId="2159" xr:uid="{C57BE7BA-C0DF-4C74-833E-716FF88FB301}"/>
    <cellStyle name="Vírgula 4 7 2 6 2" xfId="33713" xr:uid="{DA988C12-1E49-4A5C-9DD6-F35038536465}"/>
    <cellStyle name="Vírgula 4 7 2 6 3" xfId="56312" xr:uid="{5E2EF04A-2ABA-4870-A379-DB701DAB3415}"/>
    <cellStyle name="Vírgula 4 7 2 6 4" xfId="13372" xr:uid="{1715D6FF-7E13-427C-9D9E-EAC1547E776E}"/>
    <cellStyle name="Vírgula 4 7 2 7" xfId="9494" xr:uid="{CDCFADB5-EB34-4CEA-8905-4EB72B7B10F5}"/>
    <cellStyle name="Vírgula 4 7 2 7 2" xfId="29837" xr:uid="{C65FAABB-6765-4223-A16B-BBD26F4EEDEC}"/>
    <cellStyle name="Vírgula 4 7 2 8" xfId="26343" xr:uid="{2D65A641-7D2B-4EE5-8AE1-6A0F05D3B55B}"/>
    <cellStyle name="Vírgula 4 7 2 9" xfId="49103" xr:uid="{EAFBD064-88E7-4132-98DE-99A800D14DE8}"/>
    <cellStyle name="Vírgula 4 7 3" xfId="1068" xr:uid="{FEB8933B-48DA-470C-AF81-EFC6F01E5E72}"/>
    <cellStyle name="Vírgula 4 7 3 10" xfId="54072" xr:uid="{49AD8384-EC42-4293-937E-A903FDF3A19A}"/>
    <cellStyle name="Vírgula 4 7 3 11" xfId="6572" xr:uid="{87E5ACC9-3D11-4220-970F-FFD59543FC3B}"/>
    <cellStyle name="Vírgula 4 7 3 2" xfId="4220" xr:uid="{683988FC-A4BD-45BC-A6D7-080D5A08809D}"/>
    <cellStyle name="Vírgula 4 7 3 2 2" xfId="37198" xr:uid="{B6A703F1-86F9-4653-B0E3-3197F89278D8}"/>
    <cellStyle name="Vírgula 4 7 3 2 3" xfId="52409" xr:uid="{868F1DA8-1BF3-4059-8C24-3D9BD849D54F}"/>
    <cellStyle name="Vírgula 4 7 3 2 4" xfId="55703" xr:uid="{2D096DDE-1CD1-4033-817F-315EC92DC0C4}"/>
    <cellStyle name="Vírgula 4 7 3 2 5" xfId="16858" xr:uid="{096958F5-0D34-4743-A212-625B4E229472}"/>
    <cellStyle name="Vírgula 4 7 3 3" xfId="2732" xr:uid="{826E1942-FC6F-4421-AAA8-0C7793DEE507}"/>
    <cellStyle name="Vírgula 4 7 3 3 2" xfId="40699" xr:uid="{2906D997-E53A-4AAD-9659-1A1983ECB80C}"/>
    <cellStyle name="Vírgula 4 7 3 3 3" xfId="56939" xr:uid="{97047FC6-329F-42DD-B290-99242D2F7730}"/>
    <cellStyle name="Vírgula 4 7 3 3 4" xfId="20360" xr:uid="{E9A65280-B77E-470E-A93C-135ADD68E6AB}"/>
    <cellStyle name="Vírgula 4 7 3 4" xfId="23615" xr:uid="{9107B8AB-67E3-41F6-BC41-4056FCC6FB9C}"/>
    <cellStyle name="Vírgula 4 7 3 4 2" xfId="43950" xr:uid="{0ADB8A69-38C6-4AF7-9A90-A95467F4C9FB}"/>
    <cellStyle name="Vírgula 4 7 3 5" xfId="13949" xr:uid="{A7C28FFC-EA46-4480-8547-23D97640EEFE}"/>
    <cellStyle name="Vírgula 4 7 3 5 2" xfId="34290" xr:uid="{6C098204-276B-42A8-829D-815D289DD877}"/>
    <cellStyle name="Vírgula 4 7 3 6" xfId="10071" xr:uid="{60C10121-0683-4775-ABDA-7EBB8564E1A9}"/>
    <cellStyle name="Vírgula 4 7 3 6 2" xfId="30414" xr:uid="{0EED63D0-51BA-4989-BBF0-66F239658C48}"/>
    <cellStyle name="Vírgula 4 7 3 7" xfId="26920" xr:uid="{BFB19F73-A80A-49EF-A6BF-00BEA0D2FD62}"/>
    <cellStyle name="Vírgula 4 7 3 8" xfId="49107" xr:uid="{901A4AC8-52E0-4A01-AF92-290461E56F91}"/>
    <cellStyle name="Vírgula 4 7 3 9" xfId="50777" xr:uid="{6B546E88-C74F-41AD-8752-4CCA7CD41276}"/>
    <cellStyle name="Vírgula 4 7 4" xfId="1474" xr:uid="{1C768F37-67C6-421D-8D5D-902B204A55FA}"/>
    <cellStyle name="Vírgula 4 7 4 10" xfId="54073" xr:uid="{48011F9E-1E20-4675-8EA7-D15309F1ED43}"/>
    <cellStyle name="Vírgula 4 7 4 11" xfId="7736" xr:uid="{EE28714F-49E0-48C9-BB95-153EC93C95F6}"/>
    <cellStyle name="Vírgula 4 7 4 2" xfId="3135" xr:uid="{F67A800E-02F9-4B04-B6E4-26C314BC2F86}"/>
    <cellStyle name="Vírgula 4 7 4 2 2" xfId="38361" xr:uid="{B7D188C7-E396-45AD-BADF-5F3C69E51744}"/>
    <cellStyle name="Vírgula 4 7 4 2 3" xfId="52410" xr:uid="{8746A23E-72CF-4236-8924-6CF1ACBE375C}"/>
    <cellStyle name="Vírgula 4 7 4 2 4" xfId="55704" xr:uid="{EE3D7700-AB51-4A93-95C5-3D87319F7EA2}"/>
    <cellStyle name="Vírgula 4 7 4 2 5" xfId="18021" xr:uid="{C1D27378-39DE-4CD2-A14C-10237B54E8EE}"/>
    <cellStyle name="Vírgula 4 7 4 3" xfId="21523" xr:uid="{16D75B11-C195-49C8-B338-0F44B637EF10}"/>
    <cellStyle name="Vírgula 4 7 4 3 2" xfId="41862" xr:uid="{6CF438FC-F346-4C20-8C32-A4E7D725C6CB}"/>
    <cellStyle name="Vírgula 4 7 4 3 3" xfId="57345" xr:uid="{A300F1A8-538D-4D22-B4E7-A3A4A71C0908}"/>
    <cellStyle name="Vírgula 4 7 4 4" xfId="24778" xr:uid="{6AC7C049-FCFF-467D-94DD-8B0ACA18B5A3}"/>
    <cellStyle name="Vírgula 4 7 4 4 2" xfId="45113" xr:uid="{7B490F2C-ED8B-4CA8-974E-90E0A8049BF0}"/>
    <cellStyle name="Vírgula 4 7 4 5" xfId="15113" xr:uid="{ABEEABD0-7F2D-49F0-AC6A-D21EF7487406}"/>
    <cellStyle name="Vírgula 4 7 4 5 2" xfId="35453" xr:uid="{38AA76A6-73EE-44CD-91DB-6D2F6302357F}"/>
    <cellStyle name="Vírgula 4 7 4 6" xfId="11234" xr:uid="{8FEA450F-BD6C-48A9-A43E-C73B4804C839}"/>
    <cellStyle name="Vírgula 4 7 4 6 2" xfId="31577" xr:uid="{8A90DA17-49E1-41EC-9E41-080189F80239}"/>
    <cellStyle name="Vírgula 4 7 4 7" xfId="28083" xr:uid="{E24ABFC4-DC17-48D5-9424-245336B64D63}"/>
    <cellStyle name="Vírgula 4 7 4 8" xfId="49108" xr:uid="{6913ED60-A4EF-4A4B-B3B0-E7C0BA134B5D}"/>
    <cellStyle name="Vírgula 4 7 4 9" xfId="50778" xr:uid="{CE86DCB3-3BFE-41F3-BD08-F1A8BE6C2877}"/>
    <cellStyle name="Vírgula 4 7 5" xfId="661" xr:uid="{1EED15EE-7BE1-4478-B20E-B87E703CB61B}"/>
    <cellStyle name="Vírgula 4 7 5 2" xfId="2377" xr:uid="{0EC45494-7D4B-4E11-9AD1-71E040E059D1}"/>
    <cellStyle name="Vírgula 4 7 5 2 2" xfId="52411" xr:uid="{6F80FB68-C527-4607-BC97-1B0142A8CDEF}"/>
    <cellStyle name="Vírgula 4 7 5 2 3" xfId="55705" xr:uid="{7D989415-26E1-4C57-B333-A0DA12210347}"/>
    <cellStyle name="Vírgula 4 7 5 2 4" xfId="33144" xr:uid="{45686E89-AF56-44D9-A99F-C098BB3B566C}"/>
    <cellStyle name="Vírgula 4 7 5 3" xfId="49109" xr:uid="{8C45B0F1-14CB-4671-A1B8-13183548A246}"/>
    <cellStyle name="Vírgula 4 7 5 3 2" xfId="56532" xr:uid="{5C6EEE15-6729-4FE1-AF55-81B331D94CFB}"/>
    <cellStyle name="Vírgula 4 7 5 4" xfId="50779" xr:uid="{3C27C283-4F68-46D8-A1A9-D2561780BEAA}"/>
    <cellStyle name="Vírgula 4 7 5 5" xfId="54074" xr:uid="{6AEEDFC9-4F2A-4758-B0C6-399719830B7C}"/>
    <cellStyle name="Vírgula 4 7 5 6" xfId="12803" xr:uid="{4080F81C-AD8E-48E9-8C96-733CD196AAE8}"/>
    <cellStyle name="Vírgula 4 7 6" xfId="3488" xr:uid="{11D88125-2DEE-45DB-A44B-21631E6A25B3}"/>
    <cellStyle name="Vírgula 4 7 6 2" xfId="36040" xr:uid="{0CB7CE0A-ECE6-4AED-BC1D-80226CD53D4B}"/>
    <cellStyle name="Vírgula 4 7 6 3" xfId="52404" xr:uid="{C29B5993-0EBB-4FF7-A0B9-94CC4DCAB3B5}"/>
    <cellStyle name="Vírgula 4 7 6 4" xfId="55698" xr:uid="{FA35C86B-4415-4080-994A-CD5AB9BD1897}"/>
    <cellStyle name="Vírgula 4 7 6 5" xfId="15700" xr:uid="{58AABA5D-7BE4-46C8-80CE-69FDE9886ADC}"/>
    <cellStyle name="Vírgula 4 7 7" xfId="3877" xr:uid="{13CAD2D0-269C-4F5E-8897-04EB23A32756}"/>
    <cellStyle name="Vírgula 4 7 7 2" xfId="38954" xr:uid="{5B893CF6-25CE-467A-962B-F45309929039}"/>
    <cellStyle name="Vírgula 4 7 7 3" xfId="56123" xr:uid="{23CD4CC3-E702-463D-90AB-8029CC01BD05}"/>
    <cellStyle name="Vírgula 4 7 7 4" xfId="18614" xr:uid="{C206C269-46DD-495C-B323-025A3F9B4D76}"/>
    <cellStyle name="Vírgula 4 7 8" xfId="1837" xr:uid="{A1A3F0AE-F46E-4D61-84AB-EB5075D0BA1C}"/>
    <cellStyle name="Vírgula 4 7 8 2" xfId="39541" xr:uid="{68A8DFF9-D676-4D23-B0CF-8731C1E8D194}"/>
    <cellStyle name="Vírgula 4 7 8 3" xfId="19202" xr:uid="{6C336F36-3FE9-444A-97D6-2D61CF29F674}"/>
    <cellStyle name="Vírgula 4 7 9" xfId="22457" xr:uid="{122B1C4F-AE16-4998-961B-2957821B5CA2}"/>
    <cellStyle name="Vírgula 4 7 9 2" xfId="42792" xr:uid="{B6094EDB-E9F4-43CC-AC2D-E56A23B808CE}"/>
    <cellStyle name="Vírgula 4 8" xfId="307" xr:uid="{43FAAD29-0CEB-4146-B587-03B338023A1F}"/>
    <cellStyle name="Vírgula 4 8 10" xfId="12232" xr:uid="{39E15695-AABB-48AF-9FAC-C79E162172D1}"/>
    <cellStyle name="Vírgula 4 8 10 2" xfId="32573" xr:uid="{BEE9D34A-F35D-4A3D-A367-2D24C673B53C}"/>
    <cellStyle name="Vírgula 4 8 11" xfId="8971" xr:uid="{F36176AC-D14C-4FBC-88E8-3CD42BD7C4B5}"/>
    <cellStyle name="Vírgula 4 8 11 2" xfId="29314" xr:uid="{D1BDD0AF-87FA-4DEB-AC95-9ED0B7BC1603}"/>
    <cellStyle name="Vírgula 4 8 12" xfId="25820" xr:uid="{8941351E-CBD3-401D-9EBC-10740E118158}"/>
    <cellStyle name="Vírgula 4 8 13" xfId="49110" xr:uid="{E6074AAA-890B-4216-A6D3-ECF3A216B6D3}"/>
    <cellStyle name="Vírgula 4 8 14" xfId="50780" xr:uid="{425025BE-4931-4B6F-A65E-5BAE9D5ACB3F}"/>
    <cellStyle name="Vírgula 4 8 15" xfId="54075" xr:uid="{7593CCB2-9D7F-479D-A0B5-1618EF1F93F1}"/>
    <cellStyle name="Vírgula 4 8 16" xfId="5481" xr:uid="{26F2A255-FE8C-4CBA-84A9-05538CCD7B17}"/>
    <cellStyle name="Vírgula 4 8 17" xfId="4588" xr:uid="{DF7280AF-D069-40D1-A665-30FD24A856EF}"/>
    <cellStyle name="Vírgula 4 8 2" xfId="1123" xr:uid="{0F43D870-78FB-4EA6-BFE2-BD20E9D2426E}"/>
    <cellStyle name="Vírgula 4 8 2 10" xfId="50781" xr:uid="{64FE289A-6F64-499E-9EA7-7E5268FC4301}"/>
    <cellStyle name="Vírgula 4 8 2 11" xfId="54076" xr:uid="{303728DD-5693-4B9D-B295-E9E00D97C99D}"/>
    <cellStyle name="Vírgula 4 8 2 12" xfId="6053" xr:uid="{3D85198C-3FEE-49DE-9762-8B7BBB8DA672}"/>
    <cellStyle name="Vírgula 4 8 2 2" xfId="4098" xr:uid="{B95C76B4-D9B6-4182-94DD-C6BEC9E21F2B}"/>
    <cellStyle name="Vírgula 4 8 2 2 10" xfId="7211" xr:uid="{58053489-66D1-4DF1-889A-63AABBB59727}"/>
    <cellStyle name="Vírgula 4 8 2 2 2" xfId="17497" xr:uid="{B1B7BC2A-9A22-4DE8-AEA8-DB97A00F6CC4}"/>
    <cellStyle name="Vírgula 4 8 2 2 2 2" xfId="37837" xr:uid="{D9019806-37CB-42B0-ADD6-F980F1499B8E}"/>
    <cellStyle name="Vírgula 4 8 2 2 3" xfId="20999" xr:uid="{325771C5-61CB-4FA2-98EA-80818C909879}"/>
    <cellStyle name="Vírgula 4 8 2 2 3 2" xfId="41338" xr:uid="{2BA6A8C1-9959-493A-A410-A579270D2A49}"/>
    <cellStyle name="Vírgula 4 8 2 2 4" xfId="24254" xr:uid="{5BA1C82D-6A9A-4D25-9772-CA6088CF1CC7}"/>
    <cellStyle name="Vírgula 4 8 2 2 4 2" xfId="44589" xr:uid="{D15CF3C7-88B9-43AE-9750-FD86D3EE290A}"/>
    <cellStyle name="Vírgula 4 8 2 2 5" xfId="14588" xr:uid="{961C866A-B828-4576-94E4-7CA68511BF21}"/>
    <cellStyle name="Vírgula 4 8 2 2 5 2" xfId="34929" xr:uid="{F2CBBE8B-F970-4E10-8F0A-6E525D8896E8}"/>
    <cellStyle name="Vírgula 4 8 2 2 6" xfId="10710" xr:uid="{77DB0B97-D5AB-44E5-B5CF-5B1E8241A7F5}"/>
    <cellStyle name="Vírgula 4 8 2 2 6 2" xfId="31053" xr:uid="{A198991C-4D97-4EDF-9A99-B8671664882E}"/>
    <cellStyle name="Vírgula 4 8 2 2 7" xfId="27559" xr:uid="{F6C88C35-57E6-41A1-BB0D-F51B80ACAE82}"/>
    <cellStyle name="Vírgula 4 8 2 2 8" xfId="52413" xr:uid="{1E1CF481-B5BF-495A-BEB0-4D8093651FC5}"/>
    <cellStyle name="Vírgula 4 8 2 2 9" xfId="55707" xr:uid="{C4004ED8-E9E0-4CED-BEB3-A2C408637DA5}"/>
    <cellStyle name="Vírgula 4 8 2 3" xfId="2785" xr:uid="{B8451994-B758-4551-B1C2-279921FD4398}"/>
    <cellStyle name="Vírgula 4 8 2 3 2" xfId="36679" xr:uid="{971E95E3-1DA5-4D5D-8994-E37D32352376}"/>
    <cellStyle name="Vírgula 4 8 2 3 3" xfId="56994" xr:uid="{E0CEF4D3-36F3-4AD3-8480-5A9DEF201550}"/>
    <cellStyle name="Vírgula 4 8 2 3 4" xfId="16339" xr:uid="{7E536A99-0095-484E-B986-89B89E12EDF6}"/>
    <cellStyle name="Vírgula 4 8 2 4" xfId="19841" xr:uid="{22817627-E07D-44C2-97E2-F1674CFEE899}"/>
    <cellStyle name="Vírgula 4 8 2 4 2" xfId="40180" xr:uid="{39713C41-607A-4127-B559-EC7BEABAF280}"/>
    <cellStyle name="Vírgula 4 8 2 5" xfId="23096" xr:uid="{FB02E156-C953-4699-9B12-4EA6DF0BEA33}"/>
    <cellStyle name="Vírgula 4 8 2 5 2" xfId="43431" xr:uid="{10B587AC-0168-4201-9694-CBEA3076E72C}"/>
    <cellStyle name="Vírgula 4 8 2 6" xfId="13430" xr:uid="{520DDB4E-B6F0-4042-86D4-59D8633CF45F}"/>
    <cellStyle name="Vírgula 4 8 2 6 2" xfId="33771" xr:uid="{3E29BDB4-E84B-48CD-B49E-2DBC1A7856F4}"/>
    <cellStyle name="Vírgula 4 8 2 7" xfId="9552" xr:uid="{838886A8-6616-453D-882F-319F20726DBC}"/>
    <cellStyle name="Vírgula 4 8 2 7 2" xfId="29895" xr:uid="{032B27E2-EF89-4762-9926-9B6DE791D84C}"/>
    <cellStyle name="Vírgula 4 8 2 8" xfId="26401" xr:uid="{9E3F7046-7BCA-4647-A827-CF67B941FAC7}"/>
    <cellStyle name="Vírgula 4 8 2 9" xfId="49111" xr:uid="{C9037E7A-7D56-4B65-9B53-C45221CEE55C}"/>
    <cellStyle name="Vírgula 4 8 3" xfId="1529" xr:uid="{1A41DDE3-33C5-458F-8908-2F203FC7ED75}"/>
    <cellStyle name="Vírgula 4 8 3 10" xfId="54077" xr:uid="{24D40293-178B-4443-B2E9-2755D7BA654E}"/>
    <cellStyle name="Vírgula 4 8 3 11" xfId="6630" xr:uid="{6FDBDB37-E590-476F-A9CB-242D72B56232}"/>
    <cellStyle name="Vírgula 4 8 3 2" xfId="4270" xr:uid="{02DCBAD7-F4A3-4073-B7A0-B110E7C24559}"/>
    <cellStyle name="Vírgula 4 8 3 2 2" xfId="37256" xr:uid="{E4AFD416-013F-4D1D-B886-4C848C7583A4}"/>
    <cellStyle name="Vírgula 4 8 3 2 3" xfId="52414" xr:uid="{BD81551C-89DE-4DB9-97E8-89A541F7F4A6}"/>
    <cellStyle name="Vírgula 4 8 3 2 4" xfId="55708" xr:uid="{A7B952C5-7CC3-4DA5-906A-4EA2B2422D42}"/>
    <cellStyle name="Vírgula 4 8 3 2 5" xfId="16916" xr:uid="{EAE00725-AEA1-4ED1-9256-34B386554CFB}"/>
    <cellStyle name="Vírgula 4 8 3 3" xfId="3190" xr:uid="{7AE68C92-5BFE-4AB5-A274-B1CEEEA256A6}"/>
    <cellStyle name="Vírgula 4 8 3 3 2" xfId="40757" xr:uid="{30C648CE-E219-46DD-8565-C1659D46B3CB}"/>
    <cellStyle name="Vírgula 4 8 3 3 3" xfId="57400" xr:uid="{36DBAA9B-2486-4316-8ECF-88E99941BFEF}"/>
    <cellStyle name="Vírgula 4 8 3 3 4" xfId="20418" xr:uid="{4BF852C0-6AD5-4A9B-8E7F-C40914643BF8}"/>
    <cellStyle name="Vírgula 4 8 3 4" xfId="23673" xr:uid="{BE44DE05-44C2-4CDD-AA25-844800414868}"/>
    <cellStyle name="Vírgula 4 8 3 4 2" xfId="44008" xr:uid="{66831329-86CD-4726-B16D-EE74B4EBA25E}"/>
    <cellStyle name="Vírgula 4 8 3 5" xfId="14007" xr:uid="{70B98632-B40B-40D4-A2D9-30F0C33DAD8C}"/>
    <cellStyle name="Vírgula 4 8 3 5 2" xfId="34348" xr:uid="{50D08890-13F1-43D0-8EC5-6BD0F3CFC8CF}"/>
    <cellStyle name="Vírgula 4 8 3 6" xfId="10129" xr:uid="{B5423616-1714-4C5C-A25C-55AE682D9498}"/>
    <cellStyle name="Vírgula 4 8 3 6 2" xfId="30472" xr:uid="{73992F66-38DA-419E-BDF2-EE33B6B5C8FD}"/>
    <cellStyle name="Vírgula 4 8 3 7" xfId="26978" xr:uid="{D41E234E-AFC1-4AC3-896C-17CE97B8F8D0}"/>
    <cellStyle name="Vírgula 4 8 3 8" xfId="49112" xr:uid="{9E170C3D-C44D-4267-81F9-53212462E039}"/>
    <cellStyle name="Vírgula 4 8 3 9" xfId="50782" xr:uid="{89287558-F98D-46C8-8D16-D5364231AC9D}"/>
    <cellStyle name="Vírgula 4 8 4" xfId="716" xr:uid="{C49A8FAA-B453-440A-8CCE-139FE5E7B72D}"/>
    <cellStyle name="Vírgula 4 8 4 10" xfId="54078" xr:uid="{8EC090CB-FA53-4074-A7BF-1A36F9499214}"/>
    <cellStyle name="Vírgula 4 8 4 11" xfId="7794" xr:uid="{6DD71B45-FAD1-4DC5-A71E-80D3FF7952F7}"/>
    <cellStyle name="Vírgula 4 8 4 2" xfId="2432" xr:uid="{BA523B35-C2ED-428D-8E29-6A6F96D185B3}"/>
    <cellStyle name="Vírgula 4 8 4 2 2" xfId="38419" xr:uid="{C0CEF581-C631-4591-B7A1-BB539E596565}"/>
    <cellStyle name="Vírgula 4 8 4 2 3" xfId="52415" xr:uid="{140815C6-BD53-43E2-B1BA-346A219225ED}"/>
    <cellStyle name="Vírgula 4 8 4 2 4" xfId="55709" xr:uid="{1206BAF5-8F99-484D-A736-C855DFE847F5}"/>
    <cellStyle name="Vírgula 4 8 4 2 5" xfId="18079" xr:uid="{9DD123AA-C3E1-48DC-94F8-0FFF791E4E45}"/>
    <cellStyle name="Vírgula 4 8 4 3" xfId="21581" xr:uid="{0480EFFC-D976-46E1-89B4-5E14756EC31C}"/>
    <cellStyle name="Vírgula 4 8 4 3 2" xfId="41920" xr:uid="{057457FE-2002-4FB8-B1FD-889B1A484A6F}"/>
    <cellStyle name="Vírgula 4 8 4 3 3" xfId="56587" xr:uid="{339C2423-9624-4BE4-A685-9B39996D4185}"/>
    <cellStyle name="Vírgula 4 8 4 4" xfId="24836" xr:uid="{E178C33D-87D3-4454-B357-9E93FA16549B}"/>
    <cellStyle name="Vírgula 4 8 4 4 2" xfId="45171" xr:uid="{EFBDD9FE-C31B-4589-BB1D-1FC503B08A98}"/>
    <cellStyle name="Vírgula 4 8 4 5" xfId="15171" xr:uid="{5CD14434-ACBE-400A-ACE9-94FBEDCFA15F}"/>
    <cellStyle name="Vírgula 4 8 4 5 2" xfId="35511" xr:uid="{9A398C16-482E-4D41-803B-73BC67366E4C}"/>
    <cellStyle name="Vírgula 4 8 4 6" xfId="11292" xr:uid="{AC8F25AD-607C-4DBB-88B9-AB923DD562B8}"/>
    <cellStyle name="Vírgula 4 8 4 6 2" xfId="31635" xr:uid="{AC770C66-4970-48A2-BD8D-2ECA4FC0C4A6}"/>
    <cellStyle name="Vírgula 4 8 4 7" xfId="28141" xr:uid="{F7093EF1-8DF4-4CD0-935E-4D0DD3B19AA5}"/>
    <cellStyle name="Vírgula 4 8 4 8" xfId="49113" xr:uid="{EEF39908-996E-4D6C-835B-BA4607458D14}"/>
    <cellStyle name="Vírgula 4 8 4 9" xfId="50783" xr:uid="{AA469BA3-BD98-426E-B48C-1167DECAA871}"/>
    <cellStyle name="Vírgula 4 8 5" xfId="3707" xr:uid="{79B0A9CD-C17A-4660-BA08-F6E62277B5C8}"/>
    <cellStyle name="Vírgula 4 8 5 2" xfId="33202" xr:uid="{18272353-CD38-4383-83B9-8C114A44388C}"/>
    <cellStyle name="Vírgula 4 8 5 3" xfId="52412" xr:uid="{D69281A8-D596-4DBF-9CA9-64496AEE695E}"/>
    <cellStyle name="Vírgula 4 8 5 4" xfId="55706" xr:uid="{1E490CBF-57AA-4280-A22E-9D4D6F677124}"/>
    <cellStyle name="Vírgula 4 8 5 5" xfId="12861" xr:uid="{F4CA7C4A-303F-49EC-A87E-C7DFD4A91F13}"/>
    <cellStyle name="Vírgula 4 8 6" xfId="3926" xr:uid="{0238647C-04C5-4482-8F28-15EE706D93F0}"/>
    <cellStyle name="Vírgula 4 8 6 2" xfId="36098" xr:uid="{44918677-9E88-4336-9998-56F8252BCC20}"/>
    <cellStyle name="Vírgula 4 8 6 3" xfId="56178" xr:uid="{3D2AA345-DFEE-41A6-BA3B-5A892FE84C49}"/>
    <cellStyle name="Vírgula 4 8 6 4" xfId="15758" xr:uid="{134BC5F7-EE5F-4640-A06C-9DB6D378DC16}"/>
    <cellStyle name="Vírgula 4 8 7" xfId="2108" xr:uid="{3378AFF9-8FFC-4C58-8E1F-FE64752AC720}"/>
    <cellStyle name="Vírgula 4 8 7 2" xfId="39012" xr:uid="{B0EBEC60-AE05-4A9E-B894-0D4E2640104D}"/>
    <cellStyle name="Vírgula 4 8 7 3" xfId="18672" xr:uid="{36A55946-8977-41DC-99E9-A70D24A83026}"/>
    <cellStyle name="Vírgula 4 8 8" xfId="19260" xr:uid="{6C869F9B-17A9-49F2-88F3-92280D049155}"/>
    <cellStyle name="Vírgula 4 8 8 2" xfId="39599" xr:uid="{FB5A8849-3623-4BA4-B4FA-EAFEC905647A}"/>
    <cellStyle name="Vírgula 4 8 9" xfId="22515" xr:uid="{170DF272-362B-4A5E-9912-C4A3BFF73CB3}"/>
    <cellStyle name="Vírgula 4 8 9 2" xfId="42850" xr:uid="{618D6B86-9C35-4F59-A2A7-E6E4AEC4D0A8}"/>
    <cellStyle name="Vírgula 4 9" xfId="118" xr:uid="{407D5A0F-F761-4434-9356-2F6FBEDE8A04}"/>
    <cellStyle name="Vírgula 4 9 10" xfId="4345" xr:uid="{434DE3CB-798E-4A23-9E37-1B15BF0D2A20}"/>
    <cellStyle name="Vírgula 4 9 10 2" xfId="32632" xr:uid="{D14A7641-F6CB-45E7-B657-B31B0BFF7B19}"/>
    <cellStyle name="Vírgula 4 9 10 3" xfId="12291" xr:uid="{E9041689-0ACA-43E0-BFFE-675D0176B80B}"/>
    <cellStyle name="Vírgula 4 9 11" xfId="9030" xr:uid="{B2A58F11-3B23-4A1B-ABF0-4E9EBC109B92}"/>
    <cellStyle name="Vírgula 4 9 11 2" xfId="29373" xr:uid="{F0B28DC0-AFBB-4788-8DC4-2B9C93DE9A1F}"/>
    <cellStyle name="Vírgula 4 9 12" xfId="25879" xr:uid="{8824A046-B243-4640-AD53-7607651155D8}"/>
    <cellStyle name="Vírgula 4 9 13" xfId="49114" xr:uid="{9860BF4C-370C-490D-8485-C0B93532BA71}"/>
    <cellStyle name="Vírgula 4 9 14" xfId="50784" xr:uid="{3CA57ACF-DFF2-45E9-AB7D-F72EC7D01D7E}"/>
    <cellStyle name="Vírgula 4 9 15" xfId="54079" xr:uid="{07122CB8-D8D2-4FE4-B3A4-6CEF21A0BCE5}"/>
    <cellStyle name="Vírgula 4 9 16" xfId="5540" xr:uid="{B3AA922D-08D0-4B8D-BF3B-7E5EE8FECB42}"/>
    <cellStyle name="Vírgula 4 9 17" xfId="4399" xr:uid="{D17BB731-62F6-4FFE-A4F1-447685CBBDBE}"/>
    <cellStyle name="Vírgula 4 9 2" xfId="934" xr:uid="{95543563-2241-412D-835A-5E4035F4F28B}"/>
    <cellStyle name="Vírgula 4 9 2 10" xfId="50785" xr:uid="{22A105AC-D94C-44FF-893E-F820CB973F42}"/>
    <cellStyle name="Vírgula 4 9 2 11" xfId="54080" xr:uid="{B32F0EF3-A440-4EC2-87DF-7AB4B531C02B}"/>
    <cellStyle name="Vírgula 4 9 2 12" xfId="6112" xr:uid="{1D05F1B2-E0A7-47F7-9486-7927E5643291}"/>
    <cellStyle name="Vírgula 4 9 2 2" xfId="2649" xr:uid="{2CA3A533-DB5C-406A-A592-DB1DE0B9A961}"/>
    <cellStyle name="Vírgula 4 9 2 2 10" xfId="7270" xr:uid="{8CB38AC4-8F80-4777-8B3B-459E38F7915A}"/>
    <cellStyle name="Vírgula 4 9 2 2 2" xfId="17556" xr:uid="{9104612C-C9CF-48A5-AD39-D562C273EBAC}"/>
    <cellStyle name="Vírgula 4 9 2 2 2 2" xfId="37896" xr:uid="{B35914D3-DCCC-47C3-92B0-2E3EF8D8FEFF}"/>
    <cellStyle name="Vírgula 4 9 2 2 3" xfId="21058" xr:uid="{D9A3253D-856F-415D-8964-E56B00C26DF9}"/>
    <cellStyle name="Vírgula 4 9 2 2 3 2" xfId="41397" xr:uid="{0FE8B977-67D2-47B6-8D3D-0B1D37BF642B}"/>
    <cellStyle name="Vírgula 4 9 2 2 4" xfId="24313" xr:uid="{D66AB933-E82F-466A-9B74-FEEE5B486645}"/>
    <cellStyle name="Vírgula 4 9 2 2 4 2" xfId="44648" xr:uid="{3F0DEF68-A041-468D-BE26-7CBE613BC13D}"/>
    <cellStyle name="Vírgula 4 9 2 2 5" xfId="14647" xr:uid="{DBF01C95-56F6-438C-9579-A7C2270F05DE}"/>
    <cellStyle name="Vírgula 4 9 2 2 5 2" xfId="34988" xr:uid="{F7A21DEE-0083-4100-B638-E3EC0D5185B6}"/>
    <cellStyle name="Vírgula 4 9 2 2 6" xfId="10769" xr:uid="{C452CF51-F5DE-4B51-8B70-654040A6FC2B}"/>
    <cellStyle name="Vírgula 4 9 2 2 6 2" xfId="31112" xr:uid="{53530148-3B6C-4E1B-9606-6D4BA9F0AC88}"/>
    <cellStyle name="Vírgula 4 9 2 2 7" xfId="27618" xr:uid="{C87CFDD1-6ECA-4B05-BC79-7954CC9AAC1A}"/>
    <cellStyle name="Vírgula 4 9 2 2 8" xfId="52417" xr:uid="{898CC56A-9D6C-43C8-98A2-1808ECF7BCF8}"/>
    <cellStyle name="Vírgula 4 9 2 2 9" xfId="55711" xr:uid="{AD2CFD33-23BB-44FD-B748-F06A90F01BD5}"/>
    <cellStyle name="Vírgula 4 9 2 3" xfId="16398" xr:uid="{D444B647-C52D-40FB-979D-328716309076}"/>
    <cellStyle name="Vírgula 4 9 2 3 2" xfId="36738" xr:uid="{E007B287-F546-4442-85DE-5ED199EA6604}"/>
    <cellStyle name="Vírgula 4 9 2 3 3" xfId="56805" xr:uid="{70BB44B6-252A-4CFF-B94B-0F3F4F53DEC6}"/>
    <cellStyle name="Vírgula 4 9 2 4" xfId="19900" xr:uid="{6531D2A1-BE58-4C8D-8E3B-5412180F7CF2}"/>
    <cellStyle name="Vírgula 4 9 2 4 2" xfId="40239" xr:uid="{030653A2-5502-4E7A-9FB1-1B0DE8F133B1}"/>
    <cellStyle name="Vírgula 4 9 2 5" xfId="23155" xr:uid="{1F073E06-C342-4A9B-B88F-2AB72F22D4EE}"/>
    <cellStyle name="Vírgula 4 9 2 5 2" xfId="43490" xr:uid="{5CCD3AF3-14B7-489D-B396-0DB2326E7F87}"/>
    <cellStyle name="Vírgula 4 9 2 6" xfId="13489" xr:uid="{2C7C00A1-ED56-46C0-97D7-283B538D8C8C}"/>
    <cellStyle name="Vírgula 4 9 2 6 2" xfId="33830" xr:uid="{A556E33D-13A1-4D20-8F40-1521BAE55A65}"/>
    <cellStyle name="Vírgula 4 9 2 7" xfId="9611" xr:uid="{DB6ACCBE-A34D-4EE0-B6FF-B4FCCAC5A5CC}"/>
    <cellStyle name="Vírgula 4 9 2 7 2" xfId="29954" xr:uid="{D254C884-E322-4981-A020-FB48A963311C}"/>
    <cellStyle name="Vírgula 4 9 2 8" xfId="26460" xr:uid="{366EBDFE-ED1F-42F8-82E0-78663F2151EC}"/>
    <cellStyle name="Vírgula 4 9 2 9" xfId="49115" xr:uid="{A1E32F91-E15D-4C07-8E89-74E5A9865E33}"/>
    <cellStyle name="Vírgula 4 9 3" xfId="1340" xr:uid="{5EB8E2BD-2E23-441A-9B4B-F355A765026A}"/>
    <cellStyle name="Vírgula 4 9 3 10" xfId="54081" xr:uid="{C69AAE04-4A5B-4A81-908C-4FB662EE556E}"/>
    <cellStyle name="Vírgula 4 9 3 11" xfId="6689" xr:uid="{AA1FFBFA-1773-49E4-AA77-0E38DD992738}"/>
    <cellStyle name="Vírgula 4 9 3 2" xfId="3001" xr:uid="{15C6103A-B960-4510-909D-50CAB49C57EF}"/>
    <cellStyle name="Vírgula 4 9 3 2 2" xfId="37315" xr:uid="{0EF4E1E3-27F0-490E-9E80-A5EB1E6C6574}"/>
    <cellStyle name="Vírgula 4 9 3 2 3" xfId="52418" xr:uid="{E46C50A1-7803-482A-BF8C-8691DA7DE5C8}"/>
    <cellStyle name="Vírgula 4 9 3 2 4" xfId="55712" xr:uid="{49C54E4A-4CC0-4B65-A1AF-71720D4E0EEC}"/>
    <cellStyle name="Vírgula 4 9 3 2 5" xfId="16975" xr:uid="{0C445474-80E8-4DBD-B9C8-02BF8883D5F9}"/>
    <cellStyle name="Vírgula 4 9 3 3" xfId="20477" xr:uid="{00E83C52-A7A0-469A-AD5F-423395391475}"/>
    <cellStyle name="Vírgula 4 9 3 3 2" xfId="40816" xr:uid="{159AB06B-5C72-419C-BA51-564B302582C5}"/>
    <cellStyle name="Vírgula 4 9 3 3 3" xfId="57211" xr:uid="{5899AC2F-A673-43C1-A731-E79D03F8C55E}"/>
    <cellStyle name="Vírgula 4 9 3 4" xfId="23732" xr:uid="{C90E5BDE-2AE1-4663-AE1F-F9D8ACD63608}"/>
    <cellStyle name="Vírgula 4 9 3 4 2" xfId="44067" xr:uid="{078A32D7-1779-4F64-A7CA-F4D3CD6ACD0B}"/>
    <cellStyle name="Vírgula 4 9 3 5" xfId="14066" xr:uid="{32AC661C-1289-4473-9DEE-0B37CBB7B007}"/>
    <cellStyle name="Vírgula 4 9 3 5 2" xfId="34407" xr:uid="{43787AB6-3713-4C7E-92DA-7616F889F725}"/>
    <cellStyle name="Vírgula 4 9 3 6" xfId="10188" xr:uid="{1241B053-7AF9-44E1-9342-44FA9630B7D3}"/>
    <cellStyle name="Vírgula 4 9 3 6 2" xfId="30531" xr:uid="{572D2DE3-FEB3-4986-9F4F-8BBC3B33D4D9}"/>
    <cellStyle name="Vírgula 4 9 3 7" xfId="27037" xr:uid="{7EA5C999-4F08-4890-B549-9167AEBC35B2}"/>
    <cellStyle name="Vírgula 4 9 3 8" xfId="49116" xr:uid="{BAAC1F05-4A0B-4DC3-AFA5-4E9098C0AAF4}"/>
    <cellStyle name="Vírgula 4 9 3 9" xfId="50786" xr:uid="{1688BCDD-CC23-4378-8B0F-FC92185C2B79}"/>
    <cellStyle name="Vírgula 4 9 4" xfId="527" xr:uid="{E70F2989-C791-425C-8D68-542244E7BCEE}"/>
    <cellStyle name="Vírgula 4 9 4 10" xfId="54082" xr:uid="{595D53C8-0FEC-4569-A687-E89552BD4C9A}"/>
    <cellStyle name="Vírgula 4 9 4 11" xfId="7853" xr:uid="{C2D66FBB-5D47-4D85-9BA6-35BD2C2187E1}"/>
    <cellStyle name="Vírgula 4 9 4 2" xfId="2243" xr:uid="{71ECE1B6-A460-4222-97E6-D6350EBAFFFF}"/>
    <cellStyle name="Vírgula 4 9 4 2 2" xfId="38478" xr:uid="{B834BB47-A9AE-443B-8563-ACD0282B29E2}"/>
    <cellStyle name="Vírgula 4 9 4 2 3" xfId="52419" xr:uid="{1F34FF68-27EA-4781-9073-9E37633EC131}"/>
    <cellStyle name="Vírgula 4 9 4 2 4" xfId="55713" xr:uid="{11E26E71-3A41-415B-8C47-606CBCB221A7}"/>
    <cellStyle name="Vírgula 4 9 4 2 5" xfId="18138" xr:uid="{98EF5D94-AABD-4153-8B84-AA3ABE89A7FD}"/>
    <cellStyle name="Vírgula 4 9 4 3" xfId="21640" xr:uid="{79AB4C81-E375-4C68-A018-64E6929ED640}"/>
    <cellStyle name="Vírgula 4 9 4 3 2" xfId="41979" xr:uid="{AAE0C0AF-1D9A-4BC4-AD5C-22B9300A602D}"/>
    <cellStyle name="Vírgula 4 9 4 3 3" xfId="56398" xr:uid="{3D4EEEF5-255B-4CD4-BA4A-1777B1AEEDE4}"/>
    <cellStyle name="Vírgula 4 9 4 4" xfId="24895" xr:uid="{B2D3F73D-AF97-46A4-90DE-5A9334E55E9F}"/>
    <cellStyle name="Vírgula 4 9 4 4 2" xfId="45230" xr:uid="{883C771D-25E7-4FE9-B332-3439D0E532AC}"/>
    <cellStyle name="Vírgula 4 9 4 5" xfId="15230" xr:uid="{7D66B405-C7CF-4E0D-9DEA-42A73EDC1E6F}"/>
    <cellStyle name="Vírgula 4 9 4 5 2" xfId="35570" xr:uid="{0F9E3DED-1E08-49C5-BA05-832875C90C96}"/>
    <cellStyle name="Vírgula 4 9 4 6" xfId="11351" xr:uid="{521E7C9A-D486-47C4-B9D6-36CF85D069FA}"/>
    <cellStyle name="Vírgula 4 9 4 6 2" xfId="31694" xr:uid="{B741909F-114E-4518-BAA8-8E6C08646BD9}"/>
    <cellStyle name="Vírgula 4 9 4 7" xfId="28200" xr:uid="{80338732-782D-4D11-84B8-9D6AF6AF7660}"/>
    <cellStyle name="Vírgula 4 9 4 8" xfId="49117" xr:uid="{930015F3-C26F-4B03-BCC2-3DF536B0D6B8}"/>
    <cellStyle name="Vírgula 4 9 4 9" xfId="50787" xr:uid="{D9A04C70-CB9D-40F4-A1FF-3B38DDFFE02E}"/>
    <cellStyle name="Vírgula 4 9 5" xfId="2100" xr:uid="{3DF08A34-84D9-4B13-8BC5-C173268A41E0}"/>
    <cellStyle name="Vírgula 4 9 5 2" xfId="33261" xr:uid="{44D71E1F-C29D-4AFF-875B-8731A19FE6AC}"/>
    <cellStyle name="Vírgula 4 9 5 3" xfId="52416" xr:uid="{00D22FA5-73F6-419D-B1E0-3EDA29C25E81}"/>
    <cellStyle name="Vírgula 4 9 5 4" xfId="55710" xr:uid="{A81E0D64-5B96-45C6-9BA5-A5603B4F0D45}"/>
    <cellStyle name="Vírgula 4 9 5 5" xfId="12920" xr:uid="{6EBC0BDD-EB36-4E58-84F6-B5AC42C8A41F}"/>
    <cellStyle name="Vírgula 4 9 6" xfId="3989" xr:uid="{FA142217-EAA7-4201-9060-C72E2FE20F05}"/>
    <cellStyle name="Vírgula 4 9 6 2" xfId="36157" xr:uid="{464B3631-4F22-412C-BB33-CEED5B2656A0}"/>
    <cellStyle name="Vírgula 4 9 6 3" xfId="55989" xr:uid="{40B581A1-671D-4640-9E6D-6121423218B7}"/>
    <cellStyle name="Vírgula 4 9 6 4" xfId="15817" xr:uid="{C895EBC3-F0D8-456A-A803-2FC6A6483D6C}"/>
    <cellStyle name="Vírgula 4 9 7" xfId="4331" xr:uid="{85A24DF7-EE52-474D-BA8E-F0A929E84510}"/>
    <cellStyle name="Vírgula 4 9 7 2" xfId="39071" xr:uid="{2FDBEDC1-94C9-4E4B-938D-E5B236867BAD}"/>
    <cellStyle name="Vírgula 4 9 7 3" xfId="18731" xr:uid="{9B894CCB-0C16-40DC-AAEE-B3B8720E12E5}"/>
    <cellStyle name="Vírgula 4 9 8" xfId="1720" xr:uid="{7E11C9E7-BBD9-45FC-9DC0-54E554991EAE}"/>
    <cellStyle name="Vírgula 4 9 8 2" xfId="39658" xr:uid="{3BADC65E-4BA0-4427-83E8-9608D945E430}"/>
    <cellStyle name="Vírgula 4 9 8 3" xfId="19319" xr:uid="{7D1A265A-9DF6-45BB-B9B0-6FE4B03E3289}"/>
    <cellStyle name="Vírgula 4 9 9" xfId="4340" xr:uid="{14037A99-1C06-426E-B062-A6A1DAB94571}"/>
    <cellStyle name="Vírgula 4 9 9 2" xfId="42909" xr:uid="{0C7290AE-EB10-41D0-97ED-0C2DEB18E204}"/>
    <cellStyle name="Vírgula 4 9 9 3" xfId="22574" xr:uid="{2B6343E6-C78F-4242-9D68-02A2F44E5E07}"/>
    <cellStyle name="Vírgula 40" xfId="47278" xr:uid="{47E68DBA-A236-4E4B-AA7E-0FEBE21FC561}"/>
    <cellStyle name="Vírgula 41" xfId="47281" xr:uid="{42F5E12B-5356-457A-95FC-3C264998F566}"/>
    <cellStyle name="Vírgula 42" xfId="47283" xr:uid="{9E1A599D-9A63-4F92-ACD5-47F5352B5E9C}"/>
    <cellStyle name="Vírgula 43" xfId="47285" xr:uid="{4C5FDE3D-90B0-4057-9FD1-6B409B15AC4B}"/>
    <cellStyle name="Vírgula 43 2" xfId="47288" xr:uid="{AE77282E-529C-4F08-843C-2DDC137D9422}"/>
    <cellStyle name="Vírgula 44" xfId="47291" xr:uid="{1DF50173-D07E-4B64-91D9-52B1871A3AE6}"/>
    <cellStyle name="Vírgula 45" xfId="47417" xr:uid="{C34CC2EC-E21A-44E1-858C-614420EE59CE}"/>
    <cellStyle name="Vírgula 46" xfId="47543" xr:uid="{B3A70A9A-51AE-4A15-AA72-D4FBCE768E9A}"/>
    <cellStyle name="Vírgula 47" xfId="47669" xr:uid="{44C8725F-AD53-4D21-82FA-18017CE0E5C5}"/>
    <cellStyle name="Vírgula 48" xfId="47673" xr:uid="{F4720BE1-0772-455F-89C6-476935840F7C}"/>
    <cellStyle name="Vírgula 49" xfId="47677" xr:uid="{5C286C2B-09D3-4996-91DB-AED665705F4F}"/>
    <cellStyle name="Vírgula 5" xfId="51" xr:uid="{726FD9B7-202E-4389-ADE8-0976968FD68D}"/>
    <cellStyle name="Vírgula 5 10" xfId="1324" xr:uid="{599E7353-4C61-4E66-A4AC-583E5EFAD1CB}"/>
    <cellStyle name="Vírgula 5 10 10" xfId="50789" xr:uid="{2A7D3E8F-83F4-4CAE-898C-632A1984E6E8}"/>
    <cellStyle name="Vírgula 5 10 11" xfId="54084" xr:uid="{AD06379A-1732-4B2C-BAEE-0F966D14B3F7}"/>
    <cellStyle name="Vírgula 5 10 12" xfId="5786" xr:uid="{1E828DA0-347B-4FC7-BA79-79C40CB3EC30}"/>
    <cellStyle name="Vírgula 5 10 2" xfId="2985" xr:uid="{62C91FBE-EB05-43AB-A2F8-189F048D4C4D}"/>
    <cellStyle name="Vírgula 5 10 2 10" xfId="6944" xr:uid="{A183E99A-8A51-4824-92F3-EE83CEE247A0}"/>
    <cellStyle name="Vírgula 5 10 2 2" xfId="17230" xr:uid="{0AFF4B32-A2E5-4186-95A1-3536F6C2F76E}"/>
    <cellStyle name="Vírgula 5 10 2 2 2" xfId="37570" xr:uid="{D90B80F5-91BF-4DA5-88A6-9CF0957DD426}"/>
    <cellStyle name="Vírgula 5 10 2 3" xfId="20732" xr:uid="{3AFF89B5-5CD7-4B67-9A98-53E8D895B289}"/>
    <cellStyle name="Vírgula 5 10 2 3 2" xfId="41071" xr:uid="{B878929E-82C4-4C2C-8E38-B563F5299E58}"/>
    <cellStyle name="Vírgula 5 10 2 4" xfId="23987" xr:uid="{840D8320-E88E-415F-923A-4A7F4DB100B4}"/>
    <cellStyle name="Vírgula 5 10 2 4 2" xfId="44322" xr:uid="{AB18BCE9-A6C2-4A50-B040-6ACF47322270}"/>
    <cellStyle name="Vírgula 5 10 2 5" xfId="14321" xr:uid="{6790DF07-AA6F-4F59-B75D-B940D224847F}"/>
    <cellStyle name="Vírgula 5 10 2 5 2" xfId="34662" xr:uid="{A45C930F-57B1-483F-A12B-52D7DC663B98}"/>
    <cellStyle name="Vírgula 5 10 2 6" xfId="10443" xr:uid="{35B0A3BD-6B91-460E-8BA0-DED2EC4491F2}"/>
    <cellStyle name="Vírgula 5 10 2 6 2" xfId="30786" xr:uid="{FC45BC25-38ED-48F5-BF04-B0EC690DE143}"/>
    <cellStyle name="Vírgula 5 10 2 7" xfId="27292" xr:uid="{8C554578-D0F3-4DEC-B433-8B2E07953653}"/>
    <cellStyle name="Vírgula 5 10 2 8" xfId="52421" xr:uid="{4C44AA48-FCC5-4669-B5DB-32EFB69AA869}"/>
    <cellStyle name="Vírgula 5 10 2 9" xfId="55715" xr:uid="{16112056-2EB7-40DC-96F0-46845F5FBA9F}"/>
    <cellStyle name="Vírgula 5 10 3" xfId="16072" xr:uid="{0632E53E-5982-4B1C-B63E-04E47C6ED01A}"/>
    <cellStyle name="Vírgula 5 10 3 2" xfId="36412" xr:uid="{CE8266E9-29E8-4587-AD23-F572E2DB0F8C}"/>
    <cellStyle name="Vírgula 5 10 3 3" xfId="57195" xr:uid="{DFA8C0E4-0423-451F-B870-7B077DBE287D}"/>
    <cellStyle name="Vírgula 5 10 4" xfId="19574" xr:uid="{D12734CA-74B9-4ECB-A4ED-858AF6487B0D}"/>
    <cellStyle name="Vírgula 5 10 4 2" xfId="39913" xr:uid="{A9A0D377-A8A2-4C62-A192-C3D40DF0611A}"/>
    <cellStyle name="Vírgula 5 10 5" xfId="22829" xr:uid="{290F1C78-7894-4601-9C9B-722D62A51CBB}"/>
    <cellStyle name="Vírgula 5 10 5 2" xfId="43164" xr:uid="{EFA1066C-D746-4398-90BD-C1B06925D599}"/>
    <cellStyle name="Vírgula 5 10 6" xfId="12532" xr:uid="{BC1A494A-10AB-4750-9851-7B966F390C3E}"/>
    <cellStyle name="Vírgula 5 10 6 2" xfId="32873" xr:uid="{F579B0E2-0511-4807-847B-006806C8441F}"/>
    <cellStyle name="Vírgula 5 10 7" xfId="9285" xr:uid="{D53ADBB0-B7F0-46E3-9013-5ADA3F66AE3A}"/>
    <cellStyle name="Vírgula 5 10 7 2" xfId="29628" xr:uid="{33CC25AF-93FC-4CDC-AD9D-30A559AC954D}"/>
    <cellStyle name="Vírgula 5 10 8" xfId="26134" xr:uid="{F83C0FC6-6330-4A32-8F4A-31CDBC30DB61}"/>
    <cellStyle name="Vírgula 5 10 9" xfId="49119" xr:uid="{69E6CA70-B3B0-4B73-8684-DC9C0ECB7A6E}"/>
    <cellStyle name="Vírgula 5 11" xfId="511" xr:uid="{550D9F9F-9FE3-44B7-81E4-1AEEF299AF76}"/>
    <cellStyle name="Vírgula 5 11 10" xfId="54085" xr:uid="{B0621C5F-0BC4-4BDA-B1FA-82B418CCEFCF}"/>
    <cellStyle name="Vírgula 5 11 11" xfId="6363" xr:uid="{2AE237E1-A903-42AB-BCBD-3733694E43B5}"/>
    <cellStyle name="Vírgula 5 11 2" xfId="2227" xr:uid="{E73B1933-BA4F-45BF-83FB-1908AFCA9699}"/>
    <cellStyle name="Vírgula 5 11 2 2" xfId="36989" xr:uid="{C0680D47-E0FF-4B1C-BD90-ED6E2769FE6B}"/>
    <cellStyle name="Vírgula 5 11 2 3" xfId="52422" xr:uid="{F4CE7AE5-6FD5-4402-8A0B-782E724BF8DA}"/>
    <cellStyle name="Vírgula 5 11 2 4" xfId="55716" xr:uid="{73207CEE-19AB-4B78-BAEB-11B9824DE6BB}"/>
    <cellStyle name="Vírgula 5 11 2 5" xfId="16649" xr:uid="{2D985899-E4D0-4412-B1F7-7E169A04983E}"/>
    <cellStyle name="Vírgula 5 11 3" xfId="20151" xr:uid="{A5C7648A-8C5F-4F2B-867C-793E81D2E16E}"/>
    <cellStyle name="Vírgula 5 11 3 2" xfId="40490" xr:uid="{E166A36A-BB42-476E-B67F-83E8DA01BCDD}"/>
    <cellStyle name="Vírgula 5 11 3 3" xfId="56382" xr:uid="{57ABF627-2FDA-4C70-A484-B242B75211DF}"/>
    <cellStyle name="Vírgula 5 11 4" xfId="23406" xr:uid="{74A214DB-1621-4650-BDA9-023DAC306EAA}"/>
    <cellStyle name="Vírgula 5 11 4 2" xfId="43741" xr:uid="{3599155D-F79D-4E29-8E39-A25B8446D574}"/>
    <cellStyle name="Vírgula 5 11 5" xfId="13740" xr:uid="{1D95D35D-DE92-4DE7-8FAD-6E2B6F858587}"/>
    <cellStyle name="Vírgula 5 11 5 2" xfId="34081" xr:uid="{DB75C701-CC64-42BE-B218-EA8029B68309}"/>
    <cellStyle name="Vírgula 5 11 6" xfId="9862" xr:uid="{CCB49118-B627-4D0F-94AC-8D2087660D69}"/>
    <cellStyle name="Vírgula 5 11 6 2" xfId="30205" xr:uid="{1CA1B813-033D-4067-A9DC-D5135719784F}"/>
    <cellStyle name="Vírgula 5 11 7" xfId="26711" xr:uid="{5F2B0F97-B211-4B50-8E93-594297BDD875}"/>
    <cellStyle name="Vírgula 5 11 8" xfId="49120" xr:uid="{A44D39A6-C2FC-4692-B24B-59C23345034B}"/>
    <cellStyle name="Vírgula 5 11 9" xfId="50790" xr:uid="{50DD9342-BD0A-42BB-9733-9655BC16F684}"/>
    <cellStyle name="Vírgula 5 12" xfId="2052" xr:uid="{3681479A-E9CB-4586-9A55-20576006F051}"/>
    <cellStyle name="Vírgula 5 12 10" xfId="7527" xr:uid="{861B73A3-4783-4ECE-968D-F1B3E70BC329}"/>
    <cellStyle name="Vírgula 5 12 2" xfId="17812" xr:uid="{475622C3-D602-418A-9566-4FBB78C886C7}"/>
    <cellStyle name="Vírgula 5 12 2 2" xfId="38152" xr:uid="{C3FFC1D8-683E-4275-8AE4-6107855E07D4}"/>
    <cellStyle name="Vírgula 5 12 3" xfId="21314" xr:uid="{E74B180C-8EEA-4F78-98C5-6FAD0B11059C}"/>
    <cellStyle name="Vírgula 5 12 3 2" xfId="41653" xr:uid="{EDC14C2E-071A-4192-9DB3-66D482933AA7}"/>
    <cellStyle name="Vírgula 5 12 4" xfId="24569" xr:uid="{95727F49-68C8-4089-ABA7-1A20E0DE9784}"/>
    <cellStyle name="Vírgula 5 12 4 2" xfId="44904" xr:uid="{01E8B755-3E94-4F80-A5C5-E2F2B62CAA23}"/>
    <cellStyle name="Vírgula 5 12 5" xfId="14904" xr:uid="{EB432F3A-EB97-4F83-B72F-534BBBBD8A73}"/>
    <cellStyle name="Vírgula 5 12 5 2" xfId="35244" xr:uid="{F9C5D327-9477-4758-B945-F95BBC64205C}"/>
    <cellStyle name="Vírgula 5 12 6" xfId="11025" xr:uid="{05CDD35D-64D6-4F7D-8EB7-8F41D53C7232}"/>
    <cellStyle name="Vírgula 5 12 6 2" xfId="31368" xr:uid="{163A3AF0-312D-4692-8AFE-AC42BEE49E35}"/>
    <cellStyle name="Vírgula 5 12 7" xfId="27874" xr:uid="{94AF1828-120E-4F65-8596-4452773DFC66}"/>
    <cellStyle name="Vírgula 5 12 8" xfId="52420" xr:uid="{5CDC612E-E2B5-4A03-98DD-2D5F362CA283}"/>
    <cellStyle name="Vírgula 5 12 9" xfId="55714" xr:uid="{A2830FB7-AE6F-4BFE-AEB8-D17FB66C07B4}"/>
    <cellStyle name="Vírgula 5 13" xfId="3380" xr:uid="{F65491CE-33D0-4A3E-BF24-1CFDECF5C753}"/>
    <cellStyle name="Vírgula 5 13 2" xfId="22089" xr:uid="{9B9805B7-40A7-4C00-B042-8F3AC730CD1C}"/>
    <cellStyle name="Vírgula 5 13 2 2" xfId="42425" xr:uid="{5B751208-E024-4283-A523-73FD2C4BD886}"/>
    <cellStyle name="Vírgula 5 13 3" xfId="25341" xr:uid="{22F6F23E-DC4A-40ED-83D5-43CB679C21C2}"/>
    <cellStyle name="Vírgula 5 13 3 2" xfId="45676" xr:uid="{B4404B86-6138-4B56-9255-2EBB6E2DD852}"/>
    <cellStyle name="Vírgula 5 13 4" xfId="15491" xr:uid="{411BBED0-1E7E-4FE9-A6B1-73E095278DDE}"/>
    <cellStyle name="Vírgula 5 13 4 2" xfId="35831" xr:uid="{423E7C69-1C77-49CA-9B5C-E100EF1AB47A}"/>
    <cellStyle name="Vírgula 5 13 5" xfId="11798" xr:uid="{FFB8591F-2784-4413-8B64-BD06E38736C0}"/>
    <cellStyle name="Vírgula 5 13 5 2" xfId="32140" xr:uid="{6D0EC43E-8617-45C7-8383-6CA2BEDA0C30}"/>
    <cellStyle name="Vírgula 5 13 6" xfId="28646" xr:uid="{6B9B73E5-9918-4CD7-BC96-6CB51800720C}"/>
    <cellStyle name="Vírgula 5 13 7" xfId="55973" xr:uid="{17721505-CC0A-47B2-BBF6-30DDF5152825}"/>
    <cellStyle name="Vírgula 5 13 8" xfId="8302" xr:uid="{57A333BC-2F1E-44E3-98F6-ABB6B021354D}"/>
    <cellStyle name="Vírgula 5 14" xfId="3823" xr:uid="{946466D9-55FC-4E84-A287-61E808E9CF56}"/>
    <cellStyle name="Vírgula 5 14 2" xfId="18405" xr:uid="{C1E652FB-4991-4ECA-BD7D-044ECF868F11}"/>
    <cellStyle name="Vírgula 5 14 2 2" xfId="38745" xr:uid="{AAC67390-0B65-48EC-89A7-510ACACF83D2}"/>
    <cellStyle name="Vírgula 5 14 3" xfId="28785" xr:uid="{A544308E-635B-4CC8-BF06-3F7E1609D77A}"/>
    <cellStyle name="Vírgula 5 14 4" xfId="8442" xr:uid="{59CD10BF-1FA1-4033-9636-1F9EFE0E4D75}"/>
    <cellStyle name="Vírgula 5 15" xfId="1728" xr:uid="{655C5DCF-A17C-4348-836A-34B66C2F7C0B}"/>
    <cellStyle name="Vírgula 5 15 2" xfId="39332" xr:uid="{C6ACC46E-66FC-4E99-838C-12EC3258610B}"/>
    <cellStyle name="Vírgula 5 15 3" xfId="18993" xr:uid="{D88D5C9C-AE91-4FFA-91F9-A28E0F82BEDB}"/>
    <cellStyle name="Vírgula 5 16" xfId="22248" xr:uid="{EC14CD24-0B93-4A92-A542-6FA3D271E45D}"/>
    <cellStyle name="Vírgula 5 16 2" xfId="42583" xr:uid="{9E2F3588-B7AA-4A6F-B230-AAF7468E9328}"/>
    <cellStyle name="Vírgula 5 17" xfId="11965" xr:uid="{1C5A5484-6E1F-4900-82C0-980269FB84C4}"/>
    <cellStyle name="Vírgula 5 17 2" xfId="32306" xr:uid="{FEBA5F80-3017-4C16-8385-EE53756F34C1}"/>
    <cellStyle name="Vírgula 5 18" xfId="8704" xr:uid="{AD6AD45F-8E71-4A6F-A46E-8A8D47440A43}"/>
    <cellStyle name="Vírgula 5 18 2" xfId="29047" xr:uid="{B7E7EC7C-1F25-4AE7-8761-E73F8124C778}"/>
    <cellStyle name="Vírgula 5 19" xfId="25549" xr:uid="{3B1826DB-B934-4DC2-9CB8-AA761141F4D5}"/>
    <cellStyle name="Vírgula 5 2" xfId="133" xr:uid="{F6AC7270-9C97-4E45-8691-13C3258C6EAA}"/>
    <cellStyle name="Vírgula 5 2 10" xfId="3392" xr:uid="{DDE6A86A-C002-459B-8F2E-755107BF15D3}"/>
    <cellStyle name="Vírgula 5 2 10 10" xfId="6376" xr:uid="{59FCF560-0F87-43BD-ADB0-E3D5D88E568A}"/>
    <cellStyle name="Vírgula 5 2 10 2" xfId="16662" xr:uid="{735588CF-2F12-4582-A044-F0CD342FD6D1}"/>
    <cellStyle name="Vírgula 5 2 10 2 2" xfId="37002" xr:uid="{CBCBDE25-05E6-4A6C-B4C4-AA0478251C74}"/>
    <cellStyle name="Vírgula 5 2 10 3" xfId="20164" xr:uid="{E629C593-13AD-48FE-9F5E-8A8D60846D9E}"/>
    <cellStyle name="Vírgula 5 2 10 3 2" xfId="40503" xr:uid="{A20BCF31-447B-4DDE-BE9F-20CCC90FC91E}"/>
    <cellStyle name="Vírgula 5 2 10 4" xfId="23419" xr:uid="{0AAF660D-B750-47DB-89EE-FAE8149F122E}"/>
    <cellStyle name="Vírgula 5 2 10 4 2" xfId="43754" xr:uid="{2F88B433-E4D5-4D21-A888-1CA8699C358E}"/>
    <cellStyle name="Vírgula 5 2 10 5" xfId="13753" xr:uid="{A2CB7D6F-ADB9-4164-AB78-165F15F06079}"/>
    <cellStyle name="Vírgula 5 2 10 5 2" xfId="34094" xr:uid="{DE803F26-A1BB-412B-B4E0-8C917F83A74B}"/>
    <cellStyle name="Vírgula 5 2 10 6" xfId="9875" xr:uid="{6E9824E5-F376-4B59-9E7B-7B41B2AFCC53}"/>
    <cellStyle name="Vírgula 5 2 10 6 2" xfId="30218" xr:uid="{51139538-B1A8-4BB8-97BD-5A45E8A3538A}"/>
    <cellStyle name="Vírgula 5 2 10 7" xfId="26724" xr:uid="{C8D4EA93-1964-4BD5-BEC4-3924979847C3}"/>
    <cellStyle name="Vírgula 5 2 10 8" xfId="52423" xr:uid="{885741D4-AA68-4169-AFB5-A01D250B53E4}"/>
    <cellStyle name="Vírgula 5 2 10 9" xfId="55717" xr:uid="{229825FA-25E1-4D2F-B59E-068ABD573A13}"/>
    <cellStyle name="Vírgula 5 2 11" xfId="3851" xr:uid="{490229FF-6690-4985-8AFD-0F9BE6B451BA}"/>
    <cellStyle name="Vírgula 5 2 11 2" xfId="17825" xr:uid="{D923F03F-DCC6-46F3-A178-441760A0CA84}"/>
    <cellStyle name="Vírgula 5 2 11 2 2" xfId="38165" xr:uid="{769F1CED-CA22-446C-8BEA-2AABCA6749C9}"/>
    <cellStyle name="Vírgula 5 2 11 3" xfId="21327" xr:uid="{A3AE2958-A6FF-46BF-AFC7-2730A52ED369}"/>
    <cellStyle name="Vírgula 5 2 11 3 2" xfId="41666" xr:uid="{D980299A-4504-4552-A067-37E16BED190E}"/>
    <cellStyle name="Vírgula 5 2 11 4" xfId="24582" xr:uid="{CC8D6BFE-7FA7-44EB-8EFF-813C4F4162A8}"/>
    <cellStyle name="Vírgula 5 2 11 4 2" xfId="44917" xr:uid="{2D21CE70-AA54-423A-81A4-6E401CA4D50D}"/>
    <cellStyle name="Vírgula 5 2 11 5" xfId="14917" xr:uid="{881A412B-326D-4C1C-9AFF-4BBF0085DB87}"/>
    <cellStyle name="Vírgula 5 2 11 5 2" xfId="35257" xr:uid="{AC017A3C-ACC6-449F-B20B-58A5E9B0EB48}"/>
    <cellStyle name="Vírgula 5 2 11 6" xfId="11038" xr:uid="{60C31180-E4FC-458E-9EC9-6F8814F31A56}"/>
    <cellStyle name="Vírgula 5 2 11 6 2" xfId="31381" xr:uid="{D73BE7B0-A02B-4E68-86E7-4443E74C0D7B}"/>
    <cellStyle name="Vírgula 5 2 11 7" xfId="27887" xr:uid="{7C9907EE-4F67-4B8C-8AD3-32708B009F47}"/>
    <cellStyle name="Vírgula 5 2 11 8" xfId="56004" xr:uid="{0D6D1524-21A7-4CBF-B65F-6D5FA386C740}"/>
    <cellStyle name="Vírgula 5 2 11 9" xfId="7540" xr:uid="{5880F5D9-488B-4B0B-9DF1-A79640694656}"/>
    <cellStyle name="Vírgula 5 2 12" xfId="1740" xr:uid="{5C4E79EB-3B7B-4242-9665-44C976EDB5E8}"/>
    <cellStyle name="Vírgula 5 2 12 2" xfId="22090" xr:uid="{0D1C8303-69C4-4D87-B7BD-DD5D963156B1}"/>
    <cellStyle name="Vírgula 5 2 12 2 2" xfId="42426" xr:uid="{FCAD4881-3069-4AB2-85B1-5382203C3AE8}"/>
    <cellStyle name="Vírgula 5 2 12 3" xfId="25342" xr:uid="{34E63ACA-BD5B-460C-95C5-443B5800C23C}"/>
    <cellStyle name="Vírgula 5 2 12 3 2" xfId="45677" xr:uid="{4ECC240C-F18E-44A8-96BA-056CFB06A8B1}"/>
    <cellStyle name="Vírgula 5 2 12 4" xfId="15504" xr:uid="{40542FD0-90D4-43D1-BA29-DE421E262489}"/>
    <cellStyle name="Vírgula 5 2 12 4 2" xfId="35844" xr:uid="{064AA097-112D-4C60-B6E4-1C672D89AEF2}"/>
    <cellStyle name="Vírgula 5 2 12 5" xfId="11799" xr:uid="{40240C0E-A2D1-43D7-8F59-97C97DD140D8}"/>
    <cellStyle name="Vírgula 5 2 12 5 2" xfId="32141" xr:uid="{BD32C4BD-0EB8-42CF-A4D5-E39321F56DC3}"/>
    <cellStyle name="Vírgula 5 2 12 6" xfId="28647" xr:uid="{D4C12085-F508-4EE5-BF1F-393EB3B843CD}"/>
    <cellStyle name="Vírgula 5 2 12 7" xfId="8303" xr:uid="{DEA53F2D-B351-49E5-921A-78547101D09C}"/>
    <cellStyle name="Vírgula 5 2 13" xfId="8455" xr:uid="{7C565B9E-46C7-454F-A87D-2822B1C1E746}"/>
    <cellStyle name="Vírgula 5 2 13 2" xfId="18418" xr:uid="{2DA9313E-88EF-409A-B746-EA8F2B3563C9}"/>
    <cellStyle name="Vírgula 5 2 13 2 2" xfId="38758" xr:uid="{56531CD2-0BB0-4A62-BD7C-B70E8DA0499C}"/>
    <cellStyle name="Vírgula 5 2 13 3" xfId="28798" xr:uid="{A85B112F-B354-493A-910F-F8E09C962585}"/>
    <cellStyle name="Vírgula 5 2 14" xfId="19006" xr:uid="{FF0037E3-E06A-4BE0-8402-9682EB950988}"/>
    <cellStyle name="Vírgula 5 2 14 2" xfId="39345" xr:uid="{BBEEB6F0-E878-464D-94E4-36C3B44373B2}"/>
    <cellStyle name="Vírgula 5 2 15" xfId="22261" xr:uid="{CBDB4F10-1E85-47E8-9BD1-8EDA31A5E0ED}"/>
    <cellStyle name="Vírgula 5 2 15 2" xfId="42596" xr:uid="{CE8596DF-FE1C-4906-A224-EF4132C1D438}"/>
    <cellStyle name="Vírgula 5 2 16" xfId="11978" xr:uid="{478FDD6D-43C0-4D39-9093-D910FDCC9D89}"/>
    <cellStyle name="Vírgula 5 2 16 2" xfId="32319" xr:uid="{39D8B646-4B65-4C27-BB18-71B149A4E50B}"/>
    <cellStyle name="Vírgula 5 2 17" xfId="8717" xr:uid="{2A8FB3A3-2CB6-4BF5-A951-5DC6DC675E8F}"/>
    <cellStyle name="Vírgula 5 2 17 2" xfId="29060" xr:uid="{EF8E3CF2-7496-406B-A7F9-2AB56C319B4C}"/>
    <cellStyle name="Vírgula 5 2 18" xfId="25562" xr:uid="{C96CDAFA-485C-4864-AE05-4B2443B5C609}"/>
    <cellStyle name="Vírgula 5 2 19" xfId="45830" xr:uid="{8CD0CB56-5D6C-4523-B04B-8C0B399B049B}"/>
    <cellStyle name="Vírgula 5 2 2" xfId="162" xr:uid="{5E501827-C0A7-40BA-A9C2-ADA1C608F5AB}"/>
    <cellStyle name="Vírgula 5 2 2 10" xfId="1766" xr:uid="{72990FBB-CBC1-4D02-8DED-33D143F87E09}"/>
    <cellStyle name="Vírgula 5 2 2 10 2" xfId="22091" xr:uid="{F1196860-F4D7-44A8-AF7E-848D5EF8A48E}"/>
    <cellStyle name="Vírgula 5 2 2 10 2 2" xfId="42427" xr:uid="{87FDFA3A-6229-4D3B-A62D-78905109228C}"/>
    <cellStyle name="Vírgula 5 2 2 10 3" xfId="25343" xr:uid="{0F038E43-68AE-4551-883C-BE821D46BF14}"/>
    <cellStyle name="Vírgula 5 2 2 10 3 2" xfId="45678" xr:uid="{5A6DA07B-36B0-478C-BC6C-7267E6ADBF65}"/>
    <cellStyle name="Vírgula 5 2 2 10 4" xfId="15532" xr:uid="{F7FA8906-819B-449C-8BF9-6046CCFE1C8E}"/>
    <cellStyle name="Vírgula 5 2 2 10 4 2" xfId="35872" xr:uid="{8BC72220-CF71-42B3-8EF4-01769ABD787E}"/>
    <cellStyle name="Vírgula 5 2 2 10 5" xfId="11800" xr:uid="{CFEE3924-E1A5-425E-8C2A-91B64514ABD7}"/>
    <cellStyle name="Vírgula 5 2 2 10 5 2" xfId="32142" xr:uid="{48ABD0D6-2E20-4530-A5C1-24C9D17BB38E}"/>
    <cellStyle name="Vírgula 5 2 2 10 6" xfId="28648" xr:uid="{865EE204-EC9F-4873-9804-3CA553546B1A}"/>
    <cellStyle name="Vírgula 5 2 2 10 7" xfId="8304" xr:uid="{B6AC2167-529A-4E35-B527-00F254B91B1A}"/>
    <cellStyle name="Vírgula 5 2 2 11" xfId="8483" xr:uid="{25DD841E-6D9E-418B-B1E4-3AB7BD196C0D}"/>
    <cellStyle name="Vírgula 5 2 2 11 2" xfId="18446" xr:uid="{FBB2AD26-79E4-44FF-B5CF-4729974BD9A2}"/>
    <cellStyle name="Vírgula 5 2 2 11 2 2" xfId="38786" xr:uid="{92D30C5B-23D2-4FFE-BB39-DE2446431279}"/>
    <cellStyle name="Vírgula 5 2 2 11 3" xfId="28826" xr:uid="{19C80EF2-C810-4AAD-8790-F6DA517319B6}"/>
    <cellStyle name="Vírgula 5 2 2 12" xfId="19034" xr:uid="{48AF87BB-67E5-44B7-9F0F-FF8B499120FD}"/>
    <cellStyle name="Vírgula 5 2 2 12 2" xfId="39373" xr:uid="{632550ED-B42A-43A3-8866-0ACD4FEE535E}"/>
    <cellStyle name="Vírgula 5 2 2 13" xfId="22289" xr:uid="{8E27053C-6CFC-441A-A0FA-FC5D3CC7965A}"/>
    <cellStyle name="Vírgula 5 2 2 13 2" xfId="42624" xr:uid="{1955F68C-D0C1-4BE0-ADF0-E04C814C4171}"/>
    <cellStyle name="Vírgula 5 2 2 14" xfId="12006" xr:uid="{5F2E852F-75CA-4C64-B96A-1653A1068CBA}"/>
    <cellStyle name="Vírgula 5 2 2 14 2" xfId="32347" xr:uid="{F7A4ECDC-4917-4373-A39C-B224C4EAB437}"/>
    <cellStyle name="Vírgula 5 2 2 15" xfId="8745" xr:uid="{4016AA80-E693-44FD-A2FC-5E1CD583ACD9}"/>
    <cellStyle name="Vírgula 5 2 2 15 2" xfId="29088" xr:uid="{BF85496B-BF1E-4869-A104-8E1127BF01A3}"/>
    <cellStyle name="Vírgula 5 2 2 16" xfId="25590" xr:uid="{36D40123-5765-49C5-9A8B-AC7E2F586D9B}"/>
    <cellStyle name="Vírgula 5 2 2 17" xfId="45858" xr:uid="{5B063285-7532-47FD-ADE5-332925DDCE00}"/>
    <cellStyle name="Vírgula 5 2 2 18" xfId="46344" xr:uid="{1CB36C71-977E-4EF2-871F-5D0C97333628}"/>
    <cellStyle name="Vírgula 5 2 2 19" xfId="46836" xr:uid="{B4A73541-9C26-4279-98E0-86C9A0A67A07}"/>
    <cellStyle name="Vírgula 5 2 2 2" xfId="240" xr:uid="{08A74A48-3C81-4C04-91CF-C3086E4D953E}"/>
    <cellStyle name="Vírgula 5 2 2 2 10" xfId="22404" xr:uid="{469A2FDA-A236-45D1-A387-732C99B57D58}"/>
    <cellStyle name="Vírgula 5 2 2 2 10 2" xfId="42739" xr:uid="{7CC0ABA8-56A7-4E67-8679-924CCCE9D6C9}"/>
    <cellStyle name="Vírgula 5 2 2 2 11" xfId="12121" xr:uid="{F092DE98-CC23-42B5-ADE1-BDADCEC1BDEA}"/>
    <cellStyle name="Vírgula 5 2 2 2 11 2" xfId="32462" xr:uid="{0BC67880-ADF7-41A8-90E7-DF1A9F22697A}"/>
    <cellStyle name="Vírgula 5 2 2 2 12" xfId="8860" xr:uid="{E05BEBF5-4EA4-48B8-8DBD-53BC8884B2C0}"/>
    <cellStyle name="Vírgula 5 2 2 2 12 2" xfId="29203" xr:uid="{3E818842-7C8E-439B-9EAC-CA37717AAF1D}"/>
    <cellStyle name="Vírgula 5 2 2 2 13" xfId="25709" xr:uid="{73026C65-4E6E-4A44-BA93-33C37289FB04}"/>
    <cellStyle name="Vírgula 5 2 2 2 14" xfId="45918" xr:uid="{DCA17B5C-981E-439E-86DC-01D93710D081}"/>
    <cellStyle name="Vírgula 5 2 2 2 15" xfId="46404" xr:uid="{FC30F725-55A1-4D15-98C3-FA4845360950}"/>
    <cellStyle name="Vírgula 5 2 2 2 16" xfId="46896" xr:uid="{D0672251-5244-43EB-A6D5-308E1610A76E}"/>
    <cellStyle name="Vírgula 5 2 2 2 17" xfId="47406" xr:uid="{9DBD50BD-238D-4E95-AAD0-54C174D42AD3}"/>
    <cellStyle name="Vírgula 5 2 2 2 18" xfId="47532" xr:uid="{ABFAAF62-0CDE-4B09-99C7-98516311E0FF}"/>
    <cellStyle name="Vírgula 5 2 2 2 19" xfId="47658" xr:uid="{EDB85E1C-FA06-4DB9-98EA-9CC4A9DF0F6E}"/>
    <cellStyle name="Vírgula 5 2 2 2 2" xfId="429" xr:uid="{6063B20F-956A-4353-A9CC-FD16ECF7F9CC}"/>
    <cellStyle name="Vírgula 5 2 2 2 2 10" xfId="12508" xr:uid="{69E8DA5F-7975-4E4D-83C4-EBB6F0AAA2C9}"/>
    <cellStyle name="Vírgula 5 2 2 2 2 10 2" xfId="32849" xr:uid="{D6777E56-74A6-4DC8-9486-0DE68C3706D5}"/>
    <cellStyle name="Vírgula 5 2 2 2 2 11" xfId="9247" xr:uid="{DF04D398-7741-4503-B887-0524EDBCC2A5}"/>
    <cellStyle name="Vírgula 5 2 2 2 2 11 2" xfId="29590" xr:uid="{525BE67C-A814-4D0C-B449-91E5570F49DA}"/>
    <cellStyle name="Vírgula 5 2 2 2 2 12" xfId="26096" xr:uid="{649F5EA8-9D5E-417E-95D9-0F35EE0E393A}"/>
    <cellStyle name="Vírgula 5 2 2 2 2 13" xfId="46011" xr:uid="{C2D345D3-D6CF-4BAC-9565-6B14AE47CA96}"/>
    <cellStyle name="Vírgula 5 2 2 2 2 14" xfId="46497" xr:uid="{9A15BC8D-AB7B-48BB-BA6F-64CDB7A66EBA}"/>
    <cellStyle name="Vírgula 5 2 2 2 2 15" xfId="46989" xr:uid="{101EEB1C-A16B-410A-9707-D6B12BB0CD15}"/>
    <cellStyle name="Vírgula 5 2 2 2 2 16" xfId="49124" xr:uid="{C010C807-A14E-4C16-89C1-AE3E1AAF8E43}"/>
    <cellStyle name="Vírgula 5 2 2 2 2 17" xfId="50794" xr:uid="{86C8CCF2-5225-4206-9AE6-21A6BF9093AD}"/>
    <cellStyle name="Vírgula 5 2 2 2 2 18" xfId="54089" xr:uid="{F8CB5FD7-3441-414B-84F1-F910BED944E0}"/>
    <cellStyle name="Vírgula 5 2 2 2 2 19" xfId="5750" xr:uid="{69045F67-BC47-4737-A4E3-74FFADB74254}"/>
    <cellStyle name="Vírgula 5 2 2 2 2 2" xfId="1245" xr:uid="{9C767052-A3CD-4F51-889F-46DA18A1E36C}"/>
    <cellStyle name="Vírgula 5 2 2 2 2 2 10" xfId="46740" xr:uid="{E568B058-942B-4E75-A321-1809FBD341F0}"/>
    <cellStyle name="Vírgula 5 2 2 2 2 2 11" xfId="47232" xr:uid="{75F1D100-1819-45C1-AA0E-A6B3DF8C2A2B}"/>
    <cellStyle name="Vírgula 5 2 2 2 2 2 12" xfId="49125" xr:uid="{65F1B57E-E175-42F0-AE16-D9E466ED8002}"/>
    <cellStyle name="Vírgula 5 2 2 2 2 2 13" xfId="50795" xr:uid="{5D3CE080-1256-4CD9-9AFA-DC4E96E828C7}"/>
    <cellStyle name="Vírgula 5 2 2 2 2 2 14" xfId="54090" xr:uid="{A3BB0BA7-BB70-4C6D-9AF3-BA9A762F0489}"/>
    <cellStyle name="Vírgula 5 2 2 2 2 2 15" xfId="6329" xr:uid="{BB7CC7B2-FAD2-48A8-91D3-ED16C3FA89F9}"/>
    <cellStyle name="Vírgula 5 2 2 2 2 2 16" xfId="5129" xr:uid="{E2937718-76B5-482A-89F2-6779E51BAE15}"/>
    <cellStyle name="Vírgula 5 2 2 2 2 2 2" xfId="2906" xr:uid="{9B16345C-59FC-4D78-986D-21454D63AA3B}"/>
    <cellStyle name="Vírgula 5 2 2 2 2 2 2 10" xfId="7487" xr:uid="{9B6A85EA-37F6-424E-BABE-72152B70B591}"/>
    <cellStyle name="Vírgula 5 2 2 2 2 2 2 2" xfId="17773" xr:uid="{B8BFF781-9907-40E6-9045-6A551B402AD2}"/>
    <cellStyle name="Vírgula 5 2 2 2 2 2 2 2 2" xfId="38113" xr:uid="{16224568-4BA5-47B1-B440-27CE2E02E60B}"/>
    <cellStyle name="Vírgula 5 2 2 2 2 2 2 3" xfId="21275" xr:uid="{3FF18048-5059-4B2C-B0C8-751D0F255B7D}"/>
    <cellStyle name="Vírgula 5 2 2 2 2 2 2 3 2" xfId="41614" xr:uid="{F682DC47-C263-4228-8CAF-DB67C8D25EA3}"/>
    <cellStyle name="Vírgula 5 2 2 2 2 2 2 4" xfId="24530" xr:uid="{DA75E089-9C90-4E12-9569-B3574AA2B26E}"/>
    <cellStyle name="Vírgula 5 2 2 2 2 2 2 4 2" xfId="44865" xr:uid="{208ADD97-99D1-4098-9FCA-B9E04DD904A8}"/>
    <cellStyle name="Vírgula 5 2 2 2 2 2 2 5" xfId="14864" xr:uid="{E3883560-E903-4F7E-8410-79E7A17B9E88}"/>
    <cellStyle name="Vírgula 5 2 2 2 2 2 2 5 2" xfId="35205" xr:uid="{65673F26-A49A-464E-B8AE-E24A26451B38}"/>
    <cellStyle name="Vírgula 5 2 2 2 2 2 2 6" xfId="10986" xr:uid="{06F634ED-7C4B-4899-A9C8-5CE892FDD2DE}"/>
    <cellStyle name="Vírgula 5 2 2 2 2 2 2 6 2" xfId="31329" xr:uid="{C218C05E-0807-4D2E-8147-1E26F3A44D2F}"/>
    <cellStyle name="Vírgula 5 2 2 2 2 2 2 7" xfId="27835" xr:uid="{67C77A54-B4D2-4889-91A2-07F4F81FD839}"/>
    <cellStyle name="Vírgula 5 2 2 2 2 2 2 8" xfId="52427" xr:uid="{04C07681-5E86-445E-9405-391CE708DA20}"/>
    <cellStyle name="Vírgula 5 2 2 2 2 2 2 9" xfId="55721" xr:uid="{7B14CAD4-6E8F-41B3-9CF1-4685F01ADA55}"/>
    <cellStyle name="Vírgula 5 2 2 2 2 2 3" xfId="16615" xr:uid="{94DDDD51-BCAE-4D5F-8592-C64DF8A3A194}"/>
    <cellStyle name="Vírgula 5 2 2 2 2 2 3 2" xfId="36955" xr:uid="{7A6ACD6D-23C0-4467-8255-67B7087589F2}"/>
    <cellStyle name="Vírgula 5 2 2 2 2 2 3 3" xfId="57116" xr:uid="{FEB3DDE3-0ED0-421E-9CD1-5D2D780EDBF3}"/>
    <cellStyle name="Vírgula 5 2 2 2 2 2 4" xfId="20117" xr:uid="{2D989F76-C808-4940-8182-2B1B79189E01}"/>
    <cellStyle name="Vírgula 5 2 2 2 2 2 4 2" xfId="40456" xr:uid="{BCA0BD6B-4D57-419E-AA29-CAF960E1C1A5}"/>
    <cellStyle name="Vírgula 5 2 2 2 2 2 5" xfId="23372" xr:uid="{25BB1E5F-9EDF-4782-BA0C-99C2B8468BD3}"/>
    <cellStyle name="Vírgula 5 2 2 2 2 2 5 2" xfId="43707" xr:uid="{3124B126-8D9A-487B-9F93-7294DE5D5369}"/>
    <cellStyle name="Vírgula 5 2 2 2 2 2 6" xfId="13706" xr:uid="{2F880C5B-04F9-4270-97D2-B945FAE83B31}"/>
    <cellStyle name="Vírgula 5 2 2 2 2 2 6 2" xfId="34047" xr:uid="{10E49C6B-C0FE-4DAA-B848-B8465EA8AB8F}"/>
    <cellStyle name="Vírgula 5 2 2 2 2 2 7" xfId="9828" xr:uid="{851A7CDE-6F5C-4B7F-837D-3215E51600AD}"/>
    <cellStyle name="Vírgula 5 2 2 2 2 2 7 2" xfId="30171" xr:uid="{B7B4706E-DC4A-44AD-8FE6-5809E014C677}"/>
    <cellStyle name="Vírgula 5 2 2 2 2 2 8" xfId="26677" xr:uid="{98285573-97F1-4B2D-813F-B76F07A69B22}"/>
    <cellStyle name="Vírgula 5 2 2 2 2 2 9" xfId="46254" xr:uid="{F005CB72-9EDB-4EBA-87CC-4D1347B7CBD2}"/>
    <cellStyle name="Vírgula 5 2 2 2 2 20" xfId="4710" xr:uid="{E94B5956-0C52-4C45-B6C5-F70F597D4CDE}"/>
    <cellStyle name="Vírgula 5 2 2 2 2 3" xfId="1651" xr:uid="{F7449FB8-59A7-4824-8E8E-81D2027E4DA6}"/>
    <cellStyle name="Vírgula 5 2 2 2 2 3 10" xfId="54091" xr:uid="{5DD86211-6AAA-45A9-8804-0D25E4E5E8E8}"/>
    <cellStyle name="Vírgula 5 2 2 2 2 3 11" xfId="6906" xr:uid="{5236015A-F641-41AE-A727-159780D5071A}"/>
    <cellStyle name="Vírgula 5 2 2 2 2 3 2" xfId="3311" xr:uid="{DC9337BA-F952-49CA-A459-004ADB0FC29D}"/>
    <cellStyle name="Vírgula 5 2 2 2 2 3 2 2" xfId="37532" xr:uid="{A0895296-D66A-4826-AC5A-5D5A29939A16}"/>
    <cellStyle name="Vírgula 5 2 2 2 2 3 2 3" xfId="52428" xr:uid="{25B1E5D0-6EAE-40DD-A235-DA5D43A0D587}"/>
    <cellStyle name="Vírgula 5 2 2 2 2 3 2 4" xfId="55722" xr:uid="{6CC5C3D0-6CAE-4325-A340-FA193F566B6B}"/>
    <cellStyle name="Vírgula 5 2 2 2 2 3 2 5" xfId="17192" xr:uid="{0F7F559A-33E2-4EAE-9F73-8EBC7C46E380}"/>
    <cellStyle name="Vírgula 5 2 2 2 2 3 3" xfId="20694" xr:uid="{800ADBAB-A25F-45D7-AEC5-BECE2EBEE372}"/>
    <cellStyle name="Vírgula 5 2 2 2 2 3 3 2" xfId="41033" xr:uid="{6A94BEC2-9108-4E62-B800-A86D929AFCFB}"/>
    <cellStyle name="Vírgula 5 2 2 2 2 3 3 3" xfId="57522" xr:uid="{EAF4F71C-C192-4B2A-8E66-8689C7FC977C}"/>
    <cellStyle name="Vírgula 5 2 2 2 2 3 4" xfId="23949" xr:uid="{37F2CD4F-5182-4924-A6CC-57C9E3461FD2}"/>
    <cellStyle name="Vírgula 5 2 2 2 2 3 4 2" xfId="44284" xr:uid="{269C0EB0-1F77-4F36-A285-9BB60983A69E}"/>
    <cellStyle name="Vírgula 5 2 2 2 2 3 5" xfId="14283" xr:uid="{DDB5F7DF-2658-4DDD-9EE0-879F68EBE416}"/>
    <cellStyle name="Vírgula 5 2 2 2 2 3 5 2" xfId="34624" xr:uid="{BE484425-3CC2-4BDE-8DDB-3276B05E861E}"/>
    <cellStyle name="Vírgula 5 2 2 2 2 3 6" xfId="10405" xr:uid="{954F7FDA-F3EA-470E-A1EB-F415B4DFE173}"/>
    <cellStyle name="Vírgula 5 2 2 2 2 3 6 2" xfId="30748" xr:uid="{40EC27DC-6D82-4889-B540-EFCF8E80BE2F}"/>
    <cellStyle name="Vírgula 5 2 2 2 2 3 7" xfId="27254" xr:uid="{2CA6DFEA-0904-4108-8E0F-8603D9A450F1}"/>
    <cellStyle name="Vírgula 5 2 2 2 2 3 8" xfId="49126" xr:uid="{BC8F0317-0B42-498C-86BF-2AC249B6E7D7}"/>
    <cellStyle name="Vírgula 5 2 2 2 2 3 9" xfId="50796" xr:uid="{EBC12749-EBED-4E8E-878E-B1694962379A}"/>
    <cellStyle name="Vírgula 5 2 2 2 2 4" xfId="838" xr:uid="{77C2258B-8C74-4F42-9BAC-EF6D898AF5F0}"/>
    <cellStyle name="Vírgula 5 2 2 2 2 4 10" xfId="54092" xr:uid="{503EA0D1-48B6-441D-B415-2F0672F3BC5B}"/>
    <cellStyle name="Vírgula 5 2 2 2 2 4 11" xfId="8070" xr:uid="{4AE08FC3-E62C-488A-8C23-85059DC24753}"/>
    <cellStyle name="Vírgula 5 2 2 2 2 4 2" xfId="2554" xr:uid="{BCAD1EB1-E7E1-43D9-9D70-E93EF457E002}"/>
    <cellStyle name="Vírgula 5 2 2 2 2 4 2 2" xfId="38695" xr:uid="{D3A31790-1034-45FA-A66F-3662ECFC1BD0}"/>
    <cellStyle name="Vírgula 5 2 2 2 2 4 2 3" xfId="52429" xr:uid="{55DCF202-C8F0-4094-B717-DC7C7C3E9FA7}"/>
    <cellStyle name="Vírgula 5 2 2 2 2 4 2 4" xfId="55723" xr:uid="{1DD9BB86-88C6-4EF2-9DF8-106962BCC1E2}"/>
    <cellStyle name="Vírgula 5 2 2 2 2 4 2 5" xfId="18355" xr:uid="{5BD789FE-3B8D-4880-BB5F-A89AFED297E2}"/>
    <cellStyle name="Vírgula 5 2 2 2 2 4 3" xfId="21857" xr:uid="{81183A09-3F52-46D6-85FB-419AD6FE5501}"/>
    <cellStyle name="Vírgula 5 2 2 2 2 4 3 2" xfId="42196" xr:uid="{83B1095C-973B-44A1-B421-7CFF771BD92D}"/>
    <cellStyle name="Vírgula 5 2 2 2 2 4 3 3" xfId="56709" xr:uid="{B2E9DCF5-471F-4190-84F9-3392D946ACD9}"/>
    <cellStyle name="Vírgula 5 2 2 2 2 4 4" xfId="25112" xr:uid="{F2424D2A-5432-4F35-88E7-99E69C707695}"/>
    <cellStyle name="Vírgula 5 2 2 2 2 4 4 2" xfId="45447" xr:uid="{35F2592C-2233-4628-90C5-3F563D9AB499}"/>
    <cellStyle name="Vírgula 5 2 2 2 2 4 5" xfId="15447" xr:uid="{B408FEBD-0CFD-4269-81AF-7753FB5E3EB2}"/>
    <cellStyle name="Vírgula 5 2 2 2 2 4 5 2" xfId="35787" xr:uid="{B797ACA6-492B-4BA1-8B66-D9D2E55765FB}"/>
    <cellStyle name="Vírgula 5 2 2 2 2 4 6" xfId="11568" xr:uid="{3369BD93-8F27-49F3-A63D-B3BE13F834D7}"/>
    <cellStyle name="Vírgula 5 2 2 2 2 4 6 2" xfId="31911" xr:uid="{C02E6F5B-AFF4-4D47-AED3-B098C4405D07}"/>
    <cellStyle name="Vírgula 5 2 2 2 2 4 7" xfId="28417" xr:uid="{B22E806E-48C4-439C-99D8-E330935FB6FF}"/>
    <cellStyle name="Vírgula 5 2 2 2 2 4 8" xfId="49127" xr:uid="{6BB82B2A-8BB1-41AA-8C36-D048B89813C8}"/>
    <cellStyle name="Vírgula 5 2 2 2 2 4 9" xfId="50797" xr:uid="{13B8D19F-243F-469C-9F62-66ACF90EC0DC}"/>
    <cellStyle name="Vírgula 5 2 2 2 2 5" xfId="3692" xr:uid="{397F2B60-291D-43E3-92C9-B07257B0FEAE}"/>
    <cellStyle name="Vírgula 5 2 2 2 2 5 2" xfId="22093" xr:uid="{1F359E32-0494-40B7-82EB-B335B2DD9DE9}"/>
    <cellStyle name="Vírgula 5 2 2 2 2 5 2 2" xfId="42429" xr:uid="{70377A8B-63F9-4EBD-81F3-36292CE23B81}"/>
    <cellStyle name="Vírgula 5 2 2 2 2 5 3" xfId="25345" xr:uid="{02E81A37-BEC9-4EB8-AFA3-E9737317806B}"/>
    <cellStyle name="Vírgula 5 2 2 2 2 5 3 2" xfId="45680" xr:uid="{B24C76D0-95EA-4DC6-A470-8F57344C16CF}"/>
    <cellStyle name="Vírgula 5 2 2 2 2 5 4" xfId="13137" xr:uid="{21E0560F-D7CE-4656-8D53-C344A92CEA7B}"/>
    <cellStyle name="Vírgula 5 2 2 2 2 5 4 2" xfId="33478" xr:uid="{C645FCDB-F97A-4776-8CBC-D72FC5EB24CF}"/>
    <cellStyle name="Vírgula 5 2 2 2 2 5 5" xfId="11802" xr:uid="{54882A64-0BC5-48C6-BC0F-A8E6951135DC}"/>
    <cellStyle name="Vírgula 5 2 2 2 2 5 5 2" xfId="32144" xr:uid="{09386A3A-93F2-4A65-A5E2-37FC18DDF2C0}"/>
    <cellStyle name="Vírgula 5 2 2 2 2 5 6" xfId="28650" xr:uid="{5C0B1B07-4B92-4EB0-B655-DEBD202B118B}"/>
    <cellStyle name="Vírgula 5 2 2 2 2 5 7" xfId="52426" xr:uid="{54D28E21-2E04-4475-A69B-7B198057D9CD}"/>
    <cellStyle name="Vírgula 5 2 2 2 2 5 8" xfId="55720" xr:uid="{E6F347B9-B5F6-4C64-91A2-A9034F543643}"/>
    <cellStyle name="Vírgula 5 2 2 2 2 5 9" xfId="8306" xr:uid="{D3326CED-7E59-4A0E-A45A-AC70D96DA80F}"/>
    <cellStyle name="Vírgula 5 2 2 2 2 6" xfId="2041" xr:uid="{199883E1-B18B-4572-BA8D-F4B746E7428A}"/>
    <cellStyle name="Vírgula 5 2 2 2 2 6 2" xfId="16034" xr:uid="{4A334F4B-540E-42AD-A176-9EDF000058D7}"/>
    <cellStyle name="Vírgula 5 2 2 2 2 6 2 2" xfId="36374" xr:uid="{051A8197-5AAC-4F2D-B27E-DCED860EEBCF}"/>
    <cellStyle name="Vírgula 5 2 2 2 2 6 3" xfId="28979" xr:uid="{9F97D20E-641F-4FCB-A8FD-353B93FA18D2}"/>
    <cellStyle name="Vírgula 5 2 2 2 2 6 4" xfId="56300" xr:uid="{C5485178-E77B-435A-B542-0D1B63EE2414}"/>
    <cellStyle name="Vírgula 5 2 2 2 2 6 5" xfId="8636" xr:uid="{A737B8A4-6EC8-411F-9942-F429F593AFD1}"/>
    <cellStyle name="Vírgula 5 2 2 2 2 7" xfId="18948" xr:uid="{4C3BE3DD-3F47-4C5D-9756-7EC080172A32}"/>
    <cellStyle name="Vírgula 5 2 2 2 2 7 2" xfId="39288" xr:uid="{A74F1237-66B0-41AD-A6C1-160628501C59}"/>
    <cellStyle name="Vírgula 5 2 2 2 2 8" xfId="19536" xr:uid="{04C41F8C-E518-4685-B9F8-439BE807038B}"/>
    <cellStyle name="Vírgula 5 2 2 2 2 8 2" xfId="39875" xr:uid="{44A9D385-2893-4488-958D-F7740E716D9C}"/>
    <cellStyle name="Vírgula 5 2 2 2 2 9" xfId="22791" xr:uid="{415A208F-FF31-4511-9CD5-B027A2D30958}"/>
    <cellStyle name="Vírgula 5 2 2 2 2 9 2" xfId="43126" xr:uid="{CD6556AE-553C-40E8-BD16-4AF9CFABE8A4}"/>
    <cellStyle name="Vírgula 5 2 2 2 20" xfId="49123" xr:uid="{D6A3117E-022B-435B-93C2-CD598CD325BF}"/>
    <cellStyle name="Vírgula 5 2 2 2 21" xfId="50793" xr:uid="{CF99C124-A6FE-4630-AB8E-BE68FA9B0CC6}"/>
    <cellStyle name="Vírgula 5 2 2 2 22" xfId="54088" xr:uid="{16FB7978-F821-4FA3-AF7A-FFA7C12E09A2}"/>
    <cellStyle name="Vírgula 5 2 2 2 23" xfId="5379" xr:uid="{3C7559F2-2257-459B-96F6-77ABD2A3BDE0}"/>
    <cellStyle name="Vírgula 5 2 2 2 24" xfId="4521" xr:uid="{62079103-FAAF-49E8-BABF-8F59CCAC7FD1}"/>
    <cellStyle name="Vírgula 5 2 2 2 3" xfId="1056" xr:uid="{C4D8D8C3-4559-4408-BEA7-B03C210C56CC}"/>
    <cellStyle name="Vírgula 5 2 2 2 3 10" xfId="46647" xr:uid="{A9B1E216-4A48-41DD-A110-08F2E6241F64}"/>
    <cellStyle name="Vírgula 5 2 2 2 3 11" xfId="47139" xr:uid="{E2621E75-11F6-415C-AABE-957C0C2A90EA}"/>
    <cellStyle name="Vírgula 5 2 2 2 3 12" xfId="49128" xr:uid="{C25866F0-3AC1-4991-90FE-AF9A51CF6C0C}"/>
    <cellStyle name="Vírgula 5 2 2 2 3 13" xfId="50798" xr:uid="{DFD8BA84-17FB-4752-B7D0-D06BBB8E6DEC}"/>
    <cellStyle name="Vírgula 5 2 2 2 3 14" xfId="54093" xr:uid="{5E213D12-4169-45F8-AD74-99B1DEBDD67F}"/>
    <cellStyle name="Vírgula 5 2 2 2 3 15" xfId="5942" xr:uid="{C4E20C25-4CB3-46D6-98AA-0F705028AB95}"/>
    <cellStyle name="Vírgula 5 2 2 2 3 16" xfId="5037" xr:uid="{4EDFDA49-B0D9-49A8-A9A9-EAD71ADFB684}"/>
    <cellStyle name="Vírgula 5 2 2 2 3 2" xfId="3583" xr:uid="{4BE77AA9-3FAB-4C1B-A81D-ADD55262353A}"/>
    <cellStyle name="Vírgula 5 2 2 2 3 2 10" xfId="7100" xr:uid="{A5816EF4-1761-44AF-B9F2-F6F69A5A1386}"/>
    <cellStyle name="Vírgula 5 2 2 2 3 2 2" xfId="17386" xr:uid="{F584527A-C856-49B8-B1CE-28434AF09640}"/>
    <cellStyle name="Vírgula 5 2 2 2 3 2 2 2" xfId="37726" xr:uid="{08F1BBCC-B12E-4DF2-959A-23C89206AA54}"/>
    <cellStyle name="Vírgula 5 2 2 2 3 2 3" xfId="20888" xr:uid="{7FD5BD21-8AE2-4351-B541-E3E4FD253470}"/>
    <cellStyle name="Vírgula 5 2 2 2 3 2 3 2" xfId="41227" xr:uid="{89DBBE23-88DD-4192-BE47-60810528517F}"/>
    <cellStyle name="Vírgula 5 2 2 2 3 2 4" xfId="24143" xr:uid="{E41D530A-42D1-47C3-8360-FD95EF1AA35E}"/>
    <cellStyle name="Vírgula 5 2 2 2 3 2 4 2" xfId="44478" xr:uid="{D9C289DB-DE9D-447E-9AEB-40918F6FA62B}"/>
    <cellStyle name="Vírgula 5 2 2 2 3 2 5" xfId="14477" xr:uid="{53CFB7FB-7016-4D37-A2C4-AD8AFA74F16B}"/>
    <cellStyle name="Vírgula 5 2 2 2 3 2 5 2" xfId="34818" xr:uid="{BB009EA9-A2EE-4F87-BD40-B58CE826AB16}"/>
    <cellStyle name="Vírgula 5 2 2 2 3 2 6" xfId="10599" xr:uid="{B4A7AC89-05B7-4119-8F6E-0C3A679E7315}"/>
    <cellStyle name="Vírgula 5 2 2 2 3 2 6 2" xfId="30942" xr:uid="{D9646907-1867-44E0-B43D-D11FBF47FD1D}"/>
    <cellStyle name="Vírgula 5 2 2 2 3 2 7" xfId="27448" xr:uid="{57C7B4F6-9E33-4EE7-BA92-55B95B449580}"/>
    <cellStyle name="Vírgula 5 2 2 2 3 2 8" xfId="52430" xr:uid="{FC8D5576-D3E0-4D70-B10D-8B3E8F132FD1}"/>
    <cellStyle name="Vírgula 5 2 2 2 3 2 9" xfId="55724" xr:uid="{203A4105-1AC3-4E35-91D4-32448D4274E1}"/>
    <cellStyle name="Vírgula 5 2 2 2 3 3" xfId="1932" xr:uid="{20FA969B-30F4-4FBD-9766-B6CC317D8451}"/>
    <cellStyle name="Vírgula 5 2 2 2 3 3 2" xfId="22094" xr:uid="{7AE8AD75-61E7-492B-B182-9358F25B274C}"/>
    <cellStyle name="Vírgula 5 2 2 2 3 3 2 2" xfId="42430" xr:uid="{93DE2DE1-CAE6-4790-A839-5E05F6B15AE1}"/>
    <cellStyle name="Vírgula 5 2 2 2 3 3 3" xfId="25346" xr:uid="{2A845E4A-8CC9-4750-BBA4-6022FE2520BE}"/>
    <cellStyle name="Vírgula 5 2 2 2 3 3 3 2" xfId="45681" xr:uid="{42E97EDF-BB8A-4256-AE44-298FC6130995}"/>
    <cellStyle name="Vírgula 5 2 2 2 3 3 4" xfId="16228" xr:uid="{61483A1D-F0E9-4EAA-B9F5-453FDD32B1B2}"/>
    <cellStyle name="Vírgula 5 2 2 2 3 3 4 2" xfId="36568" xr:uid="{A0C80F69-91F6-4864-B1AE-E100D9C17F78}"/>
    <cellStyle name="Vírgula 5 2 2 2 3 3 5" xfId="11803" xr:uid="{7E5F7E18-E0F8-453C-AEDC-F367DC41E5C2}"/>
    <cellStyle name="Vírgula 5 2 2 2 3 3 5 2" xfId="32145" xr:uid="{D55A1568-743F-47B9-949B-88EB82433C78}"/>
    <cellStyle name="Vírgula 5 2 2 2 3 3 6" xfId="28651" xr:uid="{CDB56913-73F5-4EF8-9ED4-55AAE957B434}"/>
    <cellStyle name="Vírgula 5 2 2 2 3 3 7" xfId="56927" xr:uid="{426F07C2-52AE-4AC3-95AF-DE9F25AF0523}"/>
    <cellStyle name="Vírgula 5 2 2 2 3 3 8" xfId="8307" xr:uid="{5FA64D79-7B96-4E6C-AD8B-4B71CBA0F32D}"/>
    <cellStyle name="Vírgula 5 2 2 2 3 4" xfId="19730" xr:uid="{3D92EF2C-4095-436E-BBE4-792B6EA775D1}"/>
    <cellStyle name="Vírgula 5 2 2 2 3 4 2" xfId="40069" xr:uid="{002C7905-C021-40EF-88E5-B760640CC455}"/>
    <cellStyle name="Vírgula 5 2 2 2 3 5" xfId="22985" xr:uid="{FFD01F2C-5C28-42CC-AEA2-35FD27F5A34D}"/>
    <cellStyle name="Vírgula 5 2 2 2 3 5 2" xfId="43320" xr:uid="{DAAA8D00-035C-417F-A830-49DFDCE5E2ED}"/>
    <cellStyle name="Vírgula 5 2 2 2 3 6" xfId="13319" xr:uid="{0E1EF199-670C-49D1-8784-F4526E97B207}"/>
    <cellStyle name="Vírgula 5 2 2 2 3 6 2" xfId="33660" xr:uid="{3A98A8DD-7EC9-467C-8C4A-E3CC9AE6C34D}"/>
    <cellStyle name="Vírgula 5 2 2 2 3 7" xfId="9441" xr:uid="{41A41D61-9711-49F5-83D8-197206E03F9D}"/>
    <cellStyle name="Vírgula 5 2 2 2 3 7 2" xfId="29784" xr:uid="{1920C765-801C-4E38-916E-A264248A4009}"/>
    <cellStyle name="Vírgula 5 2 2 2 3 8" xfId="26290" xr:uid="{4F78B483-2093-4498-8B66-834EB5447D03}"/>
    <cellStyle name="Vírgula 5 2 2 2 3 9" xfId="46161" xr:uid="{587A55ED-EC11-4D59-A37F-C0FB3906B137}"/>
    <cellStyle name="Vírgula 5 2 2 2 4" xfId="1462" xr:uid="{405ADC00-671A-4CAE-9497-BB1CE167C6C7}"/>
    <cellStyle name="Vírgula 5 2 2 2 4 10" xfId="54094" xr:uid="{0C15B2BD-12BC-4B76-88EC-1795AE450E58}"/>
    <cellStyle name="Vírgula 5 2 2 2 4 11" xfId="6519" xr:uid="{79079327-6C90-4E6F-8ECC-0D376907DB7D}"/>
    <cellStyle name="Vírgula 5 2 2 2 4 12" xfId="4910" xr:uid="{DF253D95-5ADA-434D-A1C0-B0AD0E224C83}"/>
    <cellStyle name="Vírgula 5 2 2 2 4 2" xfId="3801" xr:uid="{7DE2A16B-CEE2-40A6-B460-743C56C221BD}"/>
    <cellStyle name="Vírgula 5 2 2 2 4 2 2" xfId="37145" xr:uid="{CAEA24F3-3B7A-4AE6-9398-1262686B141E}"/>
    <cellStyle name="Vírgula 5 2 2 2 4 2 3" xfId="52431" xr:uid="{F4744FFC-5863-4802-8379-5C4A19672BA0}"/>
    <cellStyle name="Vírgula 5 2 2 2 4 2 4" xfId="55725" xr:uid="{F7298857-80DF-407F-BDF9-006B95828EAC}"/>
    <cellStyle name="Vírgula 5 2 2 2 4 2 5" xfId="16805" xr:uid="{B5FC38BC-9707-4456-A919-F8C931126ED4}"/>
    <cellStyle name="Vírgula 5 2 2 2 4 3" xfId="3123" xr:uid="{C405AF64-3D7F-48C4-9A5C-BC76D6172A21}"/>
    <cellStyle name="Vírgula 5 2 2 2 4 3 2" xfId="40646" xr:uid="{D4D7B2EC-27B6-4DC8-886E-8BE18408BA82}"/>
    <cellStyle name="Vírgula 5 2 2 2 4 3 3" xfId="57333" xr:uid="{93901854-1D42-46D7-BF88-AA9F42971D37}"/>
    <cellStyle name="Vírgula 5 2 2 2 4 3 4" xfId="20307" xr:uid="{2BEF09E0-5193-4E2E-B880-7E278E861ACF}"/>
    <cellStyle name="Vírgula 5 2 2 2 4 4" xfId="23562" xr:uid="{90797E7A-378A-491D-9625-CFFB22106136}"/>
    <cellStyle name="Vírgula 5 2 2 2 4 4 2" xfId="43897" xr:uid="{8F2B0FD2-EFF3-44C6-8BB8-749B6E348726}"/>
    <cellStyle name="Vírgula 5 2 2 2 4 5" xfId="13896" xr:uid="{6FC2539C-1290-42E7-A1BA-51621CD80A4A}"/>
    <cellStyle name="Vírgula 5 2 2 2 4 5 2" xfId="34237" xr:uid="{9B7B3796-FF18-431F-8FD9-3A540BCC3C72}"/>
    <cellStyle name="Vírgula 5 2 2 2 4 6" xfId="10018" xr:uid="{185B9FEE-ECFA-452E-9254-E11791D80DFC}"/>
    <cellStyle name="Vírgula 5 2 2 2 4 6 2" xfId="30361" xr:uid="{0C7F859A-2F38-407A-9EF7-0E4A4E3C88BB}"/>
    <cellStyle name="Vírgula 5 2 2 2 4 7" xfId="26867" xr:uid="{1EA9BBC6-1ECB-4079-8426-13C61FCB8832}"/>
    <cellStyle name="Vírgula 5 2 2 2 4 8" xfId="49129" xr:uid="{E7AEC729-817F-46D7-8D92-83AD6EEF8721}"/>
    <cellStyle name="Vírgula 5 2 2 2 4 9" xfId="50799" xr:uid="{BDC4880C-5051-40CC-9B3B-74B65592405F}"/>
    <cellStyle name="Vírgula 5 2 2 2 5" xfId="649" xr:uid="{80012E2E-2137-471C-A91F-781746B08822}"/>
    <cellStyle name="Vírgula 5 2 2 2 5 10" xfId="54095" xr:uid="{6B97892E-5A5D-4113-9900-EB2C264B7525}"/>
    <cellStyle name="Vírgula 5 2 2 2 5 11" xfId="7683" xr:uid="{C8C4FC8A-9171-4EC7-A419-04704CD6C4C3}"/>
    <cellStyle name="Vírgula 5 2 2 2 5 2" xfId="2365" xr:uid="{30214820-302C-4138-B8CB-25C67CE09436}"/>
    <cellStyle name="Vírgula 5 2 2 2 5 2 2" xfId="38308" xr:uid="{01CD3F78-58ED-442B-81C4-FC460C6249E9}"/>
    <cellStyle name="Vírgula 5 2 2 2 5 2 3" xfId="52432" xr:uid="{63DC6C9C-6B34-4897-8A8A-E8092DB785FC}"/>
    <cellStyle name="Vírgula 5 2 2 2 5 2 4" xfId="55726" xr:uid="{E06C0DCF-9F96-46C5-9F36-5F0B30B12FED}"/>
    <cellStyle name="Vírgula 5 2 2 2 5 2 5" xfId="17968" xr:uid="{B8ABB917-A155-4C7B-BD01-AA1BFA51BEA7}"/>
    <cellStyle name="Vírgula 5 2 2 2 5 3" xfId="21470" xr:uid="{A4D69171-9B17-42E4-8EBD-1253FFAFA359}"/>
    <cellStyle name="Vírgula 5 2 2 2 5 3 2" xfId="41809" xr:uid="{BDECF58B-BB21-4F42-BE00-90ED4C5FCEF4}"/>
    <cellStyle name="Vírgula 5 2 2 2 5 3 3" xfId="56520" xr:uid="{E960D84A-2BB5-4D16-BF7A-1BA27E0BD5F6}"/>
    <cellStyle name="Vírgula 5 2 2 2 5 4" xfId="24725" xr:uid="{48CB56AE-70BD-4AA9-B386-805228D3E388}"/>
    <cellStyle name="Vírgula 5 2 2 2 5 4 2" xfId="45060" xr:uid="{A78B9350-72CE-4C3B-845E-8035CF1B78DF}"/>
    <cellStyle name="Vírgula 5 2 2 2 5 5" xfId="15060" xr:uid="{9364492F-ACA7-4E33-94FE-D1D241C51933}"/>
    <cellStyle name="Vírgula 5 2 2 2 5 5 2" xfId="35400" xr:uid="{5570D972-F065-4C2F-A754-2AFB7A133A93}"/>
    <cellStyle name="Vírgula 5 2 2 2 5 6" xfId="11181" xr:uid="{AAC2D580-5D96-4C96-9166-80BD719830C6}"/>
    <cellStyle name="Vírgula 5 2 2 2 5 6 2" xfId="31524" xr:uid="{F15F876C-69E1-4E51-967E-C41D6E8ED9BA}"/>
    <cellStyle name="Vírgula 5 2 2 2 5 7" xfId="28030" xr:uid="{9FA1FF9C-9971-4BD4-AB59-1C87D9F940B2}"/>
    <cellStyle name="Vírgula 5 2 2 2 5 8" xfId="49130" xr:uid="{C1EAC30D-8ED3-4667-BE5A-69C51F4E1750}"/>
    <cellStyle name="Vírgula 5 2 2 2 5 9" xfId="50800" xr:uid="{F0751F20-9431-4778-BCAE-59DD2ED7257F}"/>
    <cellStyle name="Vírgula 5 2 2 2 6" xfId="3473" xr:uid="{B31DD812-AFC9-4721-A2FE-7F17D6CCCE8D}"/>
    <cellStyle name="Vírgula 5 2 2 2 6 2" xfId="22092" xr:uid="{6360BA4B-E2D4-4826-B556-589C1428940B}"/>
    <cellStyle name="Vírgula 5 2 2 2 6 2 2" xfId="42428" xr:uid="{9904DCF0-11DB-49D2-9FB9-E9B030DCA0BA}"/>
    <cellStyle name="Vírgula 5 2 2 2 6 3" xfId="25344" xr:uid="{0254DF38-253E-4428-BE4E-A4181C0DAC11}"/>
    <cellStyle name="Vírgula 5 2 2 2 6 3 2" xfId="45679" xr:uid="{9AA6684A-7952-4479-9233-AB86DCB11DF7}"/>
    <cellStyle name="Vírgula 5 2 2 2 6 4" xfId="12750" xr:uid="{292C0B1D-2FC8-4625-94DF-F0F49BB595A2}"/>
    <cellStyle name="Vírgula 5 2 2 2 6 4 2" xfId="33091" xr:uid="{775E6746-BA28-4ECF-B965-6A7C79C8898F}"/>
    <cellStyle name="Vírgula 5 2 2 2 6 5" xfId="11801" xr:uid="{A3022AC3-3694-4F09-AADB-6470CF136027}"/>
    <cellStyle name="Vírgula 5 2 2 2 6 5 2" xfId="32143" xr:uid="{9C199B62-6FCA-4244-BF00-30F911D56403}"/>
    <cellStyle name="Vírgula 5 2 2 2 6 6" xfId="28649" xr:uid="{9A5ECD2B-DD57-46C9-972D-C1C478FDA17E}"/>
    <cellStyle name="Vírgula 5 2 2 2 6 7" xfId="52425" xr:uid="{545781B9-C2E4-4BE1-BE31-FC5B3B2DF28D}"/>
    <cellStyle name="Vírgula 5 2 2 2 6 8" xfId="55719" xr:uid="{BB2269DA-8BA0-4503-BCC8-A816EED55185}"/>
    <cellStyle name="Vírgula 5 2 2 2 6 9" xfId="8305" xr:uid="{2BBC08FA-6D5D-418E-B3B5-D8D52F3C5E4E}"/>
    <cellStyle name="Vírgula 5 2 2 2 7" xfId="4062" xr:uid="{84B793D1-F366-4988-84A4-59B3485246F0}"/>
    <cellStyle name="Vírgula 5 2 2 2 7 2" xfId="15647" xr:uid="{10B9737F-E9F4-4C56-B31E-B1544B923CAD}"/>
    <cellStyle name="Vírgula 5 2 2 2 7 2 2" xfId="35987" xr:uid="{48706F66-50F4-460E-BE1F-A04FC1AE75C7}"/>
    <cellStyle name="Vírgula 5 2 2 2 7 3" xfId="28886" xr:uid="{D6566BEC-30F1-4AF1-9FF1-37E4E641FF3B}"/>
    <cellStyle name="Vírgula 5 2 2 2 7 4" xfId="56111" xr:uid="{07D146A5-6857-48E0-8AF3-E0F469D4A25A}"/>
    <cellStyle name="Vírgula 5 2 2 2 7 5" xfId="8543" xr:uid="{A7AEBA2F-F902-4715-B2B2-871F2A4AFA88}"/>
    <cellStyle name="Vírgula 5 2 2 2 8" xfId="1822" xr:uid="{6C0A7174-6969-4E39-A2B7-F39EF24B8D47}"/>
    <cellStyle name="Vírgula 5 2 2 2 8 2" xfId="38901" xr:uid="{EBB6EDC9-E1CD-4287-B24A-4C40DB924A52}"/>
    <cellStyle name="Vírgula 5 2 2 2 8 3" xfId="18561" xr:uid="{DC025264-6E0B-4707-9C2B-72449BD71E25}"/>
    <cellStyle name="Vírgula 5 2 2 2 9" xfId="19149" xr:uid="{52F9AC09-0594-4DBA-AC7D-B85800660894}"/>
    <cellStyle name="Vírgula 5 2 2 2 9 2" xfId="39488" xr:uid="{1C79FED1-026A-49B9-8A57-9E6444B351B2}"/>
    <cellStyle name="Vírgula 5 2 2 20" xfId="47350" xr:uid="{EA047599-4D5C-4CD2-BF79-FD8D8A0B5591}"/>
    <cellStyle name="Vírgula 5 2 2 21" xfId="47476" xr:uid="{5AAFC6A9-B238-49EE-8772-E55684F91FAF}"/>
    <cellStyle name="Vírgula 5 2 2 22" xfId="47602" xr:uid="{4EFB3CDB-2B5A-46A2-AE07-39B54EDAF159}"/>
    <cellStyle name="Vírgula 5 2 2 23" xfId="49122" xr:uid="{6222CB08-5824-44B9-939C-1C1F00A85EF5}"/>
    <cellStyle name="Vírgula 5 2 2 24" xfId="50792" xr:uid="{43E94345-93A8-4432-9165-7E823847FB13}"/>
    <cellStyle name="Vírgula 5 2 2 25" xfId="54087" xr:uid="{6487ED46-74DF-435A-8F3D-67B9C92D2DC8}"/>
    <cellStyle name="Vírgula 5 2 2 26" xfId="5256" xr:uid="{AA50E920-B43E-449C-AEAD-57F933860F7A}"/>
    <cellStyle name="Vírgula 5 2 2 27" xfId="4443" xr:uid="{08099EC7-74C6-4BE8-B12C-18955CE734F2}"/>
    <cellStyle name="Vírgula 5 2 2 3" xfId="292" xr:uid="{4E012021-2BCD-4566-896C-D8F684FCDDC1}"/>
    <cellStyle name="Vírgula 5 2 2 3 10" xfId="12217" xr:uid="{43712DE4-E1B3-4AFE-9505-50ED7B6E34E9}"/>
    <cellStyle name="Vírgula 5 2 2 3 10 2" xfId="32558" xr:uid="{D50B9B6D-1D76-46C6-AF01-7517561506F6}"/>
    <cellStyle name="Vírgula 5 2 2 3 11" xfId="8956" xr:uid="{A8014D67-5FD7-4785-B7E3-69CA9D166B38}"/>
    <cellStyle name="Vírgula 5 2 2 3 11 2" xfId="29299" xr:uid="{B3875CB0-B27C-48BA-90C1-822009AB2A2A}"/>
    <cellStyle name="Vírgula 5 2 2 3 12" xfId="25805" xr:uid="{731A53D8-9982-4018-9407-ECA739A1059D}"/>
    <cellStyle name="Vírgula 5 2 2 3 13" xfId="46010" xr:uid="{1195644A-9719-4137-8483-4F8198C6E187}"/>
    <cellStyle name="Vírgula 5 2 2 3 14" xfId="46496" xr:uid="{F0B41D12-C263-41E0-913E-DD0DF094E138}"/>
    <cellStyle name="Vírgula 5 2 2 3 15" xfId="46988" xr:uid="{1DEBEFCC-FB1C-424C-9DEE-A4CD7DEACC6A}"/>
    <cellStyle name="Vírgula 5 2 2 3 16" xfId="49131" xr:uid="{7A8F1245-AD2F-4D23-93FF-F9A9A9FB327A}"/>
    <cellStyle name="Vírgula 5 2 2 3 17" xfId="50801" xr:uid="{27E7AC65-A981-4CE5-B5E3-6A3369577BF4}"/>
    <cellStyle name="Vírgula 5 2 2 3 18" xfId="54096" xr:uid="{C7FB5F18-6A84-46E5-882D-CCB85D008FB0}"/>
    <cellStyle name="Vírgula 5 2 2 3 19" xfId="5467" xr:uid="{F29D32B6-FF80-429D-9943-82F209A7C320}"/>
    <cellStyle name="Vírgula 5 2 2 3 2" xfId="481" xr:uid="{1C431383-BA53-478B-B98B-767D862DB5D9}"/>
    <cellStyle name="Vírgula 5 2 2 3 2 10" xfId="46739" xr:uid="{AF8C1BC7-0F44-4AC0-8465-5885A0B1FB52}"/>
    <cellStyle name="Vírgula 5 2 2 3 2 11" xfId="47231" xr:uid="{A71F0F7D-AAF5-4459-9415-AEA1B193E9D4}"/>
    <cellStyle name="Vírgula 5 2 2 3 2 12" xfId="49132" xr:uid="{D098F639-D728-4EB0-8B20-02AC4CD91E04}"/>
    <cellStyle name="Vírgula 5 2 2 3 2 13" xfId="50802" xr:uid="{C7DC5A6A-3D3F-460D-AC74-4209D439F520}"/>
    <cellStyle name="Vírgula 5 2 2 3 2 14" xfId="54097" xr:uid="{A40A4FAE-89B3-46AD-BACD-E1AE506A8FB7}"/>
    <cellStyle name="Vírgula 5 2 2 3 2 15" xfId="6038" xr:uid="{4B8B5B96-8E0E-45E1-A4FA-367CD14F862F}"/>
    <cellStyle name="Vírgula 5 2 2 3 2 16" xfId="4762" xr:uid="{F285DFDB-CC7C-494D-9FAE-EEDCE774B6E9}"/>
    <cellStyle name="Vírgula 5 2 2 3 2 2" xfId="1297" xr:uid="{B8A0560C-A7A8-421C-A6E9-80FFAB8D624F}"/>
    <cellStyle name="Vírgula 5 2 2 3 2 2 10" xfId="54098" xr:uid="{6D09460B-4518-4D9C-B7F0-6F757E9AA89C}"/>
    <cellStyle name="Vírgula 5 2 2 3 2 2 11" xfId="7196" xr:uid="{815231A5-CA3A-4CDC-A70A-E84D695271FA}"/>
    <cellStyle name="Vírgula 5 2 2 3 2 2 12" xfId="5128" xr:uid="{84EABCF2-9EE7-431B-BA2A-E4DFEF3061FB}"/>
    <cellStyle name="Vírgula 5 2 2 3 2 2 2" xfId="2958" xr:uid="{08F50941-38C4-43A3-8803-7B1A5C528575}"/>
    <cellStyle name="Vírgula 5 2 2 3 2 2 2 2" xfId="37822" xr:uid="{9516BC03-34C2-401C-AF5D-6DF22C09D3F1}"/>
    <cellStyle name="Vírgula 5 2 2 3 2 2 2 3" xfId="52435" xr:uid="{28EBAD97-E693-42E9-A33B-BC2C7922E7A1}"/>
    <cellStyle name="Vírgula 5 2 2 3 2 2 2 4" xfId="55729" xr:uid="{D8F8DA64-2D1F-4A28-9E89-42EF322EE377}"/>
    <cellStyle name="Vírgula 5 2 2 3 2 2 2 5" xfId="17482" xr:uid="{7D292B2E-9353-4374-A145-D5254D71F7E4}"/>
    <cellStyle name="Vírgula 5 2 2 3 2 2 3" xfId="20984" xr:uid="{B03B7593-B864-410C-806D-89AEAC1EC462}"/>
    <cellStyle name="Vírgula 5 2 2 3 2 2 3 2" xfId="41323" xr:uid="{6D2353EB-1D48-4144-93BB-51269C5FDE0F}"/>
    <cellStyle name="Vírgula 5 2 2 3 2 2 3 3" xfId="57168" xr:uid="{FDB752A4-D8B1-41D3-8E6E-4CE1027EB879}"/>
    <cellStyle name="Vírgula 5 2 2 3 2 2 4" xfId="24239" xr:uid="{F178F195-2814-4FA6-84E7-493077803FF1}"/>
    <cellStyle name="Vírgula 5 2 2 3 2 2 4 2" xfId="44574" xr:uid="{8F44476D-B74B-4516-B1C6-962521A1B1F7}"/>
    <cellStyle name="Vírgula 5 2 2 3 2 2 5" xfId="14573" xr:uid="{986CEF40-61CC-48E7-9D2F-553CD307A7E5}"/>
    <cellStyle name="Vírgula 5 2 2 3 2 2 5 2" xfId="34914" xr:uid="{73CFE123-E332-4869-A666-48B521C8FDDB}"/>
    <cellStyle name="Vírgula 5 2 2 3 2 2 6" xfId="10695" xr:uid="{345ACE66-31A2-4DB1-AF0D-4DCBEF64E47C}"/>
    <cellStyle name="Vírgula 5 2 2 3 2 2 6 2" xfId="31038" xr:uid="{0810F24D-AD20-49D1-A48B-D16BC866708D}"/>
    <cellStyle name="Vírgula 5 2 2 3 2 2 7" xfId="27544" xr:uid="{B417DA5D-16DC-48EF-867C-F1D2CA6281D2}"/>
    <cellStyle name="Vírgula 5 2 2 3 2 2 8" xfId="49133" xr:uid="{CD80A464-D655-469A-B7AB-9E2EBE59A8A3}"/>
    <cellStyle name="Vírgula 5 2 2 3 2 2 9" xfId="50803" xr:uid="{E6910335-712A-4888-A161-E6449380C957}"/>
    <cellStyle name="Vírgula 5 2 2 3 2 3" xfId="1703" xr:uid="{538C441F-22B1-412B-B6BA-1B1151ED0885}"/>
    <cellStyle name="Vírgula 5 2 2 3 2 3 2" xfId="3363" xr:uid="{B48856A1-B514-46E2-A9D2-B3E2EEACB90A}"/>
    <cellStyle name="Vírgula 5 2 2 3 2 3 2 2" xfId="52436" xr:uid="{DF803782-A24A-4F9E-91F8-3A6AB5F6AC2D}"/>
    <cellStyle name="Vírgula 5 2 2 3 2 3 2 3" xfId="55730" xr:uid="{891C2812-DF6C-4222-9569-D701EB70948B}"/>
    <cellStyle name="Vírgula 5 2 2 3 2 3 2 4" xfId="36664" xr:uid="{B56E7772-76CD-4579-9EBD-8FB5B46EA213}"/>
    <cellStyle name="Vírgula 5 2 2 3 2 3 3" xfId="49134" xr:uid="{CD3C07AA-1C3B-4CAE-8FEB-0457BB91EF0B}"/>
    <cellStyle name="Vírgula 5 2 2 3 2 3 3 2" xfId="57574" xr:uid="{29EA64E0-2B32-4155-A265-3FD4678A9811}"/>
    <cellStyle name="Vírgula 5 2 2 3 2 3 4" xfId="50804" xr:uid="{45BE1B90-5252-44FD-B46E-A3EAEBF55A19}"/>
    <cellStyle name="Vírgula 5 2 2 3 2 3 5" xfId="54099" xr:uid="{B16F0A2E-CB6D-4D18-B28F-15B202B83174}"/>
    <cellStyle name="Vírgula 5 2 2 3 2 3 6" xfId="16324" xr:uid="{06C35F81-A2A4-40E7-BAD2-14BECA29CA6B}"/>
    <cellStyle name="Vírgula 5 2 2 3 2 4" xfId="890" xr:uid="{280C21F0-FAA0-4EFA-B123-A020E480578E}"/>
    <cellStyle name="Vírgula 5 2 2 3 2 4 2" xfId="2606" xr:uid="{7B541A17-E0C5-4D36-B12C-B292668FD685}"/>
    <cellStyle name="Vírgula 5 2 2 3 2 4 2 2" xfId="52437" xr:uid="{A8C9E84A-9D85-4B05-8189-EB7BF315EC3F}"/>
    <cellStyle name="Vírgula 5 2 2 3 2 4 2 3" xfId="55731" xr:uid="{BEF72E32-5C01-45F4-861A-7C9AA9E01EC0}"/>
    <cellStyle name="Vírgula 5 2 2 3 2 4 2 4" xfId="40165" xr:uid="{4CFA2335-F5B5-4ED2-B309-0C4C346A9564}"/>
    <cellStyle name="Vírgula 5 2 2 3 2 4 3" xfId="49135" xr:uid="{962D261B-90CE-4CEE-A5C5-3E2B3E809C78}"/>
    <cellStyle name="Vírgula 5 2 2 3 2 4 3 2" xfId="56761" xr:uid="{4B2030AD-06C5-467E-B6F0-612296D4D695}"/>
    <cellStyle name="Vírgula 5 2 2 3 2 4 4" xfId="50805" xr:uid="{64009481-48F2-4136-AD72-DB0DB98F3BED}"/>
    <cellStyle name="Vírgula 5 2 2 3 2 4 5" xfId="54100" xr:uid="{80A91A73-A8CA-4093-A920-D310D81CEEC1}"/>
    <cellStyle name="Vírgula 5 2 2 3 2 4 6" xfId="19826" xr:uid="{E051E93D-45C1-4627-AC1A-86EDFCE84F53}"/>
    <cellStyle name="Vírgula 5 2 2 3 2 5" xfId="2198" xr:uid="{3404AC38-AFD3-47DF-86C9-54D4CA41A906}"/>
    <cellStyle name="Vírgula 5 2 2 3 2 5 2" xfId="43416" xr:uid="{9727CBB4-D489-4B08-9EAE-C59AF020672B}"/>
    <cellStyle name="Vírgula 5 2 2 3 2 5 3" xfId="52434" xr:uid="{3DB11DE3-A836-4491-8214-FB3E15721A69}"/>
    <cellStyle name="Vírgula 5 2 2 3 2 5 4" xfId="55728" xr:uid="{74141446-C6CF-4A4D-A214-4CA4CF5A0E1F}"/>
    <cellStyle name="Vírgula 5 2 2 3 2 5 5" xfId="23081" xr:uid="{F4B7A92C-9E11-4DFD-97E4-423057EF44DC}"/>
    <cellStyle name="Vírgula 5 2 2 3 2 6" xfId="13415" xr:uid="{D6F174BA-0910-4CE4-9D56-5E89AF6B8223}"/>
    <cellStyle name="Vírgula 5 2 2 3 2 6 2" xfId="33756" xr:uid="{A768FF1D-9929-4FD8-BF77-89F52479E5DC}"/>
    <cellStyle name="Vírgula 5 2 2 3 2 6 3" xfId="56352" xr:uid="{77B43D20-6078-4AEF-98DD-D9691864E4A9}"/>
    <cellStyle name="Vírgula 5 2 2 3 2 7" xfId="9537" xr:uid="{F9A3D1A2-FD48-48FE-B6E5-2ED68DE05204}"/>
    <cellStyle name="Vírgula 5 2 2 3 2 7 2" xfId="29880" xr:uid="{E1077B7D-E345-4933-89A5-D593EA87B31C}"/>
    <cellStyle name="Vírgula 5 2 2 3 2 8" xfId="26386" xr:uid="{45FAA229-12E4-492D-886D-74436E1AA4DC}"/>
    <cellStyle name="Vírgula 5 2 2 3 2 9" xfId="46253" xr:uid="{2FEC4973-6BEF-4940-B3A2-324271B9B5BD}"/>
    <cellStyle name="Vírgula 5 2 2 3 20" xfId="4573" xr:uid="{BE887CD6-A4F1-4FD2-8C7A-37342FA81BA4}"/>
    <cellStyle name="Vírgula 5 2 2 3 3" xfId="1108" xr:uid="{AC59CB8A-2B0F-4338-BF8E-169A326E89EF}"/>
    <cellStyle name="Vírgula 5 2 2 3 3 10" xfId="54101" xr:uid="{2BC854A1-D4E4-435F-9C39-9DDADE63C5AB}"/>
    <cellStyle name="Vírgula 5 2 2 3 3 11" xfId="6615" xr:uid="{FE0D19EB-5B00-4AE3-82A5-AFE81DD9ED2A}"/>
    <cellStyle name="Vírgula 5 2 2 3 3 12" xfId="4909" xr:uid="{C5397E6E-38F5-4DA5-A700-DA1B921A13BC}"/>
    <cellStyle name="Vírgula 5 2 2 3 3 2" xfId="2771" xr:uid="{C4B8276D-B5AE-4709-B1FA-2190A768669E}"/>
    <cellStyle name="Vírgula 5 2 2 3 3 2 2" xfId="37241" xr:uid="{23788A0B-8FA9-4682-8ED8-E165F9B528B7}"/>
    <cellStyle name="Vírgula 5 2 2 3 3 2 3" xfId="52438" xr:uid="{4E30D2A8-6FE9-4343-A689-E50523AD5DDF}"/>
    <cellStyle name="Vírgula 5 2 2 3 3 2 4" xfId="55732" xr:uid="{ABBD5DE8-4019-4B6F-9F79-DE86358A794E}"/>
    <cellStyle name="Vírgula 5 2 2 3 3 2 5" xfId="16901" xr:uid="{B58C8793-0F69-4EBA-BF3F-60E13A946007}"/>
    <cellStyle name="Vírgula 5 2 2 3 3 3" xfId="20403" xr:uid="{EBA76816-DFBA-4915-9475-6DBD4B4DA607}"/>
    <cellStyle name="Vírgula 5 2 2 3 3 3 2" xfId="40742" xr:uid="{AC093CD2-075B-4177-BAAE-01E52B2548C4}"/>
    <cellStyle name="Vírgula 5 2 2 3 3 3 3" xfId="56979" xr:uid="{7B4A7616-4699-43CD-A56A-31482CF81755}"/>
    <cellStyle name="Vírgula 5 2 2 3 3 4" xfId="23658" xr:uid="{5EC28C09-28FC-439D-8481-E3BF7A61CF24}"/>
    <cellStyle name="Vírgula 5 2 2 3 3 4 2" xfId="43993" xr:uid="{270EFF7F-29D8-454A-8BE6-76C76F28F94E}"/>
    <cellStyle name="Vírgula 5 2 2 3 3 5" xfId="13992" xr:uid="{FBD8A601-DAC4-4118-A9AC-78BFA6EFE587}"/>
    <cellStyle name="Vírgula 5 2 2 3 3 5 2" xfId="34333" xr:uid="{12FEBD59-1AA2-4C9A-8944-81420167709B}"/>
    <cellStyle name="Vírgula 5 2 2 3 3 6" xfId="10114" xr:uid="{B1CAB7E4-DDF9-439D-9850-9B8264BC720D}"/>
    <cellStyle name="Vírgula 5 2 2 3 3 6 2" xfId="30457" xr:uid="{41DF59D2-9BCA-465E-94CF-4EB940CA35A1}"/>
    <cellStyle name="Vírgula 5 2 2 3 3 7" xfId="26963" xr:uid="{86B51878-FE18-4171-89A6-D1967B3AC0FB}"/>
    <cellStyle name="Vírgula 5 2 2 3 3 8" xfId="49136" xr:uid="{81C044AE-2969-4446-AAC3-4295C2475FBF}"/>
    <cellStyle name="Vírgula 5 2 2 3 3 9" xfId="50806" xr:uid="{1B784BE3-F4B2-464A-8498-D2678D9801E7}"/>
    <cellStyle name="Vírgula 5 2 2 3 4" xfId="1514" xr:uid="{08BBA761-712E-448C-B48F-38F63C40A3E2}"/>
    <cellStyle name="Vírgula 5 2 2 3 4 10" xfId="54102" xr:uid="{ACA77BBA-993A-475A-A081-DCC31E90C7FF}"/>
    <cellStyle name="Vírgula 5 2 2 3 4 11" xfId="7779" xr:uid="{98FB52F2-E9CE-4F99-8988-2305151C8572}"/>
    <cellStyle name="Vírgula 5 2 2 3 4 2" xfId="3175" xr:uid="{96702AC7-EBB0-4B94-BD99-1F5045C0A815}"/>
    <cellStyle name="Vírgula 5 2 2 3 4 2 2" xfId="38404" xr:uid="{49551E18-0036-4401-B9ED-CD17FE9838B2}"/>
    <cellStyle name="Vírgula 5 2 2 3 4 2 3" xfId="52439" xr:uid="{C9E0FCA1-EFF3-40FE-A0AF-E803FFBF60BE}"/>
    <cellStyle name="Vírgula 5 2 2 3 4 2 4" xfId="55733" xr:uid="{2D1AB9DC-F127-4341-9E20-98EC2945E679}"/>
    <cellStyle name="Vírgula 5 2 2 3 4 2 5" xfId="18064" xr:uid="{A5538538-545E-429D-8262-058047B29ABD}"/>
    <cellStyle name="Vírgula 5 2 2 3 4 3" xfId="21566" xr:uid="{DFE91320-E888-4F21-A508-E11A7CF0219A}"/>
    <cellStyle name="Vírgula 5 2 2 3 4 3 2" xfId="41905" xr:uid="{F58EA6C3-A4BC-4582-8260-802AD291B605}"/>
    <cellStyle name="Vírgula 5 2 2 3 4 3 3" xfId="57385" xr:uid="{698B0D7F-676D-4359-9373-2B57BC78B7C0}"/>
    <cellStyle name="Vírgula 5 2 2 3 4 4" xfId="24821" xr:uid="{2F265C9F-6A57-4055-8DA0-547EF66ED84A}"/>
    <cellStyle name="Vírgula 5 2 2 3 4 4 2" xfId="45156" xr:uid="{CFD502E0-46A9-4306-968F-2A18BB984D1B}"/>
    <cellStyle name="Vírgula 5 2 2 3 4 5" xfId="15156" xr:uid="{97CF0E90-8C67-4C5A-B703-C1CDA9E12824}"/>
    <cellStyle name="Vírgula 5 2 2 3 4 5 2" xfId="35496" xr:uid="{D32820FA-2A50-496C-9B10-FE2666CE6868}"/>
    <cellStyle name="Vírgula 5 2 2 3 4 6" xfId="11277" xr:uid="{D996342D-8D5D-45A3-AC74-E8F2539A164D}"/>
    <cellStyle name="Vírgula 5 2 2 3 4 6 2" xfId="31620" xr:uid="{09971429-19F0-4664-A3A1-755955C1749A}"/>
    <cellStyle name="Vírgula 5 2 2 3 4 7" xfId="28126" xr:uid="{4EE81B74-46FF-47BB-8B66-D6FB1DD9F0F4}"/>
    <cellStyle name="Vírgula 5 2 2 3 4 8" xfId="49137" xr:uid="{4A2443D5-832E-4385-9810-48362A46C402}"/>
    <cellStyle name="Vírgula 5 2 2 3 4 9" xfId="50807" xr:uid="{A7DC5157-9795-4513-AEAD-F50CA23E27CB}"/>
    <cellStyle name="Vírgula 5 2 2 3 5" xfId="701" xr:uid="{6D4D7873-5CDE-48D7-AE87-72C455226699}"/>
    <cellStyle name="Vírgula 5 2 2 3 5 10" xfId="8308" xr:uid="{553D5302-664E-4E29-90B0-943D67C6EF37}"/>
    <cellStyle name="Vírgula 5 2 2 3 5 2" xfId="2417" xr:uid="{4B135179-6ED9-4F90-B3F4-1CC419F7E991}"/>
    <cellStyle name="Vírgula 5 2 2 3 5 2 2" xfId="42431" xr:uid="{E81FAD50-D964-4074-B390-A0C82407F034}"/>
    <cellStyle name="Vírgula 5 2 2 3 5 2 3" xfId="52440" xr:uid="{05C35CE0-BFE9-4CF5-8457-FFDC7D31D902}"/>
    <cellStyle name="Vírgula 5 2 2 3 5 2 4" xfId="55734" xr:uid="{D4581CD9-F906-49E9-8DFF-DE14A7E74A8B}"/>
    <cellStyle name="Vírgula 5 2 2 3 5 2 5" xfId="22095" xr:uid="{3086319B-B4CE-4A28-BD17-3DAA8D28C1AE}"/>
    <cellStyle name="Vírgula 5 2 2 3 5 3" xfId="25347" xr:uid="{4DEC0FE6-7189-40CD-820D-04875CB54F39}"/>
    <cellStyle name="Vírgula 5 2 2 3 5 3 2" xfId="45682" xr:uid="{CB3ECD3F-6ED4-40CB-A4CC-BF42C4076918}"/>
    <cellStyle name="Vírgula 5 2 2 3 5 3 3" xfId="56572" xr:uid="{C25CADEE-2956-49C1-B7C7-F77DBF51B07E}"/>
    <cellStyle name="Vírgula 5 2 2 3 5 4" xfId="12846" xr:uid="{21E4BBD1-372F-4F17-AF9E-162874007AC9}"/>
    <cellStyle name="Vírgula 5 2 2 3 5 4 2" xfId="33187" xr:uid="{E75BBE90-8CC6-4BC5-9B26-A2CA22C8483F}"/>
    <cellStyle name="Vírgula 5 2 2 3 5 5" xfId="11804" xr:uid="{7261EF0D-0885-422A-B6A1-BD7A3CEF1EC8}"/>
    <cellStyle name="Vírgula 5 2 2 3 5 5 2" xfId="32146" xr:uid="{959ED28B-8A13-4039-84F8-F94598A58B0A}"/>
    <cellStyle name="Vírgula 5 2 2 3 5 6" xfId="28652" xr:uid="{FD9CF40C-D735-4B2C-B526-C68D47B3A62B}"/>
    <cellStyle name="Vírgula 5 2 2 3 5 7" xfId="49138" xr:uid="{3B07CAD5-537A-4DF7-9CAB-8098E75B619B}"/>
    <cellStyle name="Vírgula 5 2 2 3 5 8" xfId="50808" xr:uid="{A7DF880C-11CF-4B84-B520-D33E008F43BB}"/>
    <cellStyle name="Vírgula 5 2 2 3 5 9" xfId="54103" xr:uid="{1E3C3FF9-D39C-4639-AAD1-564D8E4F5B97}"/>
    <cellStyle name="Vírgula 5 2 2 3 6" xfId="3637" xr:uid="{0A4E70F6-FA42-49F8-83C9-B2DD8CF096BD}"/>
    <cellStyle name="Vírgula 5 2 2 3 6 2" xfId="15743" xr:uid="{22D7CC04-770A-4B0F-B614-FDED3B91A2DB}"/>
    <cellStyle name="Vírgula 5 2 2 3 6 2 2" xfId="36083" xr:uid="{B2BE318F-EC4F-406B-855C-059F0778A8E2}"/>
    <cellStyle name="Vírgula 5 2 2 3 6 3" xfId="28978" xr:uid="{CDCABB0F-AA0D-4A4E-8075-8882D63FABEC}"/>
    <cellStyle name="Vírgula 5 2 2 3 6 4" xfId="52433" xr:uid="{69E7E40E-D326-4526-9DF8-9EBF963C2140}"/>
    <cellStyle name="Vírgula 5 2 2 3 6 5" xfId="55727" xr:uid="{29CFB605-E30F-4590-9371-1EBD4820E0D9}"/>
    <cellStyle name="Vírgula 5 2 2 3 6 6" xfId="8635" xr:uid="{6124AC74-8338-4C9D-898D-2DB4045C3A90}"/>
    <cellStyle name="Vírgula 5 2 2 3 7" xfId="4234" xr:uid="{B7623CC1-9D10-483A-AC9C-45BD49E600AA}"/>
    <cellStyle name="Vírgula 5 2 2 3 7 2" xfId="38997" xr:uid="{17BCE944-0E9D-4D6D-A023-AAE8C4AABF32}"/>
    <cellStyle name="Vírgula 5 2 2 3 7 3" xfId="56163" xr:uid="{BA6C5368-9F50-4797-B649-F7C6BC76C22C}"/>
    <cellStyle name="Vírgula 5 2 2 3 7 4" xfId="18657" xr:uid="{DB945AD0-173F-47F4-8398-861698057DE9}"/>
    <cellStyle name="Vírgula 5 2 2 3 8" xfId="1986" xr:uid="{2DC6DBEC-CB67-4A76-A6DC-26C5B92D791E}"/>
    <cellStyle name="Vírgula 5 2 2 3 8 2" xfId="39584" xr:uid="{46C0DC3E-4227-4597-8AA0-BCCBB010F257}"/>
    <cellStyle name="Vírgula 5 2 2 3 8 3" xfId="19245" xr:uid="{E44F9123-E031-4D7C-B7B6-F12F8F32AB16}"/>
    <cellStyle name="Vírgula 5 2 2 3 9" xfId="22500" xr:uid="{5BBA4967-40C4-46C7-B3A0-89C43CA74A51}"/>
    <cellStyle name="Vírgula 5 2 2 3 9 2" xfId="42835" xr:uid="{A0A7CB23-7E7C-4102-99E7-257484865BE7}"/>
    <cellStyle name="Vírgula 5 2 2 4" xfId="351" xr:uid="{7BC378E3-7BEE-4B2E-BCDB-42152E403296}"/>
    <cellStyle name="Vírgula 5 2 2 4 10" xfId="12275" xr:uid="{D0830F03-6EE2-4FBA-9F16-10A1AB5431F1}"/>
    <cellStyle name="Vírgula 5 2 2 4 10 2" xfId="32616" xr:uid="{5AE06AF6-5C29-4D0A-83A3-C42F4ED354B9}"/>
    <cellStyle name="Vírgula 5 2 2 4 11" xfId="9014" xr:uid="{0B507709-69F0-4238-81FA-D2155D69BC55}"/>
    <cellStyle name="Vírgula 5 2 2 4 11 2" xfId="29357" xr:uid="{B4FFACE5-E5DE-437B-9640-CEFC680D9376}"/>
    <cellStyle name="Vírgula 5 2 2 4 12" xfId="25863" xr:uid="{F28E2AF6-7B13-4987-9202-FAE09AF70E0D}"/>
    <cellStyle name="Vírgula 5 2 2 4 13" xfId="46101" xr:uid="{427BBABA-21D2-4880-8109-F416CB849413}"/>
    <cellStyle name="Vírgula 5 2 2 4 14" xfId="46587" xr:uid="{9C22172A-71FA-47E2-BB06-D5AD377E8D09}"/>
    <cellStyle name="Vírgula 5 2 2 4 15" xfId="47079" xr:uid="{702F72C4-FB8E-4DF3-8A5C-FD08B068F5A9}"/>
    <cellStyle name="Vírgula 5 2 2 4 16" xfId="49139" xr:uid="{44BDEB1D-B35D-4503-81B8-9F9DDE8C799B}"/>
    <cellStyle name="Vírgula 5 2 2 4 17" xfId="50809" xr:uid="{84C5917B-8EE7-451B-8BC5-5603E18C63C6}"/>
    <cellStyle name="Vírgula 5 2 2 4 18" xfId="54104" xr:uid="{F66CCD56-AC96-4879-80C4-2965890E3EA0}"/>
    <cellStyle name="Vírgula 5 2 2 4 19" xfId="5524" xr:uid="{29EC1397-7054-45F4-95D5-059A399EB69F}"/>
    <cellStyle name="Vírgula 5 2 2 4 2" xfId="1167" xr:uid="{D969C4DC-223F-4AAD-817A-AB4685A99070}"/>
    <cellStyle name="Vírgula 5 2 2 4 2 10" xfId="50810" xr:uid="{E6FF5450-AD5D-4ED7-90E7-DEFA0C91134E}"/>
    <cellStyle name="Vírgula 5 2 2 4 2 11" xfId="54105" xr:uid="{7699F3E0-D8D0-408C-8D16-1E67985865CC}"/>
    <cellStyle name="Vírgula 5 2 2 4 2 12" xfId="6096" xr:uid="{26DF0737-D259-4608-A7DE-AC2D83CDC6A7}"/>
    <cellStyle name="Vírgula 5 2 2 4 2 13" xfId="4992" xr:uid="{C2B3FEFB-2697-49EB-B151-3EDEDBC06A57}"/>
    <cellStyle name="Vírgula 5 2 2 4 2 2" xfId="2828" xr:uid="{AB99CFC2-3E2A-427B-BF18-1FA2EE501F0B}"/>
    <cellStyle name="Vírgula 5 2 2 4 2 2 10" xfId="7254" xr:uid="{6ABAECBB-3308-4988-8F2A-BFBB53316069}"/>
    <cellStyle name="Vírgula 5 2 2 4 2 2 2" xfId="17540" xr:uid="{EFEBB520-04B5-4A6E-804B-3622DCD38FA1}"/>
    <cellStyle name="Vírgula 5 2 2 4 2 2 2 2" xfId="37880" xr:uid="{2FDC3FDA-6BEE-430C-A16B-E3D13B7AC9E3}"/>
    <cellStyle name="Vírgula 5 2 2 4 2 2 3" xfId="21042" xr:uid="{93C2F47C-A785-449E-8C49-9DC967DB911E}"/>
    <cellStyle name="Vírgula 5 2 2 4 2 2 3 2" xfId="41381" xr:uid="{E90E92CE-CA04-4FAD-B70D-069DC45FDFE6}"/>
    <cellStyle name="Vírgula 5 2 2 4 2 2 4" xfId="24297" xr:uid="{805D50B7-9085-4457-AA92-BD6CC601197B}"/>
    <cellStyle name="Vírgula 5 2 2 4 2 2 4 2" xfId="44632" xr:uid="{F348F6C5-AC2D-4766-951B-70731F6A0292}"/>
    <cellStyle name="Vírgula 5 2 2 4 2 2 5" xfId="14631" xr:uid="{B3435996-505E-4FEC-9649-3A762CF83103}"/>
    <cellStyle name="Vírgula 5 2 2 4 2 2 5 2" xfId="34972" xr:uid="{102EDD13-E2D9-488E-99DB-EB4BCD277526}"/>
    <cellStyle name="Vírgula 5 2 2 4 2 2 6" xfId="10753" xr:uid="{BAE887D9-E448-429E-93A8-2EC21122EEAF}"/>
    <cellStyle name="Vírgula 5 2 2 4 2 2 6 2" xfId="31096" xr:uid="{5469C97B-E294-4350-81B3-B1F041A80224}"/>
    <cellStyle name="Vírgula 5 2 2 4 2 2 7" xfId="27602" xr:uid="{24AF99B2-93A4-4319-A998-CB0A3FB63C3C}"/>
    <cellStyle name="Vírgula 5 2 2 4 2 2 8" xfId="52442" xr:uid="{4413776C-7705-45BB-B0E2-E44FD448FAD0}"/>
    <cellStyle name="Vírgula 5 2 2 4 2 2 9" xfId="55736" xr:uid="{12AA44E9-D9BB-41CE-A146-B1500DA08DF2}"/>
    <cellStyle name="Vírgula 5 2 2 4 2 3" xfId="16382" xr:uid="{2D5D8F46-E7C4-49C7-A098-80CCA23D1C21}"/>
    <cellStyle name="Vírgula 5 2 2 4 2 3 2" xfId="36722" xr:uid="{075ED297-0EF4-4604-8342-9806B00AB0E5}"/>
    <cellStyle name="Vírgula 5 2 2 4 2 3 3" xfId="57038" xr:uid="{1BDF8071-7B2C-463C-B253-DF68477B2B5F}"/>
    <cellStyle name="Vírgula 5 2 2 4 2 4" xfId="19884" xr:uid="{DAABFC35-F5C8-4E4D-889F-FFA60FE264BB}"/>
    <cellStyle name="Vírgula 5 2 2 4 2 4 2" xfId="40223" xr:uid="{B2A6D89E-ED01-418E-8399-5035F2BD39D4}"/>
    <cellStyle name="Vírgula 5 2 2 4 2 5" xfId="23139" xr:uid="{58B83237-CA00-4C0D-A47B-612A1A5836A4}"/>
    <cellStyle name="Vírgula 5 2 2 4 2 5 2" xfId="43474" xr:uid="{E7860E58-CA38-49C0-8F8B-4E061793C834}"/>
    <cellStyle name="Vírgula 5 2 2 4 2 6" xfId="13473" xr:uid="{4273636F-9B34-48A9-B2AD-D1862E9AEB09}"/>
    <cellStyle name="Vírgula 5 2 2 4 2 6 2" xfId="33814" xr:uid="{0A93AD85-99E5-4114-B84B-4E7EC8BB6DA5}"/>
    <cellStyle name="Vírgula 5 2 2 4 2 7" xfId="9595" xr:uid="{483209EC-B513-410F-8374-5C59557B9840}"/>
    <cellStyle name="Vírgula 5 2 2 4 2 7 2" xfId="29938" xr:uid="{4A68B58A-F141-488D-91F7-6A4F7A7CB0E8}"/>
    <cellStyle name="Vírgula 5 2 2 4 2 8" xfId="26444" xr:uid="{EFAD9725-4A16-4321-9553-EADCE03BF9A1}"/>
    <cellStyle name="Vírgula 5 2 2 4 2 9" xfId="49140" xr:uid="{D1A5E6AC-4355-45F1-B9C1-B3E420BF4B16}"/>
    <cellStyle name="Vírgula 5 2 2 4 20" xfId="4632" xr:uid="{2D372EDE-02D9-4D0D-A679-60F4311FBF06}"/>
    <cellStyle name="Vírgula 5 2 2 4 3" xfId="1573" xr:uid="{3F54BDB7-DE1F-4282-B6DE-027FC9D9E705}"/>
    <cellStyle name="Vírgula 5 2 2 4 3 10" xfId="54106" xr:uid="{9D8ADB3B-61D6-46EC-A527-A8327270337F}"/>
    <cellStyle name="Vírgula 5 2 2 4 3 11" xfId="6673" xr:uid="{9FC8FBED-FF08-430F-9DC5-F416114BB957}"/>
    <cellStyle name="Vírgula 5 2 2 4 3 2" xfId="3233" xr:uid="{19870580-6D10-4E50-BBA4-1C07CB6C8FA8}"/>
    <cellStyle name="Vírgula 5 2 2 4 3 2 2" xfId="37299" xr:uid="{82BE6E6B-EC40-471A-8578-07C774E054D6}"/>
    <cellStyle name="Vírgula 5 2 2 4 3 2 3" xfId="52443" xr:uid="{AAFB97CA-633D-4BEC-935E-7978A1229CD3}"/>
    <cellStyle name="Vírgula 5 2 2 4 3 2 4" xfId="55737" xr:uid="{6432F7C8-312E-4F1B-9BF3-A95B6B7B462E}"/>
    <cellStyle name="Vírgula 5 2 2 4 3 2 5" xfId="16959" xr:uid="{49CC5A9B-06F0-440C-97D1-DE4D92DB55B6}"/>
    <cellStyle name="Vírgula 5 2 2 4 3 3" xfId="20461" xr:uid="{4D732090-3217-4438-BAEE-D858CCAE432A}"/>
    <cellStyle name="Vírgula 5 2 2 4 3 3 2" xfId="40800" xr:uid="{9A4FBFAB-E7FC-4EE9-8BA4-E355F55E265C}"/>
    <cellStyle name="Vírgula 5 2 2 4 3 3 3" xfId="57444" xr:uid="{37189F6B-7B47-4F22-83EA-15852CC2CC9E}"/>
    <cellStyle name="Vírgula 5 2 2 4 3 4" xfId="23716" xr:uid="{4D2B9DB3-7869-4824-93AB-E0DD976F99F4}"/>
    <cellStyle name="Vírgula 5 2 2 4 3 4 2" xfId="44051" xr:uid="{16B42060-1C81-4EA0-98DD-88A41D620B1E}"/>
    <cellStyle name="Vírgula 5 2 2 4 3 5" xfId="14050" xr:uid="{6C642AAE-7DC7-46E8-BB6E-5BD0CAB38C37}"/>
    <cellStyle name="Vírgula 5 2 2 4 3 5 2" xfId="34391" xr:uid="{D1D25E1D-2C87-4487-87D6-E573C5AB649C}"/>
    <cellStyle name="Vírgula 5 2 2 4 3 6" xfId="10172" xr:uid="{3B66C16B-267D-4A75-84F9-C37107BE38D8}"/>
    <cellStyle name="Vírgula 5 2 2 4 3 6 2" xfId="30515" xr:uid="{582455A3-1ABF-415F-88B0-035533E83A9E}"/>
    <cellStyle name="Vírgula 5 2 2 4 3 7" xfId="27021" xr:uid="{8DB04BE6-D99D-42C4-ADAE-FBB5C7F9FB70}"/>
    <cellStyle name="Vírgula 5 2 2 4 3 8" xfId="49141" xr:uid="{EB71A049-EA3A-403C-93A2-FC4356E344C0}"/>
    <cellStyle name="Vírgula 5 2 2 4 3 9" xfId="50811" xr:uid="{DBA4048E-35D8-46B7-B6E2-015F80B2CD34}"/>
    <cellStyle name="Vírgula 5 2 2 4 4" xfId="760" xr:uid="{FAFEA685-7E9E-4DE1-BFBF-48046B9B789E}"/>
    <cellStyle name="Vírgula 5 2 2 4 4 10" xfId="54107" xr:uid="{533FFE67-5570-4E54-8403-EC631379E225}"/>
    <cellStyle name="Vírgula 5 2 2 4 4 11" xfId="7837" xr:uid="{ED4DB652-A0BE-4C30-A9F8-1B612A56ECD5}"/>
    <cellStyle name="Vírgula 5 2 2 4 4 2" xfId="2476" xr:uid="{DAD5A8E7-C832-43EA-AF03-C13EFD8D7E5D}"/>
    <cellStyle name="Vírgula 5 2 2 4 4 2 2" xfId="38462" xr:uid="{65B21101-14E8-47E6-8D3E-D4BF0DC316CC}"/>
    <cellStyle name="Vírgula 5 2 2 4 4 2 3" xfId="52444" xr:uid="{0A876DFF-B2CE-4396-8B43-ADCFA927A0AB}"/>
    <cellStyle name="Vírgula 5 2 2 4 4 2 4" xfId="55738" xr:uid="{38939424-78B7-45C2-908B-25F2B190E7BC}"/>
    <cellStyle name="Vírgula 5 2 2 4 4 2 5" xfId="18122" xr:uid="{EF104C87-8F49-45B6-955F-ED4800380CEE}"/>
    <cellStyle name="Vírgula 5 2 2 4 4 3" xfId="21624" xr:uid="{6E023B97-B417-4949-BB34-A36E3A4949E3}"/>
    <cellStyle name="Vírgula 5 2 2 4 4 3 2" xfId="41963" xr:uid="{1D4F34FD-6B34-4DD8-9804-F05378F3ADFB}"/>
    <cellStyle name="Vírgula 5 2 2 4 4 3 3" xfId="56631" xr:uid="{47E1BAEF-5F7F-41FD-BB13-B70C417073EB}"/>
    <cellStyle name="Vírgula 5 2 2 4 4 4" xfId="24879" xr:uid="{D52471F4-8CE6-4B64-8938-FEC31D673410}"/>
    <cellStyle name="Vírgula 5 2 2 4 4 4 2" xfId="45214" xr:uid="{B00C2A38-38D3-49CA-9CD4-10DD60FB922A}"/>
    <cellStyle name="Vírgula 5 2 2 4 4 5" xfId="15214" xr:uid="{2EE2567D-2B5D-40F8-8EFD-B3EA7235BE1A}"/>
    <cellStyle name="Vírgula 5 2 2 4 4 5 2" xfId="35554" xr:uid="{A3ACAA1B-AFEC-4937-9ED6-15787531A317}"/>
    <cellStyle name="Vírgula 5 2 2 4 4 6" xfId="11335" xr:uid="{45AB4EDC-3350-44CD-B72E-3A4FD3E51D7D}"/>
    <cellStyle name="Vírgula 5 2 2 4 4 6 2" xfId="31678" xr:uid="{199BFCB5-1784-40AB-B4E9-780D0398C763}"/>
    <cellStyle name="Vírgula 5 2 2 4 4 7" xfId="28184" xr:uid="{5071A5B4-6974-4DA6-A776-F69469B2566F}"/>
    <cellStyle name="Vírgula 5 2 2 4 4 8" xfId="49142" xr:uid="{60CF2F69-08AF-49FE-94E5-56D5E76496D2}"/>
    <cellStyle name="Vírgula 5 2 2 4 4 9" xfId="50812" xr:uid="{41CCDEAB-5422-4765-8CCF-943503BFF396}"/>
    <cellStyle name="Vírgula 5 2 2 4 5" xfId="3528" xr:uid="{D37BF717-CA1B-4CB4-92F9-C321624AAE31}"/>
    <cellStyle name="Vírgula 5 2 2 4 5 2" xfId="22096" xr:uid="{7C07D7E8-B58D-4331-827D-636A6D210953}"/>
    <cellStyle name="Vírgula 5 2 2 4 5 2 2" xfId="42432" xr:uid="{ABCD3A39-B668-46E6-9CE7-4B6BF8E904D1}"/>
    <cellStyle name="Vírgula 5 2 2 4 5 3" xfId="25348" xr:uid="{51DCBC32-2CDA-42E8-B77E-B3CF34CD7907}"/>
    <cellStyle name="Vírgula 5 2 2 4 5 3 2" xfId="45683" xr:uid="{B7BE3296-872F-4BC8-8CDA-45DF545C231D}"/>
    <cellStyle name="Vírgula 5 2 2 4 5 4" xfId="12904" xr:uid="{7D5FF629-1C20-41B1-84B1-1245A5B92147}"/>
    <cellStyle name="Vírgula 5 2 2 4 5 4 2" xfId="33245" xr:uid="{CA7252B7-1423-4DFA-BB74-8E058ACC55A0}"/>
    <cellStyle name="Vírgula 5 2 2 4 5 5" xfId="11805" xr:uid="{DC520AD2-B4CB-4A3A-B7A7-CEB400224479}"/>
    <cellStyle name="Vírgula 5 2 2 4 5 5 2" xfId="32147" xr:uid="{B538D1CD-0CBB-482B-9D38-4EBA2057A392}"/>
    <cellStyle name="Vírgula 5 2 2 4 5 6" xfId="28653" xr:uid="{F56CFAA8-DBFA-4967-AF8B-43F71D46DFCA}"/>
    <cellStyle name="Vírgula 5 2 2 4 5 7" xfId="52441" xr:uid="{A3E2E54C-FCD3-492A-AC34-1FCA7F5489A9}"/>
    <cellStyle name="Vírgula 5 2 2 4 5 8" xfId="55735" xr:uid="{6D7179F4-B723-4C40-A767-DC9F7FED511A}"/>
    <cellStyle name="Vírgula 5 2 2 4 5 9" xfId="8309" xr:uid="{E443CE31-41AD-4CFA-B155-68B18FDDFF5F}"/>
    <cellStyle name="Vírgula 5 2 2 4 6" xfId="1877" xr:uid="{30F3BDFF-04DC-4410-B334-16B61D85D984}"/>
    <cellStyle name="Vírgula 5 2 2 4 6 2" xfId="36141" xr:uid="{A7D6A7D9-9C17-444E-91E9-D327EEF9DB6D}"/>
    <cellStyle name="Vírgula 5 2 2 4 6 3" xfId="56222" xr:uid="{CDFC6B8B-0F1D-4BD5-82A1-C2F8F3232E85}"/>
    <cellStyle name="Vírgula 5 2 2 4 6 4" xfId="15801" xr:uid="{A0C27FF1-7F4F-47FE-9E86-14B28C118F93}"/>
    <cellStyle name="Vírgula 5 2 2 4 7" xfId="18715" xr:uid="{0F2A4809-2CDA-4119-BF3A-6C8BBF025622}"/>
    <cellStyle name="Vírgula 5 2 2 4 7 2" xfId="39055" xr:uid="{F1172662-29ED-46B2-AB91-074634362F04}"/>
    <cellStyle name="Vírgula 5 2 2 4 8" xfId="19303" xr:uid="{FE65A91C-9067-4F91-A3E2-FC863561BA48}"/>
    <cellStyle name="Vírgula 5 2 2 4 8 2" xfId="39642" xr:uid="{ED4A54AE-2BA6-401E-854A-F5E0853C9F00}"/>
    <cellStyle name="Vírgula 5 2 2 4 9" xfId="22558" xr:uid="{6099B4E3-09D4-4CD5-BF59-6CE2961D2044}"/>
    <cellStyle name="Vírgula 5 2 2 4 9 2" xfId="42893" xr:uid="{89930643-AD57-4B2E-8C8A-C18A7226AF93}"/>
    <cellStyle name="Vírgula 5 2 2 5" xfId="978" xr:uid="{CEDAB21F-FF60-4967-B6F8-F93E6238AB61}"/>
    <cellStyle name="Vírgula 5 2 2 5 10" xfId="12350" xr:uid="{0D00F19D-ACA7-4819-BB97-1618DCC95596}"/>
    <cellStyle name="Vírgula 5 2 2 5 10 2" xfId="32691" xr:uid="{A52124E0-CB5C-47AF-A71B-2364D1335A00}"/>
    <cellStyle name="Vírgula 5 2 2 5 11" xfId="9089" xr:uid="{3442655E-B096-434F-B7BB-FFBFB65B047B}"/>
    <cellStyle name="Vírgula 5 2 2 5 11 2" xfId="29432" xr:uid="{5328422C-7F0A-4166-B886-86A87E26F0BA}"/>
    <cellStyle name="Vírgula 5 2 2 5 12" xfId="25938" xr:uid="{9E6C2AA9-BBAB-4541-90FE-82CCC7325A61}"/>
    <cellStyle name="Vírgula 5 2 2 5 13" xfId="49143" xr:uid="{A371D08A-3A57-428C-9495-671F94EE74AA}"/>
    <cellStyle name="Vírgula 5 2 2 5 14" xfId="50813" xr:uid="{6DF3FBDF-7E7E-4CF2-9A71-9A0FB6FEB98A}"/>
    <cellStyle name="Vírgula 5 2 2 5 15" xfId="54108" xr:uid="{0EB3C8D3-76A6-464C-B9E6-A5AB8CDC1A32}"/>
    <cellStyle name="Vírgula 5 2 2 5 16" xfId="5599" xr:uid="{26733021-07FD-483A-B3A9-77C6DC28B503}"/>
    <cellStyle name="Vírgula 5 2 2 5 17" xfId="4830" xr:uid="{D6DDA450-6CC2-4467-8CC9-618DC63AD4AC}"/>
    <cellStyle name="Vírgula 5 2 2 5 2" xfId="3746" xr:uid="{B73FE1BF-B515-4B7A-9419-F3FAAFDA055E}"/>
    <cellStyle name="Vírgula 5 2 2 5 2 10" xfId="55739" xr:uid="{612F7E7B-F238-465D-ADB3-AE4FBAF98243}"/>
    <cellStyle name="Vírgula 5 2 2 5 2 11" xfId="6171" xr:uid="{C56D5960-44AC-4CB7-A2D7-BA92F7B9ECB5}"/>
    <cellStyle name="Vírgula 5 2 2 5 2 2" xfId="7329" xr:uid="{0B445662-26C6-4B90-A52E-B19E6D12A1BB}"/>
    <cellStyle name="Vírgula 5 2 2 5 2 2 2" xfId="17615" xr:uid="{8036D2C0-EC04-4396-8C79-38570690BA14}"/>
    <cellStyle name="Vírgula 5 2 2 5 2 2 2 2" xfId="37955" xr:uid="{7644AE33-0133-4BF7-BD74-E63264689544}"/>
    <cellStyle name="Vírgula 5 2 2 5 2 2 3" xfId="21117" xr:uid="{4384176D-FB45-40DF-8951-BFEAD4CD30B6}"/>
    <cellStyle name="Vírgula 5 2 2 5 2 2 3 2" xfId="41456" xr:uid="{02C7C84E-B79A-43CE-AB99-DBF30BED165D}"/>
    <cellStyle name="Vírgula 5 2 2 5 2 2 4" xfId="24372" xr:uid="{46BDABB7-680B-437B-AFD4-F421086D125D}"/>
    <cellStyle name="Vírgula 5 2 2 5 2 2 4 2" xfId="44707" xr:uid="{D5FCA4B5-61C1-4923-ACA5-981B6B2A47FB}"/>
    <cellStyle name="Vírgula 5 2 2 5 2 2 5" xfId="14706" xr:uid="{135FCD69-2F0A-4A0B-A7B8-731BD822608D}"/>
    <cellStyle name="Vírgula 5 2 2 5 2 2 5 2" xfId="35047" xr:uid="{E96E1039-B715-47BC-BFE1-D54B01EC0625}"/>
    <cellStyle name="Vírgula 5 2 2 5 2 2 6" xfId="10828" xr:uid="{00ED9F72-A458-47F0-AA67-2AF5C157ADCE}"/>
    <cellStyle name="Vírgula 5 2 2 5 2 2 6 2" xfId="31171" xr:uid="{4E8B4B17-4D4E-41E3-A39C-9670EB3B60A7}"/>
    <cellStyle name="Vírgula 5 2 2 5 2 2 7" xfId="27677" xr:uid="{5210D8F0-91DB-473D-AE3F-8C726CBFAECA}"/>
    <cellStyle name="Vírgula 5 2 2 5 2 3" xfId="16457" xr:uid="{89995E58-9499-45E0-A60F-B91F7EBE6296}"/>
    <cellStyle name="Vírgula 5 2 2 5 2 3 2" xfId="36797" xr:uid="{2E9DC19C-7749-436F-95BF-ABE4E09EF2F3}"/>
    <cellStyle name="Vírgula 5 2 2 5 2 4" xfId="19959" xr:uid="{99CA18B9-DFC4-4452-ADCB-EB8D9D551894}"/>
    <cellStyle name="Vírgula 5 2 2 5 2 4 2" xfId="40298" xr:uid="{FB7318A4-097D-43CB-994B-C84E6C5C5927}"/>
    <cellStyle name="Vírgula 5 2 2 5 2 5" xfId="23214" xr:uid="{BA02012C-626D-41A2-8668-C65A4289307D}"/>
    <cellStyle name="Vírgula 5 2 2 5 2 5 2" xfId="43549" xr:uid="{2C329D35-E63B-442B-B5B2-207512053534}"/>
    <cellStyle name="Vírgula 5 2 2 5 2 6" xfId="13548" xr:uid="{6EF42003-3B3D-4579-A129-6100F7075023}"/>
    <cellStyle name="Vírgula 5 2 2 5 2 6 2" xfId="33889" xr:uid="{D5DCE143-F0B5-4FFA-B0CF-D90356DC7EE3}"/>
    <cellStyle name="Vírgula 5 2 2 5 2 7" xfId="9670" xr:uid="{96B2D3E1-58E5-46CA-BE28-2B67419BCCF2}"/>
    <cellStyle name="Vírgula 5 2 2 5 2 7 2" xfId="30013" xr:uid="{3263FFE5-0094-4C18-BE29-DE4869497CF1}"/>
    <cellStyle name="Vírgula 5 2 2 5 2 8" xfId="26519" xr:uid="{C223E652-CDC4-4596-B032-BF67C2A8B5BC}"/>
    <cellStyle name="Vírgula 5 2 2 5 2 9" xfId="52445" xr:uid="{A046B81E-2BE0-4156-9DA2-6F9A206B0D99}"/>
    <cellStyle name="Vírgula 5 2 2 5 3" xfId="2692" xr:uid="{E92DB4EE-665D-4821-B6CB-7F4CBDB687B2}"/>
    <cellStyle name="Vírgula 5 2 2 5 3 2" xfId="17034" xr:uid="{8BD9B57F-23B9-4F12-BC02-94F4325FC0BA}"/>
    <cellStyle name="Vírgula 5 2 2 5 3 2 2" xfId="37374" xr:uid="{4B9D6E4B-A46F-407D-A4CB-8990D85EA0D3}"/>
    <cellStyle name="Vírgula 5 2 2 5 3 3" xfId="20536" xr:uid="{2627799A-E688-40F2-B050-74C3F315DFD1}"/>
    <cellStyle name="Vírgula 5 2 2 5 3 3 2" xfId="40875" xr:uid="{A4BB1226-7E29-49DE-8BC4-2E8B995B7B8C}"/>
    <cellStyle name="Vírgula 5 2 2 5 3 4" xfId="23791" xr:uid="{1999DEF1-17EA-47D9-B902-2236B423B285}"/>
    <cellStyle name="Vírgula 5 2 2 5 3 4 2" xfId="44126" xr:uid="{EC2E1252-9BA0-4321-BC52-99E982AE8283}"/>
    <cellStyle name="Vírgula 5 2 2 5 3 5" xfId="14125" xr:uid="{E86F27E9-16B5-483F-985E-D9E80309407A}"/>
    <cellStyle name="Vírgula 5 2 2 5 3 5 2" xfId="34466" xr:uid="{AF3A3401-A5A1-4C20-ACD0-E7A5ACB377E9}"/>
    <cellStyle name="Vírgula 5 2 2 5 3 6" xfId="10247" xr:uid="{7D31234C-0978-4F51-BB4B-B05BC3EBA44E}"/>
    <cellStyle name="Vírgula 5 2 2 5 3 6 2" xfId="30590" xr:uid="{FDBF79D2-EA9E-4766-9F05-004D4A1D392A}"/>
    <cellStyle name="Vírgula 5 2 2 5 3 7" xfId="27096" xr:uid="{E7504B9B-F15D-4311-8794-45B3A58BBCB1}"/>
    <cellStyle name="Vírgula 5 2 2 5 3 8" xfId="56849" xr:uid="{E6F56586-5A33-41E8-8EA7-608986DA1C68}"/>
    <cellStyle name="Vírgula 5 2 2 5 3 9" xfId="6748" xr:uid="{BC7C1841-0252-4185-A5FF-85C7D4EF3FB4}"/>
    <cellStyle name="Vírgula 5 2 2 5 4" xfId="7912" xr:uid="{A240E01B-E4F4-4D44-B928-5D40EC11AC85}"/>
    <cellStyle name="Vírgula 5 2 2 5 4 2" xfId="18197" xr:uid="{88B47E09-109A-452C-BF8C-37B9FEA6B4A4}"/>
    <cellStyle name="Vírgula 5 2 2 5 4 2 2" xfId="38537" xr:uid="{4A5859CB-D3BD-4257-B1C3-52C2BE00D60B}"/>
    <cellStyle name="Vírgula 5 2 2 5 4 3" xfId="21699" xr:uid="{33AAD7E8-BACF-4997-A0D9-1E92C5B18687}"/>
    <cellStyle name="Vírgula 5 2 2 5 4 3 2" xfId="42038" xr:uid="{FAD810D7-267A-4BD5-8ADD-9A952073E89A}"/>
    <cellStyle name="Vírgula 5 2 2 5 4 4" xfId="24954" xr:uid="{2FF91CCC-2593-4141-A002-080D2E2A9DBD}"/>
    <cellStyle name="Vírgula 5 2 2 5 4 4 2" xfId="45289" xr:uid="{676B686C-043A-4CFF-8E97-CF37749F2A8B}"/>
    <cellStyle name="Vírgula 5 2 2 5 4 5" xfId="15289" xr:uid="{8508CF11-CDCF-4936-839F-8D3B7076D741}"/>
    <cellStyle name="Vírgula 5 2 2 5 4 5 2" xfId="35629" xr:uid="{FCBBCAF6-0E46-40FA-B936-C02B8D19B34C}"/>
    <cellStyle name="Vírgula 5 2 2 5 4 6" xfId="11410" xr:uid="{B0791E77-4CF2-44DD-B85C-36F821BC2A2F}"/>
    <cellStyle name="Vírgula 5 2 2 5 4 6 2" xfId="31753" xr:uid="{FB047D21-B26E-4394-9A98-8488190B783A}"/>
    <cellStyle name="Vírgula 5 2 2 5 4 7" xfId="28259" xr:uid="{1BCD2FCF-996B-454F-84E1-93A91FB05132}"/>
    <cellStyle name="Vírgula 5 2 2 5 5" xfId="12979" xr:uid="{B53A5DBF-E004-4D6E-BD0A-43BA03F9E29A}"/>
    <cellStyle name="Vírgula 5 2 2 5 5 2" xfId="33320" xr:uid="{AD4C745E-91A9-48A5-9E74-1479C5BA1CA2}"/>
    <cellStyle name="Vírgula 5 2 2 5 6" xfId="15876" xr:uid="{ADCA64AB-8A9E-4D62-9E9E-DBAE4F2C9C9F}"/>
    <cellStyle name="Vírgula 5 2 2 5 6 2" xfId="36216" xr:uid="{7AC0F808-F9D8-412D-86E0-23B5D9C31F8D}"/>
    <cellStyle name="Vírgula 5 2 2 5 7" xfId="18790" xr:uid="{1541A419-760D-4FF2-BE6C-4F2AACF98B73}"/>
    <cellStyle name="Vírgula 5 2 2 5 7 2" xfId="39130" xr:uid="{FF3319BB-707F-4EB0-9E8F-099AE4E7E764}"/>
    <cellStyle name="Vírgula 5 2 2 5 8" xfId="19378" xr:uid="{3F0E25EF-4F6F-4805-9676-100626C33857}"/>
    <cellStyle name="Vírgula 5 2 2 5 8 2" xfId="39717" xr:uid="{A8017A09-3AD9-4FF3-B174-C72C1BE7A8E8}"/>
    <cellStyle name="Vírgula 5 2 2 5 9" xfId="22633" xr:uid="{0A1AE5B0-7206-4F96-B2B7-69A452B50E45}"/>
    <cellStyle name="Vírgula 5 2 2 5 9 2" xfId="42968" xr:uid="{4929CB84-EDD6-4836-ADE0-B5D5FABEE564}"/>
    <cellStyle name="Vírgula 5 2 2 6" xfId="1384" xr:uid="{3F0B0503-4D67-4A75-BBEC-3BD490B35793}"/>
    <cellStyle name="Vírgula 5 2 2 6 10" xfId="12448" xr:uid="{0A3AFF02-2FC9-495E-B8F7-B7DDE4D7DBD1}"/>
    <cellStyle name="Vírgula 5 2 2 6 10 2" xfId="32789" xr:uid="{E9C9EFB5-B546-4A49-A0DA-F962B05D1F05}"/>
    <cellStyle name="Vírgula 5 2 2 6 11" xfId="9187" xr:uid="{1CEFBCB5-4076-4255-990F-8B01D965503B}"/>
    <cellStyle name="Vírgula 5 2 2 6 11 2" xfId="29530" xr:uid="{BCCF976C-2DCA-4B25-98BE-E7F0260EA0D9}"/>
    <cellStyle name="Vírgula 5 2 2 6 12" xfId="26036" xr:uid="{F59597D4-B525-424C-AC2C-BE4B0E90A1A3}"/>
    <cellStyle name="Vírgula 5 2 2 6 13" xfId="49144" xr:uid="{993D7E47-9032-4296-BEBE-674D0DAD9571}"/>
    <cellStyle name="Vírgula 5 2 2 6 14" xfId="50814" xr:uid="{2FCFDE4F-0453-4150-A8A5-974DF24D2EEC}"/>
    <cellStyle name="Vírgula 5 2 2 6 15" xfId="54109" xr:uid="{1216DD83-1090-4B71-8F54-C6147D9B8C6C}"/>
    <cellStyle name="Vírgula 5 2 2 6 16" xfId="5697" xr:uid="{7F9D1ADC-81CD-4F47-9E06-1C12B6B102DA}"/>
    <cellStyle name="Vírgula 5 2 2 6 2" xfId="3045" xr:uid="{B6681648-4C3D-4D57-9927-1E56B2C090AF}"/>
    <cellStyle name="Vírgula 5 2 2 6 2 10" xfId="55740" xr:uid="{0DBC5C94-3A0D-4754-9120-C3E14C79BC41}"/>
    <cellStyle name="Vírgula 5 2 2 6 2 11" xfId="6269" xr:uid="{1D1F40EF-B643-4E4A-BD0F-97E9523EEA87}"/>
    <cellStyle name="Vírgula 5 2 2 6 2 2" xfId="7427" xr:uid="{8348133A-9827-474C-807C-450D0AF58725}"/>
    <cellStyle name="Vírgula 5 2 2 6 2 2 2" xfId="17713" xr:uid="{4682B482-D53A-44DF-BCE5-4635EC4039F1}"/>
    <cellStyle name="Vírgula 5 2 2 6 2 2 2 2" xfId="38053" xr:uid="{9206137C-2260-4EFD-A48F-BD2AFD280ADF}"/>
    <cellStyle name="Vírgula 5 2 2 6 2 2 3" xfId="21215" xr:uid="{DC8DE9B9-F75A-4DAA-8A70-921B88A0DAE3}"/>
    <cellStyle name="Vírgula 5 2 2 6 2 2 3 2" xfId="41554" xr:uid="{CF946571-0F12-4946-97A6-C07109F50C6C}"/>
    <cellStyle name="Vírgula 5 2 2 6 2 2 4" xfId="24470" xr:uid="{09BC9BA8-3F45-4072-BFC4-2FCDC18523F3}"/>
    <cellStyle name="Vírgula 5 2 2 6 2 2 4 2" xfId="44805" xr:uid="{5628C64D-EFBA-420A-A5CF-5BB02CCE7016}"/>
    <cellStyle name="Vírgula 5 2 2 6 2 2 5" xfId="14804" xr:uid="{BCC2DEA7-E914-4BF5-A65E-3EDD3593E54B}"/>
    <cellStyle name="Vírgula 5 2 2 6 2 2 5 2" xfId="35145" xr:uid="{42F17725-B84B-4B14-98D3-460DF4059291}"/>
    <cellStyle name="Vírgula 5 2 2 6 2 2 6" xfId="10926" xr:uid="{8A14CC5F-EBB5-40F6-B906-919BBD63B5D1}"/>
    <cellStyle name="Vírgula 5 2 2 6 2 2 6 2" xfId="31269" xr:uid="{2D533203-DD7F-491C-AF57-7AAF72EF2D82}"/>
    <cellStyle name="Vírgula 5 2 2 6 2 2 7" xfId="27775" xr:uid="{F6C48E2C-FF87-40E1-A4A7-A6877D50FBBA}"/>
    <cellStyle name="Vírgula 5 2 2 6 2 3" xfId="16555" xr:uid="{66243225-BF9D-4BD4-85F9-06C103ECB2E1}"/>
    <cellStyle name="Vírgula 5 2 2 6 2 3 2" xfId="36895" xr:uid="{B5948672-2C24-471F-943D-6E82B2791673}"/>
    <cellStyle name="Vírgula 5 2 2 6 2 4" xfId="20057" xr:uid="{8611101C-0185-4112-B83D-DA67BA6FF1DC}"/>
    <cellStyle name="Vírgula 5 2 2 6 2 4 2" xfId="40396" xr:uid="{64ED132D-94AA-4649-915E-B1AD0AD8A8DA}"/>
    <cellStyle name="Vírgula 5 2 2 6 2 5" xfId="23312" xr:uid="{5CFE4E83-168B-4F4A-8486-8AEA7CDBFB90}"/>
    <cellStyle name="Vírgula 5 2 2 6 2 5 2" xfId="43647" xr:uid="{18FF48E7-D771-4FA0-9EAB-B5EB69A11D6D}"/>
    <cellStyle name="Vírgula 5 2 2 6 2 6" xfId="13646" xr:uid="{C4872E54-0AFA-42E2-80B6-1989BE9D95F6}"/>
    <cellStyle name="Vírgula 5 2 2 6 2 6 2" xfId="33987" xr:uid="{41CA7EB7-6A54-4B36-B0AB-13C740B188F5}"/>
    <cellStyle name="Vírgula 5 2 2 6 2 7" xfId="9768" xr:uid="{89A9905E-1FEA-444A-A680-EC13F2E768CD}"/>
    <cellStyle name="Vírgula 5 2 2 6 2 7 2" xfId="30111" xr:uid="{586B5346-B7ED-487A-8C9B-3AE64DE547BA}"/>
    <cellStyle name="Vírgula 5 2 2 6 2 8" xfId="26617" xr:uid="{7AB3BFE4-BAA9-4AC1-9C3B-12129A895911}"/>
    <cellStyle name="Vírgula 5 2 2 6 2 9" xfId="52446" xr:uid="{0E1675A0-919C-4E1C-BFD6-D81609B7422A}"/>
    <cellStyle name="Vírgula 5 2 2 6 3" xfId="6846" xr:uid="{DDFBC4A5-69AF-4503-8E1D-D8460795D71B}"/>
    <cellStyle name="Vírgula 5 2 2 6 3 2" xfId="17132" xr:uid="{4FC82074-150D-4E8C-87A8-A84CF6C9024E}"/>
    <cellStyle name="Vírgula 5 2 2 6 3 2 2" xfId="37472" xr:uid="{373303A6-F466-4CFA-A334-BA7670F38FDF}"/>
    <cellStyle name="Vírgula 5 2 2 6 3 3" xfId="20634" xr:uid="{CDB90808-8241-4FA7-91DD-D2419C9602FC}"/>
    <cellStyle name="Vírgula 5 2 2 6 3 3 2" xfId="40973" xr:uid="{A6689DBF-8665-4093-B743-72D93ADFEF08}"/>
    <cellStyle name="Vírgula 5 2 2 6 3 4" xfId="23889" xr:uid="{B1268E1C-503B-4631-A923-F4E2F2881AF0}"/>
    <cellStyle name="Vírgula 5 2 2 6 3 4 2" xfId="44224" xr:uid="{BEDBEB68-2F3B-49F5-8838-9BE0F9E491CB}"/>
    <cellStyle name="Vírgula 5 2 2 6 3 5" xfId="14223" xr:uid="{19D49AD2-B25A-41FC-B6EA-7D22E1F0B82D}"/>
    <cellStyle name="Vírgula 5 2 2 6 3 5 2" xfId="34564" xr:uid="{2875B049-75D2-4C83-B7B6-7E8496B0F4E9}"/>
    <cellStyle name="Vírgula 5 2 2 6 3 6" xfId="10345" xr:uid="{CD0C5FA2-22CD-4C15-BADE-59C81FA981EB}"/>
    <cellStyle name="Vírgula 5 2 2 6 3 6 2" xfId="30688" xr:uid="{E7FD1F9C-ECAA-49CB-B962-5E09A3FD0EA9}"/>
    <cellStyle name="Vírgula 5 2 2 6 3 7" xfId="27194" xr:uid="{AE92728D-F48D-4EC0-B064-A7FE5AEB6B5D}"/>
    <cellStyle name="Vírgula 5 2 2 6 3 8" xfId="57255" xr:uid="{4B3C6AB2-287F-4870-8A19-E11CE77165BC}"/>
    <cellStyle name="Vírgula 5 2 2 6 4" xfId="8010" xr:uid="{17775238-DD36-4A66-A703-9CAD64C9E1D8}"/>
    <cellStyle name="Vírgula 5 2 2 6 4 2" xfId="18295" xr:uid="{025C2BDD-B7A9-4FC6-8989-5D81F481AA94}"/>
    <cellStyle name="Vírgula 5 2 2 6 4 2 2" xfId="38635" xr:uid="{A3520B8D-5D39-4D4D-AE07-6EABE8AB50EF}"/>
    <cellStyle name="Vírgula 5 2 2 6 4 3" xfId="21797" xr:uid="{0FE19F4E-7683-4E1E-9BBF-BD611B4E4DF5}"/>
    <cellStyle name="Vírgula 5 2 2 6 4 3 2" xfId="42136" xr:uid="{428232C2-DAD8-408D-93E9-5C8A0EF005E3}"/>
    <cellStyle name="Vírgula 5 2 2 6 4 4" xfId="25052" xr:uid="{2121A18D-44F3-4E1B-8BF0-F3A9C8E829FC}"/>
    <cellStyle name="Vírgula 5 2 2 6 4 4 2" xfId="45387" xr:uid="{4177D114-42AD-4FEB-A8CF-B71586E39F66}"/>
    <cellStyle name="Vírgula 5 2 2 6 4 5" xfId="15387" xr:uid="{FB4E137C-1857-4ABD-8876-AE714DF6F40F}"/>
    <cellStyle name="Vírgula 5 2 2 6 4 5 2" xfId="35727" xr:uid="{0EA8BA47-A46B-4D61-9E20-0736030E4CA5}"/>
    <cellStyle name="Vírgula 5 2 2 6 4 6" xfId="11508" xr:uid="{5A942912-DE48-420C-9B73-C5B600C941AC}"/>
    <cellStyle name="Vírgula 5 2 2 6 4 6 2" xfId="31851" xr:uid="{984548B8-C1D1-4E49-934C-7E8B404DAE59}"/>
    <cellStyle name="Vírgula 5 2 2 6 4 7" xfId="28357" xr:uid="{9B4D9090-2CBD-40A4-99F3-CE806CF72661}"/>
    <cellStyle name="Vírgula 5 2 2 6 5" xfId="13077" xr:uid="{437FEAFD-9CB5-4742-9059-521DAD5BE59E}"/>
    <cellStyle name="Vírgula 5 2 2 6 5 2" xfId="33418" xr:uid="{D1B90575-52E3-42F9-85BC-AF5D34867A60}"/>
    <cellStyle name="Vírgula 5 2 2 6 6" xfId="15974" xr:uid="{8AC38CA4-7570-4B32-8227-2A09201BCB4E}"/>
    <cellStyle name="Vírgula 5 2 2 6 6 2" xfId="36314" xr:uid="{CE782F39-DFB0-4CF3-8D60-E96F672A09F5}"/>
    <cellStyle name="Vírgula 5 2 2 6 7" xfId="18888" xr:uid="{CF3F5805-A665-4050-8623-43B0A9B62F90}"/>
    <cellStyle name="Vírgula 5 2 2 6 7 2" xfId="39228" xr:uid="{981748F1-42C6-482E-913F-B03ED969C9D0}"/>
    <cellStyle name="Vírgula 5 2 2 6 8" xfId="19476" xr:uid="{B9024205-60F2-4FF0-BEC8-30A3F62EF2F2}"/>
    <cellStyle name="Vírgula 5 2 2 6 8 2" xfId="39815" xr:uid="{08777084-1900-4563-B4F2-61B62F727F59}"/>
    <cellStyle name="Vírgula 5 2 2 6 9" xfId="22731" xr:uid="{9B6F6FF7-4974-477F-8FF7-60C04EDEB04F}"/>
    <cellStyle name="Vírgula 5 2 2 6 9 2" xfId="43066" xr:uid="{ED10E897-5715-4FB4-BC69-C3C03CFF5B31}"/>
    <cellStyle name="Vírgula 5 2 2 7" xfId="571" xr:uid="{9DAC881C-064F-4624-98D3-96C1F86B3E87}"/>
    <cellStyle name="Vírgula 5 2 2 7 10" xfId="50815" xr:uid="{B39AC828-11BD-4869-BE64-BAC13983A87B}"/>
    <cellStyle name="Vírgula 5 2 2 7 11" xfId="54110" xr:uid="{6D4D0B6D-757D-4521-B106-F2209C257DFC}"/>
    <cellStyle name="Vírgula 5 2 2 7 12" xfId="5827" xr:uid="{555E23C3-30E6-47C5-B15A-8E2B7BE4D47F}"/>
    <cellStyle name="Vírgula 5 2 2 7 2" xfId="2287" xr:uid="{406BFED9-0A65-409F-99EB-6A56204A02C0}"/>
    <cellStyle name="Vírgula 5 2 2 7 2 10" xfId="6985" xr:uid="{572667D4-A70C-4CE2-A95C-29F7486F2C00}"/>
    <cellStyle name="Vírgula 5 2 2 7 2 2" xfId="17271" xr:uid="{47D67B4A-69AA-4868-B666-339A6CF6D750}"/>
    <cellStyle name="Vírgula 5 2 2 7 2 2 2" xfId="37611" xr:uid="{9882544E-555C-4382-9C1F-2460854A2E73}"/>
    <cellStyle name="Vírgula 5 2 2 7 2 3" xfId="20773" xr:uid="{1694B3A2-3FEF-43F5-B91C-29672ABCB61F}"/>
    <cellStyle name="Vírgula 5 2 2 7 2 3 2" xfId="41112" xr:uid="{C7318580-2E1E-4042-ADB7-100E8012C3E0}"/>
    <cellStyle name="Vírgula 5 2 2 7 2 4" xfId="24028" xr:uid="{DDE89634-CE32-48BC-8B71-C453FE24BB55}"/>
    <cellStyle name="Vírgula 5 2 2 7 2 4 2" xfId="44363" xr:uid="{95A2FEAE-1364-440A-A439-3EBFDF8FD654}"/>
    <cellStyle name="Vírgula 5 2 2 7 2 5" xfId="14362" xr:uid="{36DC0378-12F5-46CA-B0EF-28EBC9C93036}"/>
    <cellStyle name="Vírgula 5 2 2 7 2 5 2" xfId="34703" xr:uid="{EC6A9A0F-CEF9-44C6-805A-8BE78D72124F}"/>
    <cellStyle name="Vírgula 5 2 2 7 2 6" xfId="10484" xr:uid="{5E4EF48C-9473-4D96-B024-262118908F28}"/>
    <cellStyle name="Vírgula 5 2 2 7 2 6 2" xfId="30827" xr:uid="{E4D4C0AD-1FF9-4614-B054-B4F1BC531EEA}"/>
    <cellStyle name="Vírgula 5 2 2 7 2 7" xfId="27333" xr:uid="{3CC4E162-F517-4EB4-9C60-727B8E485953}"/>
    <cellStyle name="Vírgula 5 2 2 7 2 8" xfId="52447" xr:uid="{ACB7207D-A025-4985-A02E-5D6E3170B870}"/>
    <cellStyle name="Vírgula 5 2 2 7 2 9" xfId="55741" xr:uid="{77AB8C5B-A3FF-4F1C-9C8D-E12B008AAF28}"/>
    <cellStyle name="Vírgula 5 2 2 7 3" xfId="16113" xr:uid="{5EAA0CDA-A021-4560-A533-F7C4C65CFA92}"/>
    <cellStyle name="Vírgula 5 2 2 7 3 2" xfId="36453" xr:uid="{5C795AE4-E1A6-4E70-A377-D393C4880E50}"/>
    <cellStyle name="Vírgula 5 2 2 7 3 3" xfId="56442" xr:uid="{A8ADF97F-286E-4608-B852-6DB3FEF96253}"/>
    <cellStyle name="Vírgula 5 2 2 7 4" xfId="19615" xr:uid="{FF6D01CF-4B3A-482B-A06F-980BA6D774F8}"/>
    <cellStyle name="Vírgula 5 2 2 7 4 2" xfId="39954" xr:uid="{13466A64-EF34-4A61-B718-0A2B39F44E6E}"/>
    <cellStyle name="Vírgula 5 2 2 7 5" xfId="22870" xr:uid="{FBFAC7D2-7BED-4EF3-847C-312BAF0ECCC0}"/>
    <cellStyle name="Vírgula 5 2 2 7 5 2" xfId="43205" xr:uid="{612B86B4-612F-4338-B70E-64A68DE0EB2D}"/>
    <cellStyle name="Vírgula 5 2 2 7 6" xfId="12571" xr:uid="{9A01247C-04DF-4EE2-849C-5CA12F801A13}"/>
    <cellStyle name="Vírgula 5 2 2 7 6 2" xfId="32912" xr:uid="{1499D7C9-68FB-4F9F-AFD8-8876F84DE795}"/>
    <cellStyle name="Vírgula 5 2 2 7 7" xfId="9326" xr:uid="{6D214175-6F8E-4771-AF01-6DE30A9B02AA}"/>
    <cellStyle name="Vírgula 5 2 2 7 7 2" xfId="29669" xr:uid="{DF64FA4B-F3C0-4800-B2E7-9DF7C18A3DA1}"/>
    <cellStyle name="Vírgula 5 2 2 7 8" xfId="26175" xr:uid="{E6C4FD4E-EF77-4E48-96C3-7F76985C3789}"/>
    <cellStyle name="Vírgula 5 2 2 7 9" xfId="49145" xr:uid="{E45C76EF-FD51-403C-A158-26B84B11D8C3}"/>
    <cellStyle name="Vírgula 5 2 2 8" xfId="3418" xr:uid="{0C151D55-646B-4EEE-A622-CD13B9D75ADB}"/>
    <cellStyle name="Vírgula 5 2 2 8 10" xfId="6404" xr:uid="{599B8F85-72C0-4BFA-8185-471AF4DC5B57}"/>
    <cellStyle name="Vírgula 5 2 2 8 2" xfId="16690" xr:uid="{880D095E-F0A2-466B-8E39-E1EC0B03E812}"/>
    <cellStyle name="Vírgula 5 2 2 8 2 2" xfId="37030" xr:uid="{9DAF7145-B16E-4B40-A6C1-59077352D561}"/>
    <cellStyle name="Vírgula 5 2 2 8 3" xfId="20192" xr:uid="{F57F544B-ADD5-429A-97C3-3CDC8B6371E3}"/>
    <cellStyle name="Vírgula 5 2 2 8 3 2" xfId="40531" xr:uid="{0E00E517-F4DC-447B-9637-61004F0D90C6}"/>
    <cellStyle name="Vírgula 5 2 2 8 4" xfId="23447" xr:uid="{272D0E3F-1548-4F9C-B892-2D2201B0D4FF}"/>
    <cellStyle name="Vírgula 5 2 2 8 4 2" xfId="43782" xr:uid="{35158D02-CBE1-449C-B25A-07ED7FC1419A}"/>
    <cellStyle name="Vírgula 5 2 2 8 5" xfId="13781" xr:uid="{B2B3850A-3C36-4382-AEFB-E969E25FF76A}"/>
    <cellStyle name="Vírgula 5 2 2 8 5 2" xfId="34122" xr:uid="{9ECCE08D-0518-43F0-B90B-3DB52B934198}"/>
    <cellStyle name="Vírgula 5 2 2 8 6" xfId="9903" xr:uid="{25E0FCAC-F242-4737-8C72-6F7DA1518468}"/>
    <cellStyle name="Vírgula 5 2 2 8 6 2" xfId="30246" xr:uid="{BAE90047-8BCB-49A7-9609-DA70F09B9910}"/>
    <cellStyle name="Vírgula 5 2 2 8 7" xfId="26752" xr:uid="{E9BB9B7A-430B-4257-A4AE-4C80839E3281}"/>
    <cellStyle name="Vírgula 5 2 2 8 8" xfId="52424" xr:uid="{3D6BCD6C-4DDE-4432-94B8-939AEB15BF4F}"/>
    <cellStyle name="Vírgula 5 2 2 8 9" xfId="55718" xr:uid="{77CD4010-0234-4565-AA65-F69D55B54483}"/>
    <cellStyle name="Vírgula 5 2 2 9" xfId="3891" xr:uid="{68D0B46D-1B9C-428C-9589-94F74A9FCA2F}"/>
    <cellStyle name="Vírgula 5 2 2 9 2" xfId="17853" xr:uid="{C1FECE91-7EB5-4F82-AA59-A7658C4A6617}"/>
    <cellStyle name="Vírgula 5 2 2 9 2 2" xfId="38193" xr:uid="{4CB8CE78-8CEA-4827-B858-1AE280E4840A}"/>
    <cellStyle name="Vírgula 5 2 2 9 3" xfId="21355" xr:uid="{4FE3335B-37FB-4D9B-9858-ABA35D1F41FF}"/>
    <cellStyle name="Vírgula 5 2 2 9 3 2" xfId="41694" xr:uid="{3EC99525-6D00-4208-8A00-EC762FF9FF0F}"/>
    <cellStyle name="Vírgula 5 2 2 9 4" xfId="24610" xr:uid="{F92EF628-BA52-410D-8DD8-44E7C044C423}"/>
    <cellStyle name="Vírgula 5 2 2 9 4 2" xfId="44945" xr:uid="{4363FF2D-9030-4403-A47C-54FD93B8ED87}"/>
    <cellStyle name="Vírgula 5 2 2 9 5" xfId="14945" xr:uid="{EF0D3BB3-91C2-4F65-A883-6DF00D576BCD}"/>
    <cellStyle name="Vírgula 5 2 2 9 5 2" xfId="35285" xr:uid="{A0B8BBAC-494A-484B-ADCB-66092CFAAF06}"/>
    <cellStyle name="Vírgula 5 2 2 9 6" xfId="11066" xr:uid="{BAEF644F-E2E9-4926-97FA-2CD0D75CD0E1}"/>
    <cellStyle name="Vírgula 5 2 2 9 6 2" xfId="31409" xr:uid="{72FECA62-714C-4F25-BEC2-5337EE44015D}"/>
    <cellStyle name="Vírgula 5 2 2 9 7" xfId="27915" xr:uid="{442DD96D-887A-4E98-9A07-14CCD3E0CE3B}"/>
    <cellStyle name="Vírgula 5 2 2 9 8" xfId="56033" xr:uid="{3845C95A-916A-400F-8B19-8C0AEBC0B781}"/>
    <cellStyle name="Vírgula 5 2 2 9 9" xfId="7568" xr:uid="{EF603EFF-2BF2-4EF1-BEB1-71EC2E53F0A9}"/>
    <cellStyle name="Vírgula 5 2 20" xfId="46316" xr:uid="{38461B71-5FB3-4E01-B71F-5BA8C0487F64}"/>
    <cellStyle name="Vírgula 5 2 21" xfId="46808" xr:uid="{A7737C5C-AFD0-42D3-B503-30BBA759DB40}"/>
    <cellStyle name="Vírgula 5 2 22" xfId="47324" xr:uid="{11B8E160-F2F2-4A3B-898A-E4DFBB245CBD}"/>
    <cellStyle name="Vírgula 5 2 23" xfId="47450" xr:uid="{23229923-E12C-4D9C-93F6-3C36ADC6B7B3}"/>
    <cellStyle name="Vírgula 5 2 24" xfId="47576" xr:uid="{96DF1328-7EFB-47EC-9A66-446C59BD266B}"/>
    <cellStyle name="Vírgula 5 2 25" xfId="49121" xr:uid="{15B7BBD0-473F-4624-94D0-65CECC4F5D5E}"/>
    <cellStyle name="Vírgula 5 2 26" xfId="50791" xr:uid="{6C85A28E-3E6C-4491-B2B6-74DB27630FA8}"/>
    <cellStyle name="Vírgula 5 2 27" xfId="54086" xr:uid="{7898FE01-72E0-43D8-A490-84820DD23C04}"/>
    <cellStyle name="Vírgula 5 2 28" xfId="5235" xr:uid="{8437C207-F204-45BD-89C1-9B17262504C8}"/>
    <cellStyle name="Vírgula 5 2 29" xfId="4414" xr:uid="{1154F2F9-25E4-47BC-BE0F-12C42E10E3D8}"/>
    <cellStyle name="Vírgula 5 2 3" xfId="188" xr:uid="{84B73CDB-686A-483E-9362-9933ADC04B54}"/>
    <cellStyle name="Vírgula 5 2 3 10" xfId="18474" xr:uid="{C80F124D-03E3-4CE8-8B78-3F864E7DD7CF}"/>
    <cellStyle name="Vírgula 5 2 3 10 2" xfId="38814" xr:uid="{75DDCD9A-40FE-4FA8-9649-87321DF2B4F4}"/>
    <cellStyle name="Vírgula 5 2 3 11" xfId="19062" xr:uid="{9AC273AF-5C3D-4A2D-B5AB-F251A3C46208}"/>
    <cellStyle name="Vírgula 5 2 3 11 2" xfId="39401" xr:uid="{88720AB2-F935-4B36-9BB2-902C7D013C51}"/>
    <cellStyle name="Vírgula 5 2 3 12" xfId="22317" xr:uid="{DD40BD39-D5B2-4AD9-8EB0-5B7B3174E1B1}"/>
    <cellStyle name="Vírgula 5 2 3 12 2" xfId="42652" xr:uid="{B78A4F65-3F99-4330-A643-CC3999A841BD}"/>
    <cellStyle name="Vírgula 5 2 3 13" xfId="12034" xr:uid="{A855DDC4-8D4A-42B3-AC03-9871FB7D70CA}"/>
    <cellStyle name="Vírgula 5 2 3 13 2" xfId="32375" xr:uid="{96C7DB39-307D-465F-A28E-C6E33E73D58D}"/>
    <cellStyle name="Vírgula 5 2 3 14" xfId="8773" xr:uid="{276760A3-FBF1-45DA-8F64-ADC14DDC5FB1}"/>
    <cellStyle name="Vírgula 5 2 3 14 2" xfId="29116" xr:uid="{89EA5241-4D0B-46C3-91DA-F6D86CB7A38B}"/>
    <cellStyle name="Vírgula 5 2 3 15" xfId="25622" xr:uid="{4CDD444E-9643-4485-A0D3-C55DAB5733EE}"/>
    <cellStyle name="Vírgula 5 2 3 16" xfId="45890" xr:uid="{25D0FE01-E3EA-4BF2-B30F-66433E886151}"/>
    <cellStyle name="Vírgula 5 2 3 17" xfId="46376" xr:uid="{5A0617CA-E9F9-445F-A8E3-1DE23346A837}"/>
    <cellStyle name="Vírgula 5 2 3 18" xfId="46868" xr:uid="{37B2B188-C950-43CA-B74F-DF1517939FD2}"/>
    <cellStyle name="Vírgula 5 2 3 19" xfId="47380" xr:uid="{D4E01331-0B20-462D-94D2-89096603C5EE}"/>
    <cellStyle name="Vírgula 5 2 3 2" xfId="377" xr:uid="{EAE700D0-E27D-4D5D-B635-DF89B1452122}"/>
    <cellStyle name="Vírgula 5 2 3 2 10" xfId="12149" xr:uid="{D18E8B1E-FBF6-4DD7-85BA-7DE16194EBC1}"/>
    <cellStyle name="Vírgula 5 2 3 2 10 2" xfId="32490" xr:uid="{FA90DD58-EE4C-4855-BFDB-92562D5EC37A}"/>
    <cellStyle name="Vírgula 5 2 3 2 11" xfId="8888" xr:uid="{E8ECE3A5-283E-4302-8312-89E233F80A30}"/>
    <cellStyle name="Vírgula 5 2 3 2 11 2" xfId="29231" xr:uid="{EA272842-E5E5-4C82-A7E4-2DC96F1D3E56}"/>
    <cellStyle name="Vírgula 5 2 3 2 12" xfId="25737" xr:uid="{CAF75A21-C50E-4501-8640-095C0A802D90}"/>
    <cellStyle name="Vírgula 5 2 3 2 13" xfId="46012" xr:uid="{AB8CB3A1-917C-49EC-95D8-4ADA096E071F}"/>
    <cellStyle name="Vírgula 5 2 3 2 14" xfId="46498" xr:uid="{7E26064B-FA4A-4279-8900-4D881FA3233C}"/>
    <cellStyle name="Vírgula 5 2 3 2 15" xfId="46990" xr:uid="{6AFCE166-6B83-440B-918C-AF235248A1CA}"/>
    <cellStyle name="Vírgula 5 2 3 2 16" xfId="49147" xr:uid="{8DFE7AC9-A74C-4E12-B632-27278B3AE321}"/>
    <cellStyle name="Vírgula 5 2 3 2 17" xfId="50817" xr:uid="{B34D0175-26C0-4EE1-A158-6EE7D22ADB61}"/>
    <cellStyle name="Vírgula 5 2 3 2 18" xfId="54112" xr:uid="{324B4F0F-FC13-4562-93F3-CCC0566527E8}"/>
    <cellStyle name="Vírgula 5 2 3 2 19" xfId="5406" xr:uid="{8E198020-78EE-46C9-BDE8-07DC6A1FB835}"/>
    <cellStyle name="Vírgula 5 2 3 2 2" xfId="1193" xr:uid="{BB29B1BA-C530-464B-BCFE-64B106221C5D}"/>
    <cellStyle name="Vírgula 5 2 3 2 2 10" xfId="46741" xr:uid="{271A4A8B-287F-459A-B057-410C7F6A8F65}"/>
    <cellStyle name="Vírgula 5 2 3 2 2 11" xfId="47233" xr:uid="{1BD26588-E3C0-47EE-8616-38F5F75392E5}"/>
    <cellStyle name="Vírgula 5 2 3 2 2 12" xfId="49148" xr:uid="{6DC96700-1F4F-479F-A45D-D4B46C1E0326}"/>
    <cellStyle name="Vírgula 5 2 3 2 2 13" xfId="50818" xr:uid="{A0EDAD05-DE1A-4EE2-B9EC-C01F4C027D7C}"/>
    <cellStyle name="Vírgula 5 2 3 2 2 14" xfId="54113" xr:uid="{2BCE6E64-B697-48CD-9F0D-2B040A142F8F}"/>
    <cellStyle name="Vírgula 5 2 3 2 2 15" xfId="5970" xr:uid="{18A7B427-F96F-4E5C-84C0-E77CB3860B14}"/>
    <cellStyle name="Vírgula 5 2 3 2 2 16" xfId="5130" xr:uid="{682BA3DF-7F91-46A3-86CF-F7FAB43B3337}"/>
    <cellStyle name="Vírgula 5 2 3 2 2 2" xfId="2854" xr:uid="{DA528EAD-C200-4BD5-9147-B661EAE435EF}"/>
    <cellStyle name="Vírgula 5 2 3 2 2 2 10" xfId="7128" xr:uid="{A6ED7C64-7A7B-4831-8C6A-2C2D7F47AB81}"/>
    <cellStyle name="Vírgula 5 2 3 2 2 2 2" xfId="17414" xr:uid="{300357C6-5D66-4B6A-9DD5-7752453599A7}"/>
    <cellStyle name="Vírgula 5 2 3 2 2 2 2 2" xfId="37754" xr:uid="{B787F545-21DA-40FD-AE0F-A8741E15F074}"/>
    <cellStyle name="Vírgula 5 2 3 2 2 2 3" xfId="20916" xr:uid="{5EFDCBCD-EA87-4462-A05F-51E0674E58EE}"/>
    <cellStyle name="Vírgula 5 2 3 2 2 2 3 2" xfId="41255" xr:uid="{C4E065C9-A203-49BF-A15B-E589E42A5BE1}"/>
    <cellStyle name="Vírgula 5 2 3 2 2 2 4" xfId="24171" xr:uid="{306FBDC1-ECF8-4E1C-9DB8-DC4BA24D3322}"/>
    <cellStyle name="Vírgula 5 2 3 2 2 2 4 2" xfId="44506" xr:uid="{A42E950E-4C11-4DEB-890B-9DB85A8E97EF}"/>
    <cellStyle name="Vírgula 5 2 3 2 2 2 5" xfId="14505" xr:uid="{E59BD7A7-7EB7-4B25-A8FC-F8DA73913CC7}"/>
    <cellStyle name="Vírgula 5 2 3 2 2 2 5 2" xfId="34846" xr:uid="{F49433EB-F180-4B2D-BC85-DA93471EFBF2}"/>
    <cellStyle name="Vírgula 5 2 3 2 2 2 6" xfId="10627" xr:uid="{2F40FAA4-9CA7-473F-B259-9B19E753DC8F}"/>
    <cellStyle name="Vírgula 5 2 3 2 2 2 6 2" xfId="30970" xr:uid="{6AA98EFE-BCC8-4283-87B7-E3511E609760}"/>
    <cellStyle name="Vírgula 5 2 3 2 2 2 7" xfId="27476" xr:uid="{433358F7-FA74-45E7-8A9D-8B866559A38C}"/>
    <cellStyle name="Vírgula 5 2 3 2 2 2 8" xfId="52450" xr:uid="{4271FF52-A1E3-473E-B142-3F6D95E7AF80}"/>
    <cellStyle name="Vírgula 5 2 3 2 2 2 9" xfId="55744" xr:uid="{27259682-4F3A-4B20-AEDA-91CD5640B662}"/>
    <cellStyle name="Vírgula 5 2 3 2 2 3" xfId="16256" xr:uid="{1C9DE93E-0351-41A2-9DC2-EFE3F46C811C}"/>
    <cellStyle name="Vírgula 5 2 3 2 2 3 2" xfId="36596" xr:uid="{2BBC2FAB-1A58-4634-B1CA-581EBD831AB7}"/>
    <cellStyle name="Vírgula 5 2 3 2 2 3 3" xfId="57064" xr:uid="{74F92033-82A1-4578-B07F-FA78FFB35022}"/>
    <cellStyle name="Vírgula 5 2 3 2 2 4" xfId="19758" xr:uid="{80DD8251-02DD-477C-8960-309D29A8696F}"/>
    <cellStyle name="Vírgula 5 2 3 2 2 4 2" xfId="40097" xr:uid="{AEBAFF79-866C-48C6-86DD-43A5F984C645}"/>
    <cellStyle name="Vírgula 5 2 3 2 2 5" xfId="23013" xr:uid="{FD132980-9B46-4C4C-9F6B-821186EF27BF}"/>
    <cellStyle name="Vírgula 5 2 3 2 2 5 2" xfId="43348" xr:uid="{1C0740E1-A6DF-4841-B9EF-7B82FD3EFDE5}"/>
    <cellStyle name="Vírgula 5 2 3 2 2 6" xfId="13347" xr:uid="{C3F1CB91-61AD-470F-8471-DDA7B8A81870}"/>
    <cellStyle name="Vírgula 5 2 3 2 2 6 2" xfId="33688" xr:uid="{C2EF9925-C46F-4C63-BDB8-ABBD64406217}"/>
    <cellStyle name="Vírgula 5 2 3 2 2 7" xfId="9469" xr:uid="{CBAF1177-0414-41FD-B079-B0275C105B4D}"/>
    <cellStyle name="Vírgula 5 2 3 2 2 7 2" xfId="29812" xr:uid="{F3E596AC-E76D-45A9-9C21-2BE688971191}"/>
    <cellStyle name="Vírgula 5 2 3 2 2 8" xfId="26318" xr:uid="{24078F89-E475-4CF4-B7CF-5CAA8DD95556}"/>
    <cellStyle name="Vírgula 5 2 3 2 2 9" xfId="46255" xr:uid="{824BFC07-C030-477B-B049-F76D004ADD9C}"/>
    <cellStyle name="Vírgula 5 2 3 2 20" xfId="4658" xr:uid="{31723A31-E7D5-492E-B1D1-C46F221E78F4}"/>
    <cellStyle name="Vírgula 5 2 3 2 3" xfId="1599" xr:uid="{154F4BBF-A7E9-4011-A0FD-2E374BE46BE6}"/>
    <cellStyle name="Vírgula 5 2 3 2 3 10" xfId="54114" xr:uid="{E714CE3B-6F15-46C6-87F2-4E290691C86B}"/>
    <cellStyle name="Vírgula 5 2 3 2 3 11" xfId="6547" xr:uid="{0ABBEC10-A4EF-465A-8A21-1A54A68D7F9E}"/>
    <cellStyle name="Vírgula 5 2 3 2 3 2" xfId="3259" xr:uid="{A8354742-7A85-4DCD-8635-587C6E96C034}"/>
    <cellStyle name="Vírgula 5 2 3 2 3 2 2" xfId="37173" xr:uid="{A6C3796B-5D31-41AB-887C-F1D56B042542}"/>
    <cellStyle name="Vírgula 5 2 3 2 3 2 3" xfId="52451" xr:uid="{0172AD88-ED14-4EBD-8115-50B4DC133961}"/>
    <cellStyle name="Vírgula 5 2 3 2 3 2 4" xfId="55745" xr:uid="{2C4BB9A7-8D42-420F-9F64-6AEE824B4FB7}"/>
    <cellStyle name="Vírgula 5 2 3 2 3 2 5" xfId="16833" xr:uid="{79A1595A-4D86-4255-9799-79BD459E257F}"/>
    <cellStyle name="Vírgula 5 2 3 2 3 3" xfId="20335" xr:uid="{2806D418-FA65-4F67-B19A-FA39F43409A8}"/>
    <cellStyle name="Vírgula 5 2 3 2 3 3 2" xfId="40674" xr:uid="{77F4D089-C8E5-45C8-9520-9B3948D7BB54}"/>
    <cellStyle name="Vírgula 5 2 3 2 3 3 3" xfId="57470" xr:uid="{0B28E948-6B13-4552-B4FD-73EAEB84B7B0}"/>
    <cellStyle name="Vírgula 5 2 3 2 3 4" xfId="23590" xr:uid="{FFD30810-E032-4228-8301-7B5F24A457A6}"/>
    <cellStyle name="Vírgula 5 2 3 2 3 4 2" xfId="43925" xr:uid="{58E901C8-689B-4C9E-AB02-4214833B8472}"/>
    <cellStyle name="Vírgula 5 2 3 2 3 5" xfId="13924" xr:uid="{6C82E180-0992-43E5-9731-C5EB5E410EC0}"/>
    <cellStyle name="Vírgula 5 2 3 2 3 5 2" xfId="34265" xr:uid="{DA30D859-F842-4BDC-A91C-6BA2A99E1294}"/>
    <cellStyle name="Vírgula 5 2 3 2 3 6" xfId="10046" xr:uid="{3224138F-2BDB-4947-8EAA-87AFE9B7C1E7}"/>
    <cellStyle name="Vírgula 5 2 3 2 3 6 2" xfId="30389" xr:uid="{77BEB649-B147-40F3-AFC3-D2CF58F53B31}"/>
    <cellStyle name="Vírgula 5 2 3 2 3 7" xfId="26895" xr:uid="{4DB40E9A-2F99-4F1A-AE2E-0CD720AF66E6}"/>
    <cellStyle name="Vírgula 5 2 3 2 3 8" xfId="49149" xr:uid="{821F43AA-6777-4F40-91BD-36E1ED525FC2}"/>
    <cellStyle name="Vírgula 5 2 3 2 3 9" xfId="50819" xr:uid="{26C6CC32-4DB9-4531-AE5E-51DC80DBBA0C}"/>
    <cellStyle name="Vírgula 5 2 3 2 4" xfId="786" xr:uid="{C1582CD8-34DB-43C0-81FC-0F6334D8836D}"/>
    <cellStyle name="Vírgula 5 2 3 2 4 10" xfId="54115" xr:uid="{9841433C-0946-4A2C-B469-C37A56F1A118}"/>
    <cellStyle name="Vírgula 5 2 3 2 4 11" xfId="7711" xr:uid="{7C82FA7C-B8A6-4A53-8F33-6E6D09A0023B}"/>
    <cellStyle name="Vírgula 5 2 3 2 4 2" xfId="2502" xr:uid="{F60C820D-2090-4534-9777-37A13440C463}"/>
    <cellStyle name="Vírgula 5 2 3 2 4 2 2" xfId="38336" xr:uid="{D5D6FFF8-4ABF-4E83-B90B-5633068F3948}"/>
    <cellStyle name="Vírgula 5 2 3 2 4 2 3" xfId="52452" xr:uid="{0306AEA5-AF29-4E7C-808C-B57377AE9607}"/>
    <cellStyle name="Vírgula 5 2 3 2 4 2 4" xfId="55746" xr:uid="{059F4ECF-A4C4-42BE-8E25-0381D44290BA}"/>
    <cellStyle name="Vírgula 5 2 3 2 4 2 5" xfId="17996" xr:uid="{2E87ED22-F95E-4B02-BFF2-10202A3ABAA6}"/>
    <cellStyle name="Vírgula 5 2 3 2 4 3" xfId="21498" xr:uid="{2F13CFFA-BA3E-44A4-9537-3AFAF3E09050}"/>
    <cellStyle name="Vírgula 5 2 3 2 4 3 2" xfId="41837" xr:uid="{CC9D9127-B0B3-4A3F-9D91-27BE6323B35D}"/>
    <cellStyle name="Vírgula 5 2 3 2 4 3 3" xfId="56657" xr:uid="{4384C1FF-21B9-4A18-B1AD-B65DB8578C5A}"/>
    <cellStyle name="Vírgula 5 2 3 2 4 4" xfId="24753" xr:uid="{B8EA6F60-721D-4AA6-98F9-5D0B2C383E51}"/>
    <cellStyle name="Vírgula 5 2 3 2 4 4 2" xfId="45088" xr:uid="{A1A846FA-BC16-41E1-B4A3-244143731B6E}"/>
    <cellStyle name="Vírgula 5 2 3 2 4 5" xfId="15088" xr:uid="{32DA0A9D-8DA1-41F3-B289-6FFED0B296D1}"/>
    <cellStyle name="Vírgula 5 2 3 2 4 5 2" xfId="35428" xr:uid="{F651EFA9-CFF7-4CDC-A72D-7C06205219A7}"/>
    <cellStyle name="Vírgula 5 2 3 2 4 6" xfId="11209" xr:uid="{3A6DC821-FB22-41C2-94EB-48BEA70AF301}"/>
    <cellStyle name="Vírgula 5 2 3 2 4 6 2" xfId="31552" xr:uid="{BA47F30E-3180-417A-8E6F-C591F2D00423}"/>
    <cellStyle name="Vírgula 5 2 3 2 4 7" xfId="28058" xr:uid="{3DA5D32C-07B8-4AC0-8512-0C490B039C9D}"/>
    <cellStyle name="Vírgula 5 2 3 2 4 8" xfId="49150" xr:uid="{1EB69F94-E38B-4F73-818E-DA0A14EF3910}"/>
    <cellStyle name="Vírgula 5 2 3 2 4 9" xfId="50820" xr:uid="{D9BEBCCA-F712-4711-B052-3EBFAD5E5A50}"/>
    <cellStyle name="Vírgula 5 2 3 2 5" xfId="3666" xr:uid="{BACF5BFE-3515-4FDF-A509-44D7202057EE}"/>
    <cellStyle name="Vírgula 5 2 3 2 5 2" xfId="22098" xr:uid="{C9638EB7-B2EE-470F-B2D7-90E89DEECC22}"/>
    <cellStyle name="Vírgula 5 2 3 2 5 2 2" xfId="42434" xr:uid="{4AA65A64-A17F-411A-9A53-FF716B4835FF}"/>
    <cellStyle name="Vírgula 5 2 3 2 5 3" xfId="25350" xr:uid="{31B6F2CD-44B7-45F7-BC37-AE76DE70E3B4}"/>
    <cellStyle name="Vírgula 5 2 3 2 5 3 2" xfId="45685" xr:uid="{0703CE19-908E-407A-B1D5-F34E2120B0A5}"/>
    <cellStyle name="Vírgula 5 2 3 2 5 4" xfId="12778" xr:uid="{B477BBF8-B4BF-4D9F-91D3-A0B5DFDEB9A4}"/>
    <cellStyle name="Vírgula 5 2 3 2 5 4 2" xfId="33119" xr:uid="{F210FA91-465B-4BE7-BA61-5ED7BA3A93BF}"/>
    <cellStyle name="Vírgula 5 2 3 2 5 5" xfId="11807" xr:uid="{7124A450-0C24-43E0-BB13-A34F520F5010}"/>
    <cellStyle name="Vírgula 5 2 3 2 5 5 2" xfId="32149" xr:uid="{6E459BFB-A2A3-409C-9CD9-EABDD3720C4F}"/>
    <cellStyle name="Vírgula 5 2 3 2 5 6" xfId="28655" xr:uid="{82DBCC44-A463-4570-B019-3A5A9E1F2446}"/>
    <cellStyle name="Vírgula 5 2 3 2 5 7" xfId="52449" xr:uid="{59B38460-9E3F-41F1-A1E1-363247AC67CE}"/>
    <cellStyle name="Vírgula 5 2 3 2 5 8" xfId="55743" xr:uid="{493D6BF3-FB95-46AC-BC46-BDD05336299D}"/>
    <cellStyle name="Vírgula 5 2 3 2 5 9" xfId="8311" xr:uid="{6559F2C0-6FBE-4716-B441-26B826F9400E}"/>
    <cellStyle name="Vírgula 5 2 3 2 6" xfId="4135" xr:uid="{EAF19594-67F3-400B-97E4-F193B9A40C0A}"/>
    <cellStyle name="Vírgula 5 2 3 2 6 2" xfId="15675" xr:uid="{96FCFBFB-D57C-44F7-93D0-752FD6B4043E}"/>
    <cellStyle name="Vírgula 5 2 3 2 6 2 2" xfId="36015" xr:uid="{D99B4A9E-C098-408B-85C2-5FA3D43954C8}"/>
    <cellStyle name="Vírgula 5 2 3 2 6 3" xfId="28980" xr:uid="{9B3FB7F1-BFD5-4FFC-B3D8-75403CF1C4C4}"/>
    <cellStyle name="Vírgula 5 2 3 2 6 4" xfId="56248" xr:uid="{2529232B-9712-4166-AEC5-608294C55D72}"/>
    <cellStyle name="Vírgula 5 2 3 2 6 5" xfId="8637" xr:uid="{0ACE30A3-5CAF-4F91-B10D-CD80A12BF655}"/>
    <cellStyle name="Vírgula 5 2 3 2 7" xfId="2015" xr:uid="{439313A2-B753-497B-AC47-AD949C1CB68F}"/>
    <cellStyle name="Vírgula 5 2 3 2 7 2" xfId="38929" xr:uid="{9026D5FE-44B6-4CF4-8711-D56194BB4AAF}"/>
    <cellStyle name="Vírgula 5 2 3 2 7 3" xfId="18589" xr:uid="{2AFBCCEE-36CE-43B6-BFE3-8BF17FBA813D}"/>
    <cellStyle name="Vírgula 5 2 3 2 8" xfId="19177" xr:uid="{C2BBF3F8-ABA3-40EB-8F83-5B2DF2789378}"/>
    <cellStyle name="Vírgula 5 2 3 2 8 2" xfId="39516" xr:uid="{8630FCA8-8B94-46C7-B6B1-F971D813635F}"/>
    <cellStyle name="Vírgula 5 2 3 2 9" xfId="22432" xr:uid="{B1C7526A-1993-4845-8C3E-1EEEA4AE06DF}"/>
    <cellStyle name="Vírgula 5 2 3 2 9 2" xfId="42767" xr:uid="{4981C3AF-0D10-45A0-9A5D-EC823B7C4DB5}"/>
    <cellStyle name="Vírgula 5 2 3 20" xfId="47506" xr:uid="{3D0BC806-D27F-4825-BCD0-235EA8FB8BE0}"/>
    <cellStyle name="Vírgula 5 2 3 21" xfId="47632" xr:uid="{0061C3C8-820C-4212-A17B-4B2119F39F1B}"/>
    <cellStyle name="Vírgula 5 2 3 22" xfId="49146" xr:uid="{E231B10A-04BF-4F8D-833F-FDB5BB5FF1B2}"/>
    <cellStyle name="Vírgula 5 2 3 23" xfId="50816" xr:uid="{0F463DDA-BF29-4088-96A4-13C61699699A}"/>
    <cellStyle name="Vírgula 5 2 3 24" xfId="54111" xr:uid="{3F2A3785-8854-46C1-A089-47B9880317A3}"/>
    <cellStyle name="Vírgula 5 2 3 25" xfId="5304" xr:uid="{8B9E32FB-BDE7-4686-9427-48CEEC671997}"/>
    <cellStyle name="Vírgula 5 2 3 26" xfId="4469" xr:uid="{B59B2D96-488D-40D3-ABED-DC08EAF64AC1}"/>
    <cellStyle name="Vírgula 5 2 3 3" xfId="1004" xr:uid="{1DF745EB-33E5-4030-A1C5-660AF065BD33}"/>
    <cellStyle name="Vírgula 5 2 3 3 10" xfId="12378" xr:uid="{A66FE999-CD1D-4CF2-B760-99300C2DFB80}"/>
    <cellStyle name="Vírgula 5 2 3 3 10 2" xfId="32719" xr:uid="{8E83F321-4B8D-4F54-8D06-FEBBC33123D8}"/>
    <cellStyle name="Vírgula 5 2 3 3 11" xfId="9117" xr:uid="{872BA8C7-2911-42F2-8AC3-9C74928F771B}"/>
    <cellStyle name="Vírgula 5 2 3 3 11 2" xfId="29460" xr:uid="{3F5B6893-DCB6-4582-BFC5-81A4601AC882}"/>
    <cellStyle name="Vírgula 5 2 3 3 12" xfId="25966" xr:uid="{4C66376F-BBD3-4103-BA54-E206450E5ED0}"/>
    <cellStyle name="Vírgula 5 2 3 3 13" xfId="46133" xr:uid="{46BD31B4-ADB3-48F8-B333-AAF1E49F8DE3}"/>
    <cellStyle name="Vírgula 5 2 3 3 14" xfId="46619" xr:uid="{BFA3E96E-2022-4FF3-BBA9-062CC5FEBD4A}"/>
    <cellStyle name="Vírgula 5 2 3 3 15" xfId="47111" xr:uid="{235D4D39-0912-462E-95A0-CA14F2AA37CD}"/>
    <cellStyle name="Vírgula 5 2 3 3 16" xfId="49151" xr:uid="{709F1A84-BF43-413F-BB9B-5B04F68B70AC}"/>
    <cellStyle name="Vírgula 5 2 3 3 17" xfId="50821" xr:uid="{02A5FD58-6736-42A7-A1EC-A8B31F693DF6}"/>
    <cellStyle name="Vírgula 5 2 3 3 18" xfId="54116" xr:uid="{DCA94D46-2FD7-4DE8-BF28-7D13EC893084}"/>
    <cellStyle name="Vírgula 5 2 3 3 19" xfId="5627" xr:uid="{2107A78D-D699-4449-9859-EA4E592094DB}"/>
    <cellStyle name="Vírgula 5 2 3 3 2" xfId="3557" xr:uid="{7FF2801B-AD4C-4DDC-8C36-2F6332E0C6ED}"/>
    <cellStyle name="Vírgula 5 2 3 3 2 10" xfId="55747" xr:uid="{3FB2ADF0-36B6-47AC-A111-4F41B69EC248}"/>
    <cellStyle name="Vírgula 5 2 3 3 2 11" xfId="6199" xr:uid="{6A1EA73C-54E4-424D-9BAA-C6EC8F129910}"/>
    <cellStyle name="Vírgula 5 2 3 3 2 2" xfId="7357" xr:uid="{5228C034-0776-4EFF-AF14-21B3CA394F20}"/>
    <cellStyle name="Vírgula 5 2 3 3 2 2 2" xfId="17643" xr:uid="{388FC6EA-8F83-4FE8-8256-3004F955F951}"/>
    <cellStyle name="Vírgula 5 2 3 3 2 2 2 2" xfId="37983" xr:uid="{3A96D288-4F41-4EE1-AC68-B1FF64A43FDA}"/>
    <cellStyle name="Vírgula 5 2 3 3 2 2 3" xfId="21145" xr:uid="{E751C61A-0694-41AD-99FD-0B6A40730DD6}"/>
    <cellStyle name="Vírgula 5 2 3 3 2 2 3 2" xfId="41484" xr:uid="{65F3A769-069C-40C2-948A-5191E883D774}"/>
    <cellStyle name="Vírgula 5 2 3 3 2 2 4" xfId="24400" xr:uid="{BB825FF4-8DEC-4EBE-A423-964DBA1EA386}"/>
    <cellStyle name="Vírgula 5 2 3 3 2 2 4 2" xfId="44735" xr:uid="{FD84368B-6DD5-45FE-B6EF-5F14C76E49A8}"/>
    <cellStyle name="Vírgula 5 2 3 3 2 2 5" xfId="14734" xr:uid="{9CD0A040-2F79-4D18-AEB7-C8CE4725DC2F}"/>
    <cellStyle name="Vírgula 5 2 3 3 2 2 5 2" xfId="35075" xr:uid="{12FAE176-48D1-4C2F-9786-CB0D5ADF31F1}"/>
    <cellStyle name="Vírgula 5 2 3 3 2 2 6" xfId="10856" xr:uid="{2B1AD80C-206F-4289-B868-112094FB7C31}"/>
    <cellStyle name="Vírgula 5 2 3 3 2 2 6 2" xfId="31199" xr:uid="{6337F012-3A71-4265-B305-71FE91FBB06B}"/>
    <cellStyle name="Vírgula 5 2 3 3 2 2 7" xfId="27705" xr:uid="{C6C71B52-97FC-4D95-AF02-43DB4439CFA3}"/>
    <cellStyle name="Vírgula 5 2 3 3 2 3" xfId="16485" xr:uid="{4F87E77B-4827-42C3-B526-E2B04E05E46C}"/>
    <cellStyle name="Vírgula 5 2 3 3 2 3 2" xfId="36825" xr:uid="{72DA62D5-CF60-4C74-8486-1EB976914843}"/>
    <cellStyle name="Vírgula 5 2 3 3 2 4" xfId="19987" xr:uid="{0461D4AC-6F9A-4478-8891-844423210AFF}"/>
    <cellStyle name="Vírgula 5 2 3 3 2 4 2" xfId="40326" xr:uid="{DAF83F84-602E-4916-865E-1A3DAD631799}"/>
    <cellStyle name="Vírgula 5 2 3 3 2 5" xfId="23242" xr:uid="{C220E499-189B-4A99-9ED1-DC62A2EC92F1}"/>
    <cellStyle name="Vírgula 5 2 3 3 2 5 2" xfId="43577" xr:uid="{EE860B8E-13DE-4928-9985-FB330C4A88CC}"/>
    <cellStyle name="Vírgula 5 2 3 3 2 6" xfId="13576" xr:uid="{DF475E19-CE81-4287-9AEC-91CCB0BAD94C}"/>
    <cellStyle name="Vírgula 5 2 3 3 2 6 2" xfId="33917" xr:uid="{BA14D5BD-C0D1-4D72-B7FC-2CAAD11A32D9}"/>
    <cellStyle name="Vírgula 5 2 3 3 2 7" xfId="9698" xr:uid="{D7984000-400B-4D5A-9B3B-B040B8863845}"/>
    <cellStyle name="Vírgula 5 2 3 3 2 7 2" xfId="30041" xr:uid="{21ADAEBF-08D8-4877-B541-1FE9BE7DDB5E}"/>
    <cellStyle name="Vírgula 5 2 3 3 2 8" xfId="26547" xr:uid="{BDD3E879-DEEF-4D5E-A5BD-7B1011755A02}"/>
    <cellStyle name="Vírgula 5 2 3 3 2 9" xfId="52453" xr:uid="{87EF2C9E-D4F6-4011-AA0C-99BDE5B6A0F6}"/>
    <cellStyle name="Vírgula 5 2 3 3 20" xfId="5016" xr:uid="{CDF56F17-7391-41AD-AF18-340577F66166}"/>
    <cellStyle name="Vírgula 5 2 3 3 3" xfId="4307" xr:uid="{0A9B07A7-1748-47DB-82F3-DBB11BF102EF}"/>
    <cellStyle name="Vírgula 5 2 3 3 3 2" xfId="17062" xr:uid="{9191FB85-92FA-46B7-889B-85B82E35851A}"/>
    <cellStyle name="Vírgula 5 2 3 3 3 2 2" xfId="37402" xr:uid="{BC0A8E1D-1257-4C53-AB92-88E94918A104}"/>
    <cellStyle name="Vírgula 5 2 3 3 3 3" xfId="20564" xr:uid="{301B4958-847F-4FE4-9A42-0D1EA5CE7DB2}"/>
    <cellStyle name="Vírgula 5 2 3 3 3 3 2" xfId="40903" xr:uid="{39FE3B2B-EC5D-451B-95E6-B65C38E3579A}"/>
    <cellStyle name="Vírgula 5 2 3 3 3 4" xfId="23819" xr:uid="{7FCAD032-EA50-4518-84AB-188482BC4B0C}"/>
    <cellStyle name="Vírgula 5 2 3 3 3 4 2" xfId="44154" xr:uid="{5C0CE48C-027D-4F7F-A25E-0ECC48425E4F}"/>
    <cellStyle name="Vírgula 5 2 3 3 3 5" xfId="14153" xr:uid="{27617DE8-E528-4A08-8770-CACBFF54E3EE}"/>
    <cellStyle name="Vírgula 5 2 3 3 3 5 2" xfId="34494" xr:uid="{B4090D1A-7262-4F0A-9872-39BB71379E06}"/>
    <cellStyle name="Vírgula 5 2 3 3 3 6" xfId="10275" xr:uid="{0E20E9F9-9941-4C9B-82B8-46E3FB57592D}"/>
    <cellStyle name="Vírgula 5 2 3 3 3 6 2" xfId="30618" xr:uid="{B1AF9FDF-2723-4458-AA9A-60667777ACD5}"/>
    <cellStyle name="Vírgula 5 2 3 3 3 7" xfId="27124" xr:uid="{60685AD8-7706-4428-B391-D90F160D6036}"/>
    <cellStyle name="Vírgula 5 2 3 3 3 8" xfId="56875" xr:uid="{11E04ED8-289D-41A9-BFBF-F81171917720}"/>
    <cellStyle name="Vírgula 5 2 3 3 3 9" xfId="6776" xr:uid="{6010F641-A978-4DC3-8B7E-6C578B66F862}"/>
    <cellStyle name="Vírgula 5 2 3 3 4" xfId="1906" xr:uid="{CC0DB389-086B-4F1A-BB70-135E954DCC58}"/>
    <cellStyle name="Vírgula 5 2 3 3 4 2" xfId="18225" xr:uid="{36C316B6-A4C3-4BA2-8061-A46DBDBC0CF8}"/>
    <cellStyle name="Vírgula 5 2 3 3 4 2 2" xfId="38565" xr:uid="{87506D45-76B6-440F-AB32-C4DC9AC9E278}"/>
    <cellStyle name="Vírgula 5 2 3 3 4 3" xfId="21727" xr:uid="{849436DF-37BB-4453-AF75-E065E0721FBA}"/>
    <cellStyle name="Vírgula 5 2 3 3 4 3 2" xfId="42066" xr:uid="{3651C391-ECAD-4EEE-93E2-C779CFA6BCB6}"/>
    <cellStyle name="Vírgula 5 2 3 3 4 4" xfId="24982" xr:uid="{1131E0BC-A356-42E2-B520-446FBF47FA65}"/>
    <cellStyle name="Vírgula 5 2 3 3 4 4 2" xfId="45317" xr:uid="{E4A1F574-33E8-45D4-B106-9BB67F2C539B}"/>
    <cellStyle name="Vírgula 5 2 3 3 4 5" xfId="15317" xr:uid="{7571CB58-FFA1-4BD3-9281-9307727C83BA}"/>
    <cellStyle name="Vírgula 5 2 3 3 4 5 2" xfId="35657" xr:uid="{C678A6E5-211E-4C44-B2FD-9BD850122761}"/>
    <cellStyle name="Vírgula 5 2 3 3 4 6" xfId="11438" xr:uid="{497F6867-7A38-47BF-97FB-73B4C2186AE3}"/>
    <cellStyle name="Vírgula 5 2 3 3 4 6 2" xfId="31781" xr:uid="{919FE982-87A9-4072-B852-76DFCA069A4C}"/>
    <cellStyle name="Vírgula 5 2 3 3 4 7" xfId="28287" xr:uid="{06126087-43EB-4FFE-88CB-FC7A019F72D4}"/>
    <cellStyle name="Vírgula 5 2 3 3 4 8" xfId="7940" xr:uid="{BD77C9CC-9F0C-4019-AD71-3F369CC81ED2}"/>
    <cellStyle name="Vírgula 5 2 3 3 5" xfId="8312" xr:uid="{472B8BBC-3DB1-4C8D-ADAD-A81F9388BD17}"/>
    <cellStyle name="Vírgula 5 2 3 3 5 2" xfId="22099" xr:uid="{F1446A3A-60EA-42C5-831E-6561FB44E22B}"/>
    <cellStyle name="Vírgula 5 2 3 3 5 2 2" xfId="42435" xr:uid="{460C9A46-92CF-484D-9626-21CB2E80716A}"/>
    <cellStyle name="Vírgula 5 2 3 3 5 3" xfId="25351" xr:uid="{3C5275E7-1F65-4CCA-8654-63397105A572}"/>
    <cellStyle name="Vírgula 5 2 3 3 5 3 2" xfId="45686" xr:uid="{7F3ADF94-4291-4E09-B01E-3E34FBE62656}"/>
    <cellStyle name="Vírgula 5 2 3 3 5 4" xfId="13007" xr:uid="{527AEC26-3812-42B8-A35D-8F54FFDEBB9A}"/>
    <cellStyle name="Vírgula 5 2 3 3 5 4 2" xfId="33348" xr:uid="{D999E605-4E7A-40B2-96B5-0094B861BD30}"/>
    <cellStyle name="Vírgula 5 2 3 3 5 5" xfId="11808" xr:uid="{F8766CE1-161F-497E-AC1D-8615C2018204}"/>
    <cellStyle name="Vírgula 5 2 3 3 5 5 2" xfId="32150" xr:uid="{07C8C3C1-7C26-447F-99AE-9D203C47745C}"/>
    <cellStyle name="Vírgula 5 2 3 3 5 6" xfId="28656" xr:uid="{923AA334-2B50-4AED-AE7A-84A64FE46E21}"/>
    <cellStyle name="Vírgula 5 2 3 3 6" xfId="15904" xr:uid="{37FE918F-A097-40F4-8F55-45CCC507619B}"/>
    <cellStyle name="Vírgula 5 2 3 3 6 2" xfId="36244" xr:uid="{7D8741A1-0EC8-4BB4-8672-B8DF0D066A7A}"/>
    <cellStyle name="Vírgula 5 2 3 3 7" xfId="18818" xr:uid="{B2CAD073-057D-4C38-864F-2FD00FB35280}"/>
    <cellStyle name="Vírgula 5 2 3 3 7 2" xfId="39158" xr:uid="{DF8676FF-6314-42AD-8DD3-FDC5E827F625}"/>
    <cellStyle name="Vírgula 5 2 3 3 8" xfId="19406" xr:uid="{C2C262A5-E06B-42B9-B4C7-929EFF250894}"/>
    <cellStyle name="Vírgula 5 2 3 3 8 2" xfId="39745" xr:uid="{F607638B-FD2A-4DE7-A4DA-1DE7F0C82582}"/>
    <cellStyle name="Vírgula 5 2 3 3 9" xfId="22661" xr:uid="{C42E2E5F-2310-4AA3-83DD-2AFD98B61119}"/>
    <cellStyle name="Vírgula 5 2 3 3 9 2" xfId="42996" xr:uid="{B18DC479-C2F2-4C88-AD5C-F913A01041FA}"/>
    <cellStyle name="Vírgula 5 2 3 4" xfId="1410" xr:uid="{1B86F50D-F56B-4EB4-982E-C174EC2111DF}"/>
    <cellStyle name="Vírgula 5 2 3 4 10" xfId="12480" xr:uid="{28CC6384-5369-456A-B401-FB7D46561CD1}"/>
    <cellStyle name="Vírgula 5 2 3 4 10 2" xfId="32821" xr:uid="{761EF33F-04C0-4933-A156-5428D9550924}"/>
    <cellStyle name="Vírgula 5 2 3 4 11" xfId="9219" xr:uid="{7129D2CA-5D60-496A-8318-2B5057BE3F2D}"/>
    <cellStyle name="Vírgula 5 2 3 4 11 2" xfId="29562" xr:uid="{D3331060-5D9C-45A6-B745-0CF8A0C0BEA5}"/>
    <cellStyle name="Vírgula 5 2 3 4 12" xfId="26068" xr:uid="{3BCEAF11-C221-4090-B2EC-7A44ADA305C0}"/>
    <cellStyle name="Vírgula 5 2 3 4 13" xfId="49152" xr:uid="{67F595D8-C138-4784-859A-4CA7FD18AAD7}"/>
    <cellStyle name="Vírgula 5 2 3 4 14" xfId="50822" xr:uid="{47D9E4C3-EFB7-4F0B-9317-2210D3872F78}"/>
    <cellStyle name="Vírgula 5 2 3 4 15" xfId="54117" xr:uid="{94D195EF-C11C-4DD7-AB68-1083590171DA}"/>
    <cellStyle name="Vírgula 5 2 3 4 16" xfId="5727" xr:uid="{23F7A8E7-2EEE-4310-BEB7-19A509E4E152}"/>
    <cellStyle name="Vírgula 5 2 3 4 17" xfId="4911" xr:uid="{CA6C9DC6-76B4-4619-BF1D-F8DBCD842641}"/>
    <cellStyle name="Vírgula 5 2 3 4 2" xfId="3775" xr:uid="{4E1DD6F3-5F30-47C2-B32E-93CA6DBE8D89}"/>
    <cellStyle name="Vírgula 5 2 3 4 2 10" xfId="55748" xr:uid="{DC306F3D-7F87-4B2B-8C46-3DA2C2F0270E}"/>
    <cellStyle name="Vírgula 5 2 3 4 2 11" xfId="6301" xr:uid="{E7B55C53-9AF7-47FB-8DD6-EA882D8369BC}"/>
    <cellStyle name="Vírgula 5 2 3 4 2 2" xfId="7459" xr:uid="{10357119-8623-4133-B978-B5158A9FF95D}"/>
    <cellStyle name="Vírgula 5 2 3 4 2 2 2" xfId="17745" xr:uid="{62064579-E9DD-44C0-A762-B9937F8C9B4D}"/>
    <cellStyle name="Vírgula 5 2 3 4 2 2 2 2" xfId="38085" xr:uid="{7431749B-3156-4F93-A097-6797A17F929E}"/>
    <cellStyle name="Vírgula 5 2 3 4 2 2 3" xfId="21247" xr:uid="{5CEB6DB3-AFE1-45E1-8A2A-B9B9FA1D3BBD}"/>
    <cellStyle name="Vírgula 5 2 3 4 2 2 3 2" xfId="41586" xr:uid="{517E50EC-C049-4F6E-836A-B15846EAB77D}"/>
    <cellStyle name="Vírgula 5 2 3 4 2 2 4" xfId="24502" xr:uid="{28B92611-D4CF-4A28-A94D-7482942EAEAE}"/>
    <cellStyle name="Vírgula 5 2 3 4 2 2 4 2" xfId="44837" xr:uid="{F754AA43-5892-43AF-AD22-ED36EEB2BE0C}"/>
    <cellStyle name="Vírgula 5 2 3 4 2 2 5" xfId="14836" xr:uid="{4C3E5536-D083-458B-89DC-BC6114C9B64F}"/>
    <cellStyle name="Vírgula 5 2 3 4 2 2 5 2" xfId="35177" xr:uid="{3F2D3A18-7CE9-4895-8993-1D81D2DE50FE}"/>
    <cellStyle name="Vírgula 5 2 3 4 2 2 6" xfId="10958" xr:uid="{C64979E4-B458-42F9-8931-1B0F5B73E0FF}"/>
    <cellStyle name="Vírgula 5 2 3 4 2 2 6 2" xfId="31301" xr:uid="{01BB6942-1F11-4BC7-B99E-E98869115511}"/>
    <cellStyle name="Vírgula 5 2 3 4 2 2 7" xfId="27807" xr:uid="{F6499A3B-BC12-4971-ADA1-B79CD3D75420}"/>
    <cellStyle name="Vírgula 5 2 3 4 2 3" xfId="16587" xr:uid="{052EA913-66B8-4D02-BF0D-5750C4341252}"/>
    <cellStyle name="Vírgula 5 2 3 4 2 3 2" xfId="36927" xr:uid="{75D75FEF-C0D8-4385-9B67-FBDDBDB1C4D3}"/>
    <cellStyle name="Vírgula 5 2 3 4 2 4" xfId="20089" xr:uid="{D6D44F2E-B04D-4427-A7C9-B58B1B5C55F8}"/>
    <cellStyle name="Vírgula 5 2 3 4 2 4 2" xfId="40428" xr:uid="{08997A9B-8E33-48EA-9E4A-9E4AAA3581FC}"/>
    <cellStyle name="Vírgula 5 2 3 4 2 5" xfId="23344" xr:uid="{929439BB-FE2B-43C4-9DED-9DB20292F2CF}"/>
    <cellStyle name="Vírgula 5 2 3 4 2 5 2" xfId="43679" xr:uid="{A962DFFC-958A-4328-AD75-7ED6339EED55}"/>
    <cellStyle name="Vírgula 5 2 3 4 2 6" xfId="13678" xr:uid="{5A20F4CC-5C95-4BE8-96FD-7A192E3533BC}"/>
    <cellStyle name="Vírgula 5 2 3 4 2 6 2" xfId="34019" xr:uid="{7AAEC63B-C46E-4B53-BAE5-7DA5CDDCCFAE}"/>
    <cellStyle name="Vírgula 5 2 3 4 2 7" xfId="9800" xr:uid="{04E003D6-DD7B-468A-B39D-42E21F0B5FF9}"/>
    <cellStyle name="Vírgula 5 2 3 4 2 7 2" xfId="30143" xr:uid="{99638BFD-A312-4F09-B44A-897BF4A6A7EE}"/>
    <cellStyle name="Vírgula 5 2 3 4 2 8" xfId="26649" xr:uid="{A43654DB-2E6D-4D15-96DD-3E5E690A54C5}"/>
    <cellStyle name="Vírgula 5 2 3 4 2 9" xfId="52454" xr:uid="{2BD1CF78-ABC1-4A1F-A67F-64D972B8E406}"/>
    <cellStyle name="Vírgula 5 2 3 4 3" xfId="3071" xr:uid="{BF175A11-5109-4940-8369-F469A434C6EB}"/>
    <cellStyle name="Vírgula 5 2 3 4 3 2" xfId="17164" xr:uid="{5C77662C-28FC-41AF-9FDE-CA10A0E7869A}"/>
    <cellStyle name="Vírgula 5 2 3 4 3 2 2" xfId="37504" xr:uid="{B9B5F877-A8AA-434A-969F-AD6BA0EC7863}"/>
    <cellStyle name="Vírgula 5 2 3 4 3 3" xfId="20666" xr:uid="{F67391CD-EFB9-4F74-A197-1B9537C83F2E}"/>
    <cellStyle name="Vírgula 5 2 3 4 3 3 2" xfId="41005" xr:uid="{2079CDE9-D059-4AB4-870D-CC8C528E93A3}"/>
    <cellStyle name="Vírgula 5 2 3 4 3 4" xfId="23921" xr:uid="{71C918B1-9DBF-4245-A5BE-E4A6760A3C04}"/>
    <cellStyle name="Vírgula 5 2 3 4 3 4 2" xfId="44256" xr:uid="{439ED681-4E58-49F4-82E2-07206386B56B}"/>
    <cellStyle name="Vírgula 5 2 3 4 3 5" xfId="14255" xr:uid="{22596799-6305-4227-A051-CFA116EADAFF}"/>
    <cellStyle name="Vírgula 5 2 3 4 3 5 2" xfId="34596" xr:uid="{ABD76436-3B36-4432-8BFC-4BB80F0B80BA}"/>
    <cellStyle name="Vírgula 5 2 3 4 3 6" xfId="10377" xr:uid="{ABF5BF2C-28B7-4BAE-A646-014487835F90}"/>
    <cellStyle name="Vírgula 5 2 3 4 3 6 2" xfId="30720" xr:uid="{EA19FD60-1665-4B37-99E3-D12877689780}"/>
    <cellStyle name="Vírgula 5 2 3 4 3 7" xfId="27226" xr:uid="{86CE838C-C9A6-426D-AD72-2EE157557FC1}"/>
    <cellStyle name="Vírgula 5 2 3 4 3 8" xfId="57281" xr:uid="{3D84F3D6-9E9A-41A3-8804-8E29449E7FE5}"/>
    <cellStyle name="Vírgula 5 2 3 4 3 9" xfId="6878" xr:uid="{E223323C-83BC-4AF5-9245-4C5242074E32}"/>
    <cellStyle name="Vírgula 5 2 3 4 4" xfId="8042" xr:uid="{93D763F5-F545-4F5B-80EE-DA38AA0C951C}"/>
    <cellStyle name="Vírgula 5 2 3 4 4 2" xfId="18327" xr:uid="{479B540B-C66C-48B7-BA11-454545210AC0}"/>
    <cellStyle name="Vírgula 5 2 3 4 4 2 2" xfId="38667" xr:uid="{AE5274AF-D5EC-495B-9CBF-88081F5827E0}"/>
    <cellStyle name="Vírgula 5 2 3 4 4 3" xfId="21829" xr:uid="{6F45BFD4-CA7A-49C3-AFF6-9A904B5C18C4}"/>
    <cellStyle name="Vírgula 5 2 3 4 4 3 2" xfId="42168" xr:uid="{039FF72B-E33C-4139-8972-7E3A4EF8A655}"/>
    <cellStyle name="Vírgula 5 2 3 4 4 4" xfId="25084" xr:uid="{564658F1-1621-45C4-8049-7D9FAA140A72}"/>
    <cellStyle name="Vírgula 5 2 3 4 4 4 2" xfId="45419" xr:uid="{6917DD72-7489-4A51-9A45-E2A8D6151007}"/>
    <cellStyle name="Vírgula 5 2 3 4 4 5" xfId="15419" xr:uid="{DDF3FD97-7928-49FA-841E-4F2BA4544BC9}"/>
    <cellStyle name="Vírgula 5 2 3 4 4 5 2" xfId="35759" xr:uid="{5BD342C4-0E9C-4D50-A86B-88A7AA448613}"/>
    <cellStyle name="Vírgula 5 2 3 4 4 6" xfId="11540" xr:uid="{1E161067-C733-4605-A08F-ADFD969F261D}"/>
    <cellStyle name="Vírgula 5 2 3 4 4 6 2" xfId="31883" xr:uid="{31673F01-6003-4924-9EEA-37EEF8D9DEA0}"/>
    <cellStyle name="Vírgula 5 2 3 4 4 7" xfId="28389" xr:uid="{F7710220-FDC8-46F6-A11F-3B6A4BF8EAFC}"/>
    <cellStyle name="Vírgula 5 2 3 4 5" xfId="13109" xr:uid="{3D211169-E7CF-426C-B08F-9F56459EB9F4}"/>
    <cellStyle name="Vírgula 5 2 3 4 5 2" xfId="33450" xr:uid="{B94929EC-B7D2-442E-A55D-B124A9D8BA6A}"/>
    <cellStyle name="Vírgula 5 2 3 4 6" xfId="16006" xr:uid="{38ADD659-CC3E-4892-AF27-9E5D15568008}"/>
    <cellStyle name="Vírgula 5 2 3 4 6 2" xfId="36346" xr:uid="{C67F7CFB-D209-438F-BB73-E09C8853724B}"/>
    <cellStyle name="Vírgula 5 2 3 4 7" xfId="18920" xr:uid="{B659028A-47E3-4DA3-BBDC-E663540B6C8F}"/>
    <cellStyle name="Vírgula 5 2 3 4 7 2" xfId="39260" xr:uid="{978036E1-CC7A-4CE9-866C-A76B66DF738E}"/>
    <cellStyle name="Vírgula 5 2 3 4 8" xfId="19508" xr:uid="{19ABB604-4748-47FE-91BF-24A2508E16E8}"/>
    <cellStyle name="Vírgula 5 2 3 4 8 2" xfId="39847" xr:uid="{019792B3-A04C-4CAF-947D-13D0C0A57C81}"/>
    <cellStyle name="Vírgula 5 2 3 4 9" xfId="22763" xr:uid="{F7F6613E-0EAC-4D7D-844A-E6525FEBC9C7}"/>
    <cellStyle name="Vírgula 5 2 3 4 9 2" xfId="43098" xr:uid="{21BF9405-7174-40A9-89C9-E8A0B68F25E4}"/>
    <cellStyle name="Vírgula 5 2 3 5" xfId="597" xr:uid="{69E1ACA1-2F42-4A76-A6A9-751A1FB6EF85}"/>
    <cellStyle name="Vírgula 5 2 3 5 10" xfId="50823" xr:uid="{E0B91A71-628D-4B20-8AB1-5072D905425F}"/>
    <cellStyle name="Vírgula 5 2 3 5 11" xfId="54118" xr:uid="{0D0E0391-DF0B-44E0-99E9-22EE97F28EA0}"/>
    <cellStyle name="Vírgula 5 2 3 5 12" xfId="5855" xr:uid="{E8DB2CA7-B116-478A-8FEC-131470626EA8}"/>
    <cellStyle name="Vírgula 5 2 3 5 2" xfId="2313" xr:uid="{9A3A3E95-A0AB-4C91-8C4B-FCA31F2F50C9}"/>
    <cellStyle name="Vírgula 5 2 3 5 2 10" xfId="7013" xr:uid="{04D676CE-9F0D-429D-9B7F-D9899C75590E}"/>
    <cellStyle name="Vírgula 5 2 3 5 2 2" xfId="17299" xr:uid="{AD51065C-3033-4C06-BC67-87144A5DE971}"/>
    <cellStyle name="Vírgula 5 2 3 5 2 2 2" xfId="37639" xr:uid="{B2EC8E4E-433B-42EC-9C39-AF49336AEBEB}"/>
    <cellStyle name="Vírgula 5 2 3 5 2 3" xfId="20801" xr:uid="{163CA1BE-26CA-47B1-AFCE-C1517686FAFF}"/>
    <cellStyle name="Vírgula 5 2 3 5 2 3 2" xfId="41140" xr:uid="{93BE2894-E514-4D9C-8061-C5AF620FE482}"/>
    <cellStyle name="Vírgula 5 2 3 5 2 4" xfId="24056" xr:uid="{85F64A82-0291-4EF0-B0D5-15AF895818F2}"/>
    <cellStyle name="Vírgula 5 2 3 5 2 4 2" xfId="44391" xr:uid="{F1D3A681-3742-416C-B428-6B2BB8A7BD5B}"/>
    <cellStyle name="Vírgula 5 2 3 5 2 5" xfId="14390" xr:uid="{5B717BF1-2C79-4C71-8B55-326ABFFA8BC4}"/>
    <cellStyle name="Vírgula 5 2 3 5 2 5 2" xfId="34731" xr:uid="{88E23CBB-46F7-44E9-AD46-5EFBBFE00C30}"/>
    <cellStyle name="Vírgula 5 2 3 5 2 6" xfId="10512" xr:uid="{13B3B0FE-5793-4096-9204-14E583B4DC3F}"/>
    <cellStyle name="Vírgula 5 2 3 5 2 6 2" xfId="30855" xr:uid="{D28BF53E-C525-4B45-A035-FB40F86106E0}"/>
    <cellStyle name="Vírgula 5 2 3 5 2 7" xfId="27361" xr:uid="{5E8D805E-C253-4E3A-A149-9048CE0E73A9}"/>
    <cellStyle name="Vírgula 5 2 3 5 2 8" xfId="52455" xr:uid="{90398326-6ECA-4004-B013-B819D0E7F79F}"/>
    <cellStyle name="Vírgula 5 2 3 5 2 9" xfId="55749" xr:uid="{A7B785FD-1F78-4F20-885E-B10040237164}"/>
    <cellStyle name="Vírgula 5 2 3 5 3" xfId="16141" xr:uid="{8F44AEED-B7E7-443A-A196-21B49163CB4A}"/>
    <cellStyle name="Vírgula 5 2 3 5 3 2" xfId="36481" xr:uid="{C7C57488-1F3D-4063-868B-47F4FBC3E2D2}"/>
    <cellStyle name="Vírgula 5 2 3 5 3 3" xfId="56468" xr:uid="{DF688E9F-011A-4DA7-80FD-F4A19675591D}"/>
    <cellStyle name="Vírgula 5 2 3 5 4" xfId="19643" xr:uid="{AC4228AA-3AB1-4F1E-9F22-264F994F49AD}"/>
    <cellStyle name="Vírgula 5 2 3 5 4 2" xfId="39982" xr:uid="{6956D272-43D5-4FD2-9CDF-A9BFA82BF73C}"/>
    <cellStyle name="Vírgula 5 2 3 5 5" xfId="22898" xr:uid="{49A22625-D0AB-4650-AADC-8BDE6412EC8F}"/>
    <cellStyle name="Vírgula 5 2 3 5 5 2" xfId="43233" xr:uid="{186B9AF6-05D7-4AE7-B907-0D67519E815D}"/>
    <cellStyle name="Vírgula 5 2 3 5 6" xfId="13234" xr:uid="{E7D2118F-ECB2-4E07-9B23-7A938CA1A4CD}"/>
    <cellStyle name="Vírgula 5 2 3 5 6 2" xfId="33575" xr:uid="{46E1C83B-986A-4E8C-8904-F51BD1170CC9}"/>
    <cellStyle name="Vírgula 5 2 3 5 7" xfId="9354" xr:uid="{168D505E-0B1D-4CD5-8122-6104E6A9BE49}"/>
    <cellStyle name="Vírgula 5 2 3 5 7 2" xfId="29697" xr:uid="{8611C5BD-BFDE-4A19-B4E6-7B17CADF0C5D}"/>
    <cellStyle name="Vírgula 5 2 3 5 8" xfId="26203" xr:uid="{4FB4A2DA-937F-4768-B584-B2E33D662A1B}"/>
    <cellStyle name="Vírgula 5 2 3 5 9" xfId="49153" xr:uid="{6532DA3B-7F79-41B0-B7C1-C78A205CB6DC}"/>
    <cellStyle name="Vírgula 5 2 3 6" xfId="3447" xr:uid="{39F3284E-6F28-4B1A-91BF-DEBEBA99E3F2}"/>
    <cellStyle name="Vírgula 5 2 3 6 10" xfId="6432" xr:uid="{87A6ABE0-D296-40C1-A4BF-6D4D09387452}"/>
    <cellStyle name="Vírgula 5 2 3 6 2" xfId="16718" xr:uid="{6F1DBF35-A252-42AD-A0F8-0D3B37A10E95}"/>
    <cellStyle name="Vírgula 5 2 3 6 2 2" xfId="37058" xr:uid="{3953ACD7-F1FB-429C-B85B-E0C02CB2259C}"/>
    <cellStyle name="Vírgula 5 2 3 6 3" xfId="20220" xr:uid="{DF92D6BB-9953-4B87-BC9C-59EA33B7B30D}"/>
    <cellStyle name="Vírgula 5 2 3 6 3 2" xfId="40559" xr:uid="{21BF9AB2-4AD7-4012-A580-EAD2E255807B}"/>
    <cellStyle name="Vírgula 5 2 3 6 4" xfId="23475" xr:uid="{893BF52E-9E8C-4597-B91B-F8C2D69A5F17}"/>
    <cellStyle name="Vírgula 5 2 3 6 4 2" xfId="43810" xr:uid="{BC25EE4C-460A-430A-99A6-AA3E372AD8D6}"/>
    <cellStyle name="Vírgula 5 2 3 6 5" xfId="13809" xr:uid="{0CBF390D-A6C5-42FB-A5A0-F83C08B364A2}"/>
    <cellStyle name="Vírgula 5 2 3 6 5 2" xfId="34150" xr:uid="{9BDA9402-3325-4D01-8816-770D05803021}"/>
    <cellStyle name="Vírgula 5 2 3 6 6" xfId="9931" xr:uid="{D5F5118B-DD10-4695-9D30-334742208275}"/>
    <cellStyle name="Vírgula 5 2 3 6 6 2" xfId="30274" xr:uid="{CE51BF17-0548-452C-8029-37F75A3BD599}"/>
    <cellStyle name="Vírgula 5 2 3 6 7" xfId="26780" xr:uid="{F1385AA1-1DA2-4A1D-9E4A-4C7216AC1C69}"/>
    <cellStyle name="Vírgula 5 2 3 6 8" xfId="52448" xr:uid="{48A6FE28-4E7A-46A8-B5F8-29A10B77119D}"/>
    <cellStyle name="Vírgula 5 2 3 6 9" xfId="55742" xr:uid="{C90B1E28-373C-468E-A9A9-DCE030AB6C62}"/>
    <cellStyle name="Vírgula 5 2 3 7" xfId="3963" xr:uid="{FE053B6C-9E4E-4D9A-80A7-B08A837FD10B}"/>
    <cellStyle name="Vírgula 5 2 3 7 2" xfId="17881" xr:uid="{FC07EBE0-4886-4929-AD5B-4F9E5CA203F0}"/>
    <cellStyle name="Vírgula 5 2 3 7 2 2" xfId="38221" xr:uid="{4B8B75B2-B07F-4226-837F-74A3DE1C350A}"/>
    <cellStyle name="Vírgula 5 2 3 7 3" xfId="21383" xr:uid="{1BF52D99-FC46-4B76-BFFE-40FBAD3D6AA3}"/>
    <cellStyle name="Vírgula 5 2 3 7 3 2" xfId="41722" xr:uid="{E3AF560E-E230-4C69-90E5-73889241FCA0}"/>
    <cellStyle name="Vírgula 5 2 3 7 4" xfId="24638" xr:uid="{4C8C295C-D281-43C7-96DA-85ECD69F24E8}"/>
    <cellStyle name="Vírgula 5 2 3 7 4 2" xfId="44973" xr:uid="{0084F180-5FC6-4017-8293-B3688D836C4E}"/>
    <cellStyle name="Vírgula 5 2 3 7 5" xfId="14973" xr:uid="{CD53B0FC-E727-4609-9D3A-0CCD931C10DD}"/>
    <cellStyle name="Vírgula 5 2 3 7 5 2" xfId="35313" xr:uid="{49E157F0-3F74-4001-A601-35FCF1D672A6}"/>
    <cellStyle name="Vírgula 5 2 3 7 6" xfId="11094" xr:uid="{680B264B-1725-4594-8CD0-1FF9B506F914}"/>
    <cellStyle name="Vírgula 5 2 3 7 6 2" xfId="31437" xr:uid="{D60EAC50-48E8-4758-BC04-946770846D68}"/>
    <cellStyle name="Vírgula 5 2 3 7 7" xfId="27943" xr:uid="{FE007964-C3C3-4090-BD98-0EB98BE55B57}"/>
    <cellStyle name="Vírgula 5 2 3 7 8" xfId="56059" xr:uid="{5EE5B8E6-61E9-4F98-A77D-C85E4D57406F}"/>
    <cellStyle name="Vírgula 5 2 3 7 9" xfId="7596" xr:uid="{3A4347FA-73DC-4414-86FD-8E2CF9289DE7}"/>
    <cellStyle name="Vírgula 5 2 3 8" xfId="1796" xr:uid="{396172C6-D0A8-48A3-B4CC-5284FFA5C3AB}"/>
    <cellStyle name="Vírgula 5 2 3 8 2" xfId="22097" xr:uid="{ABBEAF98-0FEF-44E4-AF59-B31210544067}"/>
    <cellStyle name="Vírgula 5 2 3 8 2 2" xfId="42433" xr:uid="{8F46B97B-7A4A-4D4A-8C3D-4B28A376B716}"/>
    <cellStyle name="Vírgula 5 2 3 8 3" xfId="25349" xr:uid="{F090647B-E83A-475B-930F-77EA547CDD50}"/>
    <cellStyle name="Vírgula 5 2 3 8 3 2" xfId="45684" xr:uid="{63A62C38-226C-42CA-AC89-98BEF9000147}"/>
    <cellStyle name="Vírgula 5 2 3 8 4" xfId="12665" xr:uid="{3ADDC8A1-F44E-482E-98E0-D11CD56B731D}"/>
    <cellStyle name="Vírgula 5 2 3 8 4 2" xfId="33006" xr:uid="{7310E3A4-74E5-4077-BC1A-274DEC1C6B06}"/>
    <cellStyle name="Vírgula 5 2 3 8 5" xfId="11806" xr:uid="{7425F5C5-4157-4644-B531-427844E29A39}"/>
    <cellStyle name="Vírgula 5 2 3 8 5 2" xfId="32148" xr:uid="{C08977DD-1DF7-4D54-B9E0-42BED137A341}"/>
    <cellStyle name="Vírgula 5 2 3 8 6" xfId="28654" xr:uid="{2734ED70-927C-43B3-9F07-D146CAE0996F}"/>
    <cellStyle name="Vírgula 5 2 3 8 7" xfId="8310" xr:uid="{6F757C6E-4E3B-4F2A-81F3-BE69EE86F4FF}"/>
    <cellStyle name="Vírgula 5 2 3 9" xfId="8515" xr:uid="{FBEB6060-7EB8-47FF-BA69-8BFD0E419635}"/>
    <cellStyle name="Vírgula 5 2 3 9 2" xfId="15560" xr:uid="{F97F8113-0693-4C34-8CDA-86A00F7748A7}"/>
    <cellStyle name="Vírgula 5 2 3 9 2 2" xfId="35900" xr:uid="{F64A324D-5F52-4CE0-8A45-6B269B8D4B62}"/>
    <cellStyle name="Vírgula 5 2 3 9 3" xfId="28858" xr:uid="{D98BB431-D1AB-4A62-869B-6D8B0717EBDE}"/>
    <cellStyle name="Vírgula 5 2 4" xfId="214" xr:uid="{B8CF3465-163F-42E2-AC5F-B7F61417E81B}"/>
    <cellStyle name="Vírgula 5 2 4 10" xfId="12093" xr:uid="{2FFDB2DA-7A90-475B-961D-E32D0126696A}"/>
    <cellStyle name="Vírgula 5 2 4 10 2" xfId="32434" xr:uid="{B2C2AA3F-774C-4C59-B00D-D821BAFF8A9D}"/>
    <cellStyle name="Vírgula 5 2 4 11" xfId="8832" xr:uid="{72615C69-FF04-4A02-B848-5CCB12E4A7D5}"/>
    <cellStyle name="Vírgula 5 2 4 11 2" xfId="29175" xr:uid="{6CDD87C2-C285-4500-AEB3-791C1DEF1B2B}"/>
    <cellStyle name="Vírgula 5 2 4 12" xfId="25681" xr:uid="{8F110FDB-C209-4346-A5E6-A4391A7A5AC5}"/>
    <cellStyle name="Vírgula 5 2 4 13" xfId="46009" xr:uid="{85614B04-54FD-42CD-903D-DE90A62FB3D3}"/>
    <cellStyle name="Vírgula 5 2 4 14" xfId="46495" xr:uid="{B70A2314-3EF5-4D88-8E99-760D3EAEA847}"/>
    <cellStyle name="Vírgula 5 2 4 15" xfId="46987" xr:uid="{EEE897EC-8AA3-45CB-8681-5E140A89F212}"/>
    <cellStyle name="Vírgula 5 2 4 16" xfId="49154" xr:uid="{4BA57FAE-7199-471B-AEB1-296402AAEC42}"/>
    <cellStyle name="Vírgula 5 2 4 17" xfId="50824" xr:uid="{37A1C728-DE1C-48CB-9832-F069BC5BB5B5}"/>
    <cellStyle name="Vírgula 5 2 4 18" xfId="54119" xr:uid="{2AF832F0-8F47-412D-ACE4-3545ADF88DF8}"/>
    <cellStyle name="Vírgula 5 2 4 19" xfId="5357" xr:uid="{1ED5385C-FEAD-4344-A618-789EB36EC5C5}"/>
    <cellStyle name="Vírgula 5 2 4 2" xfId="403" xr:uid="{E05911D2-FDE4-4A9C-B0B0-B629E753FB8A}"/>
    <cellStyle name="Vírgula 5 2 4 2 10" xfId="46738" xr:uid="{D1E16CD5-1100-4A67-B0BD-87E88625B8FE}"/>
    <cellStyle name="Vírgula 5 2 4 2 11" xfId="47230" xr:uid="{6F4CCB74-2F00-407C-9749-8EEF99E038AF}"/>
    <cellStyle name="Vírgula 5 2 4 2 12" xfId="49155" xr:uid="{95BD30DD-BD46-4285-A22C-C8F01C651AA3}"/>
    <cellStyle name="Vírgula 5 2 4 2 13" xfId="50825" xr:uid="{5C470B6F-4116-4875-AB1E-34AF4B71678B}"/>
    <cellStyle name="Vírgula 5 2 4 2 14" xfId="54120" xr:uid="{7216129D-FA26-4A55-9B27-D1A9E7577F34}"/>
    <cellStyle name="Vírgula 5 2 4 2 15" xfId="5914" xr:uid="{91F94F23-A835-4CEB-A225-F50B2065F54B}"/>
    <cellStyle name="Vírgula 5 2 4 2 16" xfId="4684" xr:uid="{2D40D155-364E-480B-936F-1F29BD3E0F82}"/>
    <cellStyle name="Vírgula 5 2 4 2 2" xfId="1219" xr:uid="{5CBC0195-505A-4B2E-B732-9E8F7E36559F}"/>
    <cellStyle name="Vírgula 5 2 4 2 2 10" xfId="54121" xr:uid="{CC1F14E2-90D6-40B8-B1FB-665115F40E2A}"/>
    <cellStyle name="Vírgula 5 2 4 2 2 11" xfId="7072" xr:uid="{F0FF7CA7-1CF1-454A-9F5F-632661326FA1}"/>
    <cellStyle name="Vírgula 5 2 4 2 2 12" xfId="5127" xr:uid="{0C2AA2E1-E640-4F4F-9B08-DACDC4BB1AE4}"/>
    <cellStyle name="Vírgula 5 2 4 2 2 2" xfId="2880" xr:uid="{65748E89-EE62-4A92-8964-6A4D8026E6E7}"/>
    <cellStyle name="Vírgula 5 2 4 2 2 2 2" xfId="37698" xr:uid="{5E0F786E-1331-4FEC-81AF-B3B7FE36690A}"/>
    <cellStyle name="Vírgula 5 2 4 2 2 2 3" xfId="52458" xr:uid="{B974B35D-495D-4586-B5E2-B18E1B6D2658}"/>
    <cellStyle name="Vírgula 5 2 4 2 2 2 4" xfId="55752" xr:uid="{EB00DEE6-4508-45FF-8498-4E52F650159A}"/>
    <cellStyle name="Vírgula 5 2 4 2 2 2 5" xfId="17358" xr:uid="{93BCA498-8455-42E2-B9C8-9AEE4DE9106A}"/>
    <cellStyle name="Vírgula 5 2 4 2 2 3" xfId="20860" xr:uid="{7298B37C-8FC2-47EB-B23D-D04A8FD570B2}"/>
    <cellStyle name="Vírgula 5 2 4 2 2 3 2" xfId="41199" xr:uid="{3BD7858E-2C1B-4B5C-83A0-AD6C7148F525}"/>
    <cellStyle name="Vírgula 5 2 4 2 2 3 3" xfId="57090" xr:uid="{451A3A01-F324-4F61-A74F-E1EB137C2C54}"/>
    <cellStyle name="Vírgula 5 2 4 2 2 4" xfId="24115" xr:uid="{D64E2D46-6F13-426F-8D9B-1609FE99D09A}"/>
    <cellStyle name="Vírgula 5 2 4 2 2 4 2" xfId="44450" xr:uid="{317ACE44-69F2-4E84-A44D-A76E36D276D2}"/>
    <cellStyle name="Vírgula 5 2 4 2 2 5" xfId="14449" xr:uid="{C90AE5DF-3959-4CAA-9293-BF0E84E9B429}"/>
    <cellStyle name="Vírgula 5 2 4 2 2 5 2" xfId="34790" xr:uid="{0992E6DA-E9BE-4D39-86B7-AE9CAE11F0D5}"/>
    <cellStyle name="Vírgula 5 2 4 2 2 6" xfId="10571" xr:uid="{2653D616-0A0B-45DB-920B-04EA1C02A4F0}"/>
    <cellStyle name="Vírgula 5 2 4 2 2 6 2" xfId="30914" xr:uid="{B0897545-FB9E-4452-A5F7-B03BF157E5B7}"/>
    <cellStyle name="Vírgula 5 2 4 2 2 7" xfId="27420" xr:uid="{0CBC3490-C519-40B9-878A-9F028006595E}"/>
    <cellStyle name="Vírgula 5 2 4 2 2 8" xfId="49156" xr:uid="{198C5F65-C45D-4134-9182-4708538B2C8C}"/>
    <cellStyle name="Vírgula 5 2 4 2 2 9" xfId="50826" xr:uid="{8DD5FDEA-60A7-4EC3-ABC5-CA2389383B47}"/>
    <cellStyle name="Vírgula 5 2 4 2 3" xfId="1625" xr:uid="{423681C7-DCC3-44D4-8F72-87C37E998D9E}"/>
    <cellStyle name="Vírgula 5 2 4 2 3 2" xfId="3285" xr:uid="{2D4C6273-1B8C-4871-BE43-AF27DABE60DD}"/>
    <cellStyle name="Vírgula 5 2 4 2 3 2 2" xfId="52459" xr:uid="{7AC1EF5D-7A7B-4114-B195-B700E48EAF99}"/>
    <cellStyle name="Vírgula 5 2 4 2 3 2 3" xfId="55753" xr:uid="{717A9D7A-FA6B-42BD-9696-F9E3AC8D7EA3}"/>
    <cellStyle name="Vírgula 5 2 4 2 3 2 4" xfId="36540" xr:uid="{E1BB69B7-BF76-46C6-BAA6-8B626731F8B4}"/>
    <cellStyle name="Vírgula 5 2 4 2 3 3" xfId="49157" xr:uid="{1CBCA0C5-4D30-4E07-963A-2D39F0E5B8D3}"/>
    <cellStyle name="Vírgula 5 2 4 2 3 3 2" xfId="57496" xr:uid="{FEF4DFF5-2EC8-488E-AED9-1BC3BC91104A}"/>
    <cellStyle name="Vírgula 5 2 4 2 3 4" xfId="50827" xr:uid="{950938C8-FA64-492F-8957-C3AFF1874F75}"/>
    <cellStyle name="Vírgula 5 2 4 2 3 5" xfId="54122" xr:uid="{EE8B12AD-8B45-4859-B7BF-2BE40B32C99A}"/>
    <cellStyle name="Vírgula 5 2 4 2 3 6" xfId="16200" xr:uid="{9BF51D7F-EFB1-4D6E-BBBF-244506097FBB}"/>
    <cellStyle name="Vírgula 5 2 4 2 4" xfId="812" xr:uid="{5586AEE0-338D-4D2B-AC11-6832916A9F5D}"/>
    <cellStyle name="Vírgula 5 2 4 2 4 2" xfId="2528" xr:uid="{63B0BAFC-CEEA-4CC5-A2F3-94C5CF5F41D7}"/>
    <cellStyle name="Vírgula 5 2 4 2 4 2 2" xfId="52460" xr:uid="{4C1C6524-E529-4DA3-913A-187677E7513C}"/>
    <cellStyle name="Vírgula 5 2 4 2 4 2 3" xfId="55754" xr:uid="{6C57BACA-3C7A-46A7-AA97-77BA770D8FCB}"/>
    <cellStyle name="Vírgula 5 2 4 2 4 2 4" xfId="40041" xr:uid="{AAEF1685-D9B9-4B93-88C3-E1B843B41F64}"/>
    <cellStyle name="Vírgula 5 2 4 2 4 3" xfId="49158" xr:uid="{F6BE762B-309F-414E-BB21-F8B2A2083590}"/>
    <cellStyle name="Vírgula 5 2 4 2 4 3 2" xfId="56683" xr:uid="{EB362EE2-AB53-43BE-B5B7-EDD8ED3BB3DB}"/>
    <cellStyle name="Vírgula 5 2 4 2 4 4" xfId="50828" xr:uid="{7DCD758D-3BEE-4285-8CA1-104CBFC69F48}"/>
    <cellStyle name="Vírgula 5 2 4 2 4 5" xfId="54123" xr:uid="{C40A1947-CAD7-4402-95A3-5B09A379A9C0}"/>
    <cellStyle name="Vírgula 5 2 4 2 4 6" xfId="19702" xr:uid="{E99414F5-EF30-483C-A334-A5109DB515E9}"/>
    <cellStyle name="Vírgula 5 2 4 2 5" xfId="2146" xr:uid="{20538269-505D-48C9-AD7C-800B92D990F2}"/>
    <cellStyle name="Vírgula 5 2 4 2 5 2" xfId="43292" xr:uid="{7E156F21-C3E7-4B85-ADC4-1F34A0A818D0}"/>
    <cellStyle name="Vírgula 5 2 4 2 5 3" xfId="52457" xr:uid="{6089580B-352B-4717-9E70-202547344F85}"/>
    <cellStyle name="Vírgula 5 2 4 2 5 4" xfId="55751" xr:uid="{F13742F8-0A18-466C-AE39-A0AFFDD93968}"/>
    <cellStyle name="Vírgula 5 2 4 2 5 5" xfId="22957" xr:uid="{0C9F270F-8C70-4CFF-B621-14E4BB5B88BD}"/>
    <cellStyle name="Vírgula 5 2 4 2 6" xfId="13293" xr:uid="{0E56BBA7-F85A-4A1D-A4CF-BAC80F479452}"/>
    <cellStyle name="Vírgula 5 2 4 2 6 2" xfId="33634" xr:uid="{F7306DB3-5373-4F51-93AB-6BA96D29ACFB}"/>
    <cellStyle name="Vírgula 5 2 4 2 6 3" xfId="56274" xr:uid="{0006815A-E050-4B2D-9AE1-8404F5A81C02}"/>
    <cellStyle name="Vírgula 5 2 4 2 7" xfId="9413" xr:uid="{034B337A-658C-4B7A-96F4-33AA7B346E28}"/>
    <cellStyle name="Vírgula 5 2 4 2 7 2" xfId="29756" xr:uid="{F86A9673-85D5-4C59-886C-9A1B059CD641}"/>
    <cellStyle name="Vírgula 5 2 4 2 8" xfId="26262" xr:uid="{C2C87A78-5F7A-4027-A746-326E3EC703A3}"/>
    <cellStyle name="Vírgula 5 2 4 2 9" xfId="46252" xr:uid="{21368D23-AFC1-418C-B6D0-53B878D903AF}"/>
    <cellStyle name="Vírgula 5 2 4 20" xfId="4495" xr:uid="{7E055C8E-3A77-4219-A2EA-B370CA9F73F9}"/>
    <cellStyle name="Vírgula 5 2 4 3" xfId="1030" xr:uid="{5DD23B6B-337D-4502-A89B-AA58D87BAC57}"/>
    <cellStyle name="Vírgula 5 2 4 3 10" xfId="54124" xr:uid="{CE5EA39D-8A24-4BBC-904D-8834F8912FCD}"/>
    <cellStyle name="Vírgula 5 2 4 3 11" xfId="6491" xr:uid="{F7B5477B-A59E-4E70-A327-BB2C6CC4FF4D}"/>
    <cellStyle name="Vírgula 5 2 4 3 12" xfId="4908" xr:uid="{2B2A3A6B-ACCE-495A-8380-09BFBD5D38A3}"/>
    <cellStyle name="Vírgula 5 2 4 3 2" xfId="2718" xr:uid="{7F19EEA6-8BA4-40B3-AA8C-D30C8BBFC269}"/>
    <cellStyle name="Vírgula 5 2 4 3 2 2" xfId="37117" xr:uid="{E11FB437-0B13-452E-A978-CE9DD993AB9B}"/>
    <cellStyle name="Vírgula 5 2 4 3 2 3" xfId="52461" xr:uid="{F71280D1-458D-458B-9768-B12B67022A90}"/>
    <cellStyle name="Vírgula 5 2 4 3 2 4" xfId="55755" xr:uid="{3293EDEC-7551-4D7A-91F1-E24B18F602DA}"/>
    <cellStyle name="Vírgula 5 2 4 3 2 5" xfId="16777" xr:uid="{374F5488-36CB-4386-800F-5CDB55D70C6E}"/>
    <cellStyle name="Vírgula 5 2 4 3 3" xfId="20279" xr:uid="{B880322C-BDEC-443C-9396-C0713997126A}"/>
    <cellStyle name="Vírgula 5 2 4 3 3 2" xfId="40618" xr:uid="{7C90D606-87B3-47F1-BA1C-2CA971269E61}"/>
    <cellStyle name="Vírgula 5 2 4 3 3 3" xfId="56901" xr:uid="{4DEF744F-74F1-40BE-9C06-0F9940F58CC7}"/>
    <cellStyle name="Vírgula 5 2 4 3 4" xfId="23534" xr:uid="{6AC66D1F-3ACC-4292-9D9B-C12D94AAA290}"/>
    <cellStyle name="Vírgula 5 2 4 3 4 2" xfId="43869" xr:uid="{F84CF64C-ADAC-43B6-AE33-E84B01CB7AA8}"/>
    <cellStyle name="Vírgula 5 2 4 3 5" xfId="13868" xr:uid="{C7350A8C-5AF0-47E7-B57D-9CCD84177F3E}"/>
    <cellStyle name="Vírgula 5 2 4 3 5 2" xfId="34209" xr:uid="{EAC0DAD7-4AD1-4CD3-9ADD-311E9BFFBC18}"/>
    <cellStyle name="Vírgula 5 2 4 3 6" xfId="9990" xr:uid="{1B63427D-8F9C-40C0-B54A-EB1A381D0EF3}"/>
    <cellStyle name="Vírgula 5 2 4 3 6 2" xfId="30333" xr:uid="{94B986F6-3CD9-4B74-8C23-27C355E5989B}"/>
    <cellStyle name="Vírgula 5 2 4 3 7" xfId="26839" xr:uid="{88E7138E-3847-4FCB-AFFC-E0A5417933A3}"/>
    <cellStyle name="Vírgula 5 2 4 3 8" xfId="49159" xr:uid="{756D6025-B38D-430A-870E-E6306F88FEE8}"/>
    <cellStyle name="Vírgula 5 2 4 3 9" xfId="50829" xr:uid="{BD12146B-E52B-468C-84CB-6976E9E0FE25}"/>
    <cellStyle name="Vírgula 5 2 4 4" xfId="1436" xr:uid="{8D452ECA-8F0D-40D0-8D47-D9F3AE9B4320}"/>
    <cellStyle name="Vírgula 5 2 4 4 10" xfId="54125" xr:uid="{C7964BF7-BDA7-4B04-BD15-9F8D0AF75060}"/>
    <cellStyle name="Vírgula 5 2 4 4 11" xfId="7655" xr:uid="{D4799E3C-5758-4CA8-A278-545B776A41B4}"/>
    <cellStyle name="Vírgula 5 2 4 4 2" xfId="3097" xr:uid="{37D6A1EF-DEFD-45E8-8203-56CFD518E085}"/>
    <cellStyle name="Vírgula 5 2 4 4 2 2" xfId="38280" xr:uid="{CA51C54E-8006-475B-9143-BAE1EBF4D13E}"/>
    <cellStyle name="Vírgula 5 2 4 4 2 3" xfId="52462" xr:uid="{8B1E834D-70EE-48BE-91A1-A890B02DDCD0}"/>
    <cellStyle name="Vírgula 5 2 4 4 2 4" xfId="55756" xr:uid="{CC13B010-2A30-45DB-9548-7B033375C5F9}"/>
    <cellStyle name="Vírgula 5 2 4 4 2 5" xfId="17940" xr:uid="{E5DD67EA-63C2-4F8B-BF8D-2F05EBF6AF09}"/>
    <cellStyle name="Vírgula 5 2 4 4 3" xfId="21442" xr:uid="{CC6D7092-980A-483E-94ED-29CCD24AAB64}"/>
    <cellStyle name="Vírgula 5 2 4 4 3 2" xfId="41781" xr:uid="{CCFC2BC0-B084-48BD-AFC6-877027205511}"/>
    <cellStyle name="Vírgula 5 2 4 4 3 3" xfId="57307" xr:uid="{C7E2369F-B38B-4D21-B508-92C724B66EC6}"/>
    <cellStyle name="Vírgula 5 2 4 4 4" xfId="24697" xr:uid="{CA9FE732-03A1-454C-9D3F-8BDBEE33F242}"/>
    <cellStyle name="Vírgula 5 2 4 4 4 2" xfId="45032" xr:uid="{1A4DC2C2-A427-411D-8A5A-558CF7D0D003}"/>
    <cellStyle name="Vírgula 5 2 4 4 5" xfId="15032" xr:uid="{51C55873-7885-43E9-9D4A-729004F5BBD0}"/>
    <cellStyle name="Vírgula 5 2 4 4 5 2" xfId="35372" xr:uid="{1A64B763-D4D0-4DC9-9744-530AFEA46B09}"/>
    <cellStyle name="Vírgula 5 2 4 4 6" xfId="11153" xr:uid="{CA9B1117-4CA3-4981-BBFA-7D5D02536ACB}"/>
    <cellStyle name="Vírgula 5 2 4 4 6 2" xfId="31496" xr:uid="{760744F2-42FA-458A-8ECF-6887C1329D90}"/>
    <cellStyle name="Vírgula 5 2 4 4 7" xfId="28002" xr:uid="{DB3345D4-4C0F-4DA9-887D-18DD46AE8010}"/>
    <cellStyle name="Vírgula 5 2 4 4 8" xfId="49160" xr:uid="{87A943F7-3C4A-4793-913C-E57E071BDD0F}"/>
    <cellStyle name="Vírgula 5 2 4 4 9" xfId="50830" xr:uid="{043F343B-64DC-46AF-9E53-17BC2BA58277}"/>
    <cellStyle name="Vírgula 5 2 4 5" xfId="623" xr:uid="{94723DC2-13F6-4B3A-A0D1-DF90A85FD2B3}"/>
    <cellStyle name="Vírgula 5 2 4 5 10" xfId="8313" xr:uid="{00E04659-03CE-475E-ACF6-5D51E36D6E41}"/>
    <cellStyle name="Vírgula 5 2 4 5 2" xfId="2339" xr:uid="{18EC3CEF-7E42-4B5C-8E78-2AB07BEF00CD}"/>
    <cellStyle name="Vírgula 5 2 4 5 2 2" xfId="42436" xr:uid="{07CA175A-3931-4884-B3E3-8E04F6845807}"/>
    <cellStyle name="Vírgula 5 2 4 5 2 3" xfId="52463" xr:uid="{BC6ACC07-75EC-4021-8EED-FFF5ECBA179C}"/>
    <cellStyle name="Vírgula 5 2 4 5 2 4" xfId="55757" xr:uid="{E29F1161-1CD3-4933-ABF6-B032F8C191B6}"/>
    <cellStyle name="Vírgula 5 2 4 5 2 5" xfId="22100" xr:uid="{81DB8DD1-B795-45A1-B496-5FA5127BD967}"/>
    <cellStyle name="Vírgula 5 2 4 5 3" xfId="25352" xr:uid="{4FF38750-A10F-48D6-9422-0C0D68FE73E5}"/>
    <cellStyle name="Vírgula 5 2 4 5 3 2" xfId="45687" xr:uid="{B89D3261-35D5-47FC-83AF-1D52E78D1B43}"/>
    <cellStyle name="Vírgula 5 2 4 5 3 3" xfId="56494" xr:uid="{F8B4E63D-6BB3-4677-8844-43EF8130E892}"/>
    <cellStyle name="Vírgula 5 2 4 5 4" xfId="12724" xr:uid="{7F9FA49D-BD6F-4370-8766-F9F48FBB5371}"/>
    <cellStyle name="Vírgula 5 2 4 5 4 2" xfId="33065" xr:uid="{9E1A27C9-58F5-424C-A4F5-DB40D0FDBA4C}"/>
    <cellStyle name="Vírgula 5 2 4 5 5" xfId="11809" xr:uid="{9E283B5A-044A-48C3-BEF0-123A0665ADF7}"/>
    <cellStyle name="Vírgula 5 2 4 5 5 2" xfId="32151" xr:uid="{8EF3F990-07E0-4C9B-B4E7-24EB0FCE0647}"/>
    <cellStyle name="Vírgula 5 2 4 5 6" xfId="28657" xr:uid="{CBAB18F0-B653-43AA-A5B8-5D6AE5DE87E1}"/>
    <cellStyle name="Vírgula 5 2 4 5 7" xfId="49161" xr:uid="{ED676A34-C599-4D41-BE1F-48F2AEB27BF6}"/>
    <cellStyle name="Vírgula 5 2 4 5 8" xfId="50831" xr:uid="{BA9853DD-DC66-4F09-8D4B-D4F0E7EA90FE}"/>
    <cellStyle name="Vírgula 5 2 4 5 9" xfId="54126" xr:uid="{0746B11B-0195-4D43-AD69-67E2D8F55653}"/>
    <cellStyle name="Vírgula 5 2 4 6" xfId="3611" xr:uid="{78A8B7FF-371D-4A02-B363-1CE8B364E7C2}"/>
    <cellStyle name="Vírgula 5 2 4 6 2" xfId="15619" xr:uid="{1F872ABD-8DCE-47F7-805D-55FEB8B675B0}"/>
    <cellStyle name="Vírgula 5 2 4 6 2 2" xfId="35959" xr:uid="{B06EE356-AFAB-4DCA-AAA6-8D2452C6DD68}"/>
    <cellStyle name="Vírgula 5 2 4 6 3" xfId="28977" xr:uid="{4290D81E-5C58-4030-AD1D-3C523A45E160}"/>
    <cellStyle name="Vírgula 5 2 4 6 4" xfId="52456" xr:uid="{D77B41D2-C812-44B7-A328-90C22C96E49D}"/>
    <cellStyle name="Vírgula 5 2 4 6 5" xfId="55750" xr:uid="{6DE8823C-C53D-476B-AB9D-3255D8C20A33}"/>
    <cellStyle name="Vírgula 5 2 4 6 6" xfId="8634" xr:uid="{9F45B887-FC78-4A6D-BB64-CC6CF1281599}"/>
    <cellStyle name="Vírgula 5 2 4 7" xfId="4022" xr:uid="{ED3E55C9-6FE0-4BD4-AD95-D0362C692626}"/>
    <cellStyle name="Vírgula 5 2 4 7 2" xfId="38873" xr:uid="{E430944B-BCD0-4A46-8A24-ECCFE336BA1C}"/>
    <cellStyle name="Vírgula 5 2 4 7 3" xfId="56085" xr:uid="{E12DBB90-8A6A-4F1A-9B9F-7B39D11E19C0}"/>
    <cellStyle name="Vírgula 5 2 4 7 4" xfId="18533" xr:uid="{3AA0131F-70D8-4077-9588-9CDD8252F6A3}"/>
    <cellStyle name="Vírgula 5 2 4 8" xfId="1960" xr:uid="{50555DD6-5D09-45D5-9806-5A22EFBA123A}"/>
    <cellStyle name="Vírgula 5 2 4 8 2" xfId="39460" xr:uid="{83BB4900-1080-4D03-9D74-B008E3E064E1}"/>
    <cellStyle name="Vírgula 5 2 4 8 3" xfId="19121" xr:uid="{83B96A7B-0469-4E86-9A39-EE8B331C8624}"/>
    <cellStyle name="Vírgula 5 2 4 9" xfId="22376" xr:uid="{C9190F17-8A32-4BB8-966E-7D517C00E52F}"/>
    <cellStyle name="Vírgula 5 2 4 9 2" xfId="42711" xr:uid="{B6EA0947-DCF4-46CE-BDF7-EEEE8C24EBDC}"/>
    <cellStyle name="Vírgula 5 2 5" xfId="266" xr:uid="{9FF77D1C-F1D9-40A7-8350-52697970D8F9}"/>
    <cellStyle name="Vírgula 5 2 5 10" xfId="12189" xr:uid="{2DE21F83-5EEA-4F7D-B818-59EEB459DAE0}"/>
    <cellStyle name="Vírgula 5 2 5 10 2" xfId="32530" xr:uid="{D7C71325-2AE3-4F9D-BB84-DBC800B2BA59}"/>
    <cellStyle name="Vírgula 5 2 5 11" xfId="8928" xr:uid="{50542A68-7350-443D-8EEE-E5569FDAFE70}"/>
    <cellStyle name="Vírgula 5 2 5 11 2" xfId="29271" xr:uid="{8DEA74D2-6799-40B0-914D-419124357F68}"/>
    <cellStyle name="Vírgula 5 2 5 12" xfId="25777" xr:uid="{8CCB36BF-3915-4B1E-85B7-6A9A657983F9}"/>
    <cellStyle name="Vírgula 5 2 5 13" xfId="46073" xr:uid="{1FAF3F09-32F9-4E8D-A368-285F2698079D}"/>
    <cellStyle name="Vírgula 5 2 5 14" xfId="46559" xr:uid="{CD986927-D40F-4342-8E4B-EBCFC4BFCAFB}"/>
    <cellStyle name="Vírgula 5 2 5 15" xfId="47051" xr:uid="{8DE01A94-9500-4BEC-B3B0-03643042387A}"/>
    <cellStyle name="Vírgula 5 2 5 16" xfId="49162" xr:uid="{F13B6D20-CDF4-4080-B892-EB32B2F655CF}"/>
    <cellStyle name="Vírgula 5 2 5 17" xfId="50832" xr:uid="{1953E2DF-3BDC-43CA-AD6E-F27B00642F42}"/>
    <cellStyle name="Vírgula 5 2 5 18" xfId="54127" xr:uid="{DA59A97A-A612-4931-8BBB-C55C878069ED}"/>
    <cellStyle name="Vírgula 5 2 5 19" xfId="5444" xr:uid="{10AE942C-721C-4125-90A6-47E3ED864830}"/>
    <cellStyle name="Vírgula 5 2 5 2" xfId="455" xr:uid="{DBF83525-9F96-4497-A403-ACA071BFF4F2}"/>
    <cellStyle name="Vírgula 5 2 5 2 10" xfId="50833" xr:uid="{6534415F-186F-4995-819C-048C545953F0}"/>
    <cellStyle name="Vírgula 5 2 5 2 11" xfId="54128" xr:uid="{75BFBF09-ECF4-465E-BC99-044B428F2CA3}"/>
    <cellStyle name="Vírgula 5 2 5 2 12" xfId="6010" xr:uid="{F2B28164-A3EB-4BDD-AA53-3A307A05B0AF}"/>
    <cellStyle name="Vírgula 5 2 5 2 13" xfId="4736" xr:uid="{191F3200-9218-4E1D-84D8-EF0ADA67F8E1}"/>
    <cellStyle name="Vírgula 5 2 5 2 2" xfId="1271" xr:uid="{6A425B0D-FF45-4B5A-A6F3-4B4432D3164E}"/>
    <cellStyle name="Vírgula 5 2 5 2 2 10" xfId="54129" xr:uid="{EC630B9C-4134-4D25-AD6C-9E68777BA2FA}"/>
    <cellStyle name="Vírgula 5 2 5 2 2 11" xfId="7168" xr:uid="{70B3C845-01E0-478A-B878-D34B0F74BBF8}"/>
    <cellStyle name="Vírgula 5 2 5 2 2 2" xfId="2932" xr:uid="{FF0464BD-301F-4DAC-B3E1-6D4517E74853}"/>
    <cellStyle name="Vírgula 5 2 5 2 2 2 2" xfId="37794" xr:uid="{5D61AE88-93CB-41A3-B11E-2AEC5B321730}"/>
    <cellStyle name="Vírgula 5 2 5 2 2 2 3" xfId="52466" xr:uid="{44B50E53-7C5C-4074-B45C-138431FAC217}"/>
    <cellStyle name="Vírgula 5 2 5 2 2 2 4" xfId="55760" xr:uid="{33C424BB-0A2A-4BC6-BBCC-1F6BCEF2A0A6}"/>
    <cellStyle name="Vírgula 5 2 5 2 2 2 5" xfId="17454" xr:uid="{24647439-2B44-4A48-9840-419480329B7F}"/>
    <cellStyle name="Vírgula 5 2 5 2 2 3" xfId="20956" xr:uid="{9F42C045-EF38-4D08-A6B5-C7D7E760EC51}"/>
    <cellStyle name="Vírgula 5 2 5 2 2 3 2" xfId="41295" xr:uid="{EE05D564-2484-475B-BB28-70ECB3361221}"/>
    <cellStyle name="Vírgula 5 2 5 2 2 3 3" xfId="57142" xr:uid="{834DEE53-E430-4899-BA2F-90CDE798AF52}"/>
    <cellStyle name="Vírgula 5 2 5 2 2 4" xfId="24211" xr:uid="{1C8E87F1-2D24-427C-8EEA-9044D6386B61}"/>
    <cellStyle name="Vírgula 5 2 5 2 2 4 2" xfId="44546" xr:uid="{FB53AD80-9CE3-471D-AD7E-79EF02246B94}"/>
    <cellStyle name="Vírgula 5 2 5 2 2 5" xfId="14545" xr:uid="{068B89B9-3EB3-4426-A4BE-0D05C9072839}"/>
    <cellStyle name="Vírgula 5 2 5 2 2 5 2" xfId="34886" xr:uid="{106E1417-BCC3-4FAD-A454-4E8D7BC40A65}"/>
    <cellStyle name="Vírgula 5 2 5 2 2 6" xfId="10667" xr:uid="{9CB7C540-15B3-4236-AB06-99C47D718217}"/>
    <cellStyle name="Vírgula 5 2 5 2 2 6 2" xfId="31010" xr:uid="{40DD9B21-28EC-4718-A151-0896D74911D6}"/>
    <cellStyle name="Vírgula 5 2 5 2 2 7" xfId="27516" xr:uid="{57F8D5F2-4CDA-4BAE-8611-929323B5DBD6}"/>
    <cellStyle name="Vírgula 5 2 5 2 2 8" xfId="49164" xr:uid="{A0ECD49E-0662-4C49-A707-FE0A102840E9}"/>
    <cellStyle name="Vírgula 5 2 5 2 2 9" xfId="50834" xr:uid="{DB55DD82-760B-4995-9A01-2B12DCA3072C}"/>
    <cellStyle name="Vírgula 5 2 5 2 3" xfId="1677" xr:uid="{122EF987-B216-4038-8A9D-72D7DDF91986}"/>
    <cellStyle name="Vírgula 5 2 5 2 3 2" xfId="3337" xr:uid="{DEBADBFE-7F66-45F1-A1EA-D57E54B71F71}"/>
    <cellStyle name="Vírgula 5 2 5 2 3 2 2" xfId="52467" xr:uid="{8380E327-8F9E-4979-981C-FE4E4D293F4E}"/>
    <cellStyle name="Vírgula 5 2 5 2 3 2 3" xfId="55761" xr:uid="{1DB3E1F6-9C25-4FDB-ABDF-3C5E456C81EC}"/>
    <cellStyle name="Vírgula 5 2 5 2 3 2 4" xfId="36636" xr:uid="{D7D62E3F-33EA-4FA1-9658-1A7D00E2755C}"/>
    <cellStyle name="Vírgula 5 2 5 2 3 3" xfId="49165" xr:uid="{1791EFAF-8EC6-472E-AE66-8725D5A48C2D}"/>
    <cellStyle name="Vírgula 5 2 5 2 3 3 2" xfId="57548" xr:uid="{9B42CF90-D33D-48FE-9737-2DDD223F628C}"/>
    <cellStyle name="Vírgula 5 2 5 2 3 4" xfId="50835" xr:uid="{D4115986-A5D3-484F-80BC-80AC01DF37A8}"/>
    <cellStyle name="Vírgula 5 2 5 2 3 5" xfId="54130" xr:uid="{6F6DA861-2935-4654-BDB8-F1F3C277BB0A}"/>
    <cellStyle name="Vírgula 5 2 5 2 3 6" xfId="16296" xr:uid="{7FE51E4B-F555-4D11-B220-462DBE34BF54}"/>
    <cellStyle name="Vírgula 5 2 5 2 4" xfId="864" xr:uid="{B2D45791-A7F1-4E29-8A6C-05BD45371283}"/>
    <cellStyle name="Vírgula 5 2 5 2 4 2" xfId="2580" xr:uid="{F91B8E43-411C-4539-937C-2478934B789A}"/>
    <cellStyle name="Vírgula 5 2 5 2 4 2 2" xfId="52468" xr:uid="{4085DDEA-0AE8-4F88-982D-23D62FDACE16}"/>
    <cellStyle name="Vírgula 5 2 5 2 4 2 3" xfId="55762" xr:uid="{B1023848-7362-4DFA-A6EE-B864D6E228EF}"/>
    <cellStyle name="Vírgula 5 2 5 2 4 2 4" xfId="40137" xr:uid="{E027576F-B76B-4D98-A6F7-65928201A721}"/>
    <cellStyle name="Vírgula 5 2 5 2 4 3" xfId="49166" xr:uid="{725E8123-DFD2-4C6E-8B36-67F9E1E6A98B}"/>
    <cellStyle name="Vírgula 5 2 5 2 4 3 2" xfId="56735" xr:uid="{08B1DD0C-12E1-4D00-9173-98633A0E80B0}"/>
    <cellStyle name="Vírgula 5 2 5 2 4 4" xfId="50836" xr:uid="{437E25BC-4581-42B0-9622-C16A78F98A90}"/>
    <cellStyle name="Vírgula 5 2 5 2 4 5" xfId="54131" xr:uid="{20F3AF51-85F1-4FE0-957E-4F3B66ABAE3E}"/>
    <cellStyle name="Vírgula 5 2 5 2 4 6" xfId="19798" xr:uid="{22B11DD3-AD0C-4C4A-8235-8F378973B4F4}"/>
    <cellStyle name="Vírgula 5 2 5 2 5" xfId="2172" xr:uid="{AD27415E-7F14-4001-B400-96D272CA13CB}"/>
    <cellStyle name="Vírgula 5 2 5 2 5 2" xfId="43388" xr:uid="{6C0946CD-1AB1-47AC-8CC7-A8369BB61AE2}"/>
    <cellStyle name="Vírgula 5 2 5 2 5 3" xfId="52465" xr:uid="{DE465D6F-9F3A-4ABD-80CE-6B59DB726CFB}"/>
    <cellStyle name="Vírgula 5 2 5 2 5 4" xfId="55759" xr:uid="{382F234D-0153-4A20-8FEB-A9524A04F2C1}"/>
    <cellStyle name="Vírgula 5 2 5 2 5 5" xfId="23053" xr:uid="{50FA730E-0072-48F0-8642-1FCA6F3641FF}"/>
    <cellStyle name="Vírgula 5 2 5 2 6" xfId="13387" xr:uid="{58C6CC0A-B666-46B2-9F03-F51C5B6A54BF}"/>
    <cellStyle name="Vírgula 5 2 5 2 6 2" xfId="33728" xr:uid="{1B74C1A9-6C5F-46E4-9157-CF359A249B83}"/>
    <cellStyle name="Vírgula 5 2 5 2 6 3" xfId="56326" xr:uid="{80EF3DB3-4D4E-4B0E-A0D3-4BB2419EF53B}"/>
    <cellStyle name="Vírgula 5 2 5 2 7" xfId="9509" xr:uid="{B8CA269D-E96E-45E5-BCBE-5462AB8FF601}"/>
    <cellStyle name="Vírgula 5 2 5 2 7 2" xfId="29852" xr:uid="{89D362D0-3468-487E-8CDB-BE55A487AD4C}"/>
    <cellStyle name="Vírgula 5 2 5 2 8" xfId="26358" xr:uid="{17D62256-68D1-4FC2-ADBB-CC8DE2D66706}"/>
    <cellStyle name="Vírgula 5 2 5 2 9" xfId="49163" xr:uid="{751AE930-406A-4347-AA25-D431070F0613}"/>
    <cellStyle name="Vírgula 5 2 5 20" xfId="4547" xr:uid="{36F8C43F-7020-4EE1-B8EF-FEA8CD45BE41}"/>
    <cellStyle name="Vírgula 5 2 5 3" xfId="1082" xr:uid="{C9AF1D8F-19CD-4D3C-8B77-B52B3374E866}"/>
    <cellStyle name="Vírgula 5 2 5 3 10" xfId="54132" xr:uid="{BF0B4D96-482F-4FCA-A394-DC07B9BCEF29}"/>
    <cellStyle name="Vírgula 5 2 5 3 11" xfId="6587" xr:uid="{58FD5263-52D3-4512-B5A1-C703634C3C5E}"/>
    <cellStyle name="Vírgula 5 2 5 3 12" xfId="4971" xr:uid="{BD15C431-8639-4CD5-B14E-07A9F76935C9}"/>
    <cellStyle name="Vírgula 5 2 5 3 2" xfId="2745" xr:uid="{3C8DDE7D-37B8-4258-A322-B104ABD948CF}"/>
    <cellStyle name="Vírgula 5 2 5 3 2 2" xfId="37213" xr:uid="{77A9B728-D7C9-4C65-97CD-1351276CC369}"/>
    <cellStyle name="Vírgula 5 2 5 3 2 3" xfId="52469" xr:uid="{3F5E025E-D98D-4358-A98A-F4A5BEA97D4E}"/>
    <cellStyle name="Vírgula 5 2 5 3 2 4" xfId="55763" xr:uid="{758365BF-22EA-4AF6-BB80-34002E3EE114}"/>
    <cellStyle name="Vírgula 5 2 5 3 2 5" xfId="16873" xr:uid="{380FB948-AB5B-4A57-AC46-FF7CD6189E0E}"/>
    <cellStyle name="Vírgula 5 2 5 3 3" xfId="20375" xr:uid="{A7DF1F7C-2600-4E34-BEB4-0F0284F05B27}"/>
    <cellStyle name="Vírgula 5 2 5 3 3 2" xfId="40714" xr:uid="{BCE111B2-4BEA-4159-9F92-90CBC3EB56A8}"/>
    <cellStyle name="Vírgula 5 2 5 3 3 3" xfId="56953" xr:uid="{C1131C1E-5D4D-4158-A00B-64586C6C7486}"/>
    <cellStyle name="Vírgula 5 2 5 3 4" xfId="23630" xr:uid="{7AACF025-5758-43F5-9B91-50F3F4400545}"/>
    <cellStyle name="Vírgula 5 2 5 3 4 2" xfId="43965" xr:uid="{58C90C4D-67CB-4E7B-B1CE-3705DF8DAA0C}"/>
    <cellStyle name="Vírgula 5 2 5 3 5" xfId="13964" xr:uid="{88151FA1-64B0-449A-A05A-FF03C873F504}"/>
    <cellStyle name="Vírgula 5 2 5 3 5 2" xfId="34305" xr:uid="{5AD86B2A-8AF2-428F-AEFE-2CB2F6E33B3E}"/>
    <cellStyle name="Vírgula 5 2 5 3 6" xfId="10086" xr:uid="{17552114-F534-44B2-AB12-3ADAD8CF41E9}"/>
    <cellStyle name="Vírgula 5 2 5 3 6 2" xfId="30429" xr:uid="{C2D1B1CD-9A21-4132-B4EE-07AE85269836}"/>
    <cellStyle name="Vírgula 5 2 5 3 7" xfId="26935" xr:uid="{B56BCB84-4F80-4D15-A3AA-062013D14670}"/>
    <cellStyle name="Vírgula 5 2 5 3 8" xfId="49167" xr:uid="{FEF1E092-CCD4-4BA0-893D-C76AFFC419AE}"/>
    <cellStyle name="Vírgula 5 2 5 3 9" xfId="50837" xr:uid="{1E00367D-0F07-48AE-838E-75B0C882E643}"/>
    <cellStyle name="Vírgula 5 2 5 4" xfId="1488" xr:uid="{01428746-9834-41D0-A9A8-4B8A6128950A}"/>
    <cellStyle name="Vírgula 5 2 5 4 10" xfId="54133" xr:uid="{61F8460C-B4B8-4D35-9EED-141F96F01244}"/>
    <cellStyle name="Vírgula 5 2 5 4 11" xfId="7751" xr:uid="{61C989BA-0F3A-49E6-86B1-95572AF38DB8}"/>
    <cellStyle name="Vírgula 5 2 5 4 2" xfId="3149" xr:uid="{F0E9A7D7-7B40-453E-B91C-64337BE1A2F5}"/>
    <cellStyle name="Vírgula 5 2 5 4 2 2" xfId="38376" xr:uid="{B0D6CAB5-18D8-4593-A385-BFD457178001}"/>
    <cellStyle name="Vírgula 5 2 5 4 2 3" xfId="52470" xr:uid="{10804E7A-5EF1-41C6-AA8E-E9E549DB1FEF}"/>
    <cellStyle name="Vírgula 5 2 5 4 2 4" xfId="55764" xr:uid="{72C4E6D3-24C8-40D4-9DE9-E529F1FDFAA0}"/>
    <cellStyle name="Vírgula 5 2 5 4 2 5" xfId="18036" xr:uid="{CBA07154-81B4-4C29-B30D-504BE7834801}"/>
    <cellStyle name="Vírgula 5 2 5 4 3" xfId="21538" xr:uid="{25140528-4A5A-4076-9C66-4E49F0037E2C}"/>
    <cellStyle name="Vírgula 5 2 5 4 3 2" xfId="41877" xr:uid="{C63D2D29-0B91-4ED9-8723-06EE2238E776}"/>
    <cellStyle name="Vírgula 5 2 5 4 3 3" xfId="57359" xr:uid="{B960E73A-CC28-4EFC-BC8D-1B39A153A39E}"/>
    <cellStyle name="Vírgula 5 2 5 4 4" xfId="24793" xr:uid="{D8ADDEB3-2574-486E-A137-D2AFB5BFF4DE}"/>
    <cellStyle name="Vírgula 5 2 5 4 4 2" xfId="45128" xr:uid="{65D269FA-439E-4C89-8692-4220E74F274D}"/>
    <cellStyle name="Vírgula 5 2 5 4 5" xfId="15128" xr:uid="{8A99BA69-E3B4-4FD6-91DE-71DD1B3B94CD}"/>
    <cellStyle name="Vírgula 5 2 5 4 5 2" xfId="35468" xr:uid="{FD5C0A90-F081-4A60-95E7-BA0822EB2F08}"/>
    <cellStyle name="Vírgula 5 2 5 4 6" xfId="11249" xr:uid="{BC984FD3-30C9-4A6F-B27D-0D37690870B3}"/>
    <cellStyle name="Vírgula 5 2 5 4 6 2" xfId="31592" xr:uid="{83B23791-77AE-4657-A827-F8E53F94E429}"/>
    <cellStyle name="Vírgula 5 2 5 4 7" xfId="28098" xr:uid="{1C4EFE54-94A9-4D3A-B51D-6FA169ECA724}"/>
    <cellStyle name="Vírgula 5 2 5 4 8" xfId="49168" xr:uid="{9CFA21F5-BD91-4DF2-8041-3320668D75E8}"/>
    <cellStyle name="Vírgula 5 2 5 4 9" xfId="50838" xr:uid="{3FF8551F-00A4-42FC-AED3-BAD76EAACBBC}"/>
    <cellStyle name="Vírgula 5 2 5 5" xfId="675" xr:uid="{86E6DD59-676C-43E8-A81B-0E89421C1FE9}"/>
    <cellStyle name="Vírgula 5 2 5 5 10" xfId="8314" xr:uid="{696A9C50-7316-4F29-AB49-527532850827}"/>
    <cellStyle name="Vírgula 5 2 5 5 2" xfId="2391" xr:uid="{17EA0108-CE49-406F-8345-3856CE9701F2}"/>
    <cellStyle name="Vírgula 5 2 5 5 2 2" xfId="42437" xr:uid="{2EB06C4B-C3A1-420C-85FE-A018B6D7769D}"/>
    <cellStyle name="Vírgula 5 2 5 5 2 3" xfId="52471" xr:uid="{FAB2D93A-2E98-4E08-84E0-9C406DEFA95E}"/>
    <cellStyle name="Vírgula 5 2 5 5 2 4" xfId="55765" xr:uid="{A32AFC7E-7276-48C4-ABB6-EE4D511F870F}"/>
    <cellStyle name="Vírgula 5 2 5 5 2 5" xfId="22101" xr:uid="{B8ABF84E-D8F8-4D4A-AF56-4FFD1B41419A}"/>
    <cellStyle name="Vírgula 5 2 5 5 3" xfId="25353" xr:uid="{8DDB725A-0468-419B-87E0-17C4F7B62259}"/>
    <cellStyle name="Vírgula 5 2 5 5 3 2" xfId="45688" xr:uid="{D5E55003-6EFC-4062-8709-93C7EDE808C9}"/>
    <cellStyle name="Vírgula 5 2 5 5 3 3" xfId="56546" xr:uid="{66A63C6F-35C8-46FD-B985-9E90C5A2F513}"/>
    <cellStyle name="Vírgula 5 2 5 5 4" xfId="12818" xr:uid="{45FC3EB2-B68C-4A49-956C-50599FB36FC5}"/>
    <cellStyle name="Vírgula 5 2 5 5 4 2" xfId="33159" xr:uid="{27049483-D8DA-4B56-A83B-9A80E9BE228D}"/>
    <cellStyle name="Vírgula 5 2 5 5 5" xfId="11810" xr:uid="{81235590-7A4F-43A2-A652-1E0AC2FB3A27}"/>
    <cellStyle name="Vírgula 5 2 5 5 5 2" xfId="32152" xr:uid="{308431A8-5F9E-4C1A-B000-BFDEB2D29A5D}"/>
    <cellStyle name="Vírgula 5 2 5 5 6" xfId="28658" xr:uid="{0FA24E63-F3FD-42F7-8E76-96F9D626DCB6}"/>
    <cellStyle name="Vírgula 5 2 5 5 7" xfId="49169" xr:uid="{A2C33042-AC5D-49B5-ABE7-BCF114FA46B4}"/>
    <cellStyle name="Vírgula 5 2 5 5 8" xfId="50839" xr:uid="{30532750-0CCB-4B3E-9680-D2FFF23397C1}"/>
    <cellStyle name="Vírgula 5 2 5 5 9" xfId="54134" xr:uid="{71EE05F6-8E30-47D4-97AC-97A66AFDAFF9}"/>
    <cellStyle name="Vírgula 5 2 5 6" xfId="3502" xr:uid="{3461D327-8615-4DF5-A933-44E2DC862602}"/>
    <cellStyle name="Vírgula 5 2 5 6 2" xfId="36055" xr:uid="{1CFC23E3-952A-4470-85E9-55B319C01F48}"/>
    <cellStyle name="Vírgula 5 2 5 6 3" xfId="52464" xr:uid="{92546080-960C-426D-95BE-807E41D576BE}"/>
    <cellStyle name="Vírgula 5 2 5 6 4" xfId="55758" xr:uid="{EF0A9BD4-1737-4D62-B8CB-55DA998C1474}"/>
    <cellStyle name="Vírgula 5 2 5 6 5" xfId="15715" xr:uid="{009B34C7-B24D-470A-8384-B67BD0E39A18}"/>
    <cellStyle name="Vírgula 5 2 5 7" xfId="4194" xr:uid="{2D9695DF-B852-429A-AA42-E1043915353D}"/>
    <cellStyle name="Vírgula 5 2 5 7 2" xfId="38969" xr:uid="{337CA05C-C27F-4D7E-BC66-35600057849A}"/>
    <cellStyle name="Vírgula 5 2 5 7 3" xfId="56137" xr:uid="{A2335C4C-8944-46BB-AF27-49D8DFED337F}"/>
    <cellStyle name="Vírgula 5 2 5 7 4" xfId="18629" xr:uid="{DD650E80-5FA3-4848-B42B-62FE770CC342}"/>
    <cellStyle name="Vírgula 5 2 5 8" xfId="1851" xr:uid="{ABE6D7A6-C985-4DD2-8BAE-B828DCE3DE43}"/>
    <cellStyle name="Vírgula 5 2 5 8 2" xfId="39556" xr:uid="{D7DD826F-BF46-4D2E-AEDE-05088DFF44BC}"/>
    <cellStyle name="Vírgula 5 2 5 8 3" xfId="19217" xr:uid="{FF1CC4AE-BA9E-4175-AB18-3BDAAD75EF6E}"/>
    <cellStyle name="Vírgula 5 2 5 9" xfId="22472" xr:uid="{CB306EAF-B304-4970-B42A-871628B3EC0B}"/>
    <cellStyle name="Vírgula 5 2 5 9 2" xfId="42807" xr:uid="{D9BF76A9-4DD6-4947-91F7-5C9D6666EE2B}"/>
    <cellStyle name="Vírgula 5 2 6" xfId="322" xr:uid="{FCF5ECE6-AAB2-4A0A-AE65-598943720691}"/>
    <cellStyle name="Vírgula 5 2 6 10" xfId="12247" xr:uid="{615A832E-16B8-44B0-8C7A-D58C7A0FBC63}"/>
    <cellStyle name="Vírgula 5 2 6 10 2" xfId="32588" xr:uid="{D474D9BA-7DE2-421B-81DC-3CE3F6A67F1E}"/>
    <cellStyle name="Vírgula 5 2 6 11" xfId="8986" xr:uid="{E7A7C41D-3BE9-43EC-9353-B4015595B48B}"/>
    <cellStyle name="Vírgula 5 2 6 11 2" xfId="29329" xr:uid="{F114E782-E700-43F4-85FB-FAFCB68821FA}"/>
    <cellStyle name="Vírgula 5 2 6 12" xfId="25835" xr:uid="{63181109-AAF2-4F3F-8F0D-4F834D45D9AC}"/>
    <cellStyle name="Vírgula 5 2 6 13" xfId="49170" xr:uid="{5C8A23B0-8043-4607-AE0D-F1A3C5D221E9}"/>
    <cellStyle name="Vírgula 5 2 6 14" xfId="50840" xr:uid="{D8D5151B-A161-4B82-8E8B-0BC85EC1EE5B}"/>
    <cellStyle name="Vírgula 5 2 6 15" xfId="54135" xr:uid="{53531683-A78F-4DC3-A43D-78632B83CE83}"/>
    <cellStyle name="Vírgula 5 2 6 16" xfId="5496" xr:uid="{08C980F1-D1C2-4453-BF3F-34803BC33C39}"/>
    <cellStyle name="Vírgula 5 2 6 17" xfId="4603" xr:uid="{72D1CEAE-451E-448F-9BDE-AD687977CFC2}"/>
    <cellStyle name="Vírgula 5 2 6 2" xfId="1138" xr:uid="{6BBB8BC3-C464-4132-A2B6-E596E00D964A}"/>
    <cellStyle name="Vírgula 5 2 6 2 10" xfId="50841" xr:uid="{EF2585EA-9DB6-40E8-825A-F8870F67F478}"/>
    <cellStyle name="Vírgula 5 2 6 2 11" xfId="54136" xr:uid="{29F8F798-6F32-4224-B964-65A11AC78439}"/>
    <cellStyle name="Vírgula 5 2 6 2 12" xfId="6068" xr:uid="{D592110D-BE94-4D67-BBA7-809A7FE62308}"/>
    <cellStyle name="Vírgula 5 2 6 2 2" xfId="2800" xr:uid="{80D273D4-4352-42B6-B9BE-9B76BFBE64AD}"/>
    <cellStyle name="Vírgula 5 2 6 2 2 10" xfId="7226" xr:uid="{43BB9F84-C4D2-4181-8B45-AE375F9CA920}"/>
    <cellStyle name="Vírgula 5 2 6 2 2 2" xfId="17512" xr:uid="{770F19FA-D3F6-444B-9B5C-C6E147AB386E}"/>
    <cellStyle name="Vírgula 5 2 6 2 2 2 2" xfId="37852" xr:uid="{2C007016-811B-4FBE-94B7-63FFD937F2EF}"/>
    <cellStyle name="Vírgula 5 2 6 2 2 3" xfId="21014" xr:uid="{9FEC1E7F-FA66-42F3-A00D-FBD68D7B48D0}"/>
    <cellStyle name="Vírgula 5 2 6 2 2 3 2" xfId="41353" xr:uid="{33606DD2-48BB-4471-8B56-65C7BD473F1B}"/>
    <cellStyle name="Vírgula 5 2 6 2 2 4" xfId="24269" xr:uid="{FDB2F5A8-45DC-436C-8E47-BC8553B9047D}"/>
    <cellStyle name="Vírgula 5 2 6 2 2 4 2" xfId="44604" xr:uid="{93F8368C-6602-4670-B7AD-ECA7B3C06542}"/>
    <cellStyle name="Vírgula 5 2 6 2 2 5" xfId="14603" xr:uid="{F7ED0348-77B3-4845-AF11-FD2A40CCDD22}"/>
    <cellStyle name="Vírgula 5 2 6 2 2 5 2" xfId="34944" xr:uid="{6230E334-8435-4261-BA6E-D3FAFAD36F23}"/>
    <cellStyle name="Vírgula 5 2 6 2 2 6" xfId="10725" xr:uid="{DA7EE770-09A6-4DA6-9534-80F155EAF1EC}"/>
    <cellStyle name="Vírgula 5 2 6 2 2 6 2" xfId="31068" xr:uid="{92D8CAC6-CA96-4622-A92E-69D4F6389F4A}"/>
    <cellStyle name="Vírgula 5 2 6 2 2 7" xfId="27574" xr:uid="{861F7C73-F8E7-4CE9-87FE-C7CE7BBFD213}"/>
    <cellStyle name="Vírgula 5 2 6 2 2 8" xfId="52473" xr:uid="{701F4126-4A5A-4D1D-B432-F8DB2A5053A9}"/>
    <cellStyle name="Vírgula 5 2 6 2 2 9" xfId="55767" xr:uid="{F46F57D9-A520-45E7-880D-BA424D6FCE97}"/>
    <cellStyle name="Vírgula 5 2 6 2 3" xfId="16354" xr:uid="{28F43069-936B-4937-BF64-B8570DC30814}"/>
    <cellStyle name="Vírgula 5 2 6 2 3 2" xfId="36694" xr:uid="{E5A7DE99-95B0-4A8A-B013-156775BDC424}"/>
    <cellStyle name="Vírgula 5 2 6 2 3 3" xfId="57009" xr:uid="{6D22DAB8-E232-4EE9-99CF-66F4A3849AB1}"/>
    <cellStyle name="Vírgula 5 2 6 2 4" xfId="19856" xr:uid="{BF7765C2-054B-4ABC-B838-1CB4A1C3D1D2}"/>
    <cellStyle name="Vírgula 5 2 6 2 4 2" xfId="40195" xr:uid="{DDF10B07-C0D0-47F3-879C-45214177A3F8}"/>
    <cellStyle name="Vírgula 5 2 6 2 5" xfId="23111" xr:uid="{0A2A2F00-349C-42E2-829D-5B141FB349A7}"/>
    <cellStyle name="Vírgula 5 2 6 2 5 2" xfId="43446" xr:uid="{0C87AC0E-9FF2-4000-B7AD-89092D61465D}"/>
    <cellStyle name="Vírgula 5 2 6 2 6" xfId="13445" xr:uid="{4A051E1A-48A7-46EC-A797-62D233A56D30}"/>
    <cellStyle name="Vírgula 5 2 6 2 6 2" xfId="33786" xr:uid="{AC2BBA5A-E280-4534-8538-3E66FAF8D1EF}"/>
    <cellStyle name="Vírgula 5 2 6 2 7" xfId="9567" xr:uid="{A2143C7B-A81D-4E04-BE2C-DBDBF4A1F06E}"/>
    <cellStyle name="Vírgula 5 2 6 2 7 2" xfId="29910" xr:uid="{52A0ECCE-FA41-401A-9E9F-38318ED4D2D6}"/>
    <cellStyle name="Vírgula 5 2 6 2 8" xfId="26416" xr:uid="{25A0E4A0-31AB-4122-8719-8BE06D3A3827}"/>
    <cellStyle name="Vírgula 5 2 6 2 9" xfId="49171" xr:uid="{DC45D7FF-9E1E-406B-A7A9-136ADBB6CBDC}"/>
    <cellStyle name="Vírgula 5 2 6 3" xfId="1544" xr:uid="{A8BB63FB-CD74-4841-A661-FDAF6D4A7DBE}"/>
    <cellStyle name="Vírgula 5 2 6 3 10" xfId="54137" xr:uid="{FC863A74-3EE9-49DC-BE4D-1EF150247FE6}"/>
    <cellStyle name="Vírgula 5 2 6 3 11" xfId="6645" xr:uid="{4B0B349A-8A80-4ADF-B298-7BC545DFBFEF}"/>
    <cellStyle name="Vírgula 5 2 6 3 2" xfId="3205" xr:uid="{DFB05EDC-CEDC-4FA1-9882-CF9C1804A54E}"/>
    <cellStyle name="Vírgula 5 2 6 3 2 2" xfId="37271" xr:uid="{A5CAA317-E623-4F21-89F2-6DA87DC5A1FF}"/>
    <cellStyle name="Vírgula 5 2 6 3 2 3" xfId="52474" xr:uid="{34D550CD-12B2-4CC6-8247-08E3B613C161}"/>
    <cellStyle name="Vírgula 5 2 6 3 2 4" xfId="55768" xr:uid="{017655B0-8D5C-4699-A60D-2135FF978703}"/>
    <cellStyle name="Vírgula 5 2 6 3 2 5" xfId="16931" xr:uid="{5F2C20BF-4A49-410D-8735-9175392A2F89}"/>
    <cellStyle name="Vírgula 5 2 6 3 3" xfId="20433" xr:uid="{C6D7FEDE-3E5B-48DD-8F15-B45DACB6A384}"/>
    <cellStyle name="Vírgula 5 2 6 3 3 2" xfId="40772" xr:uid="{8B2CAB71-0A2C-4B9A-8BB4-3785485DADE8}"/>
    <cellStyle name="Vírgula 5 2 6 3 3 3" xfId="57415" xr:uid="{88E52C28-B4F5-44A9-8C3F-5AB8BE773613}"/>
    <cellStyle name="Vírgula 5 2 6 3 4" xfId="23688" xr:uid="{6F3FF88E-7893-4468-9B5F-7F6EC013FCB8}"/>
    <cellStyle name="Vírgula 5 2 6 3 4 2" xfId="44023" xr:uid="{F64D88E4-FDE8-43A3-BD95-5FA445D3706E}"/>
    <cellStyle name="Vírgula 5 2 6 3 5" xfId="14022" xr:uid="{26BDDCAB-0AC5-4BB1-B0E9-D36278CA611B}"/>
    <cellStyle name="Vírgula 5 2 6 3 5 2" xfId="34363" xr:uid="{B4ACF994-2105-4F4B-BB32-AD5AFE1E02FF}"/>
    <cellStyle name="Vírgula 5 2 6 3 6" xfId="10144" xr:uid="{E8B9014A-C78D-4D85-9D97-B9F9EBFC4C86}"/>
    <cellStyle name="Vírgula 5 2 6 3 6 2" xfId="30487" xr:uid="{EFD43B4D-EF46-4C67-B3DA-59A08840059E}"/>
    <cellStyle name="Vírgula 5 2 6 3 7" xfId="26993" xr:uid="{E28D77BE-C3FB-446F-BED9-54D761929E11}"/>
    <cellStyle name="Vírgula 5 2 6 3 8" xfId="49172" xr:uid="{860E9761-CF75-422D-95B1-B778C4D8AA22}"/>
    <cellStyle name="Vírgula 5 2 6 3 9" xfId="50842" xr:uid="{A2B43CED-706B-4BAE-A28B-0E1D06A09A96}"/>
    <cellStyle name="Vírgula 5 2 6 4" xfId="731" xr:uid="{327B735D-B45D-4317-BDCF-C046C422B14A}"/>
    <cellStyle name="Vírgula 5 2 6 4 10" xfId="54138" xr:uid="{46A078F3-9CE6-48B2-8736-BA3EF99A1BA1}"/>
    <cellStyle name="Vírgula 5 2 6 4 11" xfId="7809" xr:uid="{3027941A-4E85-4217-891C-EC8922FEB580}"/>
    <cellStyle name="Vírgula 5 2 6 4 2" xfId="2447" xr:uid="{EA9285F0-D61F-448E-A21D-5033B6312B32}"/>
    <cellStyle name="Vírgula 5 2 6 4 2 2" xfId="38434" xr:uid="{6101F4AD-A791-4EBB-BDB0-B4670B0491B6}"/>
    <cellStyle name="Vírgula 5 2 6 4 2 3" xfId="52475" xr:uid="{0E699264-8DA6-4FEE-BA7A-474DB3F76C38}"/>
    <cellStyle name="Vírgula 5 2 6 4 2 4" xfId="55769" xr:uid="{AAA604FE-4BEF-4C0E-A869-A7649F728876}"/>
    <cellStyle name="Vírgula 5 2 6 4 2 5" xfId="18094" xr:uid="{2A185CB8-8890-4A9C-8ABD-7EC6D91582B3}"/>
    <cellStyle name="Vírgula 5 2 6 4 3" xfId="21596" xr:uid="{05A1B880-6A0C-4F82-B1C6-6C75725BDC04}"/>
    <cellStyle name="Vírgula 5 2 6 4 3 2" xfId="41935" xr:uid="{75F1F1AE-2601-4530-9434-304A43F22A84}"/>
    <cellStyle name="Vírgula 5 2 6 4 3 3" xfId="56602" xr:uid="{1D0BAE36-57DA-4E17-AD86-C6B441F63175}"/>
    <cellStyle name="Vírgula 5 2 6 4 4" xfId="24851" xr:uid="{49A8DCF1-7393-4BA2-A215-489231E397C7}"/>
    <cellStyle name="Vírgula 5 2 6 4 4 2" xfId="45186" xr:uid="{6EAFE4C7-D48A-42A8-884F-286B5D49FB1F}"/>
    <cellStyle name="Vírgula 5 2 6 4 5" xfId="15186" xr:uid="{E7B15109-119E-4BC3-9929-66609BC35547}"/>
    <cellStyle name="Vírgula 5 2 6 4 5 2" xfId="35526" xr:uid="{F1FC4486-8C79-468A-AB11-F08261B75E92}"/>
    <cellStyle name="Vírgula 5 2 6 4 6" xfId="11307" xr:uid="{9C800933-CA3F-4887-B41F-F6362259AB98}"/>
    <cellStyle name="Vírgula 5 2 6 4 6 2" xfId="31650" xr:uid="{4079EE38-0595-4B2D-BB7B-EBD1D81F432B}"/>
    <cellStyle name="Vírgula 5 2 6 4 7" xfId="28156" xr:uid="{B20806BC-C51C-419F-94C0-BE552D8CA3CF}"/>
    <cellStyle name="Vírgula 5 2 6 4 8" xfId="49173" xr:uid="{66939B14-0BD8-4E69-9574-AC954997C514}"/>
    <cellStyle name="Vírgula 5 2 6 4 9" xfId="50843" xr:uid="{5FBAA0EA-20E2-4ED3-926B-45148072FEA3}"/>
    <cellStyle name="Vírgula 5 2 6 5" xfId="3720" xr:uid="{999EA5D0-E510-4724-89CF-C1689816F41A}"/>
    <cellStyle name="Vírgula 5 2 6 5 2" xfId="33217" xr:uid="{5FDA2FF8-722B-4C3A-80E1-FBD4E40FCEE3}"/>
    <cellStyle name="Vírgula 5 2 6 5 3" xfId="52472" xr:uid="{7B9BB79A-081F-4F16-BD09-67052A430EB9}"/>
    <cellStyle name="Vírgula 5 2 6 5 4" xfId="55766" xr:uid="{206DC811-96CB-4D72-B43B-D1E254D278C7}"/>
    <cellStyle name="Vírgula 5 2 6 5 5" xfId="12876" xr:uid="{7516387A-26D8-45AE-8825-12E658B04BDB}"/>
    <cellStyle name="Vírgula 5 2 6 6" xfId="2123" xr:uid="{16C4CFC5-704C-485E-8F59-74B090CCE3A7}"/>
    <cellStyle name="Vírgula 5 2 6 6 2" xfId="36113" xr:uid="{59E7A5E7-5637-4B93-A587-861CA532FF98}"/>
    <cellStyle name="Vírgula 5 2 6 6 3" xfId="56193" xr:uid="{AF09437F-A98F-4E83-A63E-999F5029DD4C}"/>
    <cellStyle name="Vírgula 5 2 6 6 4" xfId="15773" xr:uid="{6D97FBC7-2930-4651-98BA-BA6996F8CCC4}"/>
    <cellStyle name="Vírgula 5 2 6 7" xfId="18687" xr:uid="{4AE15706-CC81-4003-85E5-68AFC2EA6E8A}"/>
    <cellStyle name="Vírgula 5 2 6 7 2" xfId="39027" xr:uid="{71F796C6-8340-4006-B2A3-CE22AA09FE06}"/>
    <cellStyle name="Vírgula 5 2 6 8" xfId="19275" xr:uid="{180C4C7E-7198-488E-9842-8D5FAA99C9D9}"/>
    <cellStyle name="Vírgula 5 2 6 8 2" xfId="39614" xr:uid="{BE0F0A1E-D3DF-474D-839B-E8ADEC515B18}"/>
    <cellStyle name="Vírgula 5 2 6 9" xfId="22530" xr:uid="{573F97B4-8116-48F4-8007-0B0CD1CD8985}"/>
    <cellStyle name="Vírgula 5 2 6 9 2" xfId="42865" xr:uid="{B28B4D4E-CF66-42B9-82B3-ADE44020F6A0}"/>
    <cellStyle name="Vírgula 5 2 7" xfId="949" xr:uid="{217E72EA-9948-48EF-91F7-F82E98A95D2B}"/>
    <cellStyle name="Vírgula 5 2 7 10" xfId="12322" xr:uid="{48622900-DF8B-4ED0-A15A-66717CFAF64D}"/>
    <cellStyle name="Vírgula 5 2 7 10 2" xfId="32663" xr:uid="{BCB3907C-453F-46B7-B851-4EE400EC4C6D}"/>
    <cellStyle name="Vírgula 5 2 7 11" xfId="9061" xr:uid="{1FDEBE1D-D9CE-4891-8505-3107678BB1EC}"/>
    <cellStyle name="Vírgula 5 2 7 11 2" xfId="29404" xr:uid="{12DC7714-4E87-4BD1-952B-79FCAEAF4E4C}"/>
    <cellStyle name="Vírgula 5 2 7 12" xfId="25910" xr:uid="{A0FFB129-A135-4567-9E63-2A8EF39C3F0F}"/>
    <cellStyle name="Vírgula 5 2 7 13" xfId="49174" xr:uid="{F1825144-B25A-4497-8837-68B620D520BC}"/>
    <cellStyle name="Vírgula 5 2 7 14" xfId="50844" xr:uid="{552A0682-7917-4513-962A-A4EACE7DABC8}"/>
    <cellStyle name="Vírgula 5 2 7 15" xfId="54139" xr:uid="{DAA6F0A7-C7A3-4672-B2BE-B13D2258BF1A}"/>
    <cellStyle name="Vírgula 5 2 7 16" xfId="5571" xr:uid="{87BAAD6F-D8C1-4CB4-BD44-285B33B39165}"/>
    <cellStyle name="Vírgula 5 2 7 17" xfId="4803" xr:uid="{45F883EF-C950-4556-AAD6-EBD8811C6DB2}"/>
    <cellStyle name="Vírgula 5 2 7 2" xfId="2664" xr:uid="{4B36A69E-B025-4CB2-AFFC-41EEFC7E2D92}"/>
    <cellStyle name="Vírgula 5 2 7 2 10" xfId="55770" xr:uid="{D1186BC1-0B76-4960-BBAE-5D2E819FF7E7}"/>
    <cellStyle name="Vírgula 5 2 7 2 11" xfId="6143" xr:uid="{C74E9D8A-A1E5-4794-9CEB-4849820BEA0A}"/>
    <cellStyle name="Vírgula 5 2 7 2 2" xfId="7301" xr:uid="{3FACF733-C9D6-4D18-9AE9-3334A0AD7B05}"/>
    <cellStyle name="Vírgula 5 2 7 2 2 2" xfId="17587" xr:uid="{53E1B008-54E2-4B2A-AEA0-36C4DB65904E}"/>
    <cellStyle name="Vírgula 5 2 7 2 2 2 2" xfId="37927" xr:uid="{A558957A-F9B5-439B-A5BD-A81B8A552A55}"/>
    <cellStyle name="Vírgula 5 2 7 2 2 3" xfId="21089" xr:uid="{2C38FFC2-134B-4E11-AD88-9345A59E4663}"/>
    <cellStyle name="Vírgula 5 2 7 2 2 3 2" xfId="41428" xr:uid="{E520C383-85B7-4A79-B3CE-C221C948236A}"/>
    <cellStyle name="Vírgula 5 2 7 2 2 4" xfId="24344" xr:uid="{CAF1174B-7D01-4CAD-B2D9-BC5125430B1F}"/>
    <cellStyle name="Vírgula 5 2 7 2 2 4 2" xfId="44679" xr:uid="{356E2DF5-81EF-442E-AFBA-2F10C56CF588}"/>
    <cellStyle name="Vírgula 5 2 7 2 2 5" xfId="14678" xr:uid="{97E1FEFF-CF6C-4C55-B36B-D8D553B9DAA7}"/>
    <cellStyle name="Vírgula 5 2 7 2 2 5 2" xfId="35019" xr:uid="{903708D1-7DBE-4AAE-8A8C-DCF4FFA7BFED}"/>
    <cellStyle name="Vírgula 5 2 7 2 2 6" xfId="10800" xr:uid="{19B4D836-75A8-4E6F-B6A6-A6E5A957BF56}"/>
    <cellStyle name="Vírgula 5 2 7 2 2 6 2" xfId="31143" xr:uid="{3BFC8636-5881-41F8-A267-A94BBDCCEB09}"/>
    <cellStyle name="Vírgula 5 2 7 2 2 7" xfId="27649" xr:uid="{61CA6887-9BCF-4D25-9A66-F857881B554C}"/>
    <cellStyle name="Vírgula 5 2 7 2 3" xfId="16429" xr:uid="{B7B35EAF-9CA7-4AFF-B1B2-54BF4EAD09EB}"/>
    <cellStyle name="Vírgula 5 2 7 2 3 2" xfId="36769" xr:uid="{67CA4767-E2B9-4403-B5F4-EA1D06CA420C}"/>
    <cellStyle name="Vírgula 5 2 7 2 4" xfId="19931" xr:uid="{A2212E97-CA5D-4978-BA9E-D320F6AD552D}"/>
    <cellStyle name="Vírgula 5 2 7 2 4 2" xfId="40270" xr:uid="{CE10204C-C5B2-40FD-8CAD-1AB96D9EAC19}"/>
    <cellStyle name="Vírgula 5 2 7 2 5" xfId="23186" xr:uid="{2F164786-8C17-4DA9-9369-F2F57591F9DD}"/>
    <cellStyle name="Vírgula 5 2 7 2 5 2" xfId="43521" xr:uid="{6EFEDF09-12A4-47E4-844C-8A3799C2A763}"/>
    <cellStyle name="Vírgula 5 2 7 2 6" xfId="13520" xr:uid="{8D82C0B0-721C-411D-A161-2B9EF7C7B6F6}"/>
    <cellStyle name="Vírgula 5 2 7 2 6 2" xfId="33861" xr:uid="{1924BBBD-AF17-4578-BE33-240596F56F7D}"/>
    <cellStyle name="Vírgula 5 2 7 2 7" xfId="9642" xr:uid="{8D1E93C7-FC9D-4F66-9C8A-49FC7C60994B}"/>
    <cellStyle name="Vírgula 5 2 7 2 7 2" xfId="29985" xr:uid="{DCC60ED3-17E7-4126-A788-D79A1167A39E}"/>
    <cellStyle name="Vírgula 5 2 7 2 8" xfId="26491" xr:uid="{034B0473-6024-489F-A230-77F28907A5F7}"/>
    <cellStyle name="Vírgula 5 2 7 2 9" xfId="52476" xr:uid="{67CA5475-D15A-413C-9780-3BBE288CD52E}"/>
    <cellStyle name="Vírgula 5 2 7 3" xfId="6720" xr:uid="{CF25C378-73D5-4C29-A37C-7E8ABA3EDCCE}"/>
    <cellStyle name="Vírgula 5 2 7 3 2" xfId="17006" xr:uid="{E6557BCE-7BB4-419B-89C7-A4EE9521C822}"/>
    <cellStyle name="Vírgula 5 2 7 3 2 2" xfId="37346" xr:uid="{5E5CE8F4-681D-41D5-8624-6B0BFEE76D07}"/>
    <cellStyle name="Vírgula 5 2 7 3 3" xfId="20508" xr:uid="{7B47769D-A5C4-40F5-86E6-80C0D8EABEC0}"/>
    <cellStyle name="Vírgula 5 2 7 3 3 2" xfId="40847" xr:uid="{88964DF6-5E09-456C-B03C-883B3CA4DBC7}"/>
    <cellStyle name="Vírgula 5 2 7 3 4" xfId="23763" xr:uid="{754D069A-AECA-4F64-A88F-7BED47FC98C3}"/>
    <cellStyle name="Vírgula 5 2 7 3 4 2" xfId="44098" xr:uid="{5E168C1B-1813-4804-8728-A10CD049E9FE}"/>
    <cellStyle name="Vírgula 5 2 7 3 5" xfId="14097" xr:uid="{F42DA774-769E-4C82-B937-46B97AFB75E6}"/>
    <cellStyle name="Vírgula 5 2 7 3 5 2" xfId="34438" xr:uid="{43FAE4D6-6467-4778-A223-4A8D711B6609}"/>
    <cellStyle name="Vírgula 5 2 7 3 6" xfId="10219" xr:uid="{22574244-DA33-4B83-AC62-CD76B57F621A}"/>
    <cellStyle name="Vírgula 5 2 7 3 6 2" xfId="30562" xr:uid="{4505D9FE-C789-46C5-B49B-148895B7D4DF}"/>
    <cellStyle name="Vírgula 5 2 7 3 7" xfId="27068" xr:uid="{46E70AB1-D992-4CAA-A641-2FA5DD2331FF}"/>
    <cellStyle name="Vírgula 5 2 7 3 8" xfId="56820" xr:uid="{0F8DFE4B-DB01-4556-ABC2-B1FDCC5D205B}"/>
    <cellStyle name="Vírgula 5 2 7 4" xfId="7884" xr:uid="{62EE0C18-6177-4B82-9E14-9B663D8C295B}"/>
    <cellStyle name="Vírgula 5 2 7 4 2" xfId="18169" xr:uid="{41915423-0880-42A8-87A4-414681A902A0}"/>
    <cellStyle name="Vírgula 5 2 7 4 2 2" xfId="38509" xr:uid="{0F3EA10C-46CE-4183-9CB8-8E394A65EFEC}"/>
    <cellStyle name="Vírgula 5 2 7 4 3" xfId="21671" xr:uid="{387A6658-B1C4-4D09-BE52-767083D0BB92}"/>
    <cellStyle name="Vírgula 5 2 7 4 3 2" xfId="42010" xr:uid="{4C41AD02-FFD3-4837-A817-847B4A77D09E}"/>
    <cellStyle name="Vírgula 5 2 7 4 4" xfId="24926" xr:uid="{E3420826-F5A7-4E64-B0CB-BFE970131F8C}"/>
    <cellStyle name="Vírgula 5 2 7 4 4 2" xfId="45261" xr:uid="{CBB4F2FD-7129-4474-BCE6-E945C0752F38}"/>
    <cellStyle name="Vírgula 5 2 7 4 5" xfId="15261" xr:uid="{092D9590-7350-409E-AB47-810A8A545470}"/>
    <cellStyle name="Vírgula 5 2 7 4 5 2" xfId="35601" xr:uid="{19685CF4-E126-463F-9320-64E0D2F42C4C}"/>
    <cellStyle name="Vírgula 5 2 7 4 6" xfId="11382" xr:uid="{2815959A-9F08-4662-8DAE-39685B527CBE}"/>
    <cellStyle name="Vírgula 5 2 7 4 6 2" xfId="31725" xr:uid="{F47E1B99-F5F9-4D21-84A3-8AA945D08395}"/>
    <cellStyle name="Vírgula 5 2 7 4 7" xfId="28231" xr:uid="{1ACE07FC-9B01-43F5-8E65-89CF1A6A4DEF}"/>
    <cellStyle name="Vírgula 5 2 7 5" xfId="12951" xr:uid="{ADD80200-BEA8-40DE-A04B-A6D6763B3D82}"/>
    <cellStyle name="Vírgula 5 2 7 5 2" xfId="33292" xr:uid="{9A10BA17-A5A0-491D-8F75-9ABC0FE781EA}"/>
    <cellStyle name="Vírgula 5 2 7 6" xfId="15848" xr:uid="{78DA5C8D-4C9E-4985-B555-E2605FA31474}"/>
    <cellStyle name="Vírgula 5 2 7 6 2" xfId="36188" xr:uid="{325BBEA4-8002-494B-A229-13DC6C2ADC70}"/>
    <cellStyle name="Vírgula 5 2 7 7" xfId="18762" xr:uid="{85593424-8301-4A49-B3B4-F421A8BAF10C}"/>
    <cellStyle name="Vírgula 5 2 7 7 2" xfId="39102" xr:uid="{6FA8DD71-E750-43E3-A90A-77F1BDBEBA9B}"/>
    <cellStyle name="Vírgula 5 2 7 8" xfId="19350" xr:uid="{CF49EFAD-C5F4-4CA8-89C4-CE9EFE28CB6C}"/>
    <cellStyle name="Vírgula 5 2 7 8 2" xfId="39689" xr:uid="{5E1FF698-D98F-42BF-8090-2C98DD9D4D50}"/>
    <cellStyle name="Vírgula 5 2 7 9" xfId="22605" xr:uid="{0FFDD34D-9344-4F63-8414-D65A10DDDDA1}"/>
    <cellStyle name="Vírgula 5 2 7 9 2" xfId="42940" xr:uid="{D38A9ABA-4248-49A3-A15E-E351170ED7DF}"/>
    <cellStyle name="Vírgula 5 2 8" xfId="1355" xr:uid="{80675716-37C1-4C52-BAD5-2FF0F512A142}"/>
    <cellStyle name="Vírgula 5 2 8 10" xfId="12420" xr:uid="{3B30CA4C-143F-4C7A-8731-092FD338B76F}"/>
    <cellStyle name="Vírgula 5 2 8 10 2" xfId="32761" xr:uid="{2F181AFC-136B-465D-8EC6-80B33348810D}"/>
    <cellStyle name="Vírgula 5 2 8 11" xfId="9159" xr:uid="{EDB37306-32EA-4534-B55D-FCE249C40A3C}"/>
    <cellStyle name="Vírgula 5 2 8 11 2" xfId="29502" xr:uid="{467514E7-063E-424D-9F6F-86F713360490}"/>
    <cellStyle name="Vírgula 5 2 8 12" xfId="26008" xr:uid="{0A699F60-4310-4120-9973-3589F0C58F7C}"/>
    <cellStyle name="Vírgula 5 2 8 13" xfId="49175" xr:uid="{CB4DA401-23DC-414F-9AE9-63A17DE4AF77}"/>
    <cellStyle name="Vírgula 5 2 8 14" xfId="50845" xr:uid="{43C74DAE-F122-42B5-9257-F0887F1EE6DF}"/>
    <cellStyle name="Vírgula 5 2 8 15" xfId="54140" xr:uid="{01E505B8-FA6C-4C42-8B59-C18C24911E8D}"/>
    <cellStyle name="Vírgula 5 2 8 16" xfId="5669" xr:uid="{E9FC5124-BE4F-494B-994F-F451BCC55E99}"/>
    <cellStyle name="Vírgula 5 2 8 2" xfId="3016" xr:uid="{0CEEFFBC-6D6A-44EE-8275-01E771759C79}"/>
    <cellStyle name="Vírgula 5 2 8 2 10" xfId="55771" xr:uid="{4B99348C-7F88-4076-8F73-F36D39D8407C}"/>
    <cellStyle name="Vírgula 5 2 8 2 11" xfId="6241" xr:uid="{9A99DFE5-4C1C-49CC-8038-9E9CCA993D7A}"/>
    <cellStyle name="Vírgula 5 2 8 2 2" xfId="7399" xr:uid="{1BECB5B3-6D03-4346-9E3E-0B6E0CAB139D}"/>
    <cellStyle name="Vírgula 5 2 8 2 2 2" xfId="17685" xr:uid="{428428C3-DB7B-43D7-A88A-79300EE990A0}"/>
    <cellStyle name="Vírgula 5 2 8 2 2 2 2" xfId="38025" xr:uid="{498279A8-614E-4E0C-859D-C9CFA7E2EFE5}"/>
    <cellStyle name="Vírgula 5 2 8 2 2 3" xfId="21187" xr:uid="{8EDA1CE5-B941-41DE-ABA0-57B1321C2E96}"/>
    <cellStyle name="Vírgula 5 2 8 2 2 3 2" xfId="41526" xr:uid="{7DFF522F-B231-4429-BD86-926D9514848E}"/>
    <cellStyle name="Vírgula 5 2 8 2 2 4" xfId="24442" xr:uid="{A749E5EF-7480-4045-A1E7-C65FE49FA0CA}"/>
    <cellStyle name="Vírgula 5 2 8 2 2 4 2" xfId="44777" xr:uid="{5FEA1A05-95DD-4759-9B17-B891A0B3AB16}"/>
    <cellStyle name="Vírgula 5 2 8 2 2 5" xfId="14776" xr:uid="{6CA35A55-D798-4E47-9A61-DAF1F5CD5A7C}"/>
    <cellStyle name="Vírgula 5 2 8 2 2 5 2" xfId="35117" xr:uid="{954C25FC-7289-488E-AE8E-8D91C87B2519}"/>
    <cellStyle name="Vírgula 5 2 8 2 2 6" xfId="10898" xr:uid="{17385ADB-9B61-4764-901F-ED4BF5BE3488}"/>
    <cellStyle name="Vírgula 5 2 8 2 2 6 2" xfId="31241" xr:uid="{07FB7A2A-FC3C-448C-A126-409AC098E2F8}"/>
    <cellStyle name="Vírgula 5 2 8 2 2 7" xfId="27747" xr:uid="{CCE919D4-9C4F-44C3-96F6-6DB3B1BFF4B6}"/>
    <cellStyle name="Vírgula 5 2 8 2 3" xfId="16527" xr:uid="{CCA07FDA-62DF-4A40-B6A4-6F6A723FFC84}"/>
    <cellStyle name="Vírgula 5 2 8 2 3 2" xfId="36867" xr:uid="{7215A9B4-8296-4065-920A-C69F1002304F}"/>
    <cellStyle name="Vírgula 5 2 8 2 4" xfId="20029" xr:uid="{9AA21830-570B-4458-A1E2-BC4015027B71}"/>
    <cellStyle name="Vírgula 5 2 8 2 4 2" xfId="40368" xr:uid="{9B69C05E-DC60-4088-A189-4E265531604B}"/>
    <cellStyle name="Vírgula 5 2 8 2 5" xfId="23284" xr:uid="{F5700960-7F67-439A-A38A-1CFD303C4914}"/>
    <cellStyle name="Vírgula 5 2 8 2 5 2" xfId="43619" xr:uid="{473E1AED-4AD5-4EB1-9B89-114BD6697E12}"/>
    <cellStyle name="Vírgula 5 2 8 2 6" xfId="13618" xr:uid="{6F126C79-C1EA-4ABB-9BB2-AB7426A52ABF}"/>
    <cellStyle name="Vírgula 5 2 8 2 6 2" xfId="33959" xr:uid="{117AE7D2-1625-41ED-A44E-F9939D054E4D}"/>
    <cellStyle name="Vírgula 5 2 8 2 7" xfId="9740" xr:uid="{F7383246-79BD-4985-A1FE-9303E60ADC8F}"/>
    <cellStyle name="Vírgula 5 2 8 2 7 2" xfId="30083" xr:uid="{1D9ABAB3-63E7-4F0D-9D59-75AE0EC60E32}"/>
    <cellStyle name="Vírgula 5 2 8 2 8" xfId="26589" xr:uid="{4F3E6774-66FC-4E52-985E-D2A28290E5E2}"/>
    <cellStyle name="Vírgula 5 2 8 2 9" xfId="52477" xr:uid="{3561DBF8-B652-4FF7-B071-A5B1F94C8804}"/>
    <cellStyle name="Vírgula 5 2 8 3" xfId="6818" xr:uid="{A02EA445-CF43-49DA-A190-A687BD518292}"/>
    <cellStyle name="Vírgula 5 2 8 3 2" xfId="17104" xr:uid="{2D94113E-3125-4CF2-BC12-DCBD503A4B4B}"/>
    <cellStyle name="Vírgula 5 2 8 3 2 2" xfId="37444" xr:uid="{7D884029-A5C8-4BF0-BE53-3560042C82DC}"/>
    <cellStyle name="Vírgula 5 2 8 3 3" xfId="20606" xr:uid="{0DBF160C-D346-44F1-AD64-FA518ECD7FBF}"/>
    <cellStyle name="Vírgula 5 2 8 3 3 2" xfId="40945" xr:uid="{010B6F71-DF2F-4183-AEA0-9E917F9AE4BC}"/>
    <cellStyle name="Vírgula 5 2 8 3 4" xfId="23861" xr:uid="{FDFA0A41-082F-48F0-8C35-31985B1E4082}"/>
    <cellStyle name="Vírgula 5 2 8 3 4 2" xfId="44196" xr:uid="{25F36A95-58D3-4ADE-BDB9-2B0CFAB4ADE3}"/>
    <cellStyle name="Vírgula 5 2 8 3 5" xfId="14195" xr:uid="{D2153FD1-4205-4234-924D-95F5F47CDB86}"/>
    <cellStyle name="Vírgula 5 2 8 3 5 2" xfId="34536" xr:uid="{D3C8E5B1-B1D2-4B48-A8D6-34E89955FE7B}"/>
    <cellStyle name="Vírgula 5 2 8 3 6" xfId="10317" xr:uid="{56FD21A8-3E77-40A9-9D48-C30DB67AE79D}"/>
    <cellStyle name="Vírgula 5 2 8 3 6 2" xfId="30660" xr:uid="{1F4EF0C4-D0A1-4648-B714-9BDB4324ADCE}"/>
    <cellStyle name="Vírgula 5 2 8 3 7" xfId="27166" xr:uid="{5FD91904-846E-4698-9C2C-F3635517A63B}"/>
    <cellStyle name="Vírgula 5 2 8 3 8" xfId="57226" xr:uid="{F1231B94-D866-4C81-B986-9F83462A59B3}"/>
    <cellStyle name="Vírgula 5 2 8 4" xfId="7982" xr:uid="{4074DCC1-6D60-43EC-AD82-BF990FED6432}"/>
    <cellStyle name="Vírgula 5 2 8 4 2" xfId="18267" xr:uid="{6A2EAA80-0D34-4663-84DF-A2BA05580B0E}"/>
    <cellStyle name="Vírgula 5 2 8 4 2 2" xfId="38607" xr:uid="{E0CC3821-5CB5-4201-A8F2-E3B8B24F3505}"/>
    <cellStyle name="Vírgula 5 2 8 4 3" xfId="21769" xr:uid="{F6F93977-22A6-4680-9844-97D1E42DE387}"/>
    <cellStyle name="Vírgula 5 2 8 4 3 2" xfId="42108" xr:uid="{CD0530B5-4ACF-4A30-A01E-9E3D4FAF3494}"/>
    <cellStyle name="Vírgula 5 2 8 4 4" xfId="25024" xr:uid="{8911A3CC-0230-4E44-AD10-0FE8C37AEA0F}"/>
    <cellStyle name="Vírgula 5 2 8 4 4 2" xfId="45359" xr:uid="{CBC3A4E5-F634-42E4-9D62-9338C73D1F01}"/>
    <cellStyle name="Vírgula 5 2 8 4 5" xfId="15359" xr:uid="{FB7DA5B7-6EF0-4450-B017-209474CC6B16}"/>
    <cellStyle name="Vírgula 5 2 8 4 5 2" xfId="35699" xr:uid="{DCF0EB2C-43A0-49A6-B4A0-1DACFDA56555}"/>
    <cellStyle name="Vírgula 5 2 8 4 6" xfId="11480" xr:uid="{0D0AE113-2543-48BC-8B1B-E10422F09276}"/>
    <cellStyle name="Vírgula 5 2 8 4 6 2" xfId="31823" xr:uid="{6519DFA6-3CA1-46F7-9ED0-A5A88CD39D89}"/>
    <cellStyle name="Vírgula 5 2 8 4 7" xfId="28329" xr:uid="{A73D7EB0-362E-4739-9F8D-9EFD4979C3D3}"/>
    <cellStyle name="Vírgula 5 2 8 5" xfId="13049" xr:uid="{E78C961B-64CD-4238-83FD-47570358E84E}"/>
    <cellStyle name="Vírgula 5 2 8 5 2" xfId="33390" xr:uid="{EEFC3ED6-A925-49AE-BB78-C1748D6F73A4}"/>
    <cellStyle name="Vírgula 5 2 8 6" xfId="15946" xr:uid="{19923825-F8B8-4C72-9A68-760ADDF032F3}"/>
    <cellStyle name="Vírgula 5 2 8 6 2" xfId="36286" xr:uid="{EA2CF4D7-BF9D-417F-B73C-4A63B60DD654}"/>
    <cellStyle name="Vírgula 5 2 8 7" xfId="18860" xr:uid="{7CE5CF2D-1C27-4673-BF6D-845464018D14}"/>
    <cellStyle name="Vírgula 5 2 8 7 2" xfId="39200" xr:uid="{B2394DD2-2980-466A-9E8C-05EC5AE0884F}"/>
    <cellStyle name="Vírgula 5 2 8 8" xfId="19448" xr:uid="{7B3DE940-71B6-4BE4-85E5-0ECD29E5098C}"/>
    <cellStyle name="Vírgula 5 2 8 8 2" xfId="39787" xr:uid="{9FD2A3EA-8965-4D94-899D-C49751F1C57E}"/>
    <cellStyle name="Vírgula 5 2 8 9" xfId="22703" xr:uid="{FFC65A78-5EC4-41CD-B1C4-C62A91A0DFD1}"/>
    <cellStyle name="Vírgula 5 2 8 9 2" xfId="43038" xr:uid="{51048E8D-4861-441B-AAF3-81A7E83E842E}"/>
    <cellStyle name="Vírgula 5 2 9" xfId="542" xr:uid="{BFF6BFA9-2F93-4145-B240-16DADBA3D344}"/>
    <cellStyle name="Vírgula 5 2 9 10" xfId="50846" xr:uid="{E5659B05-6493-403E-8072-A731C2F109DC}"/>
    <cellStyle name="Vírgula 5 2 9 11" xfId="54141" xr:uid="{56EB8364-E056-4146-836D-9E42BF7AB034}"/>
    <cellStyle name="Vírgula 5 2 9 12" xfId="5799" xr:uid="{8A2891FA-0465-4A29-9AF5-9DB1B8F0D77E}"/>
    <cellStyle name="Vírgula 5 2 9 2" xfId="2258" xr:uid="{EEF446D4-B24E-467F-9767-032A923081AF}"/>
    <cellStyle name="Vírgula 5 2 9 2 10" xfId="6957" xr:uid="{6446422C-FF84-4496-880B-36C46367F4BA}"/>
    <cellStyle name="Vírgula 5 2 9 2 2" xfId="17243" xr:uid="{6DC6FD48-F0FF-4184-98F2-9CEAC7CD64E6}"/>
    <cellStyle name="Vírgula 5 2 9 2 2 2" xfId="37583" xr:uid="{2134BE82-C8E5-469D-97BD-29AF368A25DD}"/>
    <cellStyle name="Vírgula 5 2 9 2 3" xfId="20745" xr:uid="{1E3B7173-497D-4772-9D9C-98F81BD1DD3B}"/>
    <cellStyle name="Vírgula 5 2 9 2 3 2" xfId="41084" xr:uid="{636E76A1-C42F-46BB-8B14-BF7FD0420BA6}"/>
    <cellStyle name="Vírgula 5 2 9 2 4" xfId="24000" xr:uid="{56B5807D-5844-443B-817B-4C522EEAE183}"/>
    <cellStyle name="Vírgula 5 2 9 2 4 2" xfId="44335" xr:uid="{3879B25E-D383-409B-8E3D-970A23BF0150}"/>
    <cellStyle name="Vírgula 5 2 9 2 5" xfId="14334" xr:uid="{906AD564-3F3A-4BE3-B3BF-4FE4243B5B04}"/>
    <cellStyle name="Vírgula 5 2 9 2 5 2" xfId="34675" xr:uid="{8CD77039-871A-4809-988A-1C62329C3137}"/>
    <cellStyle name="Vírgula 5 2 9 2 6" xfId="10456" xr:uid="{D7C4155D-3141-4319-987F-2999232208A6}"/>
    <cellStyle name="Vírgula 5 2 9 2 6 2" xfId="30799" xr:uid="{02E360FB-14A3-436D-B225-DC38C23A4687}"/>
    <cellStyle name="Vírgula 5 2 9 2 7" xfId="27305" xr:uid="{A8725C6F-8B49-4D96-A714-53E122CC8DD5}"/>
    <cellStyle name="Vírgula 5 2 9 2 8" xfId="52478" xr:uid="{2DAA1422-77CF-4251-9492-D16EC620B836}"/>
    <cellStyle name="Vírgula 5 2 9 2 9" xfId="55772" xr:uid="{AB84F59D-D6EC-4139-ACA8-72D437B2E584}"/>
    <cellStyle name="Vírgula 5 2 9 3" xfId="16085" xr:uid="{892118C2-B0E2-4669-98E1-75CDECA756D3}"/>
    <cellStyle name="Vírgula 5 2 9 3 2" xfId="36425" xr:uid="{37388729-0A0F-4440-B325-4D95864DF719}"/>
    <cellStyle name="Vírgula 5 2 9 3 3" xfId="56413" xr:uid="{326D171D-5AD5-465D-ABB2-7568DC37A9CA}"/>
    <cellStyle name="Vírgula 5 2 9 4" xfId="19587" xr:uid="{EB6939BF-0728-405D-A6BD-112780CA49FA}"/>
    <cellStyle name="Vírgula 5 2 9 4 2" xfId="39926" xr:uid="{CDC755F2-D3D2-4A7D-BD83-AF8910A94147}"/>
    <cellStyle name="Vírgula 5 2 9 5" xfId="22842" xr:uid="{530BAA06-730E-4292-85D5-AAADD4734CF0}"/>
    <cellStyle name="Vírgula 5 2 9 5 2" xfId="43177" xr:uid="{C7AAFBB3-1F19-402A-BADD-5C8A33FE3279}"/>
    <cellStyle name="Vírgula 5 2 9 6" xfId="12545" xr:uid="{43621FCD-C489-4305-B1DA-C7F37549EABD}"/>
    <cellStyle name="Vírgula 5 2 9 6 2" xfId="32886" xr:uid="{03DCCB2D-8B8D-4487-92D9-80620CE3BAD7}"/>
    <cellStyle name="Vírgula 5 2 9 7" xfId="9298" xr:uid="{14C79C4C-6A5C-4EDF-9198-E315E34B45C1}"/>
    <cellStyle name="Vírgula 5 2 9 7 2" xfId="29641" xr:uid="{98944474-8BC9-4FDA-A498-00A53F2F35CB}"/>
    <cellStyle name="Vírgula 5 2 9 8" xfId="26147" xr:uid="{6D68469C-8D6C-4E98-BEF9-491930F7672D}"/>
    <cellStyle name="Vírgula 5 2 9 9" xfId="49176" xr:uid="{D9047A06-C994-4DE2-ABE4-AA5DB0448818}"/>
    <cellStyle name="Vírgula 5 20" xfId="25494" xr:uid="{86C38BE4-88BC-4FC3-A72D-CACAA9B21F17}"/>
    <cellStyle name="Vírgula 5 21" xfId="45817" xr:uid="{F090CC4A-7892-47C7-A917-FF17222B51B6}"/>
    <cellStyle name="Vírgula 5 22" xfId="46303" xr:uid="{295EFE9F-4FBC-48F2-9831-5940CD1BE972}"/>
    <cellStyle name="Vírgula 5 23" xfId="46795" xr:uid="{879BAE9F-94F4-4DDF-B585-4BB5721997B5}"/>
    <cellStyle name="Vírgula 5 24" xfId="47311" xr:uid="{9F781466-02D5-4C25-A9C2-DC43ABFFE6B1}"/>
    <cellStyle name="Vírgula 5 25" xfId="47437" xr:uid="{E7683D03-04B0-44FB-B7E3-A642E6A420EB}"/>
    <cellStyle name="Vírgula 5 26" xfId="47563" xr:uid="{149E57F3-CB72-48ED-BFE4-31CF8EC17FE6}"/>
    <cellStyle name="Vírgula 5 27" xfId="49118" xr:uid="{3745D2F5-C5D4-4ACB-80D2-F5694858D9D4}"/>
    <cellStyle name="Vírgula 5 28" xfId="50788" xr:uid="{CAB46067-6EC0-4575-93B4-B66A6A42DBFF}"/>
    <cellStyle name="Vírgula 5 29" xfId="54083" xr:uid="{31CFD4D8-71CC-4FDE-A667-0699470B630A}"/>
    <cellStyle name="Vírgula 5 3" xfId="148" xr:uid="{946CAF7F-A295-4DDF-B9AF-467051929A19}"/>
    <cellStyle name="Vírgula 5 3 10" xfId="1753" xr:uid="{56E15282-64C5-4A6A-B272-362EFB4D8BE7}"/>
    <cellStyle name="Vírgula 5 3 10 2" xfId="22102" xr:uid="{389B0043-80DA-4DBC-821D-B64FA697CC64}"/>
    <cellStyle name="Vírgula 5 3 10 2 2" xfId="42438" xr:uid="{D2DE5DE3-8FE8-4851-8961-BB670A6406DE}"/>
    <cellStyle name="Vírgula 5 3 10 3" xfId="25354" xr:uid="{D15AB947-3545-4990-99A8-E9B1C68E0D3B}"/>
    <cellStyle name="Vírgula 5 3 10 3 2" xfId="45689" xr:uid="{34CA379C-DE65-4EDB-BFC4-341B074ECD87}"/>
    <cellStyle name="Vírgula 5 3 10 4" xfId="15519" xr:uid="{0B92CAB4-8695-4D54-8526-981566A1467E}"/>
    <cellStyle name="Vírgula 5 3 10 4 2" xfId="35859" xr:uid="{ECDA3A68-82E7-4CFC-882A-098AE291EB96}"/>
    <cellStyle name="Vírgula 5 3 10 5" xfId="11811" xr:uid="{BF615878-077C-46F9-9733-9CE69B0D3502}"/>
    <cellStyle name="Vírgula 5 3 10 5 2" xfId="32153" xr:uid="{C9C24E82-DA66-4B97-A7BB-31016FD6EF57}"/>
    <cellStyle name="Vírgula 5 3 10 6" xfId="28659" xr:uid="{77E41529-E87A-4A76-938B-0816902EE844}"/>
    <cellStyle name="Vírgula 5 3 10 7" xfId="8315" xr:uid="{F09E8A4A-5C09-4C32-A17A-5773CA83FBC2}"/>
    <cellStyle name="Vírgula 5 3 11" xfId="8470" xr:uid="{C1ED3D59-3F04-4EC0-BC77-536454491895}"/>
    <cellStyle name="Vírgula 5 3 11 2" xfId="18433" xr:uid="{5C654895-DEDC-4AD4-A96A-4F5B087FD9D2}"/>
    <cellStyle name="Vírgula 5 3 11 2 2" xfId="38773" xr:uid="{B9373712-7779-423C-B308-FB45E46BB6D3}"/>
    <cellStyle name="Vírgula 5 3 11 3" xfId="28813" xr:uid="{675BEAB1-0666-4B72-BE3F-EACC35CC77C3}"/>
    <cellStyle name="Vírgula 5 3 12" xfId="19021" xr:uid="{9EEB8CF8-C75C-4E1E-A254-6F9C2704DECE}"/>
    <cellStyle name="Vírgula 5 3 12 2" xfId="39360" xr:uid="{28586CE4-C21E-45CF-9D5D-5F5BBA8C01EB}"/>
    <cellStyle name="Vírgula 5 3 13" xfId="22276" xr:uid="{1A296FB1-D901-4A99-8570-770B962216D9}"/>
    <cellStyle name="Vírgula 5 3 13 2" xfId="42611" xr:uid="{A2156CB4-1011-4CD0-A1A2-3160A1CA611C}"/>
    <cellStyle name="Vírgula 5 3 14" xfId="11993" xr:uid="{20B4FA7C-15E0-45A0-BF26-1E8E3300BEA3}"/>
    <cellStyle name="Vírgula 5 3 14 2" xfId="32334" xr:uid="{CEBFDC99-B2FD-4886-95FB-0F19B62605CD}"/>
    <cellStyle name="Vírgula 5 3 15" xfId="8732" xr:uid="{BEBCC571-15B7-48BE-A4EB-14092E080902}"/>
    <cellStyle name="Vírgula 5 3 15 2" xfId="29075" xr:uid="{C7DC0A69-7DFB-4265-B468-C2833B0E2BAA}"/>
    <cellStyle name="Vírgula 5 3 16" xfId="25577" xr:uid="{33338061-76E8-40E8-B05D-289B3E2A3316}"/>
    <cellStyle name="Vírgula 5 3 17" xfId="45845" xr:uid="{CFFB8E1F-F80E-4D43-B131-C9EC12001D9F}"/>
    <cellStyle name="Vírgula 5 3 18" xfId="46331" xr:uid="{2A7947A5-CF53-4E65-AFBB-795C9029EC16}"/>
    <cellStyle name="Vírgula 5 3 19" xfId="46823" xr:uid="{B8C09CE6-5285-408C-82AA-F3B89B38E181}"/>
    <cellStyle name="Vírgula 5 3 2" xfId="227" xr:uid="{6988F59D-9793-442B-972D-0BF01C88C68A}"/>
    <cellStyle name="Vírgula 5 3 2 10" xfId="22391" xr:uid="{E4393811-9BAE-4025-A6E8-4D150CA55165}"/>
    <cellStyle name="Vírgula 5 3 2 10 2" xfId="42726" xr:uid="{E8280D62-2A7C-4FFB-B41B-27A4095972F7}"/>
    <cellStyle name="Vírgula 5 3 2 11" xfId="12108" xr:uid="{9FD3D03A-E0AA-4E2C-8963-422ADB23F0AC}"/>
    <cellStyle name="Vírgula 5 3 2 11 2" xfId="32449" xr:uid="{5EFBFD65-FF8B-49C2-A07C-8A2B8DDE9E10}"/>
    <cellStyle name="Vírgula 5 3 2 12" xfId="8847" xr:uid="{71A8C233-4BE3-4C7A-8104-DD26CCEA351E}"/>
    <cellStyle name="Vírgula 5 3 2 12 2" xfId="29190" xr:uid="{597AB8CF-B525-4A36-8142-AF6ECF7FE809}"/>
    <cellStyle name="Vírgula 5 3 2 13" xfId="25696" xr:uid="{6FBF4DBB-7C17-464E-A063-C29DA357A566}"/>
    <cellStyle name="Vírgula 5 3 2 14" xfId="45905" xr:uid="{49FC2AA0-1C1F-4A56-AE4A-27B5BCA0CEA7}"/>
    <cellStyle name="Vírgula 5 3 2 15" xfId="46391" xr:uid="{ACB85123-91C6-4366-BE27-700471573FDE}"/>
    <cellStyle name="Vírgula 5 3 2 16" xfId="46883" xr:uid="{18D1DC93-FC35-440D-9E33-376EE37B6356}"/>
    <cellStyle name="Vírgula 5 3 2 17" xfId="47393" xr:uid="{FA042077-8E6F-4381-8FB0-D50BE116DED5}"/>
    <cellStyle name="Vírgula 5 3 2 18" xfId="47519" xr:uid="{C505B787-4BB5-4198-B1B6-71BBDF61987A}"/>
    <cellStyle name="Vírgula 5 3 2 19" xfId="47645" xr:uid="{A38F40D5-0E88-483F-8E39-9BEA12F8B7A4}"/>
    <cellStyle name="Vírgula 5 3 2 2" xfId="416" xr:uid="{A924CEB7-33A4-409F-BF8A-01D02930C867}"/>
    <cellStyle name="Vírgula 5 3 2 2 10" xfId="12495" xr:uid="{5A216022-5D61-40D1-BDC0-1606B82F5FEF}"/>
    <cellStyle name="Vírgula 5 3 2 2 10 2" xfId="32836" xr:uid="{B6E30A28-D647-4FF9-8824-FC0FFBF5D5B9}"/>
    <cellStyle name="Vírgula 5 3 2 2 11" xfId="9234" xr:uid="{D5CEEA45-B650-4AE6-8072-05D8642BA9E7}"/>
    <cellStyle name="Vírgula 5 3 2 2 11 2" xfId="29577" xr:uid="{B09CB6AC-9F6F-4430-93FC-170751568174}"/>
    <cellStyle name="Vírgula 5 3 2 2 12" xfId="26083" xr:uid="{60599BEC-43F2-454E-BCC2-4FB7E31F0B05}"/>
    <cellStyle name="Vírgula 5 3 2 2 13" xfId="46014" xr:uid="{A99F7BA6-4FA7-436F-9C63-F20927C40422}"/>
    <cellStyle name="Vírgula 5 3 2 2 14" xfId="46500" xr:uid="{47D8F2BB-5536-4A60-BCC8-EA1A9BA51E82}"/>
    <cellStyle name="Vírgula 5 3 2 2 15" xfId="46992" xr:uid="{083E0D72-BB8E-4798-B774-4D9B2CD66EC8}"/>
    <cellStyle name="Vírgula 5 3 2 2 16" xfId="49179" xr:uid="{A6008111-68D0-422A-934A-22C51EFC32CB}"/>
    <cellStyle name="Vírgula 5 3 2 2 17" xfId="50849" xr:uid="{D3B5D1FE-EE57-479E-8CE3-25D8520BE20F}"/>
    <cellStyle name="Vírgula 5 3 2 2 18" xfId="54144" xr:uid="{9FA59D85-3A30-43C2-A66B-3980D4669FA8}"/>
    <cellStyle name="Vírgula 5 3 2 2 19" xfId="5740" xr:uid="{8E4B8A8C-4074-49C5-B2E3-A3DB364B63ED}"/>
    <cellStyle name="Vírgula 5 3 2 2 2" xfId="1232" xr:uid="{00009AA5-777F-4789-9F26-737D2A5D72D2}"/>
    <cellStyle name="Vírgula 5 3 2 2 2 10" xfId="46743" xr:uid="{DA63FD86-B8D2-4303-8D7F-5B3C5599FD7F}"/>
    <cellStyle name="Vírgula 5 3 2 2 2 11" xfId="47235" xr:uid="{783F190E-1A18-4912-84AB-9BFFFF2A2DB3}"/>
    <cellStyle name="Vírgula 5 3 2 2 2 12" xfId="49180" xr:uid="{541B04FA-C584-4B5B-B308-4AB4A99F1763}"/>
    <cellStyle name="Vírgula 5 3 2 2 2 13" xfId="50850" xr:uid="{986C19F8-7A5A-4631-8FDD-A6145F7B971F}"/>
    <cellStyle name="Vírgula 5 3 2 2 2 14" xfId="54145" xr:uid="{3B965737-25B5-449F-857B-69A53779C817}"/>
    <cellStyle name="Vírgula 5 3 2 2 2 15" xfId="6316" xr:uid="{56F3DAA0-3980-4B54-B1D0-D3909D952E60}"/>
    <cellStyle name="Vírgula 5 3 2 2 2 16" xfId="5132" xr:uid="{464B5DE6-D189-45D7-AE1D-456B91E29E79}"/>
    <cellStyle name="Vírgula 5 3 2 2 2 2" xfId="2893" xr:uid="{2FBDBB48-E287-43ED-891C-CD59B0FDD9C1}"/>
    <cellStyle name="Vírgula 5 3 2 2 2 2 10" xfId="7474" xr:uid="{A1F10420-244E-4EC8-8355-8BEA18F1D5BB}"/>
    <cellStyle name="Vírgula 5 3 2 2 2 2 2" xfId="17760" xr:uid="{95CB9B82-DA3E-449E-A9E9-36B28607FDD6}"/>
    <cellStyle name="Vírgula 5 3 2 2 2 2 2 2" xfId="38100" xr:uid="{09A44CF2-776A-42EA-B832-8DC8EA957CA8}"/>
    <cellStyle name="Vírgula 5 3 2 2 2 2 3" xfId="21262" xr:uid="{58415139-E324-4FD3-8B34-0E8F4D3E2633}"/>
    <cellStyle name="Vírgula 5 3 2 2 2 2 3 2" xfId="41601" xr:uid="{5B233241-AF4E-4D4F-A52F-1F997568609B}"/>
    <cellStyle name="Vírgula 5 3 2 2 2 2 4" xfId="24517" xr:uid="{B7B7B51E-4994-494C-A794-D2111CB4D83D}"/>
    <cellStyle name="Vírgula 5 3 2 2 2 2 4 2" xfId="44852" xr:uid="{E6757314-E5A7-42B0-9639-554DE80A46DD}"/>
    <cellStyle name="Vírgula 5 3 2 2 2 2 5" xfId="14851" xr:uid="{3BE222F9-4A4B-4857-A06D-797489A54E09}"/>
    <cellStyle name="Vírgula 5 3 2 2 2 2 5 2" xfId="35192" xr:uid="{6B744399-3751-4E75-BAD6-C703E8403479}"/>
    <cellStyle name="Vírgula 5 3 2 2 2 2 6" xfId="10973" xr:uid="{DDBF9F73-854D-4D5A-975D-44D07BA936D0}"/>
    <cellStyle name="Vírgula 5 3 2 2 2 2 6 2" xfId="31316" xr:uid="{FBF1AA1A-5EEC-443C-9D55-2826A1B950C9}"/>
    <cellStyle name="Vírgula 5 3 2 2 2 2 7" xfId="27822" xr:uid="{0CC1AB3F-44E7-48C2-8E0A-9069787C099E}"/>
    <cellStyle name="Vírgula 5 3 2 2 2 2 8" xfId="52482" xr:uid="{C9885531-BBCF-4154-9308-A7F95F582789}"/>
    <cellStyle name="Vírgula 5 3 2 2 2 2 9" xfId="55776" xr:uid="{790B58FB-170C-4C58-9188-0D87EE519B6D}"/>
    <cellStyle name="Vírgula 5 3 2 2 2 3" xfId="16602" xr:uid="{FA3F76B8-50D0-4E7B-8B04-CF7B238DD048}"/>
    <cellStyle name="Vírgula 5 3 2 2 2 3 2" xfId="36942" xr:uid="{57950665-C3E3-44E6-95AA-FFAB0EC0888F}"/>
    <cellStyle name="Vírgula 5 3 2 2 2 3 3" xfId="57103" xr:uid="{FD383AA3-FD84-42B6-B554-322BC94EC30A}"/>
    <cellStyle name="Vírgula 5 3 2 2 2 4" xfId="20104" xr:uid="{7384F81B-37F4-4977-9E47-D9C59B8AFE78}"/>
    <cellStyle name="Vírgula 5 3 2 2 2 4 2" xfId="40443" xr:uid="{0EFF40CC-221A-4F87-976B-1A5E5B98FF44}"/>
    <cellStyle name="Vírgula 5 3 2 2 2 5" xfId="23359" xr:uid="{36C7102D-55AD-4756-ABE9-15C0C83F5329}"/>
    <cellStyle name="Vírgula 5 3 2 2 2 5 2" xfId="43694" xr:uid="{906FDA5C-3A40-4317-B145-87011F117ACA}"/>
    <cellStyle name="Vírgula 5 3 2 2 2 6" xfId="13693" xr:uid="{BE5C7C8B-83D9-4785-8478-69235C8B67AF}"/>
    <cellStyle name="Vírgula 5 3 2 2 2 6 2" xfId="34034" xr:uid="{4A97A1E3-BD40-455E-9854-6E0B29B0A204}"/>
    <cellStyle name="Vírgula 5 3 2 2 2 7" xfId="9815" xr:uid="{4E6043A0-FC2A-4AFF-BAAF-79166A0D36AD}"/>
    <cellStyle name="Vírgula 5 3 2 2 2 7 2" xfId="30158" xr:uid="{06B7260B-25E4-4F31-8F3A-C3F890B444E4}"/>
    <cellStyle name="Vírgula 5 3 2 2 2 8" xfId="26664" xr:uid="{2C46951B-A7D1-4FAA-9282-CE9517D6E211}"/>
    <cellStyle name="Vírgula 5 3 2 2 2 9" xfId="46257" xr:uid="{40779455-002B-41DB-B9AD-EDA839D1E8C1}"/>
    <cellStyle name="Vírgula 5 3 2 2 20" xfId="4697" xr:uid="{919BFA88-77F0-4A12-B3E7-E15A6AF0C0D4}"/>
    <cellStyle name="Vírgula 5 3 2 2 3" xfId="1638" xr:uid="{B81D67B6-D1A1-4A6C-B16C-E53D97514423}"/>
    <cellStyle name="Vírgula 5 3 2 2 3 10" xfId="54146" xr:uid="{C34B8396-B634-4F9E-8AAE-ECF4955B68C9}"/>
    <cellStyle name="Vírgula 5 3 2 2 3 11" xfId="6893" xr:uid="{9CBAC9DF-F3D6-4BC3-BBA0-3E2310E29533}"/>
    <cellStyle name="Vírgula 5 3 2 2 3 2" xfId="3298" xr:uid="{819A1E63-BB72-418D-A1DF-764935813B70}"/>
    <cellStyle name="Vírgula 5 3 2 2 3 2 2" xfId="37519" xr:uid="{C13EE9FE-4DA0-4604-8A53-B15FC3A70A08}"/>
    <cellStyle name="Vírgula 5 3 2 2 3 2 3" xfId="52483" xr:uid="{2E31202B-FCD9-4C31-8003-4C5A2520CB59}"/>
    <cellStyle name="Vírgula 5 3 2 2 3 2 4" xfId="55777" xr:uid="{E0654E26-6E35-4B20-9E80-DB86412396D2}"/>
    <cellStyle name="Vírgula 5 3 2 2 3 2 5" xfId="17179" xr:uid="{E0E99C0E-06D9-4ABB-8273-E3BFE75454BE}"/>
    <cellStyle name="Vírgula 5 3 2 2 3 3" xfId="20681" xr:uid="{D16201C7-75AC-46FC-8D02-8BCF702E8027}"/>
    <cellStyle name="Vírgula 5 3 2 2 3 3 2" xfId="41020" xr:uid="{5EE3BEDC-D444-415E-BBEE-48586435829E}"/>
    <cellStyle name="Vírgula 5 3 2 2 3 3 3" xfId="57509" xr:uid="{004DB1D5-07A6-40C2-8552-1A49149048D4}"/>
    <cellStyle name="Vírgula 5 3 2 2 3 4" xfId="23936" xr:uid="{08536712-0EE4-40F1-A408-8DEED29E851C}"/>
    <cellStyle name="Vírgula 5 3 2 2 3 4 2" xfId="44271" xr:uid="{F9CF4F13-5D21-4F6E-8DD8-26C7619792E5}"/>
    <cellStyle name="Vírgula 5 3 2 2 3 5" xfId="14270" xr:uid="{D3E93693-C50B-4996-AF7B-55D4EFDB87D2}"/>
    <cellStyle name="Vírgula 5 3 2 2 3 5 2" xfId="34611" xr:uid="{0E2626E2-64D4-4E70-A04A-1B9554B179FA}"/>
    <cellStyle name="Vírgula 5 3 2 2 3 6" xfId="10392" xr:uid="{20663263-781C-4C99-9476-2F24F18A3BC0}"/>
    <cellStyle name="Vírgula 5 3 2 2 3 6 2" xfId="30735" xr:uid="{FA29C223-A484-4F06-80B4-716352D3A676}"/>
    <cellStyle name="Vírgula 5 3 2 2 3 7" xfId="27241" xr:uid="{7B74BF9D-3BEE-4B59-A11B-EAAC7A23C6B3}"/>
    <cellStyle name="Vírgula 5 3 2 2 3 8" xfId="49181" xr:uid="{7C86F01C-8B03-4BFE-8FA8-553517372A56}"/>
    <cellStyle name="Vírgula 5 3 2 2 3 9" xfId="50851" xr:uid="{20AF94C3-285D-4F9F-8255-35C97142E6C1}"/>
    <cellStyle name="Vírgula 5 3 2 2 4" xfId="825" xr:uid="{C5574B7D-7BA7-4757-8F53-EC4A95AB41EE}"/>
    <cellStyle name="Vírgula 5 3 2 2 4 10" xfId="54147" xr:uid="{A2BF7590-FDAC-40E3-8798-3E513BCD03F9}"/>
    <cellStyle name="Vírgula 5 3 2 2 4 11" xfId="8057" xr:uid="{4F957C6A-1C5F-405C-A0F7-B73123DA10F3}"/>
    <cellStyle name="Vírgula 5 3 2 2 4 2" xfId="2541" xr:uid="{3D2D1FCD-F8C9-47FE-84FE-27643B208D8B}"/>
    <cellStyle name="Vírgula 5 3 2 2 4 2 2" xfId="38682" xr:uid="{4DDB4410-200E-4FE0-A3E9-AB720B6969C6}"/>
    <cellStyle name="Vírgula 5 3 2 2 4 2 3" xfId="52484" xr:uid="{4B87023E-0FB2-4568-9549-554BC52459CB}"/>
    <cellStyle name="Vírgula 5 3 2 2 4 2 4" xfId="55778" xr:uid="{9497F8C6-7ED0-4A7A-8F12-EC9DF1D01016}"/>
    <cellStyle name="Vírgula 5 3 2 2 4 2 5" xfId="18342" xr:uid="{2601C053-0937-496E-B971-F2A485D1C19A}"/>
    <cellStyle name="Vírgula 5 3 2 2 4 3" xfId="21844" xr:uid="{73A60FCC-8BC1-4A96-81C9-B89135D0CD94}"/>
    <cellStyle name="Vírgula 5 3 2 2 4 3 2" xfId="42183" xr:uid="{E5738FF0-84A4-4137-82B8-33AC61608DB0}"/>
    <cellStyle name="Vírgula 5 3 2 2 4 3 3" xfId="56696" xr:uid="{EE50CCE3-4BF5-4533-8380-35515DB2E782}"/>
    <cellStyle name="Vírgula 5 3 2 2 4 4" xfId="25099" xr:uid="{6B2CC547-F4A2-44BE-A3C5-70B65DC4F563}"/>
    <cellStyle name="Vírgula 5 3 2 2 4 4 2" xfId="45434" xr:uid="{E89E97BA-EAF9-4DE7-A1B9-BDDAD6ADD520}"/>
    <cellStyle name="Vírgula 5 3 2 2 4 5" xfId="15434" xr:uid="{81C24A46-21B0-4296-8513-2F55A0DF5317}"/>
    <cellStyle name="Vírgula 5 3 2 2 4 5 2" xfId="35774" xr:uid="{2A024FBF-A11B-4F74-8F86-79A247050452}"/>
    <cellStyle name="Vírgula 5 3 2 2 4 6" xfId="11555" xr:uid="{27F1FD77-0981-4A40-A218-998C91FAC471}"/>
    <cellStyle name="Vírgula 5 3 2 2 4 6 2" xfId="31898" xr:uid="{06CB3000-F864-4300-8684-A861C18A32E4}"/>
    <cellStyle name="Vírgula 5 3 2 2 4 7" xfId="28404" xr:uid="{11ECA5D7-5C67-4AE1-842D-41B457C0936B}"/>
    <cellStyle name="Vírgula 5 3 2 2 4 8" xfId="49182" xr:uid="{80909A66-66B1-4BED-8500-B365B03D03AA}"/>
    <cellStyle name="Vírgula 5 3 2 2 4 9" xfId="50852" xr:uid="{7DE1F89C-5E16-46E1-ACE9-E1520593E9D0}"/>
    <cellStyle name="Vírgula 5 3 2 2 5" xfId="3679" xr:uid="{40353845-6A32-4990-8BE2-F8A42BAC2939}"/>
    <cellStyle name="Vírgula 5 3 2 2 5 2" xfId="22104" xr:uid="{BF340F9B-3FA2-4A0E-B1B4-443D8D7D2710}"/>
    <cellStyle name="Vírgula 5 3 2 2 5 2 2" xfId="42440" xr:uid="{FD684464-8C26-4B2A-BE5B-12347353D471}"/>
    <cellStyle name="Vírgula 5 3 2 2 5 3" xfId="25356" xr:uid="{9BF289BB-8735-465F-BD02-CFD98C090C5B}"/>
    <cellStyle name="Vírgula 5 3 2 2 5 3 2" xfId="45691" xr:uid="{AB183E56-DE43-46DF-AEE0-9EE54709850A}"/>
    <cellStyle name="Vírgula 5 3 2 2 5 4" xfId="13124" xr:uid="{1FBBA8B8-99DC-4738-AFC6-5B278B6579B3}"/>
    <cellStyle name="Vírgula 5 3 2 2 5 4 2" xfId="33465" xr:uid="{2DDFC84C-1860-4DB7-ABA8-2C9A00F5340E}"/>
    <cellStyle name="Vírgula 5 3 2 2 5 5" xfId="11813" xr:uid="{CD46895A-56CE-4552-83C4-47266570C1C5}"/>
    <cellStyle name="Vírgula 5 3 2 2 5 5 2" xfId="32155" xr:uid="{25D807EF-9AD8-49C0-B3BA-8B4041E67A4A}"/>
    <cellStyle name="Vírgula 5 3 2 2 5 6" xfId="28661" xr:uid="{BFE7698B-57A0-4324-A06D-998C8459C8DD}"/>
    <cellStyle name="Vírgula 5 3 2 2 5 7" xfId="52481" xr:uid="{7F4A9E05-E9DF-44CC-A277-CD8EE3A27EAC}"/>
    <cellStyle name="Vírgula 5 3 2 2 5 8" xfId="55775" xr:uid="{7DCFA54B-CC3F-41D5-BAB2-9A38F43B21B6}"/>
    <cellStyle name="Vírgula 5 3 2 2 5 9" xfId="8317" xr:uid="{0BE02C5C-913B-4C15-800B-A761D53E8BC1}"/>
    <cellStyle name="Vírgula 5 3 2 2 6" xfId="4123" xr:uid="{3C6B318C-1368-44E3-A2FA-ACA37DBBB87D}"/>
    <cellStyle name="Vírgula 5 3 2 2 6 2" xfId="16021" xr:uid="{B53E39DD-A72E-403E-9840-596BCF76B29E}"/>
    <cellStyle name="Vírgula 5 3 2 2 6 2 2" xfId="36361" xr:uid="{E0A5D700-C116-4530-93DE-B08C14758575}"/>
    <cellStyle name="Vírgula 5 3 2 2 6 3" xfId="28982" xr:uid="{795460C2-5C72-4528-8281-CC7F1678F2DD}"/>
    <cellStyle name="Vírgula 5 3 2 2 6 4" xfId="56287" xr:uid="{358D9415-5750-4276-B4B5-4C44FF02B58B}"/>
    <cellStyle name="Vírgula 5 3 2 2 6 5" xfId="8639" xr:uid="{BA4A2257-7BD1-49CE-911B-F82FC4CA0FB8}"/>
    <cellStyle name="Vírgula 5 3 2 2 7" xfId="2028" xr:uid="{03F79055-E920-43A4-BD78-6874A2F38D19}"/>
    <cellStyle name="Vírgula 5 3 2 2 7 2" xfId="39275" xr:uid="{30AE3E2D-006B-4730-9D54-487AE230B792}"/>
    <cellStyle name="Vírgula 5 3 2 2 7 3" xfId="18935" xr:uid="{224CB3FD-07CE-4B20-A0A2-65A3F1467BC2}"/>
    <cellStyle name="Vírgula 5 3 2 2 8" xfId="19523" xr:uid="{85DB9739-C51B-45DB-B816-42AB338CC204}"/>
    <cellStyle name="Vírgula 5 3 2 2 8 2" xfId="39862" xr:uid="{888F650F-B7DB-46C9-9140-94E213D44EEE}"/>
    <cellStyle name="Vírgula 5 3 2 2 9" xfId="22778" xr:uid="{5A29BBDE-35E4-4219-9521-B3455D0B0DCB}"/>
    <cellStyle name="Vírgula 5 3 2 2 9 2" xfId="43113" xr:uid="{BB86E2E3-BC21-4614-8AD6-0733E7449C79}"/>
    <cellStyle name="Vírgula 5 3 2 20" xfId="49178" xr:uid="{F1342C57-F2A0-4113-B22B-8CF62CE85C1B}"/>
    <cellStyle name="Vírgula 5 3 2 21" xfId="50848" xr:uid="{FF1D4BBA-6EB4-46E6-BDD0-3709BEF3D996}"/>
    <cellStyle name="Vírgula 5 3 2 22" xfId="54143" xr:uid="{1C005F61-6F60-45E7-8852-A228D0A6D263}"/>
    <cellStyle name="Vírgula 5 3 2 23" xfId="5369" xr:uid="{AD641E7B-3402-4063-9B3B-1530C69A5305}"/>
    <cellStyle name="Vírgula 5 3 2 24" xfId="4508" xr:uid="{80AD19C7-43F5-4644-ACDF-D15CD6FA5993}"/>
    <cellStyle name="Vírgula 5 3 2 3" xfId="1043" xr:uid="{DE81476C-349E-4261-9F53-7B227EA59DDC}"/>
    <cellStyle name="Vírgula 5 3 2 3 10" xfId="46634" xr:uid="{2719541A-185E-49F0-B6D3-8BFCDBF3E40A}"/>
    <cellStyle name="Vírgula 5 3 2 3 11" xfId="47126" xr:uid="{46F3C5BD-F412-4872-8BF8-7C528DD9736B}"/>
    <cellStyle name="Vírgula 5 3 2 3 12" xfId="49183" xr:uid="{8DC9912C-89B8-46D8-B61A-90B9AE855E21}"/>
    <cellStyle name="Vírgula 5 3 2 3 13" xfId="50853" xr:uid="{BF778668-9068-4460-8B39-E68AC47BB6CA}"/>
    <cellStyle name="Vírgula 5 3 2 3 14" xfId="54148" xr:uid="{3B0DAD2D-D7C3-4673-9476-EEFFAECF34D0}"/>
    <cellStyle name="Vírgula 5 3 2 3 15" xfId="5929" xr:uid="{3BC36E06-77B1-41A5-B0B9-E096D035A721}"/>
    <cellStyle name="Vírgula 5 3 2 3 16" xfId="5027" xr:uid="{0C26EBAB-EDE5-4760-B6C5-FBECAF309D6E}"/>
    <cellStyle name="Vírgula 5 3 2 3 2" xfId="3570" xr:uid="{1FDCC90E-2EC5-4173-8CCE-B5DA6B8421B2}"/>
    <cellStyle name="Vírgula 5 3 2 3 2 10" xfId="7087" xr:uid="{C05B5E82-1688-4356-99F3-76D16C99F4C1}"/>
    <cellStyle name="Vírgula 5 3 2 3 2 2" xfId="17373" xr:uid="{657D8D27-758A-4A44-9029-A223ED55F872}"/>
    <cellStyle name="Vírgula 5 3 2 3 2 2 2" xfId="37713" xr:uid="{EB8D0716-B859-47B3-837E-F2A6549EC2BF}"/>
    <cellStyle name="Vírgula 5 3 2 3 2 3" xfId="20875" xr:uid="{BD6CAF2C-FCA1-41C3-AA43-692C029CEE88}"/>
    <cellStyle name="Vírgula 5 3 2 3 2 3 2" xfId="41214" xr:uid="{AC993F36-40CD-4AC2-A422-B29329FF9DB0}"/>
    <cellStyle name="Vírgula 5 3 2 3 2 4" xfId="24130" xr:uid="{6A3B7FCC-F817-42DB-BA19-C2E4AA611B5F}"/>
    <cellStyle name="Vírgula 5 3 2 3 2 4 2" xfId="44465" xr:uid="{DF116E47-1885-419B-801F-6D9D8FA8C3FE}"/>
    <cellStyle name="Vírgula 5 3 2 3 2 5" xfId="14464" xr:uid="{9433FE0B-826A-4132-8ABF-7E9A347EE3D6}"/>
    <cellStyle name="Vírgula 5 3 2 3 2 5 2" xfId="34805" xr:uid="{6595791F-C89D-44A1-A844-B6D9C2DDC01C}"/>
    <cellStyle name="Vírgula 5 3 2 3 2 6" xfId="10586" xr:uid="{A4FA9F2D-DF70-446B-B291-C56575C708C4}"/>
    <cellStyle name="Vírgula 5 3 2 3 2 6 2" xfId="30929" xr:uid="{D3D30653-01C1-4FA1-BD18-9F347949F38A}"/>
    <cellStyle name="Vírgula 5 3 2 3 2 7" xfId="27435" xr:uid="{1FC80F0E-345E-40A1-A40D-1E87E70CA967}"/>
    <cellStyle name="Vírgula 5 3 2 3 2 8" xfId="52485" xr:uid="{2ECF9A05-EE02-4F1F-8F23-6AA111036B7A}"/>
    <cellStyle name="Vírgula 5 3 2 3 2 9" xfId="55779" xr:uid="{39A1E4EE-2484-4F0A-9D1A-74C1A9B49E38}"/>
    <cellStyle name="Vírgula 5 3 2 3 3" xfId="4295" xr:uid="{2A57A74D-639F-4523-90DF-9F653B6C3781}"/>
    <cellStyle name="Vírgula 5 3 2 3 3 2" xfId="22105" xr:uid="{5E244083-65BD-4150-A696-DB8239A748C1}"/>
    <cellStyle name="Vírgula 5 3 2 3 3 2 2" xfId="42441" xr:uid="{26B4FB0B-9FFE-4CE8-8E69-9645320E6695}"/>
    <cellStyle name="Vírgula 5 3 2 3 3 3" xfId="25357" xr:uid="{D2D5928E-183C-4466-8E2C-A018E21ADD81}"/>
    <cellStyle name="Vírgula 5 3 2 3 3 3 2" xfId="45692" xr:uid="{614686C7-10AA-4EF3-8FCF-7339EDBB688E}"/>
    <cellStyle name="Vírgula 5 3 2 3 3 4" xfId="16215" xr:uid="{CB6D1476-9CDD-44E0-992C-B6E89BAA68E8}"/>
    <cellStyle name="Vírgula 5 3 2 3 3 4 2" xfId="36555" xr:uid="{17F6FB6F-DC05-4EE6-8F84-AF8986D55D51}"/>
    <cellStyle name="Vírgula 5 3 2 3 3 5" xfId="11814" xr:uid="{3C0D731B-A566-445D-8022-1CCE16AFB8E1}"/>
    <cellStyle name="Vírgula 5 3 2 3 3 5 2" xfId="32156" xr:uid="{A179524C-D507-40DE-A853-AEA3A10B91C3}"/>
    <cellStyle name="Vírgula 5 3 2 3 3 6" xfId="28662" xr:uid="{5C338F04-9612-48CE-A564-19BE0E892834}"/>
    <cellStyle name="Vírgula 5 3 2 3 3 7" xfId="56914" xr:uid="{E9B040C5-A20A-4C15-8D03-EDFBFA30E9F8}"/>
    <cellStyle name="Vírgula 5 3 2 3 3 8" xfId="8318" xr:uid="{3B904A5E-E09A-4A36-ABC4-9CDCF360BB28}"/>
    <cellStyle name="Vírgula 5 3 2 3 4" xfId="1919" xr:uid="{71AD5263-DCFE-4D4F-8EB3-7FB957A66ED3}"/>
    <cellStyle name="Vírgula 5 3 2 3 4 2" xfId="40056" xr:uid="{209E6E77-B37C-4F0D-BE8B-BA63AFB35BE0}"/>
    <cellStyle name="Vírgula 5 3 2 3 4 3" xfId="19717" xr:uid="{1F224C61-5B83-42FB-8037-4AD641A6AFFE}"/>
    <cellStyle name="Vírgula 5 3 2 3 5" xfId="22972" xr:uid="{8681F8B0-A1A2-41D5-B990-0BB5B17AD884}"/>
    <cellStyle name="Vírgula 5 3 2 3 5 2" xfId="43307" xr:uid="{8429EB1C-1735-401A-A15E-36BEDEA7BB2D}"/>
    <cellStyle name="Vírgula 5 3 2 3 6" xfId="13307" xr:uid="{3735F30A-8737-4233-9217-3CC58A57DAAA}"/>
    <cellStyle name="Vírgula 5 3 2 3 6 2" xfId="33648" xr:uid="{9AA30F3B-5740-43ED-8BEB-7C0AB1DB63AC}"/>
    <cellStyle name="Vírgula 5 3 2 3 7" xfId="9428" xr:uid="{2E0CC33A-FE0D-4F5E-B0D4-9770A045EB64}"/>
    <cellStyle name="Vírgula 5 3 2 3 7 2" xfId="29771" xr:uid="{D5C3A0C5-E786-4C3C-AD8B-9D4F4C8119AA}"/>
    <cellStyle name="Vírgula 5 3 2 3 8" xfId="26277" xr:uid="{F1A37DC7-0E1F-441B-83B2-D58C975018B0}"/>
    <cellStyle name="Vírgula 5 3 2 3 9" xfId="46148" xr:uid="{3C128E1D-9723-4343-A827-0ECD232F6ABE}"/>
    <cellStyle name="Vírgula 5 3 2 4" xfId="1449" xr:uid="{2BC12F36-9AF1-44BB-8529-ED47EF0ABC45}"/>
    <cellStyle name="Vírgula 5 3 2 4 10" xfId="54149" xr:uid="{9DB9D90C-B837-415B-BB85-82838219C5B6}"/>
    <cellStyle name="Vírgula 5 3 2 4 11" xfId="6506" xr:uid="{0F3C0A26-83B6-4DE8-A58A-A4C681D4250A}"/>
    <cellStyle name="Vírgula 5 3 2 4 12" xfId="4913" xr:uid="{3BEA658E-3244-45F8-8EBC-F39633FEC1FC}"/>
    <cellStyle name="Vírgula 5 3 2 4 2" xfId="3788" xr:uid="{9879A401-7A5E-41E9-A4AC-B19318DE4F51}"/>
    <cellStyle name="Vírgula 5 3 2 4 2 2" xfId="37132" xr:uid="{55A452F5-2E4D-4FD7-96BA-F9091BC69336}"/>
    <cellStyle name="Vírgula 5 3 2 4 2 3" xfId="52486" xr:uid="{E142E400-977F-49A4-ACF4-F16DA3F2A626}"/>
    <cellStyle name="Vírgula 5 3 2 4 2 4" xfId="55780" xr:uid="{24759E66-C5F3-4BC0-9E21-57C9863CAE6F}"/>
    <cellStyle name="Vírgula 5 3 2 4 2 5" xfId="16792" xr:uid="{BF4D6CCA-C9F2-4A4A-9DCD-EEDA24B68220}"/>
    <cellStyle name="Vírgula 5 3 2 4 3" xfId="3110" xr:uid="{7F5AA8CE-C5BD-4E95-B06E-F9B2C288EB83}"/>
    <cellStyle name="Vírgula 5 3 2 4 3 2" xfId="40633" xr:uid="{D7316E04-7B35-46C2-8E79-55A639E454DA}"/>
    <cellStyle name="Vírgula 5 3 2 4 3 3" xfId="57320" xr:uid="{0CC919E8-0DD7-40D3-9ED0-7C8074195340}"/>
    <cellStyle name="Vírgula 5 3 2 4 3 4" xfId="20294" xr:uid="{AC70AB70-167E-43F0-89A5-C5F5F4687B64}"/>
    <cellStyle name="Vírgula 5 3 2 4 4" xfId="23549" xr:uid="{14828931-9EC7-4247-9771-A36B98960DD0}"/>
    <cellStyle name="Vírgula 5 3 2 4 4 2" xfId="43884" xr:uid="{28F44DC8-915B-4E7A-A7D4-1D1B51819408}"/>
    <cellStyle name="Vírgula 5 3 2 4 5" xfId="13883" xr:uid="{431D9AD5-1FA3-483D-BB3D-EDCB1AE3B0F7}"/>
    <cellStyle name="Vírgula 5 3 2 4 5 2" xfId="34224" xr:uid="{AB412D5F-6809-441A-9FAB-B6949C537A69}"/>
    <cellStyle name="Vírgula 5 3 2 4 6" xfId="10005" xr:uid="{76FFE508-5656-490B-802E-13A04624DC26}"/>
    <cellStyle name="Vírgula 5 3 2 4 6 2" xfId="30348" xr:uid="{0A83C8A1-40E6-4B2B-AC2B-BE6BCF1A7B48}"/>
    <cellStyle name="Vírgula 5 3 2 4 7" xfId="26854" xr:uid="{157EF656-23C9-463E-AEE4-82FECC417848}"/>
    <cellStyle name="Vírgula 5 3 2 4 8" xfId="49184" xr:uid="{CFE7E608-B3D4-4D0A-83DB-BCA94DE0EA3E}"/>
    <cellStyle name="Vírgula 5 3 2 4 9" xfId="50854" xr:uid="{B0D85507-A437-4D16-8671-DCE8C4E3B91B}"/>
    <cellStyle name="Vírgula 5 3 2 5" xfId="636" xr:uid="{2EECBB6A-8BE5-4069-863B-A9CC9A3B4A0E}"/>
    <cellStyle name="Vírgula 5 3 2 5 10" xfId="54150" xr:uid="{D22F515C-C5EB-4D45-AB6D-ACCC78171773}"/>
    <cellStyle name="Vírgula 5 3 2 5 11" xfId="7670" xr:uid="{2DA0C7D0-BACC-4053-9754-97EA0DF55251}"/>
    <cellStyle name="Vírgula 5 3 2 5 2" xfId="2352" xr:uid="{45AF23B6-AB2B-4AC6-BDA9-2F316C5B5E86}"/>
    <cellStyle name="Vírgula 5 3 2 5 2 2" xfId="38295" xr:uid="{9D82CD5C-CC6B-47AA-A733-15B58774DB6A}"/>
    <cellStyle name="Vírgula 5 3 2 5 2 3" xfId="52487" xr:uid="{22AC9DE0-208D-4703-B75B-B1D2F05E674D}"/>
    <cellStyle name="Vírgula 5 3 2 5 2 4" xfId="55781" xr:uid="{3DA2819F-07AA-48B0-AA33-82526C8A907E}"/>
    <cellStyle name="Vírgula 5 3 2 5 2 5" xfId="17955" xr:uid="{5216DE73-7862-4F92-9917-0109E18421F9}"/>
    <cellStyle name="Vírgula 5 3 2 5 3" xfId="21457" xr:uid="{9E9CB167-0EFB-4769-BD04-8286C56B387F}"/>
    <cellStyle name="Vírgula 5 3 2 5 3 2" xfId="41796" xr:uid="{88B2130D-7976-4CF4-84D8-218C30E2C119}"/>
    <cellStyle name="Vírgula 5 3 2 5 3 3" xfId="56507" xr:uid="{CC13011B-904C-4504-8977-5856E5EAE787}"/>
    <cellStyle name="Vírgula 5 3 2 5 4" xfId="24712" xr:uid="{E1E3E180-ACD5-44DA-B857-0B8E5AEC55CF}"/>
    <cellStyle name="Vírgula 5 3 2 5 4 2" xfId="45047" xr:uid="{05FE8FE5-2C4D-4E4C-8BD1-5F48226E0888}"/>
    <cellStyle name="Vírgula 5 3 2 5 5" xfId="15047" xr:uid="{C28590ED-BA05-48DA-9F6A-69305336BAA5}"/>
    <cellStyle name="Vírgula 5 3 2 5 5 2" xfId="35387" xr:uid="{FDE2A8E5-239C-47E4-9D81-3A23876DB2A6}"/>
    <cellStyle name="Vírgula 5 3 2 5 6" xfId="11168" xr:uid="{1724447A-916B-4068-BB13-0C1C6842EBF2}"/>
    <cellStyle name="Vírgula 5 3 2 5 6 2" xfId="31511" xr:uid="{BADDFD45-1019-4856-AB84-FF8231E34066}"/>
    <cellStyle name="Vírgula 5 3 2 5 7" xfId="28017" xr:uid="{D25B0A85-E187-4FC8-BACE-3D074F29FB93}"/>
    <cellStyle name="Vírgula 5 3 2 5 8" xfId="49185" xr:uid="{2DBF97CF-9FBD-44A1-88AA-170F34D64EE6}"/>
    <cellStyle name="Vírgula 5 3 2 5 9" xfId="50855" xr:uid="{3954A0FF-F72D-44F4-AB37-2D163106EF32}"/>
    <cellStyle name="Vírgula 5 3 2 6" xfId="3460" xr:uid="{9BBF70FB-973F-438B-B11C-BD4BA9B67F80}"/>
    <cellStyle name="Vírgula 5 3 2 6 2" xfId="22103" xr:uid="{4FC48CB8-08EF-4105-A05E-E615EFA446E4}"/>
    <cellStyle name="Vírgula 5 3 2 6 2 2" xfId="42439" xr:uid="{7829201B-28F4-4CF4-ABF1-8A8A7B553625}"/>
    <cellStyle name="Vírgula 5 3 2 6 3" xfId="25355" xr:uid="{63C60419-30D7-4970-BE0F-3E026141751F}"/>
    <cellStyle name="Vírgula 5 3 2 6 3 2" xfId="45690" xr:uid="{E94052B1-A7A7-4BD5-A014-B81A65FEB00C}"/>
    <cellStyle name="Vírgula 5 3 2 6 4" xfId="12738" xr:uid="{FE540922-A43A-4BF7-BFD8-B77D47A49EAD}"/>
    <cellStyle name="Vírgula 5 3 2 6 4 2" xfId="33079" xr:uid="{BF7A8268-89A0-480B-B683-43CEEC188E2D}"/>
    <cellStyle name="Vírgula 5 3 2 6 5" xfId="11812" xr:uid="{BCE41A6A-E9B4-4E7C-9AC0-999FAD184C48}"/>
    <cellStyle name="Vírgula 5 3 2 6 5 2" xfId="32154" xr:uid="{2B35D547-4512-44C8-92A5-C0FD16CA39FC}"/>
    <cellStyle name="Vírgula 5 3 2 6 6" xfId="28660" xr:uid="{C4ECC2A7-F68F-49E3-88FE-FE9750019C76}"/>
    <cellStyle name="Vírgula 5 3 2 6 7" xfId="52480" xr:uid="{11B9711A-9CAC-4136-87D4-778576EC0949}"/>
    <cellStyle name="Vírgula 5 3 2 6 8" xfId="55774" xr:uid="{1ECDD45E-C759-4439-BB19-8862AFC1C7DD}"/>
    <cellStyle name="Vírgula 5 3 2 6 9" xfId="8316" xr:uid="{5F1C6653-112D-4EB9-90DF-2D4C239F247E}"/>
    <cellStyle name="Vírgula 5 3 2 7" xfId="3951" xr:uid="{102E1586-0999-466C-8E7B-AE7AAF4EFCD7}"/>
    <cellStyle name="Vírgula 5 3 2 7 2" xfId="15634" xr:uid="{C05B50E3-34D9-49CD-9D86-45A30B0720B3}"/>
    <cellStyle name="Vírgula 5 3 2 7 2 2" xfId="35974" xr:uid="{8372A670-A1DF-491B-B764-5866025721A3}"/>
    <cellStyle name="Vírgula 5 3 2 7 3" xfId="28873" xr:uid="{4A07BC01-96DE-4D7D-B94A-969724FB1189}"/>
    <cellStyle name="Vírgula 5 3 2 7 4" xfId="56098" xr:uid="{7559F332-6ED4-457C-8704-2DDB1FD6173C}"/>
    <cellStyle name="Vírgula 5 3 2 7 5" xfId="8530" xr:uid="{F4C7AAE3-3643-46D3-B3FC-786A76C75140}"/>
    <cellStyle name="Vírgula 5 3 2 8" xfId="1809" xr:uid="{D50F55FB-7B7B-4C16-A402-9F9A5B0779CF}"/>
    <cellStyle name="Vírgula 5 3 2 8 2" xfId="38888" xr:uid="{273A260C-1C10-4D0B-8E0B-E125A444E987}"/>
    <cellStyle name="Vírgula 5 3 2 8 3" xfId="18548" xr:uid="{1FF073E5-73BA-478C-8444-9DD4FBF1D3C1}"/>
    <cellStyle name="Vírgula 5 3 2 9" xfId="19136" xr:uid="{FB267671-7E7C-44B5-83EA-548630497F5A}"/>
    <cellStyle name="Vírgula 5 3 2 9 2" xfId="39475" xr:uid="{044296CE-FEE7-4892-91C6-A12F9BA57B33}"/>
    <cellStyle name="Vírgula 5 3 20" xfId="47337" xr:uid="{70D50F75-8292-49CE-AC1F-B871A25CFF40}"/>
    <cellStyle name="Vírgula 5 3 21" xfId="47463" xr:uid="{30C6E421-6754-4EA8-9FF6-9B60A73C61A4}"/>
    <cellStyle name="Vírgula 5 3 22" xfId="47589" xr:uid="{C69FE023-93AC-40F4-835B-3B441C722C96}"/>
    <cellStyle name="Vírgula 5 3 23" xfId="49177" xr:uid="{50131B05-C6CB-4E92-BC19-AF55A810B5A4}"/>
    <cellStyle name="Vírgula 5 3 24" xfId="50847" xr:uid="{6FB18BF5-4F76-4849-A292-9553BC1E9688}"/>
    <cellStyle name="Vírgula 5 3 25" xfId="54142" xr:uid="{340ED3A4-A8A0-452F-86D8-49579023FDE1}"/>
    <cellStyle name="Vírgula 5 3 26" xfId="5246" xr:uid="{88375150-19B9-4FB1-8C18-19C9F63F7FAA}"/>
    <cellStyle name="Vírgula 5 3 27" xfId="4429" xr:uid="{6041D620-5397-4909-9B0D-9244841D820C}"/>
    <cellStyle name="Vírgula 5 3 3" xfId="279" xr:uid="{FD494629-79D3-4AB7-9EDE-7D5F2832EEE7}"/>
    <cellStyle name="Vírgula 5 3 3 10" xfId="12204" xr:uid="{94BBEF69-62B7-4CC1-8815-5D1E8E743DDE}"/>
    <cellStyle name="Vírgula 5 3 3 10 2" xfId="32545" xr:uid="{F40AFC95-4D1C-4F1C-8C9C-5A46E0CE1029}"/>
    <cellStyle name="Vírgula 5 3 3 11" xfId="8943" xr:uid="{8C663D50-0775-4B1B-BDC1-813B55D21463}"/>
    <cellStyle name="Vírgula 5 3 3 11 2" xfId="29286" xr:uid="{64782F4C-6DF0-48CC-88EE-71559767938B}"/>
    <cellStyle name="Vírgula 5 3 3 12" xfId="25792" xr:uid="{64771381-A732-4380-B432-F5C0EBB6898B}"/>
    <cellStyle name="Vírgula 5 3 3 13" xfId="46013" xr:uid="{C3E0DF7F-93F5-4F57-A5E3-7196A6FD702E}"/>
    <cellStyle name="Vírgula 5 3 3 14" xfId="46499" xr:uid="{B79CB23F-331B-4912-A6B7-A369B4F313A4}"/>
    <cellStyle name="Vírgula 5 3 3 15" xfId="46991" xr:uid="{C6279296-40A8-476A-8846-E44DC440D715}"/>
    <cellStyle name="Vírgula 5 3 3 16" xfId="49186" xr:uid="{703D3B04-D956-42C4-9D6C-5044CAABC278}"/>
    <cellStyle name="Vírgula 5 3 3 17" xfId="50856" xr:uid="{B84BF7D5-D3D5-48A5-82E9-7E0BCF4045F5}"/>
    <cellStyle name="Vírgula 5 3 3 18" xfId="54151" xr:uid="{30DEF9FF-8A58-4C6D-9387-4DDF5EECD1D0}"/>
    <cellStyle name="Vírgula 5 3 3 19" xfId="5457" xr:uid="{9D7E0459-9AE1-49F6-AFAA-4487DE7759A4}"/>
    <cellStyle name="Vírgula 5 3 3 2" xfId="468" xr:uid="{56CC4417-D580-497A-A854-1B973A11DCE0}"/>
    <cellStyle name="Vírgula 5 3 3 2 10" xfId="46742" xr:uid="{2FA30796-57D2-4420-B1F4-921A33A67C94}"/>
    <cellStyle name="Vírgula 5 3 3 2 11" xfId="47234" xr:uid="{B6048357-5DB0-41B1-83B2-2DDAB96D5DA4}"/>
    <cellStyle name="Vírgula 5 3 3 2 12" xfId="49187" xr:uid="{7746AC18-E376-4F8D-9124-B72B682FAC29}"/>
    <cellStyle name="Vírgula 5 3 3 2 13" xfId="50857" xr:uid="{6B451228-9527-4DBB-B585-D8A7B0479D1A}"/>
    <cellStyle name="Vírgula 5 3 3 2 14" xfId="54152" xr:uid="{C673A28A-1C60-4544-9FD3-154F19D8F9BB}"/>
    <cellStyle name="Vírgula 5 3 3 2 15" xfId="6025" xr:uid="{F55FC9B8-4245-477F-BCAD-D5E34BF92AC1}"/>
    <cellStyle name="Vírgula 5 3 3 2 16" xfId="4749" xr:uid="{4325C1E4-7F27-4AAD-8318-8D4AF6204692}"/>
    <cellStyle name="Vírgula 5 3 3 2 2" xfId="1284" xr:uid="{486C1071-ECA9-459B-A8E0-7D0E244736BB}"/>
    <cellStyle name="Vírgula 5 3 3 2 2 10" xfId="54153" xr:uid="{FCB4E7D6-766A-425D-B08E-B87BC11FBA89}"/>
    <cellStyle name="Vírgula 5 3 3 2 2 11" xfId="7183" xr:uid="{33AF6EED-EA12-408B-B7B0-7E588A0B9E42}"/>
    <cellStyle name="Vírgula 5 3 3 2 2 12" xfId="5131" xr:uid="{032D6B09-8758-4B0E-B439-62314D779808}"/>
    <cellStyle name="Vírgula 5 3 3 2 2 2" xfId="2945" xr:uid="{2C7CABE7-CB2F-43DE-9204-6314F2AF4CE9}"/>
    <cellStyle name="Vírgula 5 3 3 2 2 2 2" xfId="37809" xr:uid="{B885E86E-9F57-4149-A75A-AB7BC1365E59}"/>
    <cellStyle name="Vírgula 5 3 3 2 2 2 3" xfId="52490" xr:uid="{794E97BD-93B3-4845-A96F-8BAA8BB64E38}"/>
    <cellStyle name="Vírgula 5 3 3 2 2 2 4" xfId="55784" xr:uid="{A9CA8B81-C825-4A15-8642-D31839AD5288}"/>
    <cellStyle name="Vírgula 5 3 3 2 2 2 5" xfId="17469" xr:uid="{179D5B3B-E841-4290-8FE1-BACE880BA368}"/>
    <cellStyle name="Vírgula 5 3 3 2 2 3" xfId="20971" xr:uid="{06F70E4B-91B6-48ED-8B7C-19CA76634A40}"/>
    <cellStyle name="Vírgula 5 3 3 2 2 3 2" xfId="41310" xr:uid="{15EC03F0-D043-4735-80C9-682BCB5446F5}"/>
    <cellStyle name="Vírgula 5 3 3 2 2 3 3" xfId="57155" xr:uid="{1B6B9B35-57E7-4673-A123-3647F7D09718}"/>
    <cellStyle name="Vírgula 5 3 3 2 2 4" xfId="24226" xr:uid="{EE653622-79FD-4891-85C9-DCF76CBF6A87}"/>
    <cellStyle name="Vírgula 5 3 3 2 2 4 2" xfId="44561" xr:uid="{4A5DD6D2-AA7B-4E6F-ABBB-5CD19B35CCF4}"/>
    <cellStyle name="Vírgula 5 3 3 2 2 5" xfId="14560" xr:uid="{BF02A2AA-E66B-4A5B-8451-70C99F6AD6CB}"/>
    <cellStyle name="Vírgula 5 3 3 2 2 5 2" xfId="34901" xr:uid="{8306D82C-15F8-4B26-8EAF-92EDB54A50F5}"/>
    <cellStyle name="Vírgula 5 3 3 2 2 6" xfId="10682" xr:uid="{D6D6335D-1BE0-4C7A-B8DB-35D054A16DD1}"/>
    <cellStyle name="Vírgula 5 3 3 2 2 6 2" xfId="31025" xr:uid="{24353C7B-59BE-45EF-91C6-B2DE5C4DB210}"/>
    <cellStyle name="Vírgula 5 3 3 2 2 7" xfId="27531" xr:uid="{BF6BD706-A082-4147-AFEA-ABB557A9CBDF}"/>
    <cellStyle name="Vírgula 5 3 3 2 2 8" xfId="49188" xr:uid="{4BD4DA0E-21E6-44CB-BB6D-D2F56F7C2A56}"/>
    <cellStyle name="Vírgula 5 3 3 2 2 9" xfId="50858" xr:uid="{8653D0FA-02AE-46F5-AFDB-BF2930100F61}"/>
    <cellStyle name="Vírgula 5 3 3 2 3" xfId="1690" xr:uid="{FCEFAAAB-FE21-4737-8400-E3751835BDB7}"/>
    <cellStyle name="Vírgula 5 3 3 2 3 2" xfId="3350" xr:uid="{D60C7D7F-076B-452A-A141-3E031C3871E0}"/>
    <cellStyle name="Vírgula 5 3 3 2 3 2 2" xfId="52491" xr:uid="{49FC88B9-F2E3-4A37-86A6-D1506DB8DE30}"/>
    <cellStyle name="Vírgula 5 3 3 2 3 2 3" xfId="55785" xr:uid="{BFD02008-AB84-460E-936B-322103DD4A1E}"/>
    <cellStyle name="Vírgula 5 3 3 2 3 2 4" xfId="36651" xr:uid="{B71A650E-79F3-40E9-B873-7069CF8CBDFF}"/>
    <cellStyle name="Vírgula 5 3 3 2 3 3" xfId="49189" xr:uid="{76E2483A-A35C-4867-BE68-2F879B34CA71}"/>
    <cellStyle name="Vírgula 5 3 3 2 3 3 2" xfId="57561" xr:uid="{67097206-BFC5-49E1-A28A-2401A8DBF8B0}"/>
    <cellStyle name="Vírgula 5 3 3 2 3 4" xfId="50859" xr:uid="{05C5E149-2B8C-4ADD-9517-D5ADE4D5E4D2}"/>
    <cellStyle name="Vírgula 5 3 3 2 3 5" xfId="54154" xr:uid="{8688F189-2A5E-45A7-A653-D70F9132571F}"/>
    <cellStyle name="Vírgula 5 3 3 2 3 6" xfId="16311" xr:uid="{26FD492D-D303-4DA7-8BEE-97FCE865575A}"/>
    <cellStyle name="Vírgula 5 3 3 2 4" xfId="877" xr:uid="{5BB69575-68C8-4D62-834C-4EB8D3E2959E}"/>
    <cellStyle name="Vírgula 5 3 3 2 4 2" xfId="2593" xr:uid="{FE995360-C993-46DC-A8D6-EA231BDE690B}"/>
    <cellStyle name="Vírgula 5 3 3 2 4 2 2" xfId="52492" xr:uid="{F6304358-110C-43E8-A3B4-95E979AFA0CF}"/>
    <cellStyle name="Vírgula 5 3 3 2 4 2 3" xfId="55786" xr:uid="{54846D17-8FA1-4BA8-A231-B914B4AC1AAC}"/>
    <cellStyle name="Vírgula 5 3 3 2 4 2 4" xfId="40152" xr:uid="{05B56E9E-D55A-4E3E-8CE5-EA4E625D6BBD}"/>
    <cellStyle name="Vírgula 5 3 3 2 4 3" xfId="49190" xr:uid="{D390B943-BD66-46CF-8B27-2DDA37E904BB}"/>
    <cellStyle name="Vírgula 5 3 3 2 4 3 2" xfId="56748" xr:uid="{583FACDA-526F-4DB1-A6D1-E8D701F8C11B}"/>
    <cellStyle name="Vírgula 5 3 3 2 4 4" xfId="50860" xr:uid="{B4AEC7E6-C6B5-488B-8ED6-85646D3BD051}"/>
    <cellStyle name="Vírgula 5 3 3 2 4 5" xfId="54155" xr:uid="{08362B1B-6C3A-4A33-9473-7C9B6A080E5B}"/>
    <cellStyle name="Vírgula 5 3 3 2 4 6" xfId="19813" xr:uid="{851FC99D-B287-482E-BB2B-FC5340F1790C}"/>
    <cellStyle name="Vírgula 5 3 3 2 5" xfId="2185" xr:uid="{E45F37DC-ACE9-49AC-9F56-EEDF7CD30FA4}"/>
    <cellStyle name="Vírgula 5 3 3 2 5 2" xfId="43403" xr:uid="{17631625-C98F-4110-B312-328DBA06ABAF}"/>
    <cellStyle name="Vírgula 5 3 3 2 5 3" xfId="52489" xr:uid="{AAA7CFD3-3D2B-49B2-85D6-C8821B8172CC}"/>
    <cellStyle name="Vírgula 5 3 3 2 5 4" xfId="55783" xr:uid="{45E31636-7D52-4454-B9D9-59DD47189620}"/>
    <cellStyle name="Vírgula 5 3 3 2 5 5" xfId="23068" xr:uid="{9449A420-14E1-42BF-8F51-3159579980C8}"/>
    <cellStyle name="Vírgula 5 3 3 2 6" xfId="13402" xr:uid="{C7847160-A31F-4626-9DEC-94A15A5D65BC}"/>
    <cellStyle name="Vírgula 5 3 3 2 6 2" xfId="33743" xr:uid="{5A68EEFF-04DD-452C-BA0B-01E89D768CE4}"/>
    <cellStyle name="Vírgula 5 3 3 2 6 3" xfId="56339" xr:uid="{B5292E52-BAFC-43CA-BBC3-F945107361C3}"/>
    <cellStyle name="Vírgula 5 3 3 2 7" xfId="9524" xr:uid="{EACA2903-BD97-4567-8D1E-7BC212D3F854}"/>
    <cellStyle name="Vírgula 5 3 3 2 7 2" xfId="29867" xr:uid="{AFCB937C-E709-4B7B-A569-3453C800C6A7}"/>
    <cellStyle name="Vírgula 5 3 3 2 8" xfId="26373" xr:uid="{67FA76B1-D027-43EE-A688-48404BA1A338}"/>
    <cellStyle name="Vírgula 5 3 3 2 9" xfId="46256" xr:uid="{022E62AF-8BE4-4CDD-A95D-FE6E15029069}"/>
    <cellStyle name="Vírgula 5 3 3 20" xfId="4560" xr:uid="{CFDF6CBA-80E6-4709-B011-1DEDEBB08A24}"/>
    <cellStyle name="Vírgula 5 3 3 3" xfId="1095" xr:uid="{7CCADF32-DD4E-4A42-8F1D-7A51E4EB1281}"/>
    <cellStyle name="Vírgula 5 3 3 3 10" xfId="54156" xr:uid="{8474F8A5-5F0E-46D3-BA6F-A22FFA5FDEC7}"/>
    <cellStyle name="Vírgula 5 3 3 3 11" xfId="6602" xr:uid="{038CDEFA-171D-477C-B6E2-58A046DACFE7}"/>
    <cellStyle name="Vírgula 5 3 3 3 12" xfId="4912" xr:uid="{023E69D6-64D0-42A5-B8CE-AA9A11D3D5D1}"/>
    <cellStyle name="Vírgula 5 3 3 3 2" xfId="2758" xr:uid="{4EBC780A-DA9A-4345-BA0A-98A786CE9920}"/>
    <cellStyle name="Vírgula 5 3 3 3 2 2" xfId="37228" xr:uid="{2505147E-DE2B-4EBE-AC1D-1FB75CDCF2B1}"/>
    <cellStyle name="Vírgula 5 3 3 3 2 3" xfId="52493" xr:uid="{1BBE889A-D349-4CD8-BFBE-6DA79EA0EC48}"/>
    <cellStyle name="Vírgula 5 3 3 3 2 4" xfId="55787" xr:uid="{CAB5CDC5-C1BE-4A55-9A47-D45FCB836051}"/>
    <cellStyle name="Vírgula 5 3 3 3 2 5" xfId="16888" xr:uid="{6D523B7C-EE3D-49A1-A67A-3F2EF0431BF8}"/>
    <cellStyle name="Vírgula 5 3 3 3 3" xfId="20390" xr:uid="{5F924CA9-DEC9-4B35-AA95-5A9986874E3F}"/>
    <cellStyle name="Vírgula 5 3 3 3 3 2" xfId="40729" xr:uid="{1A14C803-20E9-4A3C-9EA2-1302FB509DB6}"/>
    <cellStyle name="Vírgula 5 3 3 3 3 3" xfId="56966" xr:uid="{1FD31CBB-3508-4B9B-B4C5-8143423FB77B}"/>
    <cellStyle name="Vírgula 5 3 3 3 4" xfId="23645" xr:uid="{DDFD049A-FE36-43BF-B040-BE9FF2F81B3F}"/>
    <cellStyle name="Vírgula 5 3 3 3 4 2" xfId="43980" xr:uid="{067BFEB0-00FE-4C01-B327-6179758663E7}"/>
    <cellStyle name="Vírgula 5 3 3 3 5" xfId="13979" xr:uid="{C494C4AB-EDAE-4683-8183-3A0AA5796AC1}"/>
    <cellStyle name="Vírgula 5 3 3 3 5 2" xfId="34320" xr:uid="{7C2D473C-D7BE-4ECE-9ACE-911A1BE66EA4}"/>
    <cellStyle name="Vírgula 5 3 3 3 6" xfId="10101" xr:uid="{D41A9AC5-881C-4B3B-BBB1-DD0DF6CFDCC6}"/>
    <cellStyle name="Vírgula 5 3 3 3 6 2" xfId="30444" xr:uid="{DDAAFBD2-B5A6-49CD-99EE-EC8A7F4B7AC5}"/>
    <cellStyle name="Vírgula 5 3 3 3 7" xfId="26950" xr:uid="{EE9BFBD9-3DCC-4466-8EA4-FB693F417204}"/>
    <cellStyle name="Vírgula 5 3 3 3 8" xfId="49191" xr:uid="{DA21F76A-4412-4C5C-B2E5-CB313EEDCA3C}"/>
    <cellStyle name="Vírgula 5 3 3 3 9" xfId="50861" xr:uid="{1EB09654-FB4D-4A84-9512-4F715F30CE8F}"/>
    <cellStyle name="Vírgula 5 3 3 4" xfId="1501" xr:uid="{646CEAD5-2580-46C5-9711-241240CEDC6C}"/>
    <cellStyle name="Vírgula 5 3 3 4 10" xfId="54157" xr:uid="{17ED86D9-26A0-4599-9A70-23BF13D2EDDA}"/>
    <cellStyle name="Vírgula 5 3 3 4 11" xfId="7766" xr:uid="{C569A847-8E25-4EA1-BDEA-EF23537D21A4}"/>
    <cellStyle name="Vírgula 5 3 3 4 2" xfId="3162" xr:uid="{51BE638A-B28B-47A0-9FE0-9AA32B84ABB3}"/>
    <cellStyle name="Vírgula 5 3 3 4 2 2" xfId="38391" xr:uid="{148A714D-4066-4D96-9CC3-96501C45123D}"/>
    <cellStyle name="Vírgula 5 3 3 4 2 3" xfId="52494" xr:uid="{3EADEA1C-E03B-489E-A4FE-8D3ED159A7D6}"/>
    <cellStyle name="Vírgula 5 3 3 4 2 4" xfId="55788" xr:uid="{0294E081-9E1D-49B7-A681-F8BB2C1FDD64}"/>
    <cellStyle name="Vírgula 5 3 3 4 2 5" xfId="18051" xr:uid="{4EAFA846-81BD-4737-98C7-91C93F323B14}"/>
    <cellStyle name="Vírgula 5 3 3 4 3" xfId="21553" xr:uid="{C03D7F97-1B7D-4906-9339-83C8FD2335B4}"/>
    <cellStyle name="Vírgula 5 3 3 4 3 2" xfId="41892" xr:uid="{6047CE69-9C90-4B6C-9E7E-E586994D2846}"/>
    <cellStyle name="Vírgula 5 3 3 4 3 3" xfId="57372" xr:uid="{10A04E62-F12D-4F0D-AF20-526FFACDF202}"/>
    <cellStyle name="Vírgula 5 3 3 4 4" xfId="24808" xr:uid="{6B5DEEA7-8465-44FE-9BC8-884D317ED315}"/>
    <cellStyle name="Vírgula 5 3 3 4 4 2" xfId="45143" xr:uid="{732DF37A-2164-4EAE-A772-8C80D6C61BED}"/>
    <cellStyle name="Vírgula 5 3 3 4 5" xfId="15143" xr:uid="{78CFF7EF-6C9E-4409-B134-298E744092CA}"/>
    <cellStyle name="Vírgula 5 3 3 4 5 2" xfId="35483" xr:uid="{EDF28AEA-8DAB-412D-B096-4E0905B498D2}"/>
    <cellStyle name="Vírgula 5 3 3 4 6" xfId="11264" xr:uid="{CBD2E8B2-4667-4459-9E33-5537BD71F532}"/>
    <cellStyle name="Vírgula 5 3 3 4 6 2" xfId="31607" xr:uid="{FA8AB3D6-1839-4D3D-BF3B-4A0C0C012E8E}"/>
    <cellStyle name="Vírgula 5 3 3 4 7" xfId="28113" xr:uid="{818F82B9-FDEA-4A23-9396-81857368C4F7}"/>
    <cellStyle name="Vírgula 5 3 3 4 8" xfId="49192" xr:uid="{858E4247-FFAA-4C8F-BD30-1BBE6A53CC39}"/>
    <cellStyle name="Vírgula 5 3 3 4 9" xfId="50862" xr:uid="{E9856E0E-177B-4901-9139-75D8B46D9C34}"/>
    <cellStyle name="Vírgula 5 3 3 5" xfId="688" xr:uid="{E420835E-A5B1-41F3-82BB-953EE2CDD625}"/>
    <cellStyle name="Vírgula 5 3 3 5 10" xfId="8319" xr:uid="{99DE5AF4-AB90-4A7F-A951-4F3341DA261F}"/>
    <cellStyle name="Vírgula 5 3 3 5 2" xfId="2404" xr:uid="{EA3D1484-EEFA-4EBE-968A-1EB69DF066F5}"/>
    <cellStyle name="Vírgula 5 3 3 5 2 2" xfId="42442" xr:uid="{AF9D0632-D3E4-419E-A925-D3AB56F6D9AD}"/>
    <cellStyle name="Vírgula 5 3 3 5 2 3" xfId="52495" xr:uid="{E76637D9-E327-4496-BF91-5605A9B01411}"/>
    <cellStyle name="Vírgula 5 3 3 5 2 4" xfId="55789" xr:uid="{7D506860-D087-441A-8BF9-58DB5C4BC1A9}"/>
    <cellStyle name="Vírgula 5 3 3 5 2 5" xfId="22106" xr:uid="{4AC9B593-1870-430F-9F8D-7B9FBD1ED14B}"/>
    <cellStyle name="Vírgula 5 3 3 5 3" xfId="25358" xr:uid="{D45160A3-1B41-4971-AC7D-A4009DF93A39}"/>
    <cellStyle name="Vírgula 5 3 3 5 3 2" xfId="45693" xr:uid="{4449B640-1355-4559-9018-973210A9FE66}"/>
    <cellStyle name="Vírgula 5 3 3 5 3 3" xfId="56559" xr:uid="{50CB7030-B937-441E-843F-551754C2FA22}"/>
    <cellStyle name="Vírgula 5 3 3 5 4" xfId="12833" xr:uid="{13188F69-A4C5-49E3-9B87-66DF5A56446B}"/>
    <cellStyle name="Vírgula 5 3 3 5 4 2" xfId="33174" xr:uid="{EB9645E2-5A9F-4768-B267-07635840078F}"/>
    <cellStyle name="Vírgula 5 3 3 5 5" xfId="11815" xr:uid="{D1DB8970-713C-4DA1-9C32-188B565F29BC}"/>
    <cellStyle name="Vírgula 5 3 3 5 5 2" xfId="32157" xr:uid="{B3D8B27C-FE8A-4226-BD96-2B98747D12E2}"/>
    <cellStyle name="Vírgula 5 3 3 5 6" xfId="28663" xr:uid="{50F5CC54-C586-4E07-B052-A5C5E705C31D}"/>
    <cellStyle name="Vírgula 5 3 3 5 7" xfId="49193" xr:uid="{A4DFB154-F1D8-4F64-995A-BB56DB617C4F}"/>
    <cellStyle name="Vírgula 5 3 3 5 8" xfId="50863" xr:uid="{0BC6D564-825D-4886-94B6-1B03DDB49913}"/>
    <cellStyle name="Vírgula 5 3 3 5 9" xfId="54158" xr:uid="{B0A214FF-C458-4E9A-B0DD-37DA7A10B281}"/>
    <cellStyle name="Vírgula 5 3 3 6" xfId="3624" xr:uid="{DDD53488-C98F-448B-8854-238BC492A065}"/>
    <cellStyle name="Vírgula 5 3 3 6 2" xfId="15730" xr:uid="{6B5B684B-C9F7-4E58-9407-C57F1017555D}"/>
    <cellStyle name="Vírgula 5 3 3 6 2 2" xfId="36070" xr:uid="{5347AFC1-BF08-4CF1-9473-BD98CE773C7C}"/>
    <cellStyle name="Vírgula 5 3 3 6 3" xfId="28981" xr:uid="{25ADBD70-9BC3-479F-8185-741472425C6B}"/>
    <cellStyle name="Vírgula 5 3 3 6 4" xfId="52488" xr:uid="{36704C8D-E067-483F-A929-35DD18A69791}"/>
    <cellStyle name="Vírgula 5 3 3 6 5" xfId="55782" xr:uid="{F55FEBEA-E97E-4577-80DB-2707302079E8}"/>
    <cellStyle name="Vírgula 5 3 3 6 6" xfId="8638" xr:uid="{C58C387D-9485-4CC4-871A-10A7EB031BC8}"/>
    <cellStyle name="Vírgula 5 3 3 7" xfId="4010" xr:uid="{1FA66A0F-F862-463C-A7F0-65E6F0385CE8}"/>
    <cellStyle name="Vírgula 5 3 3 7 2" xfId="38984" xr:uid="{9C751B31-FEF7-4372-87D1-533FF1742A33}"/>
    <cellStyle name="Vírgula 5 3 3 7 3" xfId="56150" xr:uid="{321EBF4C-9403-4CB3-A56B-6F529298BE17}"/>
    <cellStyle name="Vírgula 5 3 3 7 4" xfId="18644" xr:uid="{A7DEC73E-A7B7-4DAA-92CC-7A1AD64F662E}"/>
    <cellStyle name="Vírgula 5 3 3 8" xfId="1973" xr:uid="{5EFE63CF-2854-45E7-B4E3-6CA3632B6E2D}"/>
    <cellStyle name="Vírgula 5 3 3 8 2" xfId="39571" xr:uid="{2E96ED61-D9E3-421C-B0C2-A5EB24A795DF}"/>
    <cellStyle name="Vírgula 5 3 3 8 3" xfId="19232" xr:uid="{A44B8307-12F2-43F8-B8C9-6582D97404DE}"/>
    <cellStyle name="Vírgula 5 3 3 9" xfId="22487" xr:uid="{71C14B29-4C53-48C8-9BC5-B4404BAFBF05}"/>
    <cellStyle name="Vírgula 5 3 3 9 2" xfId="42822" xr:uid="{7A64F587-378D-454E-AA21-F00D4F17A327}"/>
    <cellStyle name="Vírgula 5 3 4" xfId="337" xr:uid="{6B864B1C-E56C-4A33-B9BF-A4652889296D}"/>
    <cellStyle name="Vírgula 5 3 4 10" xfId="12262" xr:uid="{30ED5E11-22B5-43D7-93DB-BA1F2E087AE1}"/>
    <cellStyle name="Vírgula 5 3 4 10 2" xfId="32603" xr:uid="{5BDBE822-7C47-44CF-8866-072748266A02}"/>
    <cellStyle name="Vírgula 5 3 4 11" xfId="9001" xr:uid="{5416E9BE-924C-47D0-9EF6-E8F3AE218DAB}"/>
    <cellStyle name="Vírgula 5 3 4 11 2" xfId="29344" xr:uid="{C912FA1E-5973-4F7E-A48A-FC2BEA99A391}"/>
    <cellStyle name="Vírgula 5 3 4 12" xfId="25850" xr:uid="{D5625AEA-CE07-444F-A4F3-FA6AF73EDE3A}"/>
    <cellStyle name="Vírgula 5 3 4 13" xfId="46088" xr:uid="{8093EF50-DA11-4121-8989-D6B1D239C0AB}"/>
    <cellStyle name="Vírgula 5 3 4 14" xfId="46574" xr:uid="{8926D198-6B0B-40D5-B465-BD3053FCEFFC}"/>
    <cellStyle name="Vírgula 5 3 4 15" xfId="47066" xr:uid="{17D4B110-7330-4F0F-A3C0-40A53A3E5AAC}"/>
    <cellStyle name="Vírgula 5 3 4 16" xfId="49194" xr:uid="{BF89FEC4-222B-45F3-A17C-6BD3AB59C409}"/>
    <cellStyle name="Vírgula 5 3 4 17" xfId="50864" xr:uid="{90A2228E-0EF4-477A-8532-52A468A6C446}"/>
    <cellStyle name="Vírgula 5 3 4 18" xfId="54159" xr:uid="{7A819703-3DC8-4997-BEB2-8C797F06EA24}"/>
    <cellStyle name="Vírgula 5 3 4 19" xfId="5511" xr:uid="{071EDF27-57BE-4B1C-9278-DC6280271707}"/>
    <cellStyle name="Vírgula 5 3 4 2" xfId="1153" xr:uid="{1B14C8E9-8C10-4826-A6D7-D3BC44E7F8FE}"/>
    <cellStyle name="Vírgula 5 3 4 2 10" xfId="50865" xr:uid="{C16AB9E4-8CBB-40D6-914D-5EC4F06B728D}"/>
    <cellStyle name="Vírgula 5 3 4 2 11" xfId="54160" xr:uid="{14D7ED53-5D1F-492C-B05D-3C6B57A4405C}"/>
    <cellStyle name="Vírgula 5 3 4 2 12" xfId="6083" xr:uid="{94F48773-BFB0-4208-BE32-177499DDEA15}"/>
    <cellStyle name="Vírgula 5 3 4 2 13" xfId="4982" xr:uid="{1E762879-4396-4208-8276-24DEE1DE00EC}"/>
    <cellStyle name="Vírgula 5 3 4 2 2" xfId="2814" xr:uid="{0AAAE611-031A-4B34-8A49-EF5DF01092C1}"/>
    <cellStyle name="Vírgula 5 3 4 2 2 10" xfId="7241" xr:uid="{150C5902-0E9F-41A6-806E-31E27D80EEE3}"/>
    <cellStyle name="Vírgula 5 3 4 2 2 2" xfId="17527" xr:uid="{88C3AFAE-F18B-4A10-ADDC-095C601C1D87}"/>
    <cellStyle name="Vírgula 5 3 4 2 2 2 2" xfId="37867" xr:uid="{9F7BE59A-958C-4DA6-82F5-0803768890F4}"/>
    <cellStyle name="Vírgula 5 3 4 2 2 3" xfId="21029" xr:uid="{17031C43-60C6-4475-B281-52132FF4165C}"/>
    <cellStyle name="Vírgula 5 3 4 2 2 3 2" xfId="41368" xr:uid="{81A8AD99-B9C7-48DF-BD7B-5D2743C8C0D0}"/>
    <cellStyle name="Vírgula 5 3 4 2 2 4" xfId="24284" xr:uid="{9868BA79-7398-45DD-B332-DA4F60693DC7}"/>
    <cellStyle name="Vírgula 5 3 4 2 2 4 2" xfId="44619" xr:uid="{74530F0E-41F3-4B05-A836-6B5B682ECB96}"/>
    <cellStyle name="Vírgula 5 3 4 2 2 5" xfId="14618" xr:uid="{64DF50D1-8D88-4FB7-B3EB-A12809B27BED}"/>
    <cellStyle name="Vírgula 5 3 4 2 2 5 2" xfId="34959" xr:uid="{A4318A9A-33FD-43B1-AFFB-362B7011859D}"/>
    <cellStyle name="Vírgula 5 3 4 2 2 6" xfId="10740" xr:uid="{B21139D3-9A75-4E62-8A23-6BD37954E440}"/>
    <cellStyle name="Vírgula 5 3 4 2 2 6 2" xfId="31083" xr:uid="{747593B3-76F5-4792-94D9-3A11C322BE20}"/>
    <cellStyle name="Vírgula 5 3 4 2 2 7" xfId="27589" xr:uid="{25A086CA-FD3F-4135-B88C-BBBE2BE009A9}"/>
    <cellStyle name="Vírgula 5 3 4 2 2 8" xfId="52497" xr:uid="{6CE491B9-2AFB-46AC-9CC7-28E20D2A810A}"/>
    <cellStyle name="Vírgula 5 3 4 2 2 9" xfId="55791" xr:uid="{B24DE5BA-95CB-41AF-8BDF-B83FD14F333C}"/>
    <cellStyle name="Vírgula 5 3 4 2 3" xfId="16369" xr:uid="{7DE74949-325E-47C5-BB3D-C0A422DE24B2}"/>
    <cellStyle name="Vírgula 5 3 4 2 3 2" xfId="36709" xr:uid="{B4FAF738-3A85-408F-9A4E-AF95892C35B3}"/>
    <cellStyle name="Vírgula 5 3 4 2 3 3" xfId="57024" xr:uid="{0F91947B-D19D-42CE-BE07-31F58D00ACB4}"/>
    <cellStyle name="Vírgula 5 3 4 2 4" xfId="19871" xr:uid="{3C0D7D48-9D5F-4ED0-AB30-12761E07B669}"/>
    <cellStyle name="Vírgula 5 3 4 2 4 2" xfId="40210" xr:uid="{888F5D61-1D2C-497A-BBCB-ACB6E3CF10BE}"/>
    <cellStyle name="Vírgula 5 3 4 2 5" xfId="23126" xr:uid="{C1AE3F24-7542-4906-AD43-F3D3D6ADAD29}"/>
    <cellStyle name="Vírgula 5 3 4 2 5 2" xfId="43461" xr:uid="{539B78AA-01A7-4C8C-BADC-40DE4C9ED55E}"/>
    <cellStyle name="Vírgula 5 3 4 2 6" xfId="13460" xr:uid="{69A963BA-CF70-44AB-874F-15F2A6AFE309}"/>
    <cellStyle name="Vírgula 5 3 4 2 6 2" xfId="33801" xr:uid="{BF4B8F8F-FC97-429B-BB14-CFC1B05DAAF2}"/>
    <cellStyle name="Vírgula 5 3 4 2 7" xfId="9582" xr:uid="{77DCF811-B5D7-4836-85A7-D15F6FDEBB05}"/>
    <cellStyle name="Vírgula 5 3 4 2 7 2" xfId="29925" xr:uid="{330DE193-73C1-43AE-9A01-72B8E47FCF8B}"/>
    <cellStyle name="Vírgula 5 3 4 2 8" xfId="26431" xr:uid="{EA7FD50C-A9F9-4ACC-BA15-8E90F97D3C0A}"/>
    <cellStyle name="Vírgula 5 3 4 2 9" xfId="49195" xr:uid="{4E53E6AE-6DBF-4F9F-8125-24DF410F85D8}"/>
    <cellStyle name="Vírgula 5 3 4 20" xfId="4618" xr:uid="{0B3C4E7B-A520-405F-815E-E6B7210A891D}"/>
    <cellStyle name="Vírgula 5 3 4 3" xfId="1559" xr:uid="{EA14B989-BB13-40BC-B732-CCEA7D85CEA0}"/>
    <cellStyle name="Vírgula 5 3 4 3 10" xfId="54161" xr:uid="{A41915C2-C6EA-4DFC-A5FF-4E93FBCA548C}"/>
    <cellStyle name="Vírgula 5 3 4 3 11" xfId="6660" xr:uid="{0E60E082-E50F-4946-A186-8A9119105250}"/>
    <cellStyle name="Vírgula 5 3 4 3 2" xfId="3219" xr:uid="{1C38838F-4A60-4F59-BCF7-6052423839E9}"/>
    <cellStyle name="Vírgula 5 3 4 3 2 2" xfId="37286" xr:uid="{51942D19-D563-4A6D-B96C-B81ECC2E0B63}"/>
    <cellStyle name="Vírgula 5 3 4 3 2 3" xfId="52498" xr:uid="{FD7DCB95-B01A-47AA-8359-A38D7A5A53D7}"/>
    <cellStyle name="Vírgula 5 3 4 3 2 4" xfId="55792" xr:uid="{96FF007F-4CD0-4EC5-846B-44C20C63EDDB}"/>
    <cellStyle name="Vírgula 5 3 4 3 2 5" xfId="16946" xr:uid="{B17AD522-3034-4E84-8835-2E2CCD77ECD5}"/>
    <cellStyle name="Vírgula 5 3 4 3 3" xfId="20448" xr:uid="{553DC6EA-18EE-42D4-A3C5-945A613C9A38}"/>
    <cellStyle name="Vírgula 5 3 4 3 3 2" xfId="40787" xr:uid="{B8B31B65-7C98-459D-A6ED-C7D572D43EF5}"/>
    <cellStyle name="Vírgula 5 3 4 3 3 3" xfId="57430" xr:uid="{313074FA-7A40-4FC4-8381-333AD524B622}"/>
    <cellStyle name="Vírgula 5 3 4 3 4" xfId="23703" xr:uid="{8185ED01-3725-40F6-8D59-CE85FDA58437}"/>
    <cellStyle name="Vírgula 5 3 4 3 4 2" xfId="44038" xr:uid="{1E8A6977-A903-4F89-A878-4BE636A0E7CE}"/>
    <cellStyle name="Vírgula 5 3 4 3 5" xfId="14037" xr:uid="{83360976-1CB0-4A9E-BC2D-AC02387F6649}"/>
    <cellStyle name="Vírgula 5 3 4 3 5 2" xfId="34378" xr:uid="{5C188D1E-B2AF-4827-8358-95845EAA6C09}"/>
    <cellStyle name="Vírgula 5 3 4 3 6" xfId="10159" xr:uid="{72A1F809-CA40-4B7F-8B00-13D3EB4C8EC3}"/>
    <cellStyle name="Vírgula 5 3 4 3 6 2" xfId="30502" xr:uid="{2226E836-347E-44A7-88CD-76EAA57502E8}"/>
    <cellStyle name="Vírgula 5 3 4 3 7" xfId="27008" xr:uid="{22142A1B-66CE-4A58-BDE4-C24E42205F20}"/>
    <cellStyle name="Vírgula 5 3 4 3 8" xfId="49196" xr:uid="{46B499A7-72BE-45B6-BC33-47B59EC05CEB}"/>
    <cellStyle name="Vírgula 5 3 4 3 9" xfId="50866" xr:uid="{9B95D799-BDAB-444B-97A0-6EC7D57ED3A5}"/>
    <cellStyle name="Vírgula 5 3 4 4" xfId="746" xr:uid="{F279E89C-D17B-4257-B987-014E21F1B50E}"/>
    <cellStyle name="Vírgula 5 3 4 4 10" xfId="54162" xr:uid="{C52137B9-8242-4555-9D88-3669A8610825}"/>
    <cellStyle name="Vírgula 5 3 4 4 11" xfId="7824" xr:uid="{18E0E992-AB1A-4DED-8117-8A67A4A42B06}"/>
    <cellStyle name="Vírgula 5 3 4 4 2" xfId="2462" xr:uid="{34C83FB8-B9C9-48CC-808B-854186D59EEA}"/>
    <cellStyle name="Vírgula 5 3 4 4 2 2" xfId="38449" xr:uid="{DACA0093-4016-41A6-A5BF-D5386C095A8C}"/>
    <cellStyle name="Vírgula 5 3 4 4 2 3" xfId="52499" xr:uid="{3B5C5B4C-8FB5-49D3-B196-83BBE530095B}"/>
    <cellStyle name="Vírgula 5 3 4 4 2 4" xfId="55793" xr:uid="{41904366-CC91-4704-812C-CF7060A2E32D}"/>
    <cellStyle name="Vírgula 5 3 4 4 2 5" xfId="18109" xr:uid="{A70F8EE1-E057-48D9-A9FB-BBAD5CFA52E3}"/>
    <cellStyle name="Vírgula 5 3 4 4 3" xfId="21611" xr:uid="{E045DA87-B97D-46ED-A365-7641EFB9A017}"/>
    <cellStyle name="Vírgula 5 3 4 4 3 2" xfId="41950" xr:uid="{A4025FA5-DBBE-4EBC-A4BF-EFBDA057ABA0}"/>
    <cellStyle name="Vírgula 5 3 4 4 3 3" xfId="56617" xr:uid="{E76AD3D1-09EC-4D89-A1E4-0E8289C8588E}"/>
    <cellStyle name="Vírgula 5 3 4 4 4" xfId="24866" xr:uid="{B57A07C2-C33E-4607-A8E6-1D24FD412886}"/>
    <cellStyle name="Vírgula 5 3 4 4 4 2" xfId="45201" xr:uid="{70181FB7-C6C6-4431-AD30-488C4813845C}"/>
    <cellStyle name="Vírgula 5 3 4 4 5" xfId="15201" xr:uid="{01D21794-A07E-4AB2-AC4E-FD5866DDCD16}"/>
    <cellStyle name="Vírgula 5 3 4 4 5 2" xfId="35541" xr:uid="{42CB1D42-0097-42B5-8CE9-412B386C87D2}"/>
    <cellStyle name="Vírgula 5 3 4 4 6" xfId="11322" xr:uid="{B131D395-7D10-4167-8E96-AAE85973C1EF}"/>
    <cellStyle name="Vírgula 5 3 4 4 6 2" xfId="31665" xr:uid="{95C745F2-6C26-4AC5-B473-1FCDAA02E12A}"/>
    <cellStyle name="Vírgula 5 3 4 4 7" xfId="28171" xr:uid="{9C120C89-D9E1-4035-9A26-67FBF24A2BF4}"/>
    <cellStyle name="Vírgula 5 3 4 4 8" xfId="49197" xr:uid="{FC75C310-5A9F-4877-BFBC-04CCEDF4E5AC}"/>
    <cellStyle name="Vírgula 5 3 4 4 9" xfId="50867" xr:uid="{9AD80CE3-A15B-4A9B-AAAC-B5F9205B281E}"/>
    <cellStyle name="Vírgula 5 3 4 5" xfId="3515" xr:uid="{8E90C5AA-AE0F-4DF5-918C-CD4C28264C66}"/>
    <cellStyle name="Vírgula 5 3 4 5 2" xfId="22107" xr:uid="{F86AD32E-07F1-4999-AD38-DF044BCDEC11}"/>
    <cellStyle name="Vírgula 5 3 4 5 2 2" xfId="42443" xr:uid="{B7981841-1249-440B-91A3-245BF7A5804F}"/>
    <cellStyle name="Vírgula 5 3 4 5 3" xfId="25359" xr:uid="{220C13A1-46D7-4E1B-BDEB-8CD60550E008}"/>
    <cellStyle name="Vírgula 5 3 4 5 3 2" xfId="45694" xr:uid="{FA6F8ED5-C289-495C-8676-BED698109B64}"/>
    <cellStyle name="Vírgula 5 3 4 5 4" xfId="12891" xr:uid="{81984FA6-4E31-48C2-B7F0-CB8D3BD45F0B}"/>
    <cellStyle name="Vírgula 5 3 4 5 4 2" xfId="33232" xr:uid="{9699A282-DCB7-4C04-B0BB-FCFF864ACA26}"/>
    <cellStyle name="Vírgula 5 3 4 5 5" xfId="11816" xr:uid="{6554CFBB-6BAD-4C8E-BB60-210B716BF8B1}"/>
    <cellStyle name="Vírgula 5 3 4 5 5 2" xfId="32158" xr:uid="{3426FC83-BD5D-4D71-87AC-7EFB00B711F3}"/>
    <cellStyle name="Vírgula 5 3 4 5 6" xfId="28664" xr:uid="{9D71583D-AAA5-44B5-8BE0-665E7278EE7C}"/>
    <cellStyle name="Vírgula 5 3 4 5 7" xfId="52496" xr:uid="{5717ECF4-0C6F-4F2E-8DB8-EE699157C0FA}"/>
    <cellStyle name="Vírgula 5 3 4 5 8" xfId="55790" xr:uid="{A24623DF-CC38-4124-9DE3-B6AB85557F4F}"/>
    <cellStyle name="Vírgula 5 3 4 5 9" xfId="8320" xr:uid="{A4A1F493-588A-46FE-92C2-D41226C06409}"/>
    <cellStyle name="Vírgula 5 3 4 6" xfId="4182" xr:uid="{992983BA-508C-4E2C-BFEE-695463D24894}"/>
    <cellStyle name="Vírgula 5 3 4 6 2" xfId="36128" xr:uid="{6B458887-A472-4AC6-9067-93D974E5708B}"/>
    <cellStyle name="Vírgula 5 3 4 6 3" xfId="56208" xr:uid="{5DA7499A-8B77-4D5B-B61E-39293B63D9AB}"/>
    <cellStyle name="Vírgula 5 3 4 6 4" xfId="15788" xr:uid="{96AF6353-C889-45B2-883A-8FD818534F00}"/>
    <cellStyle name="Vírgula 5 3 4 7" xfId="1864" xr:uid="{45F2792E-16BB-425C-ABBF-CEC5C57AD519}"/>
    <cellStyle name="Vírgula 5 3 4 7 2" xfId="39042" xr:uid="{1F2A2647-BC68-4770-91D6-E34F25CDBC8A}"/>
    <cellStyle name="Vírgula 5 3 4 7 3" xfId="18702" xr:uid="{3C522AED-529A-4A0F-9825-9CA274D593D0}"/>
    <cellStyle name="Vírgula 5 3 4 8" xfId="19290" xr:uid="{B9F1F932-713D-46D9-9061-5AA3B41842A3}"/>
    <cellStyle name="Vírgula 5 3 4 8 2" xfId="39629" xr:uid="{32E8D19A-039A-4354-9A4C-AB379C29D543}"/>
    <cellStyle name="Vírgula 5 3 4 9" xfId="22545" xr:uid="{766B4414-5118-4DEA-90BE-849EE01CC149}"/>
    <cellStyle name="Vírgula 5 3 4 9 2" xfId="42880" xr:uid="{60532DA2-2358-471E-AF46-1082048F3A0D}"/>
    <cellStyle name="Vírgula 5 3 5" xfId="964" xr:uid="{21C9B18E-1E7C-4B5D-8C67-2003CDF41C1E}"/>
    <cellStyle name="Vírgula 5 3 5 10" xfId="12337" xr:uid="{1A3B5AD0-7E86-4D0E-AE2C-96580A4919CA}"/>
    <cellStyle name="Vírgula 5 3 5 10 2" xfId="32678" xr:uid="{EC000D6F-72F1-42EC-B440-F4453E2C1F0B}"/>
    <cellStyle name="Vírgula 5 3 5 11" xfId="9076" xr:uid="{5DB62DB3-DD94-4CAA-925E-9935256D1AB7}"/>
    <cellStyle name="Vírgula 5 3 5 11 2" xfId="29419" xr:uid="{6239FEDC-5F9C-4154-8FF5-318FEC3180E1}"/>
    <cellStyle name="Vírgula 5 3 5 12" xfId="25925" xr:uid="{EC3C4B54-F0AB-4773-8A3A-38212787C36E}"/>
    <cellStyle name="Vírgula 5 3 5 13" xfId="49198" xr:uid="{0DC33DA5-9A26-4956-B54B-6B44BAF5A380}"/>
    <cellStyle name="Vírgula 5 3 5 14" xfId="50868" xr:uid="{593584AB-3389-4752-9C2F-009F0620B3A4}"/>
    <cellStyle name="Vírgula 5 3 5 15" xfId="54163" xr:uid="{36D4E7A8-A515-4D1B-B0B2-1FEFB6FB5B83}"/>
    <cellStyle name="Vírgula 5 3 5 16" xfId="5586" xr:uid="{258B34BB-D497-4A0E-A8F9-0DA7CA6C06E9}"/>
    <cellStyle name="Vírgula 5 3 5 17" xfId="4817" xr:uid="{9963A43E-D405-4184-A07B-DB3885559A48}"/>
    <cellStyle name="Vírgula 5 3 5 2" xfId="3733" xr:uid="{6CF444D4-0D57-489F-BCC0-92600162C470}"/>
    <cellStyle name="Vírgula 5 3 5 2 10" xfId="55794" xr:uid="{535BB928-2E85-4FDC-B133-202A536B24B1}"/>
    <cellStyle name="Vírgula 5 3 5 2 11" xfId="6158" xr:uid="{34674D58-E430-4C4F-AD3D-77BCCBD5BE18}"/>
    <cellStyle name="Vírgula 5 3 5 2 2" xfId="7316" xr:uid="{1F914736-7F05-4ED7-BC91-A17EE6343BDF}"/>
    <cellStyle name="Vírgula 5 3 5 2 2 2" xfId="17602" xr:uid="{1C1D4E37-268C-454E-8EF2-01A0CC0D5234}"/>
    <cellStyle name="Vírgula 5 3 5 2 2 2 2" xfId="37942" xr:uid="{7A031AA3-4BA1-44E5-85D5-613D78E3F88A}"/>
    <cellStyle name="Vírgula 5 3 5 2 2 3" xfId="21104" xr:uid="{C10F2E87-6FAB-46CE-B6AB-BCDF8FD20FE4}"/>
    <cellStyle name="Vírgula 5 3 5 2 2 3 2" xfId="41443" xr:uid="{614EC71D-C09F-4002-A8F4-98CFDAFFF6BA}"/>
    <cellStyle name="Vírgula 5 3 5 2 2 4" xfId="24359" xr:uid="{4707D27E-05D0-4947-AA2A-AEDBD16649C2}"/>
    <cellStyle name="Vírgula 5 3 5 2 2 4 2" xfId="44694" xr:uid="{5B03AE03-9BEA-4072-94E8-AD254FB8D0BD}"/>
    <cellStyle name="Vírgula 5 3 5 2 2 5" xfId="14693" xr:uid="{74B881BE-287C-46F0-811A-71F6B4E353A7}"/>
    <cellStyle name="Vírgula 5 3 5 2 2 5 2" xfId="35034" xr:uid="{DB9EA5E7-7D6F-47D5-B525-D1F03151E596}"/>
    <cellStyle name="Vírgula 5 3 5 2 2 6" xfId="10815" xr:uid="{28014B3F-64FF-4AA6-AC62-F35B0184A47F}"/>
    <cellStyle name="Vírgula 5 3 5 2 2 6 2" xfId="31158" xr:uid="{48932306-60AB-4AC5-9AD3-7F9BAB652E15}"/>
    <cellStyle name="Vírgula 5 3 5 2 2 7" xfId="27664" xr:uid="{C41ABB9B-6B23-452E-B59A-C8B2425A2074}"/>
    <cellStyle name="Vírgula 5 3 5 2 3" xfId="16444" xr:uid="{4F235CB2-091D-4249-B25D-337423EA4BB9}"/>
    <cellStyle name="Vírgula 5 3 5 2 3 2" xfId="36784" xr:uid="{9F7A1276-C9AB-40CF-BF86-A2F0EBF324D1}"/>
    <cellStyle name="Vírgula 5 3 5 2 4" xfId="19946" xr:uid="{BB429117-8960-4075-BA92-3C1DCE00A7CD}"/>
    <cellStyle name="Vírgula 5 3 5 2 4 2" xfId="40285" xr:uid="{7774E274-5349-4E63-B295-23C01250A8A2}"/>
    <cellStyle name="Vírgula 5 3 5 2 5" xfId="23201" xr:uid="{691D8275-0476-4A6B-9F10-6C3B7DDA7142}"/>
    <cellStyle name="Vírgula 5 3 5 2 5 2" xfId="43536" xr:uid="{2FBE6943-DA27-4B30-99EF-62B3FDA177F3}"/>
    <cellStyle name="Vírgula 5 3 5 2 6" xfId="13535" xr:uid="{6A1E01BA-3434-4ED1-860F-ADC916A994DC}"/>
    <cellStyle name="Vírgula 5 3 5 2 6 2" xfId="33876" xr:uid="{7C5FA182-A228-475A-A096-BC8BF06CE02A}"/>
    <cellStyle name="Vírgula 5 3 5 2 7" xfId="9657" xr:uid="{327BCFE1-0DDE-4C89-8019-F944DD44A946}"/>
    <cellStyle name="Vírgula 5 3 5 2 7 2" xfId="30000" xr:uid="{5849B3DD-5349-4245-9D46-4D9E2183650A}"/>
    <cellStyle name="Vírgula 5 3 5 2 8" xfId="26506" xr:uid="{054038BD-51FC-4679-9AE5-403C6083032B}"/>
    <cellStyle name="Vírgula 5 3 5 2 9" xfId="52500" xr:uid="{43FFCBA8-CD19-44BF-8496-B98927106C5A}"/>
    <cellStyle name="Vírgula 5 3 5 3" xfId="2679" xr:uid="{4B9A60C6-83D3-49D5-B457-4FEA318F647B}"/>
    <cellStyle name="Vírgula 5 3 5 3 2" xfId="17021" xr:uid="{A6F96FEA-D32D-4282-8AEF-CB8E8CD98813}"/>
    <cellStyle name="Vírgula 5 3 5 3 2 2" xfId="37361" xr:uid="{FD7B7A38-BE7E-4DBA-B14A-2EAA2F97F725}"/>
    <cellStyle name="Vírgula 5 3 5 3 3" xfId="20523" xr:uid="{719B677A-D2A7-451F-BF69-F9B536E8AE9C}"/>
    <cellStyle name="Vírgula 5 3 5 3 3 2" xfId="40862" xr:uid="{B2BF5BAE-3802-4131-8F1E-5387392B2B46}"/>
    <cellStyle name="Vírgula 5 3 5 3 4" xfId="23778" xr:uid="{41DC199E-EF2A-4088-8BCB-A52AC5F5143C}"/>
    <cellStyle name="Vírgula 5 3 5 3 4 2" xfId="44113" xr:uid="{81533D7D-EB6C-4CDA-B570-89B4F226034C}"/>
    <cellStyle name="Vírgula 5 3 5 3 5" xfId="14112" xr:uid="{3B0EC81B-A890-4205-9641-E55086840D8D}"/>
    <cellStyle name="Vírgula 5 3 5 3 5 2" xfId="34453" xr:uid="{2CE01478-5EEE-4C80-A705-56CBC0911EFE}"/>
    <cellStyle name="Vírgula 5 3 5 3 6" xfId="10234" xr:uid="{FFCF01F3-46D8-47BD-B566-B3AB46A91849}"/>
    <cellStyle name="Vírgula 5 3 5 3 6 2" xfId="30577" xr:uid="{7892281B-F281-4606-9DC5-C16416F94E82}"/>
    <cellStyle name="Vírgula 5 3 5 3 7" xfId="27083" xr:uid="{FA9733A6-A68A-4A88-B2D1-2062D858CE56}"/>
    <cellStyle name="Vírgula 5 3 5 3 8" xfId="56835" xr:uid="{D9DAD55E-BF2D-414D-9823-A86E9BA65198}"/>
    <cellStyle name="Vírgula 5 3 5 3 9" xfId="6735" xr:uid="{EA1D980D-4D15-46D1-A451-4758924BF20F}"/>
    <cellStyle name="Vírgula 5 3 5 4" xfId="7899" xr:uid="{08525253-FAC3-4153-867E-83622E16F842}"/>
    <cellStyle name="Vírgula 5 3 5 4 2" xfId="18184" xr:uid="{5A8FFB8B-EB61-473C-96CD-6D8B6DC7FF37}"/>
    <cellStyle name="Vírgula 5 3 5 4 2 2" xfId="38524" xr:uid="{96EAE801-C248-430C-BC87-F323D4D3EEBE}"/>
    <cellStyle name="Vírgula 5 3 5 4 3" xfId="21686" xr:uid="{52F42E1A-2DB7-4E84-A92F-8ED297675CD6}"/>
    <cellStyle name="Vírgula 5 3 5 4 3 2" xfId="42025" xr:uid="{15DC4F87-BE45-475B-82A1-984D35B73640}"/>
    <cellStyle name="Vírgula 5 3 5 4 4" xfId="24941" xr:uid="{1C86053B-B20F-4E0C-80EF-265FAE8E93DC}"/>
    <cellStyle name="Vírgula 5 3 5 4 4 2" xfId="45276" xr:uid="{3EC19F6C-D574-4E27-9D9C-DC3309A1C10A}"/>
    <cellStyle name="Vírgula 5 3 5 4 5" xfId="15276" xr:uid="{6545081E-8380-4627-A79E-95C33863FBE4}"/>
    <cellStyle name="Vírgula 5 3 5 4 5 2" xfId="35616" xr:uid="{1DAF0BB1-2517-48B0-B9FA-90ED1E3EC61B}"/>
    <cellStyle name="Vírgula 5 3 5 4 6" xfId="11397" xr:uid="{7C1B8F11-2592-442E-AD85-27148F454385}"/>
    <cellStyle name="Vírgula 5 3 5 4 6 2" xfId="31740" xr:uid="{462F2AF5-DE19-4FF3-BB49-485FDAA864B2}"/>
    <cellStyle name="Vírgula 5 3 5 4 7" xfId="28246" xr:uid="{0F86D5C6-44F0-4206-AF2D-324F2A2B0EB6}"/>
    <cellStyle name="Vírgula 5 3 5 5" xfId="12966" xr:uid="{55AB218D-50E7-49F6-95C8-1E7B784BE147}"/>
    <cellStyle name="Vírgula 5 3 5 5 2" xfId="33307" xr:uid="{EE0F2737-0AEA-46A8-8839-0F5BBCC7834B}"/>
    <cellStyle name="Vírgula 5 3 5 6" xfId="15863" xr:uid="{76AFA281-D1DE-42C1-B96A-0482479F512D}"/>
    <cellStyle name="Vírgula 5 3 5 6 2" xfId="36203" xr:uid="{445F3FBA-6F68-47ED-875C-E11E734F34F6}"/>
    <cellStyle name="Vírgula 5 3 5 7" xfId="18777" xr:uid="{123ECC6B-D966-47DD-8574-A86402E0ED73}"/>
    <cellStyle name="Vírgula 5 3 5 7 2" xfId="39117" xr:uid="{BF1B1AA5-A57C-4CFC-99F2-F17D9255CB11}"/>
    <cellStyle name="Vírgula 5 3 5 8" xfId="19365" xr:uid="{C285F09C-DF89-49B6-B65F-2C5D02EECE43}"/>
    <cellStyle name="Vírgula 5 3 5 8 2" xfId="39704" xr:uid="{D9A7EC16-3A54-4271-994F-32BE2855CC0C}"/>
    <cellStyle name="Vírgula 5 3 5 9" xfId="22620" xr:uid="{7F975690-36E3-400D-B420-ED657C12997D}"/>
    <cellStyle name="Vírgula 5 3 5 9 2" xfId="42955" xr:uid="{459AE785-70EE-4C42-AD5E-E6BF01BA2E34}"/>
    <cellStyle name="Vírgula 5 3 6" xfId="1370" xr:uid="{2250A722-E0C0-47FC-80C7-7ACFA88900B3}"/>
    <cellStyle name="Vírgula 5 3 6 10" xfId="12435" xr:uid="{99BCD67B-83BC-4B56-880D-CA04A74B08EA}"/>
    <cellStyle name="Vírgula 5 3 6 10 2" xfId="32776" xr:uid="{085A902D-BB77-4B29-BBA0-61EEFF914866}"/>
    <cellStyle name="Vírgula 5 3 6 11" xfId="9174" xr:uid="{C955DF81-EBEE-4739-9D59-7C46CF5EC3F1}"/>
    <cellStyle name="Vírgula 5 3 6 11 2" xfId="29517" xr:uid="{0E3985E5-00EC-4B0B-AFA7-D808C800CF8A}"/>
    <cellStyle name="Vírgula 5 3 6 12" xfId="26023" xr:uid="{EE89E5AC-178A-4611-8858-83DA3EEB1462}"/>
    <cellStyle name="Vírgula 5 3 6 13" xfId="49199" xr:uid="{25744869-96A2-4EB7-8B85-C659A44BAA74}"/>
    <cellStyle name="Vírgula 5 3 6 14" xfId="50869" xr:uid="{34A50227-D8E6-4E88-9B7E-0CC1ED7B2F15}"/>
    <cellStyle name="Vírgula 5 3 6 15" xfId="54164" xr:uid="{2A13A9BB-53F6-460D-87AB-DAC1C8A9009C}"/>
    <cellStyle name="Vírgula 5 3 6 16" xfId="5684" xr:uid="{2CDB95BE-7133-4061-84D6-F22929850008}"/>
    <cellStyle name="Vírgula 5 3 6 2" xfId="3031" xr:uid="{9D03DF08-54E1-4055-80F9-F5EE271881D3}"/>
    <cellStyle name="Vírgula 5 3 6 2 10" xfId="55795" xr:uid="{441774D5-8973-4030-9401-EDE096E381E4}"/>
    <cellStyle name="Vírgula 5 3 6 2 11" xfId="6256" xr:uid="{EB4FC7ED-569F-4887-9303-48BC5C41386F}"/>
    <cellStyle name="Vírgula 5 3 6 2 2" xfId="7414" xr:uid="{4431EB49-DE40-4940-8F67-AD37B76CDE02}"/>
    <cellStyle name="Vírgula 5 3 6 2 2 2" xfId="17700" xr:uid="{404DCA21-FADB-49B8-9EC2-DBD42BFA71B6}"/>
    <cellStyle name="Vírgula 5 3 6 2 2 2 2" xfId="38040" xr:uid="{C1503A84-B3EF-411C-AEBF-3BBD07DCDF44}"/>
    <cellStyle name="Vírgula 5 3 6 2 2 3" xfId="21202" xr:uid="{4BCFD375-07ED-42A8-A06D-CE173DE6DD13}"/>
    <cellStyle name="Vírgula 5 3 6 2 2 3 2" xfId="41541" xr:uid="{1F5AEC2B-5DB3-4D2F-82D3-91B7220A141D}"/>
    <cellStyle name="Vírgula 5 3 6 2 2 4" xfId="24457" xr:uid="{15D146D3-2E0E-44A4-9E59-694F1332B71A}"/>
    <cellStyle name="Vírgula 5 3 6 2 2 4 2" xfId="44792" xr:uid="{B5449299-EFBA-4B7A-A573-FFD54B755616}"/>
    <cellStyle name="Vírgula 5 3 6 2 2 5" xfId="14791" xr:uid="{EA9CAAF0-F4C9-4028-883D-4DA25B5EBE5B}"/>
    <cellStyle name="Vírgula 5 3 6 2 2 5 2" xfId="35132" xr:uid="{C5D0018D-DE30-4D53-B714-59EB49EA4616}"/>
    <cellStyle name="Vírgula 5 3 6 2 2 6" xfId="10913" xr:uid="{08AA5FC8-9494-4A90-927A-9E6B07F2F3C5}"/>
    <cellStyle name="Vírgula 5 3 6 2 2 6 2" xfId="31256" xr:uid="{C0D5B396-3794-4538-B56F-8BA560434EE5}"/>
    <cellStyle name="Vírgula 5 3 6 2 2 7" xfId="27762" xr:uid="{10967C17-4D25-4FD3-9821-F837194D3C52}"/>
    <cellStyle name="Vírgula 5 3 6 2 3" xfId="16542" xr:uid="{47E38956-6D1B-4F38-A73B-5C1D00DA25BB}"/>
    <cellStyle name="Vírgula 5 3 6 2 3 2" xfId="36882" xr:uid="{38267B4C-7F98-4037-A2DA-5A20888B5874}"/>
    <cellStyle name="Vírgula 5 3 6 2 4" xfId="20044" xr:uid="{15FC0EA6-E449-4C31-9BA7-C3D13DAF1F8E}"/>
    <cellStyle name="Vírgula 5 3 6 2 4 2" xfId="40383" xr:uid="{4611DA28-C745-4E8E-B9D6-D973DF798B65}"/>
    <cellStyle name="Vírgula 5 3 6 2 5" xfId="23299" xr:uid="{CD2F2493-BAAB-4C77-A382-98BD42EF6289}"/>
    <cellStyle name="Vírgula 5 3 6 2 5 2" xfId="43634" xr:uid="{96748667-4152-4D58-92F3-F4AED09D146E}"/>
    <cellStyle name="Vírgula 5 3 6 2 6" xfId="13633" xr:uid="{0DC705A0-D543-416F-9BBF-4F1F039103CF}"/>
    <cellStyle name="Vírgula 5 3 6 2 6 2" xfId="33974" xr:uid="{0A0FD026-C690-4C28-8883-E5AF05E0237D}"/>
    <cellStyle name="Vírgula 5 3 6 2 7" xfId="9755" xr:uid="{33441D7B-CE12-437B-898F-B681238D8A07}"/>
    <cellStyle name="Vírgula 5 3 6 2 7 2" xfId="30098" xr:uid="{357DB1E9-1F07-41FB-891D-C72D93A2649B}"/>
    <cellStyle name="Vírgula 5 3 6 2 8" xfId="26604" xr:uid="{54B986C7-17A7-4035-9C4B-F8CEF15F7506}"/>
    <cellStyle name="Vírgula 5 3 6 2 9" xfId="52501" xr:uid="{8815DABF-D3D6-460D-9483-F882BB9E622F}"/>
    <cellStyle name="Vírgula 5 3 6 3" xfId="6833" xr:uid="{B3AB3BC8-270E-4902-A879-CC98C2F2AB0E}"/>
    <cellStyle name="Vírgula 5 3 6 3 2" xfId="17119" xr:uid="{8BA954C1-A6E1-485F-B5D0-9845931FAC53}"/>
    <cellStyle name="Vírgula 5 3 6 3 2 2" xfId="37459" xr:uid="{6F63205B-ABE1-4641-A22C-E54210FF0AC6}"/>
    <cellStyle name="Vírgula 5 3 6 3 3" xfId="20621" xr:uid="{724F02E2-CA59-48DD-82B1-E358D1469FF7}"/>
    <cellStyle name="Vírgula 5 3 6 3 3 2" xfId="40960" xr:uid="{2F0FBA16-721C-41BA-AF60-4376C5CF9C33}"/>
    <cellStyle name="Vírgula 5 3 6 3 4" xfId="23876" xr:uid="{6FED6022-2185-4553-93BC-A28B35A7C177}"/>
    <cellStyle name="Vírgula 5 3 6 3 4 2" xfId="44211" xr:uid="{566663C8-095D-464C-A51B-A79802436378}"/>
    <cellStyle name="Vírgula 5 3 6 3 5" xfId="14210" xr:uid="{37820F9C-C5E6-4CA2-92A9-9B976F909371}"/>
    <cellStyle name="Vírgula 5 3 6 3 5 2" xfId="34551" xr:uid="{B59A7290-74C6-469D-8578-30A8F86B6CC8}"/>
    <cellStyle name="Vírgula 5 3 6 3 6" xfId="10332" xr:uid="{D63FEBE7-5F4F-4680-9D01-529357F5AB3D}"/>
    <cellStyle name="Vírgula 5 3 6 3 6 2" xfId="30675" xr:uid="{E8B65911-2732-4688-8A0A-FCA4525CBD3F}"/>
    <cellStyle name="Vírgula 5 3 6 3 7" xfId="27181" xr:uid="{29D7A0F5-CBBE-4529-B69E-72F1C06444A5}"/>
    <cellStyle name="Vírgula 5 3 6 3 8" xfId="57241" xr:uid="{5AE3650B-9190-4F9A-BE0D-09002437A978}"/>
    <cellStyle name="Vírgula 5 3 6 4" xfId="7997" xr:uid="{C7891413-4E7B-4EDD-AFDC-96E692354ADD}"/>
    <cellStyle name="Vírgula 5 3 6 4 2" xfId="18282" xr:uid="{87630572-2B9E-4556-82CA-8D1757E69645}"/>
    <cellStyle name="Vírgula 5 3 6 4 2 2" xfId="38622" xr:uid="{0C5C4055-3DC6-44D9-8919-F9597B26F5DE}"/>
    <cellStyle name="Vírgula 5 3 6 4 3" xfId="21784" xr:uid="{0A8C1FD2-C632-4D94-B96F-06A2EF74DFC1}"/>
    <cellStyle name="Vírgula 5 3 6 4 3 2" xfId="42123" xr:uid="{AFDE44CB-8E30-42FD-B8CF-03FA15968372}"/>
    <cellStyle name="Vírgula 5 3 6 4 4" xfId="25039" xr:uid="{ECF60238-F7EF-48BA-8C58-B6672B4674FC}"/>
    <cellStyle name="Vírgula 5 3 6 4 4 2" xfId="45374" xr:uid="{A20C569A-D33A-4ECF-9836-99989A18E4EB}"/>
    <cellStyle name="Vírgula 5 3 6 4 5" xfId="15374" xr:uid="{956556A9-F6F3-42BF-AD1B-B64164C0A38B}"/>
    <cellStyle name="Vírgula 5 3 6 4 5 2" xfId="35714" xr:uid="{38BD9947-29DF-43FB-A4FC-8F54EF145BAB}"/>
    <cellStyle name="Vírgula 5 3 6 4 6" xfId="11495" xr:uid="{3BAAEEBA-AEFE-41CD-BDF5-03135DBD2FD2}"/>
    <cellStyle name="Vírgula 5 3 6 4 6 2" xfId="31838" xr:uid="{B1CBADC2-AC4C-4D4C-BAA0-E0BFFC27C732}"/>
    <cellStyle name="Vírgula 5 3 6 4 7" xfId="28344" xr:uid="{74D48517-71B0-407A-902E-F55DE9E5C2EF}"/>
    <cellStyle name="Vírgula 5 3 6 5" xfId="13064" xr:uid="{BB546503-9436-4C4B-AF65-4A0A93794EE7}"/>
    <cellStyle name="Vírgula 5 3 6 5 2" xfId="33405" xr:uid="{C45EE7C6-0526-4270-96D8-40F3CFB206B4}"/>
    <cellStyle name="Vírgula 5 3 6 6" xfId="15961" xr:uid="{1AFD1A41-9AE6-48C0-AF3F-D5EED4103D26}"/>
    <cellStyle name="Vírgula 5 3 6 6 2" xfId="36301" xr:uid="{66688BD1-56DB-4875-93F7-760F8F5931AE}"/>
    <cellStyle name="Vírgula 5 3 6 7" xfId="18875" xr:uid="{58000FDD-7170-4DCB-AC5C-CC8DEAAA1EF5}"/>
    <cellStyle name="Vírgula 5 3 6 7 2" xfId="39215" xr:uid="{812678A8-F5AA-4AB9-A835-142321FDDA5E}"/>
    <cellStyle name="Vírgula 5 3 6 8" xfId="19463" xr:uid="{7DD36DDC-FC03-4C14-8A34-0081809EB59C}"/>
    <cellStyle name="Vírgula 5 3 6 8 2" xfId="39802" xr:uid="{24EADCB3-CFE8-453A-A307-3721B991D92E}"/>
    <cellStyle name="Vírgula 5 3 6 9" xfId="22718" xr:uid="{2FD6DE0A-6F54-4752-B459-DD9D95756635}"/>
    <cellStyle name="Vírgula 5 3 6 9 2" xfId="43053" xr:uid="{3FDBA15B-B449-4844-9837-C20034BEAA5B}"/>
    <cellStyle name="Vírgula 5 3 7" xfId="557" xr:uid="{2AF93D95-E9DD-4F08-A4CB-5FFC873DC835}"/>
    <cellStyle name="Vírgula 5 3 7 10" xfId="50870" xr:uid="{6E0503B1-9F18-4A0C-8937-EB0584F99FAA}"/>
    <cellStyle name="Vírgula 5 3 7 11" xfId="54165" xr:uid="{C5BB2EB3-DD55-4312-82EC-014F8DE59B32}"/>
    <cellStyle name="Vírgula 5 3 7 12" xfId="5814" xr:uid="{31CEC692-C917-4DA8-9DDF-4174B696539E}"/>
    <cellStyle name="Vírgula 5 3 7 2" xfId="2273" xr:uid="{CD1DEDEA-D0AA-45F9-83BC-8A50FF016A17}"/>
    <cellStyle name="Vírgula 5 3 7 2 10" xfId="6972" xr:uid="{0FB94CB1-6FAE-4F2F-B7FF-B8FD67B10803}"/>
    <cellStyle name="Vírgula 5 3 7 2 2" xfId="17258" xr:uid="{9337BDAF-1CE1-470A-BDED-798E39313D3D}"/>
    <cellStyle name="Vírgula 5 3 7 2 2 2" xfId="37598" xr:uid="{63B066A9-1F0B-402F-A56C-F542B976509C}"/>
    <cellStyle name="Vírgula 5 3 7 2 3" xfId="20760" xr:uid="{4F0DA042-2B61-4B1D-A689-FCF8B8687348}"/>
    <cellStyle name="Vírgula 5 3 7 2 3 2" xfId="41099" xr:uid="{C3421765-0361-4A88-A1A2-E9D77B39A32F}"/>
    <cellStyle name="Vírgula 5 3 7 2 4" xfId="24015" xr:uid="{FE9353E2-07EE-4782-AC27-14194EE99572}"/>
    <cellStyle name="Vírgula 5 3 7 2 4 2" xfId="44350" xr:uid="{3FDB0C5E-C799-4031-BF9B-E1A82C60F9C6}"/>
    <cellStyle name="Vírgula 5 3 7 2 5" xfId="14349" xr:uid="{7EFB864A-37C0-416D-855E-594C80243607}"/>
    <cellStyle name="Vírgula 5 3 7 2 5 2" xfId="34690" xr:uid="{EC3B5F5F-29D9-44FB-9F41-079DD1837BF0}"/>
    <cellStyle name="Vírgula 5 3 7 2 6" xfId="10471" xr:uid="{2E62A220-E3FB-44BE-9AD7-EA366B48AE3B}"/>
    <cellStyle name="Vírgula 5 3 7 2 6 2" xfId="30814" xr:uid="{0DAC6F34-02A1-4D1F-9569-D79F4560BD91}"/>
    <cellStyle name="Vírgula 5 3 7 2 7" xfId="27320" xr:uid="{468EF1FC-2011-41AA-94F4-D9059C86AEB9}"/>
    <cellStyle name="Vírgula 5 3 7 2 8" xfId="52502" xr:uid="{DBD3CCCE-4B59-4039-9599-602A65452111}"/>
    <cellStyle name="Vírgula 5 3 7 2 9" xfId="55796" xr:uid="{DA3DE2BE-6502-4845-BED4-833FFB31503D}"/>
    <cellStyle name="Vírgula 5 3 7 3" xfId="16100" xr:uid="{AE9BFA88-704F-4646-8D03-F163E807D13A}"/>
    <cellStyle name="Vírgula 5 3 7 3 2" xfId="36440" xr:uid="{B7227F4B-7BF6-4953-B301-24F0BEC15B58}"/>
    <cellStyle name="Vírgula 5 3 7 3 3" xfId="56428" xr:uid="{5F274C91-DFCF-4EE5-B844-D1274BE0E7CA}"/>
    <cellStyle name="Vírgula 5 3 7 4" xfId="19602" xr:uid="{2809F227-2E6F-4EB7-9E3F-461ADBEC1FE3}"/>
    <cellStyle name="Vírgula 5 3 7 4 2" xfId="39941" xr:uid="{8D67A088-1DE6-4C34-907A-7E350BD2B6C6}"/>
    <cellStyle name="Vírgula 5 3 7 5" xfId="22857" xr:uid="{5AFE301B-4F43-4578-8DD5-36B7ED46A4EB}"/>
    <cellStyle name="Vírgula 5 3 7 5 2" xfId="43192" xr:uid="{BC8B8F1B-335D-43DC-B047-9337FDF1B7F0}"/>
    <cellStyle name="Vírgula 5 3 7 6" xfId="12558" xr:uid="{4E6EA85F-B03D-48C4-AD0C-EA8582015043}"/>
    <cellStyle name="Vírgula 5 3 7 6 2" xfId="32899" xr:uid="{6B30D814-0E25-4804-8AB6-96434267AD31}"/>
    <cellStyle name="Vírgula 5 3 7 7" xfId="9313" xr:uid="{B0F29AEB-26E3-4003-8BB3-9742BDD38B87}"/>
    <cellStyle name="Vírgula 5 3 7 7 2" xfId="29656" xr:uid="{FAC24457-005A-4EE2-9072-CD8EF189EC57}"/>
    <cellStyle name="Vírgula 5 3 7 8" xfId="26162" xr:uid="{9BF49314-8B02-4F76-8345-440AFEBE28D5}"/>
    <cellStyle name="Vírgula 5 3 7 9" xfId="49200" xr:uid="{6AE95672-D9DA-49D2-990C-BC2072CD472B}"/>
    <cellStyle name="Vírgula 5 3 8" xfId="3405" xr:uid="{293978FE-91C8-497C-AA39-8815CAB20738}"/>
    <cellStyle name="Vírgula 5 3 8 10" xfId="6391" xr:uid="{04BD5C5F-278B-4F18-B6F3-BCAD9B0E547A}"/>
    <cellStyle name="Vírgula 5 3 8 2" xfId="16677" xr:uid="{4A0AE878-D896-4C6C-BD99-1E7D1D139D07}"/>
    <cellStyle name="Vírgula 5 3 8 2 2" xfId="37017" xr:uid="{598EABF0-0BF9-49A9-AB9A-2C0F50F97207}"/>
    <cellStyle name="Vírgula 5 3 8 3" xfId="20179" xr:uid="{328EA4C9-5317-4920-8C14-D95ECE64A181}"/>
    <cellStyle name="Vírgula 5 3 8 3 2" xfId="40518" xr:uid="{95C9E1F7-7A77-4D99-905E-04C82C86A200}"/>
    <cellStyle name="Vírgula 5 3 8 4" xfId="23434" xr:uid="{ECF24DFF-FA51-4158-B385-CAE795D734AE}"/>
    <cellStyle name="Vírgula 5 3 8 4 2" xfId="43769" xr:uid="{61F752DF-9DF0-4F73-91CD-C0EB66BB8E91}"/>
    <cellStyle name="Vírgula 5 3 8 5" xfId="13768" xr:uid="{94351E57-79B4-40F1-AFCA-449E307FE673}"/>
    <cellStyle name="Vírgula 5 3 8 5 2" xfId="34109" xr:uid="{FCC1D1D5-5CD0-458A-BC50-54390F5BDED2}"/>
    <cellStyle name="Vírgula 5 3 8 6" xfId="9890" xr:uid="{46408AE5-EBCC-4312-812A-F06584E05E57}"/>
    <cellStyle name="Vírgula 5 3 8 6 2" xfId="30233" xr:uid="{4E0A9E88-5A9C-44CC-B89C-1EB7F7976C81}"/>
    <cellStyle name="Vírgula 5 3 8 7" xfId="26739" xr:uid="{6AD2E412-4A37-4E37-A151-CC39F5EE8DF4}"/>
    <cellStyle name="Vírgula 5 3 8 8" xfId="52479" xr:uid="{51E5D3F3-42E0-4C9B-9BDC-BD2AD6971A63}"/>
    <cellStyle name="Vírgula 5 3 8 9" xfId="55773" xr:uid="{04D43CEA-6F61-4F1D-8B0E-79B45648C8F8}"/>
    <cellStyle name="Vírgula 5 3 9" xfId="3839" xr:uid="{71A3F717-DF5A-46E8-A4DA-4FBF7090E67A}"/>
    <cellStyle name="Vírgula 5 3 9 2" xfId="17840" xr:uid="{99579242-F44D-402C-835D-23A9C901C549}"/>
    <cellStyle name="Vírgula 5 3 9 2 2" xfId="38180" xr:uid="{B455E7A1-9867-4C54-8731-C8319331509E}"/>
    <cellStyle name="Vírgula 5 3 9 3" xfId="21342" xr:uid="{12A417AD-6905-4613-BFAA-8C8CE928167B}"/>
    <cellStyle name="Vírgula 5 3 9 3 2" xfId="41681" xr:uid="{2F424257-3E2F-48EA-8C6A-E8DD79492304}"/>
    <cellStyle name="Vírgula 5 3 9 4" xfId="24597" xr:uid="{3D89F7F7-24BE-4621-A7B7-4B95B541F0E7}"/>
    <cellStyle name="Vírgula 5 3 9 4 2" xfId="44932" xr:uid="{19F071D9-55A2-4967-8173-9E078FD62A50}"/>
    <cellStyle name="Vírgula 5 3 9 5" xfId="14932" xr:uid="{1BD40A56-1412-4698-9AAA-0694FE6A3145}"/>
    <cellStyle name="Vírgula 5 3 9 5 2" xfId="35272" xr:uid="{D168CA05-999D-41AC-AA5A-CF98EF6A0093}"/>
    <cellStyle name="Vírgula 5 3 9 6" xfId="11053" xr:uid="{0D13C2D0-7387-407D-B493-B54F74B2D559}"/>
    <cellStyle name="Vírgula 5 3 9 6 2" xfId="31396" xr:uid="{7E57556F-0EC4-4761-BF24-7B864B8E48F4}"/>
    <cellStyle name="Vírgula 5 3 9 7" xfId="27902" xr:uid="{D7BCD537-E38C-4859-BE82-F14D7AE833D1}"/>
    <cellStyle name="Vírgula 5 3 9 8" xfId="56019" xr:uid="{1348BCD1-18FF-4D6D-9F73-CAE50106BF05}"/>
    <cellStyle name="Vírgula 5 3 9 9" xfId="7555" xr:uid="{81D14DB8-0FCC-4090-A218-EB2982888F35}"/>
    <cellStyle name="Vírgula 5 30" xfId="5225" xr:uid="{7889DC93-AEAB-4CC4-A2D9-E874D35E17FC}"/>
    <cellStyle name="Vírgula 5 31" xfId="4383" xr:uid="{80CD17EE-B3D0-49ED-AD1C-C74C0B13A486}"/>
    <cellStyle name="Vírgula 5 4" xfId="175" xr:uid="{41F46E74-55F3-4916-96C8-901DD97A960C}"/>
    <cellStyle name="Vírgula 5 4 10" xfId="18473" xr:uid="{72BE6DC3-C02E-4155-A826-B284D37703C0}"/>
    <cellStyle name="Vírgula 5 4 10 2" xfId="38813" xr:uid="{C98A4BD5-E795-4B1E-A41E-755C8B143C7D}"/>
    <cellStyle name="Vírgula 5 4 11" xfId="19061" xr:uid="{02AFCCB0-0C03-4799-AF5B-C983C6E2F7C7}"/>
    <cellStyle name="Vírgula 5 4 11 2" xfId="39400" xr:uid="{104CCC6C-B0C8-4518-89BF-5522F889ED16}"/>
    <cellStyle name="Vírgula 5 4 12" xfId="22316" xr:uid="{D385A559-28C4-4A31-84A2-75A702327205}"/>
    <cellStyle name="Vírgula 5 4 12 2" xfId="42651" xr:uid="{EC9A4225-C78D-434E-9071-710266FFEB8B}"/>
    <cellStyle name="Vírgula 5 4 13" xfId="12033" xr:uid="{BF5401D3-B517-41E1-BBA0-8E23B12C8E9E}"/>
    <cellStyle name="Vírgula 5 4 13 2" xfId="32374" xr:uid="{DFDF8720-7101-4BFD-8415-CC2782D109F8}"/>
    <cellStyle name="Vírgula 5 4 14" xfId="8772" xr:uid="{8B9BC3ED-06CF-4768-A064-0DECC745E992}"/>
    <cellStyle name="Vírgula 5 4 14 2" xfId="29115" xr:uid="{37A3F692-5B0D-4822-8478-25E6D48FCAC4}"/>
    <cellStyle name="Vírgula 5 4 15" xfId="25621" xr:uid="{4DF13CF4-3C05-4F13-8620-86E197395B49}"/>
    <cellStyle name="Vírgula 5 4 16" xfId="45877" xr:uid="{AAED1B24-21FF-4340-A054-FA0F1FD5B3E8}"/>
    <cellStyle name="Vírgula 5 4 17" xfId="46363" xr:uid="{D53951EA-66A3-422C-BBF1-078E1CCAED72}"/>
    <cellStyle name="Vírgula 5 4 18" xfId="46855" xr:uid="{D05FBEB8-0948-4B0C-80C9-9C3183694567}"/>
    <cellStyle name="Vírgula 5 4 19" xfId="47367" xr:uid="{0D42A84F-A8C4-42B9-B999-1CBFE813825F}"/>
    <cellStyle name="Vírgula 5 4 2" xfId="364" xr:uid="{2365A7FA-0116-4136-BF5D-50B0A560C42E}"/>
    <cellStyle name="Vírgula 5 4 2 10" xfId="12148" xr:uid="{7091B0EA-64A5-44CA-9FBF-7789213D4342}"/>
    <cellStyle name="Vírgula 5 4 2 10 2" xfId="32489" xr:uid="{B00DCB93-0BD4-49A2-A008-C9CF52E8ECB6}"/>
    <cellStyle name="Vírgula 5 4 2 11" xfId="8887" xr:uid="{C713DE1C-0B7F-4517-8B5E-25E8FA3B0CF2}"/>
    <cellStyle name="Vírgula 5 4 2 11 2" xfId="29230" xr:uid="{EDA1CCD6-2E62-42B7-9E07-103E0B2F63E4}"/>
    <cellStyle name="Vírgula 5 4 2 12" xfId="25736" xr:uid="{DEF2AF42-C826-40CD-84D9-F3C0A648FB50}"/>
    <cellStyle name="Vírgula 5 4 2 13" xfId="46015" xr:uid="{2A613F0E-C5ED-4386-B803-5F7DB5A56974}"/>
    <cellStyle name="Vírgula 5 4 2 14" xfId="46501" xr:uid="{2A1E6BD6-107C-40DB-AA5E-AC5613817597}"/>
    <cellStyle name="Vírgula 5 4 2 15" xfId="46993" xr:uid="{3816B150-A651-4620-A0A3-DA9460980EFF}"/>
    <cellStyle name="Vírgula 5 4 2 16" xfId="49202" xr:uid="{7F70EA31-2D57-4030-BB49-C5C55301B87A}"/>
    <cellStyle name="Vírgula 5 4 2 17" xfId="50872" xr:uid="{9134C7A1-E539-4C7E-9279-17323BA932B7}"/>
    <cellStyle name="Vírgula 5 4 2 18" xfId="54167" xr:uid="{BE6C3DE5-9BA8-4E5F-9698-222E8C4CBB0A}"/>
    <cellStyle name="Vírgula 5 4 2 19" xfId="5405" xr:uid="{BB43AC8E-A29F-42D3-90EA-BD0001109091}"/>
    <cellStyle name="Vírgula 5 4 2 2" xfId="1180" xr:uid="{EBFE61C4-9100-4D13-9013-DD93C368C054}"/>
    <cellStyle name="Vírgula 5 4 2 2 10" xfId="46744" xr:uid="{C46FB12D-D259-483D-8750-1951D1A23B43}"/>
    <cellStyle name="Vírgula 5 4 2 2 11" xfId="47236" xr:uid="{03FB25B3-E06F-48C4-82F7-5AA6672932C8}"/>
    <cellStyle name="Vírgula 5 4 2 2 12" xfId="49203" xr:uid="{153B3955-CBAA-4F19-A202-B1FB7D534537}"/>
    <cellStyle name="Vírgula 5 4 2 2 13" xfId="50873" xr:uid="{573698F1-80B7-4AB2-8060-9CCDB0B230D1}"/>
    <cellStyle name="Vírgula 5 4 2 2 14" xfId="54168" xr:uid="{94D00E05-9840-421B-802C-A1941E9CC7FB}"/>
    <cellStyle name="Vírgula 5 4 2 2 15" xfId="5969" xr:uid="{D5CBC59D-629D-4CD4-8FC4-E3C5F69A0E2B}"/>
    <cellStyle name="Vírgula 5 4 2 2 16" xfId="5133" xr:uid="{A1ECF0A9-5EDA-4B0E-B7B0-99BEC9DF2899}"/>
    <cellStyle name="Vírgula 5 4 2 2 2" xfId="2841" xr:uid="{5DD1FA48-9110-4798-8DE8-D44EBFEE65E3}"/>
    <cellStyle name="Vírgula 5 4 2 2 2 10" xfId="7127" xr:uid="{56097690-8497-4880-B427-78BA0CF931EE}"/>
    <cellStyle name="Vírgula 5 4 2 2 2 2" xfId="17413" xr:uid="{6C1D0BC8-CFF8-4BCD-AAD0-0EF9B1047C99}"/>
    <cellStyle name="Vírgula 5 4 2 2 2 2 2" xfId="37753" xr:uid="{F88F1B8B-A936-4FA7-8EBE-AB3C855B3BB7}"/>
    <cellStyle name="Vírgula 5 4 2 2 2 3" xfId="20915" xr:uid="{0E1F6F9F-BA1D-4FA3-96CC-587836E3EF89}"/>
    <cellStyle name="Vírgula 5 4 2 2 2 3 2" xfId="41254" xr:uid="{5D7C71C3-7265-40DC-9096-F5BCA89D0C2F}"/>
    <cellStyle name="Vírgula 5 4 2 2 2 4" xfId="24170" xr:uid="{D4B5C9EB-BE52-4A73-AC08-41235703051D}"/>
    <cellStyle name="Vírgula 5 4 2 2 2 4 2" xfId="44505" xr:uid="{D658509D-82C4-492F-B385-2A8C479C5DB0}"/>
    <cellStyle name="Vírgula 5 4 2 2 2 5" xfId="14504" xr:uid="{1ED72C90-DD27-4A2B-8C27-0F4D56845A15}"/>
    <cellStyle name="Vírgula 5 4 2 2 2 5 2" xfId="34845" xr:uid="{5DDF7EA4-8F5D-4DBC-9702-A0EEDAD3DE1C}"/>
    <cellStyle name="Vírgula 5 4 2 2 2 6" xfId="10626" xr:uid="{F7C751BC-1257-49E5-BE6F-AC9FDF32E24A}"/>
    <cellStyle name="Vírgula 5 4 2 2 2 6 2" xfId="30969" xr:uid="{633ADEF5-8E74-4AC0-B3B6-4C1CE624AE7C}"/>
    <cellStyle name="Vírgula 5 4 2 2 2 7" xfId="27475" xr:uid="{BB883C73-2CC4-4DDB-8C22-8EF45F516012}"/>
    <cellStyle name="Vírgula 5 4 2 2 2 8" xfId="52505" xr:uid="{B63551D4-AAE0-4763-B58B-09DFD1FD7193}"/>
    <cellStyle name="Vírgula 5 4 2 2 2 9" xfId="55799" xr:uid="{B3810081-B1C7-4E54-9FAC-BEA541D6C2BD}"/>
    <cellStyle name="Vírgula 5 4 2 2 3" xfId="16255" xr:uid="{BE2C73C8-F13C-44EF-90DD-2A6FC5B302C2}"/>
    <cellStyle name="Vírgula 5 4 2 2 3 2" xfId="36595" xr:uid="{C1517948-870A-4E96-A384-0301F8301CF7}"/>
    <cellStyle name="Vírgula 5 4 2 2 3 3" xfId="57051" xr:uid="{8D987791-A471-468C-B9DF-C1671A9DE851}"/>
    <cellStyle name="Vírgula 5 4 2 2 4" xfId="19757" xr:uid="{72ACBC22-8E2F-4CAA-8CB3-F5505963E780}"/>
    <cellStyle name="Vírgula 5 4 2 2 4 2" xfId="40096" xr:uid="{C5B7CACB-7886-4222-86DD-9CA5F62FDFE9}"/>
    <cellStyle name="Vírgula 5 4 2 2 5" xfId="23012" xr:uid="{E5098161-372D-45D9-9871-CB022793F3C6}"/>
    <cellStyle name="Vírgula 5 4 2 2 5 2" xfId="43347" xr:uid="{7FCF6006-9DCE-44DD-A8C0-38715AABD4D0}"/>
    <cellStyle name="Vírgula 5 4 2 2 6" xfId="13346" xr:uid="{1C466848-4CA9-4F77-A531-4A60ECD7F100}"/>
    <cellStyle name="Vírgula 5 4 2 2 6 2" xfId="33687" xr:uid="{E2662266-4A30-40D1-ADB6-4E4D9268BA93}"/>
    <cellStyle name="Vírgula 5 4 2 2 7" xfId="9468" xr:uid="{423F5373-41AF-45A6-BB75-6050B347E2A2}"/>
    <cellStyle name="Vírgula 5 4 2 2 7 2" xfId="29811" xr:uid="{D8CFDE21-B481-4E1F-BF42-65E156EAA4FB}"/>
    <cellStyle name="Vírgula 5 4 2 2 8" xfId="26317" xr:uid="{CB721EAD-DB77-4326-A91F-892D60054B29}"/>
    <cellStyle name="Vírgula 5 4 2 2 9" xfId="46258" xr:uid="{556BEB2B-783C-4CFA-806E-45EBDE5A524E}"/>
    <cellStyle name="Vírgula 5 4 2 20" xfId="4645" xr:uid="{69F8ED70-778E-4494-BA2A-1DDDCC34EC5E}"/>
    <cellStyle name="Vírgula 5 4 2 3" xfId="1586" xr:uid="{786F8CE9-ECCB-46E3-8C14-14C818CD4A26}"/>
    <cellStyle name="Vírgula 5 4 2 3 10" xfId="54169" xr:uid="{78E32C56-E140-4537-8C76-53B1C4BF7427}"/>
    <cellStyle name="Vírgula 5 4 2 3 11" xfId="6546" xr:uid="{D3C1F819-576C-4FEF-84D7-BBAE2FC6631F}"/>
    <cellStyle name="Vírgula 5 4 2 3 2" xfId="3246" xr:uid="{AED4B310-2F75-4A7F-9E0A-1461B6BBDE1D}"/>
    <cellStyle name="Vírgula 5 4 2 3 2 2" xfId="37172" xr:uid="{647CCCF5-9A3F-4FB7-8A84-C78274F14AFD}"/>
    <cellStyle name="Vírgula 5 4 2 3 2 3" xfId="52506" xr:uid="{8BDC0960-D9F5-4AA6-8992-8A9C7C6620B7}"/>
    <cellStyle name="Vírgula 5 4 2 3 2 4" xfId="55800" xr:uid="{B23249F9-6186-4233-8E83-7ECE80E6AA58}"/>
    <cellStyle name="Vírgula 5 4 2 3 2 5" xfId="16832" xr:uid="{73EDC03D-9C89-48AE-BD0E-F4B3E41D441A}"/>
    <cellStyle name="Vírgula 5 4 2 3 3" xfId="20334" xr:uid="{17F8FE2D-2BA0-4A19-A1C1-E6CDA860B74E}"/>
    <cellStyle name="Vírgula 5 4 2 3 3 2" xfId="40673" xr:uid="{A64F6E08-B09E-4A84-A9CF-43D941F168D8}"/>
    <cellStyle name="Vírgula 5 4 2 3 3 3" xfId="57457" xr:uid="{917D1E73-81B6-4A73-B55C-1A9303DD8024}"/>
    <cellStyle name="Vírgula 5 4 2 3 4" xfId="23589" xr:uid="{F6C96069-F016-49A6-AE86-EF75C2AA8923}"/>
    <cellStyle name="Vírgula 5 4 2 3 4 2" xfId="43924" xr:uid="{F1F9AFB2-864D-43FF-97F5-A08028FF5EEB}"/>
    <cellStyle name="Vírgula 5 4 2 3 5" xfId="13923" xr:uid="{DDA0274B-A15E-4B8C-AAD3-F1B3AD7EC670}"/>
    <cellStyle name="Vírgula 5 4 2 3 5 2" xfId="34264" xr:uid="{8673A47C-1981-48BC-ACAF-6274BCA26026}"/>
    <cellStyle name="Vírgula 5 4 2 3 6" xfId="10045" xr:uid="{620EE596-7050-403F-9866-482298CFFAD4}"/>
    <cellStyle name="Vírgula 5 4 2 3 6 2" xfId="30388" xr:uid="{DCC5C414-22C8-4A43-BEA2-58A76D402EDD}"/>
    <cellStyle name="Vírgula 5 4 2 3 7" xfId="26894" xr:uid="{4B5CA08A-F39B-4315-BE72-8639BD3EA75C}"/>
    <cellStyle name="Vírgula 5 4 2 3 8" xfId="49204" xr:uid="{E8BCA5A4-2034-4BA2-9FB5-A3CCBA795F7A}"/>
    <cellStyle name="Vírgula 5 4 2 3 9" xfId="50874" xr:uid="{D3E71AD4-69FC-4FFB-BF15-FE51D9981D2B}"/>
    <cellStyle name="Vírgula 5 4 2 4" xfId="773" xr:uid="{75C2A698-1941-4EFB-9911-6876C93C1C34}"/>
    <cellStyle name="Vírgula 5 4 2 4 10" xfId="54170" xr:uid="{31825A7F-163B-4271-B1E4-09CDA3287C10}"/>
    <cellStyle name="Vírgula 5 4 2 4 11" xfId="7710" xr:uid="{8B11CC14-D76E-4726-853E-FF5DC59143E0}"/>
    <cellStyle name="Vírgula 5 4 2 4 2" xfId="2489" xr:uid="{261E7190-7E6C-4B8C-9C05-00BFD0C04A61}"/>
    <cellStyle name="Vírgula 5 4 2 4 2 2" xfId="38335" xr:uid="{6C6053AA-A5F2-4247-9823-FF60975E09C2}"/>
    <cellStyle name="Vírgula 5 4 2 4 2 3" xfId="52507" xr:uid="{DB2637A1-7FC3-4833-8E8D-249A6922EC9A}"/>
    <cellStyle name="Vírgula 5 4 2 4 2 4" xfId="55801" xr:uid="{5D7311B2-4605-47F5-8773-B1518897103B}"/>
    <cellStyle name="Vírgula 5 4 2 4 2 5" xfId="17995" xr:uid="{20206EA9-4843-412F-A444-F2C02060757A}"/>
    <cellStyle name="Vírgula 5 4 2 4 3" xfId="21497" xr:uid="{20FE5B52-DE8F-4617-AA1F-19958959ED29}"/>
    <cellStyle name="Vírgula 5 4 2 4 3 2" xfId="41836" xr:uid="{80496BA0-F8A2-44A4-9F49-9118C7782B63}"/>
    <cellStyle name="Vírgula 5 4 2 4 3 3" xfId="56644" xr:uid="{EC3B216F-1BB8-4CD9-85BD-1DB3188BCD23}"/>
    <cellStyle name="Vírgula 5 4 2 4 4" xfId="24752" xr:uid="{DDBE816D-8974-4D57-B915-33454ED06C8E}"/>
    <cellStyle name="Vírgula 5 4 2 4 4 2" xfId="45087" xr:uid="{9E29DE92-0BF1-445E-B99A-966948A91D28}"/>
    <cellStyle name="Vírgula 5 4 2 4 5" xfId="15087" xr:uid="{92FD5A33-36AC-45E4-B298-EDCD5FB31BC4}"/>
    <cellStyle name="Vírgula 5 4 2 4 5 2" xfId="35427" xr:uid="{BE613B08-E0D0-44BD-8ED6-36754B8C6577}"/>
    <cellStyle name="Vírgula 5 4 2 4 6" xfId="11208" xr:uid="{C6886F09-B646-483A-B0BC-4DACE3B0E074}"/>
    <cellStyle name="Vírgula 5 4 2 4 6 2" xfId="31551" xr:uid="{B511165A-DE99-438B-A23A-3E7F6A5F9CBA}"/>
    <cellStyle name="Vírgula 5 4 2 4 7" xfId="28057" xr:uid="{F011E307-0831-4092-BCD1-776F461C1B62}"/>
    <cellStyle name="Vírgula 5 4 2 4 8" xfId="49205" xr:uid="{C78C2542-98E3-446E-98C3-DC6787F14B5B}"/>
    <cellStyle name="Vírgula 5 4 2 4 9" xfId="50875" xr:uid="{3B29D7E0-C380-4500-856F-D83320637D3D}"/>
    <cellStyle name="Vírgula 5 4 2 5" xfId="3653" xr:uid="{0AC3B0F2-0931-45A0-A2E2-1FE6C7CA8948}"/>
    <cellStyle name="Vírgula 5 4 2 5 2" xfId="22109" xr:uid="{A10526D8-1D21-488C-80EA-8E2E0593432A}"/>
    <cellStyle name="Vírgula 5 4 2 5 2 2" xfId="42445" xr:uid="{4DD50C41-AE6B-4950-8F11-B643B23E767E}"/>
    <cellStyle name="Vírgula 5 4 2 5 3" xfId="25361" xr:uid="{BB0F3200-E960-4093-B52B-3182FF634756}"/>
    <cellStyle name="Vírgula 5 4 2 5 3 2" xfId="45696" xr:uid="{7F2821A7-79CB-4BF3-9550-250BF567273D}"/>
    <cellStyle name="Vírgula 5 4 2 5 4" xfId="12777" xr:uid="{60BA9770-1ABA-40F8-B17A-9FA13C47DB96}"/>
    <cellStyle name="Vírgula 5 4 2 5 4 2" xfId="33118" xr:uid="{B0039641-8DE5-4323-9EEC-45A5AF91FA67}"/>
    <cellStyle name="Vírgula 5 4 2 5 5" xfId="11818" xr:uid="{95373ADD-6AA0-46E5-982D-9E6155CBDA7A}"/>
    <cellStyle name="Vírgula 5 4 2 5 5 2" xfId="32160" xr:uid="{E6D70582-7BB1-4F15-B542-06C99CCD5ACA}"/>
    <cellStyle name="Vírgula 5 4 2 5 6" xfId="28666" xr:uid="{A9EA62DA-710C-4F24-B6B3-2E3D85CF1E97}"/>
    <cellStyle name="Vírgula 5 4 2 5 7" xfId="52504" xr:uid="{3235A066-DB91-4AE6-A2BE-D5540FFB1313}"/>
    <cellStyle name="Vírgula 5 4 2 5 8" xfId="55798" xr:uid="{EDC4DA63-7C11-41C6-BE56-1793E7CF3F7F}"/>
    <cellStyle name="Vírgula 5 4 2 5 9" xfId="8322" xr:uid="{37A54E64-77E1-4F40-8B43-051647F3E317}"/>
    <cellStyle name="Vírgula 5 4 2 6" xfId="4050" xr:uid="{D9351B37-FB43-49C5-B2CF-DD556EB66391}"/>
    <cellStyle name="Vírgula 5 4 2 6 2" xfId="15674" xr:uid="{9BC56623-B64D-4026-B19B-5360A09CE896}"/>
    <cellStyle name="Vírgula 5 4 2 6 2 2" xfId="36014" xr:uid="{F03D1C2B-7547-46EE-BD1E-F86D20E19255}"/>
    <cellStyle name="Vírgula 5 4 2 6 3" xfId="28983" xr:uid="{76D6A1ED-5E9D-4079-A162-6F7D10DD15E5}"/>
    <cellStyle name="Vírgula 5 4 2 6 4" xfId="56235" xr:uid="{C328232F-02E5-4898-9338-9F6CFEB2D33F}"/>
    <cellStyle name="Vírgula 5 4 2 6 5" xfId="8640" xr:uid="{FBD43D0E-6D02-4FDE-9941-8B3900B9931B}"/>
    <cellStyle name="Vírgula 5 4 2 7" xfId="2002" xr:uid="{F99C7910-BC85-4A66-886F-EF768A87D93B}"/>
    <cellStyle name="Vírgula 5 4 2 7 2" xfId="38928" xr:uid="{6B835AFA-2BFE-46F0-BA4B-12041407A534}"/>
    <cellStyle name="Vírgula 5 4 2 7 3" xfId="18588" xr:uid="{A20DD601-C4CB-4084-A71F-06942AD17E8A}"/>
    <cellStyle name="Vírgula 5 4 2 8" xfId="19176" xr:uid="{D53558D1-C360-40AC-B799-64235A68FAF6}"/>
    <cellStyle name="Vírgula 5 4 2 8 2" xfId="39515" xr:uid="{D87DE2DF-989C-4109-8D2C-7623D34B9C04}"/>
    <cellStyle name="Vírgula 5 4 2 9" xfId="22431" xr:uid="{D2E29546-610E-4021-B2FD-481314D88D73}"/>
    <cellStyle name="Vírgula 5 4 2 9 2" xfId="42766" xr:uid="{A4BB4CB6-CF10-4DB5-884E-F069E4D9BDA4}"/>
    <cellStyle name="Vírgula 5 4 20" xfId="47493" xr:uid="{5044E393-B7E1-47EB-90DC-CC07B1617FBE}"/>
    <cellStyle name="Vírgula 5 4 21" xfId="47619" xr:uid="{737CE5E2-3D13-403F-B050-CDAB4DDDCB55}"/>
    <cellStyle name="Vírgula 5 4 22" xfId="49201" xr:uid="{E7C23878-26DB-4FC1-B30E-3714723F8342}"/>
    <cellStyle name="Vírgula 5 4 23" xfId="50871" xr:uid="{E5E214D1-6A18-4C62-BFDD-C9C65184EB19}"/>
    <cellStyle name="Vírgula 5 4 24" xfId="54166" xr:uid="{F4C43550-C0E9-4A62-9476-18FAE8EBFC12}"/>
    <cellStyle name="Vírgula 5 4 25" xfId="5303" xr:uid="{EF2D77E4-EC09-47AB-8E14-3B6DBBE31099}"/>
    <cellStyle name="Vírgula 5 4 26" xfId="4456" xr:uid="{44EA52B3-542F-490C-B773-7131A8AE7539}"/>
    <cellStyle name="Vírgula 5 4 3" xfId="991" xr:uid="{B50B4508-BB56-4397-B668-F1F9EF9926C3}"/>
    <cellStyle name="Vírgula 5 4 3 10" xfId="12377" xr:uid="{615B709A-4CFA-4954-9FCB-A6028F4B2E13}"/>
    <cellStyle name="Vírgula 5 4 3 10 2" xfId="32718" xr:uid="{E5BE6D45-70B2-4C86-AF68-66C99FF91828}"/>
    <cellStyle name="Vírgula 5 4 3 11" xfId="9116" xr:uid="{C6F0F00A-1E37-4E01-B354-E1EBABF82F6E}"/>
    <cellStyle name="Vírgula 5 4 3 11 2" xfId="29459" xr:uid="{C5923ABA-1698-4082-A521-07B2D509715B}"/>
    <cellStyle name="Vírgula 5 4 3 12" xfId="25965" xr:uid="{BC1488EA-7369-43E8-9D7F-951F105F3499}"/>
    <cellStyle name="Vírgula 5 4 3 13" xfId="46120" xr:uid="{AF378278-84E4-4439-9F86-64DE6CD60007}"/>
    <cellStyle name="Vírgula 5 4 3 14" xfId="46606" xr:uid="{B516A7DF-E508-4E45-86C8-63E20578B7EF}"/>
    <cellStyle name="Vírgula 5 4 3 15" xfId="47098" xr:uid="{348B1847-5C36-4F1C-B1AD-FF800A2BFC94}"/>
    <cellStyle name="Vírgula 5 4 3 16" xfId="49206" xr:uid="{5D776AC4-028B-4427-A5FE-4A1034361BF0}"/>
    <cellStyle name="Vírgula 5 4 3 17" xfId="50876" xr:uid="{4E90B9D1-3A9F-4D90-A628-101464156206}"/>
    <cellStyle name="Vírgula 5 4 3 18" xfId="54171" xr:uid="{BEF7A172-A3CC-4D2D-897A-9494DFE21654}"/>
    <cellStyle name="Vírgula 5 4 3 19" xfId="5626" xr:uid="{6716C3D8-1A99-4389-91CE-22D051A508B4}"/>
    <cellStyle name="Vírgula 5 4 3 2" xfId="3544" xr:uid="{10813946-507E-494A-8FF2-E22C27BAD48F}"/>
    <cellStyle name="Vírgula 5 4 3 2 10" xfId="55802" xr:uid="{38D32179-A6ED-45BE-8538-F11C093CBB92}"/>
    <cellStyle name="Vírgula 5 4 3 2 11" xfId="6198" xr:uid="{D74CBD3C-674C-444F-A2A1-303C5C41F37D}"/>
    <cellStyle name="Vírgula 5 4 3 2 2" xfId="7356" xr:uid="{1784106C-1EE6-4BCF-BEC1-72A140288F3C}"/>
    <cellStyle name="Vírgula 5 4 3 2 2 2" xfId="17642" xr:uid="{EE45B7BE-11B4-4B0C-B855-1AE8C0DF3C89}"/>
    <cellStyle name="Vírgula 5 4 3 2 2 2 2" xfId="37982" xr:uid="{8EDF0E04-A4EA-4339-9F07-4A884C76BA6B}"/>
    <cellStyle name="Vírgula 5 4 3 2 2 3" xfId="21144" xr:uid="{B5575FFF-5007-4989-8363-E95EB22ABF33}"/>
    <cellStyle name="Vírgula 5 4 3 2 2 3 2" xfId="41483" xr:uid="{5720285D-2D27-4C47-A924-0E06348C591C}"/>
    <cellStyle name="Vírgula 5 4 3 2 2 4" xfId="24399" xr:uid="{B9279255-C3FE-408F-AFF6-57A50A20FCD3}"/>
    <cellStyle name="Vírgula 5 4 3 2 2 4 2" xfId="44734" xr:uid="{EAE8DCEE-5516-45D8-9E39-E0AC3F3A9195}"/>
    <cellStyle name="Vírgula 5 4 3 2 2 5" xfId="14733" xr:uid="{29413A27-BF8C-4D5D-BBEB-AFE68ED979C6}"/>
    <cellStyle name="Vírgula 5 4 3 2 2 5 2" xfId="35074" xr:uid="{A772555E-71D3-4547-AAE3-B45E46B7E6EE}"/>
    <cellStyle name="Vírgula 5 4 3 2 2 6" xfId="10855" xr:uid="{1620FFC8-C8C7-4B5F-8D12-45B9D9881548}"/>
    <cellStyle name="Vírgula 5 4 3 2 2 6 2" xfId="31198" xr:uid="{0127A18C-6797-4385-86FF-446BE7A3DFB7}"/>
    <cellStyle name="Vírgula 5 4 3 2 2 7" xfId="27704" xr:uid="{962B6705-9097-42B2-A063-DA6E699A6FCE}"/>
    <cellStyle name="Vírgula 5 4 3 2 3" xfId="16484" xr:uid="{F1302240-6BDF-4FC9-86DD-93F1B854F84F}"/>
    <cellStyle name="Vírgula 5 4 3 2 3 2" xfId="36824" xr:uid="{DBF176FA-B6B9-466C-9AF2-A64CE0B4DCDE}"/>
    <cellStyle name="Vírgula 5 4 3 2 4" xfId="19986" xr:uid="{BA09E0A0-3E3F-4890-8DA3-90B9FEC34659}"/>
    <cellStyle name="Vírgula 5 4 3 2 4 2" xfId="40325" xr:uid="{56C4FBC6-8802-4687-8B3F-CF2B3C607F34}"/>
    <cellStyle name="Vírgula 5 4 3 2 5" xfId="23241" xr:uid="{FFDEA704-A519-424F-9029-386FC8D69285}"/>
    <cellStyle name="Vírgula 5 4 3 2 5 2" xfId="43576" xr:uid="{716FE293-F71A-45BD-803B-1FC6C925EDA6}"/>
    <cellStyle name="Vírgula 5 4 3 2 6" xfId="13575" xr:uid="{FBB1DA4B-AA79-459F-BC0A-2B031D5BA8AA}"/>
    <cellStyle name="Vírgula 5 4 3 2 6 2" xfId="33916" xr:uid="{48623DC8-3398-411B-8883-E4213C26CBF2}"/>
    <cellStyle name="Vírgula 5 4 3 2 7" xfId="9697" xr:uid="{EC73C75B-10AD-4F10-A507-798340536022}"/>
    <cellStyle name="Vírgula 5 4 3 2 7 2" xfId="30040" xr:uid="{3199158A-5201-492F-AC70-08DF1D276248}"/>
    <cellStyle name="Vírgula 5 4 3 2 8" xfId="26546" xr:uid="{4D15C624-72CE-4AE2-A759-53103BAA0523}"/>
    <cellStyle name="Vírgula 5 4 3 2 9" xfId="52508" xr:uid="{8BD29513-516A-400E-A05A-B6AA002E454B}"/>
    <cellStyle name="Vírgula 5 4 3 20" xfId="5006" xr:uid="{50BFD088-033A-4DF3-9D35-B334A461F274}"/>
    <cellStyle name="Vírgula 5 4 3 3" xfId="4222" xr:uid="{627D1542-5F95-493E-80DE-C5897E6A3531}"/>
    <cellStyle name="Vírgula 5 4 3 3 2" xfId="17061" xr:uid="{94BA1DDB-7B8C-446E-8670-B506BD7341B3}"/>
    <cellStyle name="Vírgula 5 4 3 3 2 2" xfId="37401" xr:uid="{26D4F8A4-0A0D-4045-A880-C10F79456ADE}"/>
    <cellStyle name="Vírgula 5 4 3 3 3" xfId="20563" xr:uid="{65D1F469-B626-4566-840D-77551FC2CCA9}"/>
    <cellStyle name="Vírgula 5 4 3 3 3 2" xfId="40902" xr:uid="{4967CE84-863C-4E30-90D3-016D622FE22E}"/>
    <cellStyle name="Vírgula 5 4 3 3 4" xfId="23818" xr:uid="{17864F74-0222-4AF6-8F9B-FAF661465DE0}"/>
    <cellStyle name="Vírgula 5 4 3 3 4 2" xfId="44153" xr:uid="{103487DB-4982-4B1C-925C-C2D4173BD0B6}"/>
    <cellStyle name="Vírgula 5 4 3 3 5" xfId="14152" xr:uid="{4748E86B-A2D2-44F3-8CE6-1772B045D558}"/>
    <cellStyle name="Vírgula 5 4 3 3 5 2" xfId="34493" xr:uid="{D8872716-1124-462F-AAA6-AE7A3DC1EDF6}"/>
    <cellStyle name="Vírgula 5 4 3 3 6" xfId="10274" xr:uid="{B38B6FAB-DE28-4834-8046-FEF65CA4BB6C}"/>
    <cellStyle name="Vírgula 5 4 3 3 6 2" xfId="30617" xr:uid="{FC079B5B-D97A-410C-86A6-A14B75A24E22}"/>
    <cellStyle name="Vírgula 5 4 3 3 7" xfId="27123" xr:uid="{5A25BAAD-0FF6-42A0-AC4C-356B56B3893F}"/>
    <cellStyle name="Vírgula 5 4 3 3 8" xfId="56862" xr:uid="{7A7F6278-9B20-474F-BBEE-F82B244A9CF7}"/>
    <cellStyle name="Vírgula 5 4 3 3 9" xfId="6775" xr:uid="{50F24B1D-672D-417D-9EF1-CB98F1F7BFFF}"/>
    <cellStyle name="Vírgula 5 4 3 4" xfId="1893" xr:uid="{2EC52B80-19CE-4CC7-B9CD-57D7E7DB39BC}"/>
    <cellStyle name="Vírgula 5 4 3 4 2" xfId="18224" xr:uid="{CBA3537B-80C2-4EB7-B138-F5EDC71C9231}"/>
    <cellStyle name="Vírgula 5 4 3 4 2 2" xfId="38564" xr:uid="{EED11D3C-0889-4E34-BEEC-52407087D684}"/>
    <cellStyle name="Vírgula 5 4 3 4 3" xfId="21726" xr:uid="{0FE4CF8D-3661-4276-924A-821210B1343B}"/>
    <cellStyle name="Vírgula 5 4 3 4 3 2" xfId="42065" xr:uid="{F51ABDD7-ECE0-452D-8D5D-424D12E5082A}"/>
    <cellStyle name="Vírgula 5 4 3 4 4" xfId="24981" xr:uid="{DA1D9942-F5BA-46BC-983D-D292470CA3E0}"/>
    <cellStyle name="Vírgula 5 4 3 4 4 2" xfId="45316" xr:uid="{7B49BB6E-A70D-4D61-9E91-86C3BAB78D95}"/>
    <cellStyle name="Vírgula 5 4 3 4 5" xfId="15316" xr:uid="{34E81F41-5FE9-4A30-B840-77BCE5B3D6D0}"/>
    <cellStyle name="Vírgula 5 4 3 4 5 2" xfId="35656" xr:uid="{B7AB40D2-B422-4486-9D83-F18E31E8674E}"/>
    <cellStyle name="Vírgula 5 4 3 4 6" xfId="11437" xr:uid="{F1259FA3-2D76-48FB-BF89-0E75F8267115}"/>
    <cellStyle name="Vírgula 5 4 3 4 6 2" xfId="31780" xr:uid="{412C256B-8B68-40AB-8B99-A1CA89C6E092}"/>
    <cellStyle name="Vírgula 5 4 3 4 7" xfId="28286" xr:uid="{E6DC172D-DF98-437A-8D44-6AB468A671B6}"/>
    <cellStyle name="Vírgula 5 4 3 4 8" xfId="7939" xr:uid="{9D13A26E-58A1-4D88-9009-3FAB82AC62BA}"/>
    <cellStyle name="Vírgula 5 4 3 5" xfId="8323" xr:uid="{4A9701FD-B3B6-48B4-963D-3ED84F5BF350}"/>
    <cellStyle name="Vírgula 5 4 3 5 2" xfId="22110" xr:uid="{07E42AA9-BB52-4648-84D6-830564A9149F}"/>
    <cellStyle name="Vírgula 5 4 3 5 2 2" xfId="42446" xr:uid="{DB889F2D-DEF0-4CAB-8317-0CACE4E38190}"/>
    <cellStyle name="Vírgula 5 4 3 5 3" xfId="25362" xr:uid="{9D39DB96-477E-4D0D-9698-4A1BD5FC6DF3}"/>
    <cellStyle name="Vírgula 5 4 3 5 3 2" xfId="45697" xr:uid="{10735A29-A3E2-45E2-9A53-C0DB9996D2A6}"/>
    <cellStyle name="Vírgula 5 4 3 5 4" xfId="13006" xr:uid="{5876A5D9-461F-4BDA-BE48-841612453A66}"/>
    <cellStyle name="Vírgula 5 4 3 5 4 2" xfId="33347" xr:uid="{EA8F1A57-4436-4639-8813-EBC65AD50417}"/>
    <cellStyle name="Vírgula 5 4 3 5 5" xfId="11819" xr:uid="{9EBA09F8-4D86-44D8-9186-EFAF0A2CE3FB}"/>
    <cellStyle name="Vírgula 5 4 3 5 5 2" xfId="32161" xr:uid="{534CFFEB-2154-4085-B106-FED3E4B2F129}"/>
    <cellStyle name="Vírgula 5 4 3 5 6" xfId="28667" xr:uid="{FDE4CC3E-87AA-4581-9E39-564AE3EF971E}"/>
    <cellStyle name="Vírgula 5 4 3 6" xfId="15903" xr:uid="{AC683367-B0CB-45FE-9103-C17F52BA583F}"/>
    <cellStyle name="Vírgula 5 4 3 6 2" xfId="36243" xr:uid="{63E39D75-5182-4F99-B19B-73535602FBDD}"/>
    <cellStyle name="Vírgula 5 4 3 7" xfId="18817" xr:uid="{64C5D190-1BEB-48F6-A94F-CEC47EB63D91}"/>
    <cellStyle name="Vírgula 5 4 3 7 2" xfId="39157" xr:uid="{18E0A96B-C0ED-4A8A-AE3C-430EB44D7D0E}"/>
    <cellStyle name="Vírgula 5 4 3 8" xfId="19405" xr:uid="{8F5CB08A-B796-4550-895A-40C890C67BE6}"/>
    <cellStyle name="Vírgula 5 4 3 8 2" xfId="39744" xr:uid="{4D11FBD7-D746-4FE1-BC4C-D8967ABE275F}"/>
    <cellStyle name="Vírgula 5 4 3 9" xfId="22660" xr:uid="{31017434-EABB-47FC-8C83-834AD5AD4EA5}"/>
    <cellStyle name="Vírgula 5 4 3 9 2" xfId="42995" xr:uid="{B0BE7D44-C747-40CC-8FF4-90D4916EC18E}"/>
    <cellStyle name="Vírgula 5 4 4" xfId="1397" xr:uid="{17039A33-CA30-48BA-BF22-06B52ECDD1F5}"/>
    <cellStyle name="Vírgula 5 4 4 10" xfId="12467" xr:uid="{9E6E23FB-5018-4240-AF6C-B5CBD51210F3}"/>
    <cellStyle name="Vírgula 5 4 4 10 2" xfId="32808" xr:uid="{BA9FBDA1-49A3-400C-97CF-D7A400F51CAD}"/>
    <cellStyle name="Vírgula 5 4 4 11" xfId="9206" xr:uid="{784D748C-D50C-4FC2-B1E4-F0F153E72584}"/>
    <cellStyle name="Vírgula 5 4 4 11 2" xfId="29549" xr:uid="{48624BF1-BB65-4DA7-9720-05447D4465F1}"/>
    <cellStyle name="Vírgula 5 4 4 12" xfId="26055" xr:uid="{177408FE-445D-4FE2-B6E3-5702626A89EF}"/>
    <cellStyle name="Vírgula 5 4 4 13" xfId="49207" xr:uid="{DF142E29-34C2-4EEF-BAEC-03D2754BC011}"/>
    <cellStyle name="Vírgula 5 4 4 14" xfId="50877" xr:uid="{08E583C1-EE33-4E9F-AC14-03876F09BCE8}"/>
    <cellStyle name="Vírgula 5 4 4 15" xfId="54172" xr:uid="{C1BDCFD5-65A5-4C31-BA96-2D57CCCD6DBC}"/>
    <cellStyle name="Vírgula 5 4 4 16" xfId="5716" xr:uid="{A0F8C9F1-2490-42D3-B405-39191E2F6CBD}"/>
    <cellStyle name="Vírgula 5 4 4 17" xfId="4914" xr:uid="{A6553A6C-A90F-482A-8B59-C43C9ADAC8DA}"/>
    <cellStyle name="Vírgula 5 4 4 2" xfId="3762" xr:uid="{26A5DFCD-06BC-4CA4-9183-145F06AC2480}"/>
    <cellStyle name="Vírgula 5 4 4 2 10" xfId="55803" xr:uid="{43A965FD-E522-483E-A4F3-33CBE322F854}"/>
    <cellStyle name="Vírgula 5 4 4 2 11" xfId="6288" xr:uid="{6678641E-2C56-470E-98E1-A34F29084F19}"/>
    <cellStyle name="Vírgula 5 4 4 2 2" xfId="7446" xr:uid="{04FEBF5A-D1EF-44B7-AAC7-6D71B418AD67}"/>
    <cellStyle name="Vírgula 5 4 4 2 2 2" xfId="17732" xr:uid="{8D1E983F-1044-4864-934D-FD8A757DAE49}"/>
    <cellStyle name="Vírgula 5 4 4 2 2 2 2" xfId="38072" xr:uid="{D65FB455-1940-45AE-A9F6-CD9D7D7BF5E8}"/>
    <cellStyle name="Vírgula 5 4 4 2 2 3" xfId="21234" xr:uid="{56BCD6FD-41D1-45C9-A2F2-EF89DCD80E5E}"/>
    <cellStyle name="Vírgula 5 4 4 2 2 3 2" xfId="41573" xr:uid="{01857F0D-C696-4F98-AB85-4CAB1BCF1404}"/>
    <cellStyle name="Vírgula 5 4 4 2 2 4" xfId="24489" xr:uid="{AF95B008-8981-4341-9715-5CCCEDDD4603}"/>
    <cellStyle name="Vírgula 5 4 4 2 2 4 2" xfId="44824" xr:uid="{50D0BC75-AE82-47DA-B5D6-7EC041E1E775}"/>
    <cellStyle name="Vírgula 5 4 4 2 2 5" xfId="14823" xr:uid="{43625FF6-1026-42C2-AF38-C1A7515EC018}"/>
    <cellStyle name="Vírgula 5 4 4 2 2 5 2" xfId="35164" xr:uid="{B84A8BEF-1C02-4CF0-86A1-0BD77C615840}"/>
    <cellStyle name="Vírgula 5 4 4 2 2 6" xfId="10945" xr:uid="{592C9794-97E4-44D1-B3D5-B772C0EC13C3}"/>
    <cellStyle name="Vírgula 5 4 4 2 2 6 2" xfId="31288" xr:uid="{DCF3DA92-BD34-4A0B-AAC8-1B96C05391B3}"/>
    <cellStyle name="Vírgula 5 4 4 2 2 7" xfId="27794" xr:uid="{0AC50159-C5D5-45BC-BC2E-FC955AD1BA50}"/>
    <cellStyle name="Vírgula 5 4 4 2 3" xfId="16574" xr:uid="{9C182A21-FED0-490B-AD89-DD0DE85B1513}"/>
    <cellStyle name="Vírgula 5 4 4 2 3 2" xfId="36914" xr:uid="{9FABCB6F-CF3C-45D8-BBA1-EB2BEB0B95CF}"/>
    <cellStyle name="Vírgula 5 4 4 2 4" xfId="20076" xr:uid="{9AF345E8-5D11-4EE7-8061-05B83EB4B2FE}"/>
    <cellStyle name="Vírgula 5 4 4 2 4 2" xfId="40415" xr:uid="{BC9DE23C-FD4F-45FC-A0BE-EF47716EAB44}"/>
    <cellStyle name="Vírgula 5 4 4 2 5" xfId="23331" xr:uid="{B41FAB54-DA88-40AC-B839-AFA5CE52911C}"/>
    <cellStyle name="Vírgula 5 4 4 2 5 2" xfId="43666" xr:uid="{C8ACC25F-BCCD-4C9E-8716-12BD29C5563D}"/>
    <cellStyle name="Vírgula 5 4 4 2 6" xfId="13665" xr:uid="{10EE38CE-CFFD-4E5A-B3B1-4C7B115CA673}"/>
    <cellStyle name="Vírgula 5 4 4 2 6 2" xfId="34006" xr:uid="{FE0D6D44-AF6A-4BA8-9E53-4713313EA8D1}"/>
    <cellStyle name="Vírgula 5 4 4 2 7" xfId="9787" xr:uid="{2378ECFE-E495-4402-9740-04949E6E5CC1}"/>
    <cellStyle name="Vírgula 5 4 4 2 7 2" xfId="30130" xr:uid="{7A68C893-6597-43C1-8705-CF9A0D0BE9B1}"/>
    <cellStyle name="Vírgula 5 4 4 2 8" xfId="26636" xr:uid="{E2CD1306-8783-40A5-ADCF-B43921F97DFB}"/>
    <cellStyle name="Vírgula 5 4 4 2 9" xfId="52509" xr:uid="{1FCB8842-A9A8-4C2C-AE47-1A756E003E48}"/>
    <cellStyle name="Vírgula 5 4 4 3" xfId="3058" xr:uid="{7864C3FB-79E3-4303-813D-2E1A2931E963}"/>
    <cellStyle name="Vírgula 5 4 4 3 2" xfId="17151" xr:uid="{B77DF473-A94F-43F7-9371-0663E7DECE52}"/>
    <cellStyle name="Vírgula 5 4 4 3 2 2" xfId="37491" xr:uid="{6670939E-AAE2-458F-BA44-0B0255B7F5AD}"/>
    <cellStyle name="Vírgula 5 4 4 3 3" xfId="20653" xr:uid="{3461C7D1-3DA2-4782-96EB-32E78DFF9E90}"/>
    <cellStyle name="Vírgula 5 4 4 3 3 2" xfId="40992" xr:uid="{4A108F07-5913-4DB2-9987-C4B1F59204B5}"/>
    <cellStyle name="Vírgula 5 4 4 3 4" xfId="23908" xr:uid="{8BE99801-01FF-4B3B-9684-0106A362AF9F}"/>
    <cellStyle name="Vírgula 5 4 4 3 4 2" xfId="44243" xr:uid="{339256D6-A8A5-43E2-A6D7-C6F55C19E5DB}"/>
    <cellStyle name="Vírgula 5 4 4 3 5" xfId="14242" xr:uid="{EF80ABF4-22C3-4127-A523-C6A44650AE22}"/>
    <cellStyle name="Vírgula 5 4 4 3 5 2" xfId="34583" xr:uid="{28A6117B-4BF0-4283-8F58-F3E716D7B396}"/>
    <cellStyle name="Vírgula 5 4 4 3 6" xfId="10364" xr:uid="{55600176-FAF4-4425-92F8-552A1A3BE7A4}"/>
    <cellStyle name="Vírgula 5 4 4 3 6 2" xfId="30707" xr:uid="{AD7F1B76-364C-4630-A5D6-D22DEE119EA1}"/>
    <cellStyle name="Vírgula 5 4 4 3 7" xfId="27213" xr:uid="{929AA16E-2ACD-4F65-986D-9276748B96F9}"/>
    <cellStyle name="Vírgula 5 4 4 3 8" xfId="57268" xr:uid="{AC423EE8-7739-46ED-8A7A-AA9FF87DA83F}"/>
    <cellStyle name="Vírgula 5 4 4 3 9" xfId="6865" xr:uid="{5A703030-6E45-476E-9312-D3660F61801A}"/>
    <cellStyle name="Vírgula 5 4 4 4" xfId="8029" xr:uid="{73EEAA64-086E-4063-BBBC-98AA90DBC4C5}"/>
    <cellStyle name="Vírgula 5 4 4 4 2" xfId="18314" xr:uid="{1CA34951-E335-4F87-981E-21A1871213E3}"/>
    <cellStyle name="Vírgula 5 4 4 4 2 2" xfId="38654" xr:uid="{E70A55BA-B9D5-4F5B-AFEB-0D0840BBF7F4}"/>
    <cellStyle name="Vírgula 5 4 4 4 3" xfId="21816" xr:uid="{898EF01C-7F47-4BDD-B149-7E4BE238BE90}"/>
    <cellStyle name="Vírgula 5 4 4 4 3 2" xfId="42155" xr:uid="{7A85AC69-B1BD-4C63-8953-FBA09405E289}"/>
    <cellStyle name="Vírgula 5 4 4 4 4" xfId="25071" xr:uid="{7878C384-16A2-45F4-B0C2-C15D40F72552}"/>
    <cellStyle name="Vírgula 5 4 4 4 4 2" xfId="45406" xr:uid="{C884EE01-B420-4DE2-8E31-9DB0016F1ABF}"/>
    <cellStyle name="Vírgula 5 4 4 4 5" xfId="15406" xr:uid="{9AC7D8DE-D874-4874-A133-A5E0D4797688}"/>
    <cellStyle name="Vírgula 5 4 4 4 5 2" xfId="35746" xr:uid="{E10DA79F-72D5-4A99-BDD6-BCAFCC8466BC}"/>
    <cellStyle name="Vírgula 5 4 4 4 6" xfId="11527" xr:uid="{44BF4D66-3A1E-4B1D-A580-06E17303272A}"/>
    <cellStyle name="Vírgula 5 4 4 4 6 2" xfId="31870" xr:uid="{21E6B894-9BB6-49ED-BF3D-37450004D0BE}"/>
    <cellStyle name="Vírgula 5 4 4 4 7" xfId="28376" xr:uid="{7C232A45-BC05-4212-BF6E-E9730A2CD6F8}"/>
    <cellStyle name="Vírgula 5 4 4 5" xfId="13096" xr:uid="{E5DD88A1-371D-4400-96D1-422CFEE37C85}"/>
    <cellStyle name="Vírgula 5 4 4 5 2" xfId="33437" xr:uid="{3F10B612-E0B7-4D8F-9B98-034DEFC7555A}"/>
    <cellStyle name="Vírgula 5 4 4 6" xfId="15993" xr:uid="{4ACEBD2A-9A9C-4C28-91A1-DB91AF414908}"/>
    <cellStyle name="Vírgula 5 4 4 6 2" xfId="36333" xr:uid="{7816ED31-9075-4430-8618-573A11FB3EE6}"/>
    <cellStyle name="Vírgula 5 4 4 7" xfId="18907" xr:uid="{2EDCA0AE-00A0-4BE1-8C8F-63D527CCE7A7}"/>
    <cellStyle name="Vírgula 5 4 4 7 2" xfId="39247" xr:uid="{15D2717A-5428-4A59-B42E-50600EA552B5}"/>
    <cellStyle name="Vírgula 5 4 4 8" xfId="19495" xr:uid="{A9138DF2-95C2-47A4-BAFC-156811E30416}"/>
    <cellStyle name="Vírgula 5 4 4 8 2" xfId="39834" xr:uid="{945D3BC7-9C70-4746-B6BD-77F70C75DA75}"/>
    <cellStyle name="Vírgula 5 4 4 9" xfId="22750" xr:uid="{36B753E6-F128-44F5-999F-9E89F7B652AB}"/>
    <cellStyle name="Vírgula 5 4 4 9 2" xfId="43085" xr:uid="{EB825F25-9FD7-41D3-B3D0-B3EDCAFB5C66}"/>
    <cellStyle name="Vírgula 5 4 5" xfId="584" xr:uid="{8B430AD0-9B26-4ECA-9EF9-A3CAAD462342}"/>
    <cellStyle name="Vírgula 5 4 5 10" xfId="50878" xr:uid="{42A1F8D4-F897-48FE-B608-24715151C153}"/>
    <cellStyle name="Vírgula 5 4 5 11" xfId="54173" xr:uid="{2CEBAD4F-0EEC-48E2-B32E-526E41CEC077}"/>
    <cellStyle name="Vírgula 5 4 5 12" xfId="5854" xr:uid="{34A6DB51-F926-4328-AFB0-336C1E9485A2}"/>
    <cellStyle name="Vírgula 5 4 5 2" xfId="2300" xr:uid="{8211E944-E828-4E89-8069-46FB76CA03EA}"/>
    <cellStyle name="Vírgula 5 4 5 2 10" xfId="7012" xr:uid="{DA875DE2-D8C1-46DD-A3DE-EF4109D2F1D6}"/>
    <cellStyle name="Vírgula 5 4 5 2 2" xfId="17298" xr:uid="{CA20368A-4D6A-4AEF-96D6-6B3B406ACF4C}"/>
    <cellStyle name="Vírgula 5 4 5 2 2 2" xfId="37638" xr:uid="{6E32F2B0-2205-4551-A6BD-0DE72443B4BB}"/>
    <cellStyle name="Vírgula 5 4 5 2 3" xfId="20800" xr:uid="{B8033E56-2707-4AEF-B61F-409DCAA19134}"/>
    <cellStyle name="Vírgula 5 4 5 2 3 2" xfId="41139" xr:uid="{71CC2C2D-3B87-4774-ADBD-8ADD4C05FB7E}"/>
    <cellStyle name="Vírgula 5 4 5 2 4" xfId="24055" xr:uid="{B3864BD2-BC20-4C93-B694-1AEEF46BF392}"/>
    <cellStyle name="Vírgula 5 4 5 2 4 2" xfId="44390" xr:uid="{0659B4FB-D1D0-4155-9354-BA693464DF87}"/>
    <cellStyle name="Vírgula 5 4 5 2 5" xfId="14389" xr:uid="{4D8A9864-E201-402A-977C-9C2DD8F25417}"/>
    <cellStyle name="Vírgula 5 4 5 2 5 2" xfId="34730" xr:uid="{9C66FC1E-72B6-4787-B87C-43A36E524E48}"/>
    <cellStyle name="Vírgula 5 4 5 2 6" xfId="10511" xr:uid="{80822CAE-6F8C-4869-BE4D-446658D92CE7}"/>
    <cellStyle name="Vírgula 5 4 5 2 6 2" xfId="30854" xr:uid="{3E7388A9-3D45-49CB-B62C-BB615964D5BA}"/>
    <cellStyle name="Vírgula 5 4 5 2 7" xfId="27360" xr:uid="{21D0D4D1-9A50-4A9D-8FE6-695953BBD2C9}"/>
    <cellStyle name="Vírgula 5 4 5 2 8" xfId="52510" xr:uid="{15476A1C-749C-4004-8D24-4EEBFDD9EB96}"/>
    <cellStyle name="Vírgula 5 4 5 2 9" xfId="55804" xr:uid="{479C60AC-48D8-4023-BE3D-EF003654B0C1}"/>
    <cellStyle name="Vírgula 5 4 5 3" xfId="16140" xr:uid="{AB91AF5D-1A3C-4E4B-A198-141E9B003862}"/>
    <cellStyle name="Vírgula 5 4 5 3 2" xfId="36480" xr:uid="{50F859AF-6A53-4BDD-AD70-BAB82DA58277}"/>
    <cellStyle name="Vírgula 5 4 5 3 3" xfId="56455" xr:uid="{44DC40F0-7CE2-487E-832F-455A7668194A}"/>
    <cellStyle name="Vírgula 5 4 5 4" xfId="19642" xr:uid="{DC2ED87E-B2A4-4AD0-862B-255964C159EA}"/>
    <cellStyle name="Vírgula 5 4 5 4 2" xfId="39981" xr:uid="{A048C0BC-DE75-4993-9B81-CD201D400B0D}"/>
    <cellStyle name="Vírgula 5 4 5 5" xfId="22897" xr:uid="{2E55D4A1-B4CC-44AA-A4AB-398D0520A892}"/>
    <cellStyle name="Vírgula 5 4 5 5 2" xfId="43232" xr:uid="{CDAE1713-60B2-4B81-8AA3-BD2E244E41CA}"/>
    <cellStyle name="Vírgula 5 4 5 6" xfId="13233" xr:uid="{8F4F8E92-6F93-4DDD-A27C-CE5854014A48}"/>
    <cellStyle name="Vírgula 5 4 5 6 2" xfId="33574" xr:uid="{93258408-EE75-46F4-8ED2-C14D6B49D7D9}"/>
    <cellStyle name="Vírgula 5 4 5 7" xfId="9353" xr:uid="{7CBDD54E-32F6-4A30-840F-3E54943D1C04}"/>
    <cellStyle name="Vírgula 5 4 5 7 2" xfId="29696" xr:uid="{8D509C7C-3C51-426F-8BF4-7F48F11B883B}"/>
    <cellStyle name="Vírgula 5 4 5 8" xfId="26202" xr:uid="{784E6B6B-E49A-42D4-BD50-DF507F7576D8}"/>
    <cellStyle name="Vírgula 5 4 5 9" xfId="49208" xr:uid="{B704841C-A495-431F-8955-D0FE5D9D97CD}"/>
    <cellStyle name="Vírgula 5 4 6" xfId="3434" xr:uid="{BA4D178D-99D5-46AD-B6D8-FD518991AD8D}"/>
    <cellStyle name="Vírgula 5 4 6 10" xfId="6431" xr:uid="{5D035070-1FCC-4717-979F-F4A038582ABA}"/>
    <cellStyle name="Vírgula 5 4 6 2" xfId="16717" xr:uid="{D3DD9390-87A7-43B8-A7EB-9074EC0FB99A}"/>
    <cellStyle name="Vírgula 5 4 6 2 2" xfId="37057" xr:uid="{3B0915A3-D735-42FF-B9AD-D9769DA63858}"/>
    <cellStyle name="Vírgula 5 4 6 3" xfId="20219" xr:uid="{E7DE390F-0716-42AB-8825-233C23C35C1B}"/>
    <cellStyle name="Vírgula 5 4 6 3 2" xfId="40558" xr:uid="{579783C5-82D7-4D6E-B13F-16A59C247928}"/>
    <cellStyle name="Vírgula 5 4 6 4" xfId="23474" xr:uid="{987A740A-41C2-4DA5-9A13-631AB74F824F}"/>
    <cellStyle name="Vírgula 5 4 6 4 2" xfId="43809" xr:uid="{985103EC-3904-4D3C-B31B-93CB65634B6F}"/>
    <cellStyle name="Vírgula 5 4 6 5" xfId="13808" xr:uid="{0432329E-C2CA-43C7-B55E-E28F8E3D897B}"/>
    <cellStyle name="Vírgula 5 4 6 5 2" xfId="34149" xr:uid="{B39B1F09-3D0F-4A86-91EF-6E8982FD3A6F}"/>
    <cellStyle name="Vírgula 5 4 6 6" xfId="9930" xr:uid="{B9D55EBC-8D83-43EC-9F55-65F96E27D1DE}"/>
    <cellStyle name="Vírgula 5 4 6 6 2" xfId="30273" xr:uid="{BE511EBC-58FC-428D-945F-B1425DD724A6}"/>
    <cellStyle name="Vírgula 5 4 6 7" xfId="26779" xr:uid="{96EE37B3-CCBC-41DC-AAD7-C1DDC33FA389}"/>
    <cellStyle name="Vírgula 5 4 6 8" xfId="52503" xr:uid="{516F3ABE-C783-491A-8978-799A98765EA3}"/>
    <cellStyle name="Vírgula 5 4 6 9" xfId="55797" xr:uid="{CF1CFD1E-E942-4E76-8184-35ADAEF33568}"/>
    <cellStyle name="Vírgula 5 4 7" xfId="3879" xr:uid="{460CEEDF-5A39-4E0F-B9A1-BA95B5FB1235}"/>
    <cellStyle name="Vírgula 5 4 7 2" xfId="17880" xr:uid="{77B3DF73-9523-4AD1-A16C-34D426B95752}"/>
    <cellStyle name="Vírgula 5 4 7 2 2" xfId="38220" xr:uid="{34676B6D-94D2-4E1D-B26B-1472B828817F}"/>
    <cellStyle name="Vírgula 5 4 7 3" xfId="21382" xr:uid="{BCF440D7-2FDE-44AC-A3BB-621EE534AF6E}"/>
    <cellStyle name="Vírgula 5 4 7 3 2" xfId="41721" xr:uid="{018CDD49-54C1-4172-B40D-4CC65A9E3BC7}"/>
    <cellStyle name="Vírgula 5 4 7 4" xfId="24637" xr:uid="{C9A52FB3-4D8F-49F4-BD5D-06DA0BB12A92}"/>
    <cellStyle name="Vírgula 5 4 7 4 2" xfId="44972" xr:uid="{ADE99B7D-4A16-494F-B585-70B39719F1DD}"/>
    <cellStyle name="Vírgula 5 4 7 5" xfId="14972" xr:uid="{5C487C2F-DFE5-425F-97CE-FB3284482394}"/>
    <cellStyle name="Vírgula 5 4 7 5 2" xfId="35312" xr:uid="{C18710D9-6B92-4FE3-88D2-A910160686A3}"/>
    <cellStyle name="Vírgula 5 4 7 6" xfId="11093" xr:uid="{AAF746FB-CF44-411D-BAE8-9245A7508C43}"/>
    <cellStyle name="Vírgula 5 4 7 6 2" xfId="31436" xr:uid="{C05C0DE8-DB44-4377-82DD-03167647715D}"/>
    <cellStyle name="Vírgula 5 4 7 7" xfId="27942" xr:uid="{A0859BB1-7C28-4D8B-9121-49C29C18157A}"/>
    <cellStyle name="Vírgula 5 4 7 8" xfId="56046" xr:uid="{E502EF04-09FC-4AA0-A459-1C19C2D0C7B4}"/>
    <cellStyle name="Vírgula 5 4 7 9" xfId="7595" xr:uid="{FD9FAD9A-3432-4A39-822C-54384F472D7A}"/>
    <cellStyle name="Vírgula 5 4 8" xfId="1783" xr:uid="{C6D15446-B712-403D-985D-A6AD3BBDD390}"/>
    <cellStyle name="Vírgula 5 4 8 2" xfId="22108" xr:uid="{FCEFF93F-FC31-4AAC-8A8D-B9436BBCC5BA}"/>
    <cellStyle name="Vírgula 5 4 8 2 2" xfId="42444" xr:uid="{3BB23370-1787-4FC6-86B7-BFCB60FCCDBA}"/>
    <cellStyle name="Vírgula 5 4 8 3" xfId="25360" xr:uid="{F9612222-182C-420E-A87A-F9096730FACC}"/>
    <cellStyle name="Vírgula 5 4 8 3 2" xfId="45695" xr:uid="{0E4C6D5B-7204-4F22-98DA-D65ED91B053B}"/>
    <cellStyle name="Vírgula 5 4 8 4" xfId="12664" xr:uid="{7387F4BA-8CE3-4BCF-BCD0-BDBD120CABD1}"/>
    <cellStyle name="Vírgula 5 4 8 4 2" xfId="33005" xr:uid="{6A9F5AB0-D43C-4E5D-B074-9CBECC7A111D}"/>
    <cellStyle name="Vírgula 5 4 8 5" xfId="11817" xr:uid="{60FD8F2B-D667-48BA-8AF2-52DB723F2147}"/>
    <cellStyle name="Vírgula 5 4 8 5 2" xfId="32159" xr:uid="{34BCCFB4-9AC1-42EB-B28C-51B61BCE41FF}"/>
    <cellStyle name="Vírgula 5 4 8 6" xfId="28665" xr:uid="{E517E5A0-380D-43B7-83BF-8D26461B312E}"/>
    <cellStyle name="Vírgula 5 4 8 7" xfId="8321" xr:uid="{78AFC09A-B192-40A6-A71C-6813C78DF73A}"/>
    <cellStyle name="Vírgula 5 4 9" xfId="8502" xr:uid="{332BC60F-46F2-4C2E-AAC6-5F7D57DD3801}"/>
    <cellStyle name="Vírgula 5 4 9 2" xfId="15559" xr:uid="{3C3238CC-AC69-4047-8A08-E05C58B9A141}"/>
    <cellStyle name="Vírgula 5 4 9 2 2" xfId="35899" xr:uid="{C7330AF6-C193-4D93-B2C4-32ACC0936A63}"/>
    <cellStyle name="Vírgula 5 4 9 3" xfId="28845" xr:uid="{D5235132-D76E-4636-88EC-C6FDA0D6BBFB}"/>
    <cellStyle name="Vírgula 5 5" xfId="201" xr:uid="{A073F522-C979-40B3-A066-48E204BBA3E0}"/>
    <cellStyle name="Vírgula 5 5 10" xfId="12080" xr:uid="{0BB40087-7B06-44BB-B74A-47550CEAE63A}"/>
    <cellStyle name="Vírgula 5 5 10 2" xfId="32421" xr:uid="{885D8407-F97C-4638-BB7E-7BEDAAE76002}"/>
    <cellStyle name="Vírgula 5 5 11" xfId="8819" xr:uid="{C3B69A39-42BF-4583-A6B2-CBFAD5693E1E}"/>
    <cellStyle name="Vírgula 5 5 11 2" xfId="29162" xr:uid="{CFB96EC3-969E-4DE3-AE40-D8A8AEA5CFAA}"/>
    <cellStyle name="Vírgula 5 5 12" xfId="25668" xr:uid="{5B0047B9-4308-467D-9DE7-BB8AC6E9DCC0}"/>
    <cellStyle name="Vírgula 5 5 13" xfId="46008" xr:uid="{19695E58-7B63-4B02-B0C7-621DD4203C3C}"/>
    <cellStyle name="Vírgula 5 5 14" xfId="46494" xr:uid="{E80FCD94-A871-4C5C-8D0F-2DA9A4796A89}"/>
    <cellStyle name="Vírgula 5 5 15" xfId="46986" xr:uid="{F2906BD2-382C-446F-AFBF-6587D0A38581}"/>
    <cellStyle name="Vírgula 5 5 16" xfId="49209" xr:uid="{C62DDEBF-1B67-41AC-8366-85534A37E048}"/>
    <cellStyle name="Vírgula 5 5 17" xfId="50879" xr:uid="{6F4C875D-FDDC-443D-BC64-25A2D77761ED}"/>
    <cellStyle name="Vírgula 5 5 18" xfId="54174" xr:uid="{5441543F-F05A-42AC-BA8B-7E6E48D00AFD}"/>
    <cellStyle name="Vírgula 5 5 19" xfId="5347" xr:uid="{AE7FF8CF-EB55-4B8F-B14E-3FCD51409DDB}"/>
    <cellStyle name="Vírgula 5 5 2" xfId="390" xr:uid="{3BF71D8D-E6A8-4E88-AC2F-901F4C4308F3}"/>
    <cellStyle name="Vírgula 5 5 2 10" xfId="46737" xr:uid="{0055A84F-58F6-4FB0-849C-B6371747049D}"/>
    <cellStyle name="Vírgula 5 5 2 11" xfId="47229" xr:uid="{B3403C72-E4A2-4EFB-9166-C206F897FDFC}"/>
    <cellStyle name="Vírgula 5 5 2 12" xfId="49210" xr:uid="{8D1B0F5F-5D4A-45D2-8B73-63631EA440C0}"/>
    <cellStyle name="Vírgula 5 5 2 13" xfId="50880" xr:uid="{8305CAA2-8187-4D20-981E-99395DBBEC9D}"/>
    <cellStyle name="Vírgula 5 5 2 14" xfId="54175" xr:uid="{74B29ED7-D5F0-4A71-BB04-3479D56680B2}"/>
    <cellStyle name="Vírgula 5 5 2 15" xfId="5901" xr:uid="{B5B59B3C-D82B-45F7-90A5-7578F941E1C8}"/>
    <cellStyle name="Vírgula 5 5 2 16" xfId="4671" xr:uid="{AEE03DE6-59AB-4549-A040-C77CB940F6BC}"/>
    <cellStyle name="Vírgula 5 5 2 2" xfId="1206" xr:uid="{1455D93F-13E7-4467-AE2B-A699B63C95E9}"/>
    <cellStyle name="Vírgula 5 5 2 2 10" xfId="54176" xr:uid="{A9B1E3BA-66BE-42A3-93BA-C806B2BED481}"/>
    <cellStyle name="Vírgula 5 5 2 2 11" xfId="7059" xr:uid="{29429135-9C28-420E-9AE7-80079D417109}"/>
    <cellStyle name="Vírgula 5 5 2 2 12" xfId="5126" xr:uid="{370BA78A-72B1-4478-9251-6EC25C5939D3}"/>
    <cellStyle name="Vírgula 5 5 2 2 2" xfId="2867" xr:uid="{6E68746E-C6E2-42FD-9051-CC1F5005CF7C}"/>
    <cellStyle name="Vírgula 5 5 2 2 2 2" xfId="37685" xr:uid="{5B000B86-3EAC-4187-987A-B3410D7A11AA}"/>
    <cellStyle name="Vírgula 5 5 2 2 2 3" xfId="52513" xr:uid="{AE84C155-75C0-4895-A522-BA0C5BC9ACE7}"/>
    <cellStyle name="Vírgula 5 5 2 2 2 4" xfId="55807" xr:uid="{708AF9B4-206E-46EA-97E6-FCBBB2F0A970}"/>
    <cellStyle name="Vírgula 5 5 2 2 2 5" xfId="17345" xr:uid="{287833BD-AC27-4F33-A362-0DBCBDF6C0D5}"/>
    <cellStyle name="Vírgula 5 5 2 2 3" xfId="20847" xr:uid="{8DC7C82A-01EF-481D-A9AF-8178B3E64A15}"/>
    <cellStyle name="Vírgula 5 5 2 2 3 2" xfId="41186" xr:uid="{9F97A853-B465-49AC-B722-17AEBB600E63}"/>
    <cellStyle name="Vírgula 5 5 2 2 3 3" xfId="57077" xr:uid="{CB539863-CEFD-467A-9243-00EE6F71C22A}"/>
    <cellStyle name="Vírgula 5 5 2 2 4" xfId="24102" xr:uid="{43F978FC-9CFB-4A12-9A47-786F714900A1}"/>
    <cellStyle name="Vírgula 5 5 2 2 4 2" xfId="44437" xr:uid="{DD362378-C136-4547-9B0B-6073427CDB4D}"/>
    <cellStyle name="Vírgula 5 5 2 2 5" xfId="14436" xr:uid="{B0408A86-C642-403F-B93E-A86DAACA65D6}"/>
    <cellStyle name="Vírgula 5 5 2 2 5 2" xfId="34777" xr:uid="{6324815B-25AC-4E58-AF8B-D43CF987000A}"/>
    <cellStyle name="Vírgula 5 5 2 2 6" xfId="10558" xr:uid="{64CEA8B0-0574-46CA-9D86-6CAC748D4CDA}"/>
    <cellStyle name="Vírgula 5 5 2 2 6 2" xfId="30901" xr:uid="{00C9A1ED-86F2-4045-B8E7-21A93E66DA62}"/>
    <cellStyle name="Vírgula 5 5 2 2 7" xfId="27407" xr:uid="{1C77665D-96CF-4CBF-9ECE-2FC79C987444}"/>
    <cellStyle name="Vírgula 5 5 2 2 8" xfId="49211" xr:uid="{5D65BA8B-CDE5-4387-91F2-3F24557DF520}"/>
    <cellStyle name="Vírgula 5 5 2 2 9" xfId="50881" xr:uid="{F8B894B7-E0C4-484C-88F4-2A899F71DF65}"/>
    <cellStyle name="Vírgula 5 5 2 3" xfId="1612" xr:uid="{8F6CBBD6-E7BF-442A-8073-D55693028A44}"/>
    <cellStyle name="Vírgula 5 5 2 3 2" xfId="3272" xr:uid="{3FDCAB89-6927-4559-B8C7-28FDDCA19DEE}"/>
    <cellStyle name="Vírgula 5 5 2 3 2 2" xfId="52514" xr:uid="{2B2C5F9D-C10D-4EF9-B419-30F2EF9A42CD}"/>
    <cellStyle name="Vírgula 5 5 2 3 2 3" xfId="55808" xr:uid="{46970ED6-30CA-4A1F-814D-4923E36A8C15}"/>
    <cellStyle name="Vírgula 5 5 2 3 2 4" xfId="36527" xr:uid="{CA3CC5D2-70B6-4C3B-B565-6A64EC06D724}"/>
    <cellStyle name="Vírgula 5 5 2 3 3" xfId="49212" xr:uid="{E73DDF74-A54A-4A4A-8177-9D42291C3623}"/>
    <cellStyle name="Vírgula 5 5 2 3 3 2" xfId="57483" xr:uid="{2025A892-78AE-4736-B206-23A87BFE9417}"/>
    <cellStyle name="Vírgula 5 5 2 3 4" xfId="50882" xr:uid="{B70823DF-9C86-4251-A551-659031B0263D}"/>
    <cellStyle name="Vírgula 5 5 2 3 5" xfId="54177" xr:uid="{A134C9FE-5AD8-4B7A-A190-0DBE63CF2411}"/>
    <cellStyle name="Vírgula 5 5 2 3 6" xfId="16187" xr:uid="{70FCD7DC-6BD9-4606-B1BF-24C347FCCFF6}"/>
    <cellStyle name="Vírgula 5 5 2 4" xfId="799" xr:uid="{E1BB8D1E-1F0E-4537-A7E9-13801AA4CBD6}"/>
    <cellStyle name="Vírgula 5 5 2 4 2" xfId="2515" xr:uid="{6FFB3C70-5068-46F8-A341-CCDD5C1C1AA4}"/>
    <cellStyle name="Vírgula 5 5 2 4 2 2" xfId="52515" xr:uid="{53A2CBE8-9CF1-4A15-A43B-5823E508E12F}"/>
    <cellStyle name="Vírgula 5 5 2 4 2 3" xfId="55809" xr:uid="{BC07B4B1-A0D9-4C5C-95DF-BA39F38D10B4}"/>
    <cellStyle name="Vírgula 5 5 2 4 2 4" xfId="40028" xr:uid="{DB0F3525-1DE5-48DC-BC1C-5B9518376745}"/>
    <cellStyle name="Vírgula 5 5 2 4 3" xfId="49213" xr:uid="{8F0B4ECA-EA90-4DA7-AA85-1F4219C1A8D5}"/>
    <cellStyle name="Vírgula 5 5 2 4 3 2" xfId="56670" xr:uid="{D658E66E-EA84-4BB3-A409-B22B49C2166A}"/>
    <cellStyle name="Vírgula 5 5 2 4 4" xfId="50883" xr:uid="{AC974EBA-C137-4167-AD27-A4BCD4318266}"/>
    <cellStyle name="Vírgula 5 5 2 4 5" xfId="54178" xr:uid="{AA813F2B-A633-4CD4-A040-75CD330583B3}"/>
    <cellStyle name="Vírgula 5 5 2 4 6" xfId="19689" xr:uid="{1EAF5F9E-29FD-4129-9A12-0483EFA2CE3E}"/>
    <cellStyle name="Vírgula 5 5 2 5" xfId="4107" xr:uid="{71527149-99D5-46C7-94D3-90B5263BCE0C}"/>
    <cellStyle name="Vírgula 5 5 2 5 2" xfId="43279" xr:uid="{CF3A24B8-8949-43C1-A8E5-A51E3F344ED3}"/>
    <cellStyle name="Vírgula 5 5 2 5 3" xfId="52512" xr:uid="{BDAE27FE-63E1-43C8-B3ED-E764F028B1CF}"/>
    <cellStyle name="Vírgula 5 5 2 5 4" xfId="55806" xr:uid="{004A1E39-C7EC-4A3A-AB77-4936BD094ED1}"/>
    <cellStyle name="Vírgula 5 5 2 5 5" xfId="22944" xr:uid="{28DADD50-742B-46E0-815F-C27556A30CDA}"/>
    <cellStyle name="Vírgula 5 5 2 6" xfId="2134" xr:uid="{A35B3810-F38B-493A-A9C7-CE595B8ACC3E}"/>
    <cellStyle name="Vírgula 5 5 2 6 2" xfId="33621" xr:uid="{2CA66F32-FC44-44CE-8481-6E9EA39A2F19}"/>
    <cellStyle name="Vírgula 5 5 2 6 3" xfId="56261" xr:uid="{E64AAAFB-7AB5-403F-9555-2D1765E90B6A}"/>
    <cellStyle name="Vírgula 5 5 2 6 4" xfId="13280" xr:uid="{8363BAC4-4E78-4C3E-86C0-FEE5A5F68280}"/>
    <cellStyle name="Vírgula 5 5 2 7" xfId="9400" xr:uid="{A39CCD15-6318-4A88-A207-7C8264047BE7}"/>
    <cellStyle name="Vírgula 5 5 2 7 2" xfId="29743" xr:uid="{A2EBFA78-2AD8-4863-A04E-459C44F059CE}"/>
    <cellStyle name="Vírgula 5 5 2 8" xfId="26249" xr:uid="{65A578BE-526C-463C-B59B-311EC0802EBB}"/>
    <cellStyle name="Vírgula 5 5 2 9" xfId="46251" xr:uid="{2C9350C4-BA72-4B77-B791-32B8F9A36337}"/>
    <cellStyle name="Vírgula 5 5 20" xfId="4482" xr:uid="{E3E2D61C-9EFE-4480-A03C-8486CF7617ED}"/>
    <cellStyle name="Vírgula 5 5 3" xfId="1017" xr:uid="{1C15C061-0AD8-4EC9-BDDB-BA733E0BD1F1}"/>
    <cellStyle name="Vírgula 5 5 3 10" xfId="54179" xr:uid="{026CE5B1-38CD-488A-B6F2-E0E77099B1C3}"/>
    <cellStyle name="Vírgula 5 5 3 11" xfId="6478" xr:uid="{0CC7028B-8A20-42B7-93AB-2AD4C4A00F34}"/>
    <cellStyle name="Vírgula 5 5 3 12" xfId="4907" xr:uid="{16F0F940-F48B-41E2-80BD-77A8512A96A7}"/>
    <cellStyle name="Vírgula 5 5 3 2" xfId="4279" xr:uid="{E501BBEB-A9EE-4D35-BA64-F2CC2EA054B7}"/>
    <cellStyle name="Vírgula 5 5 3 2 2" xfId="37104" xr:uid="{F0AE87C9-08AB-4871-949F-9D7D57D20DAB}"/>
    <cellStyle name="Vírgula 5 5 3 2 3" xfId="52516" xr:uid="{612E6210-73FA-447C-A74E-070A61950F26}"/>
    <cellStyle name="Vírgula 5 5 3 2 4" xfId="55810" xr:uid="{B453FD70-6002-4A1A-B3A8-59584ACA6559}"/>
    <cellStyle name="Vírgula 5 5 3 2 5" xfId="16764" xr:uid="{D7E64EE1-87BB-463F-B79D-A17567143C15}"/>
    <cellStyle name="Vírgula 5 5 3 3" xfId="2706" xr:uid="{D0543A54-5055-49E9-9A9F-D3E2FC011452}"/>
    <cellStyle name="Vírgula 5 5 3 3 2" xfId="40605" xr:uid="{60E72530-B97C-4405-8BE3-D7A127251B1B}"/>
    <cellStyle name="Vírgula 5 5 3 3 3" xfId="56888" xr:uid="{F1A651B5-CBE8-44AB-BC26-62AB76732414}"/>
    <cellStyle name="Vírgula 5 5 3 3 4" xfId="20266" xr:uid="{0F954A5B-D892-48FC-A15B-E2B7AAF004DD}"/>
    <cellStyle name="Vírgula 5 5 3 4" xfId="23521" xr:uid="{C83012D8-34F4-4271-A7C3-941DB52A1001}"/>
    <cellStyle name="Vírgula 5 5 3 4 2" xfId="43856" xr:uid="{FBEFFFCC-2F29-4C9E-89D2-C6834B320183}"/>
    <cellStyle name="Vírgula 5 5 3 5" xfId="13855" xr:uid="{6DC22CAA-6F63-4C98-B079-EDE8DE49253D}"/>
    <cellStyle name="Vírgula 5 5 3 5 2" xfId="34196" xr:uid="{9B746286-4044-400D-B45B-87187B7E3874}"/>
    <cellStyle name="Vírgula 5 5 3 6" xfId="9977" xr:uid="{17193F6B-F4F3-4FB9-8104-D68BF1F4D7C7}"/>
    <cellStyle name="Vírgula 5 5 3 6 2" xfId="30320" xr:uid="{A8C24F15-490D-4C3D-99A7-03F9E3FF2389}"/>
    <cellStyle name="Vírgula 5 5 3 7" xfId="26826" xr:uid="{AACC9EB6-AE3C-4632-A0E8-18E401A828C0}"/>
    <cellStyle name="Vírgula 5 5 3 8" xfId="49214" xr:uid="{DC397CF6-5154-4FDF-B2B9-3203249D3FF5}"/>
    <cellStyle name="Vírgula 5 5 3 9" xfId="50884" xr:uid="{598F2E21-018E-4CA3-8ACC-53DCECD9160B}"/>
    <cellStyle name="Vírgula 5 5 4" xfId="1423" xr:uid="{C71AF353-7F84-4937-B3B4-33C997D4B4FF}"/>
    <cellStyle name="Vírgula 5 5 4 10" xfId="54180" xr:uid="{09BDE607-2B93-4DF4-A4A1-17D4A216EFA1}"/>
    <cellStyle name="Vírgula 5 5 4 11" xfId="7642" xr:uid="{77F13499-FED0-418A-BDD4-0A50329C1353}"/>
    <cellStyle name="Vírgula 5 5 4 2" xfId="3084" xr:uid="{0ED0B9B5-F3AA-47CE-B826-F293B26F8064}"/>
    <cellStyle name="Vírgula 5 5 4 2 2" xfId="38267" xr:uid="{383E2414-1F0B-45C7-990B-1845C994B539}"/>
    <cellStyle name="Vírgula 5 5 4 2 3" xfId="52517" xr:uid="{00F31BE8-9A3D-4A31-BBBC-72EE77D1BFA3}"/>
    <cellStyle name="Vírgula 5 5 4 2 4" xfId="55811" xr:uid="{48ABBF81-E31B-45B4-ACF5-80E549E80D17}"/>
    <cellStyle name="Vírgula 5 5 4 2 5" xfId="17927" xr:uid="{D60F92DF-2F05-4ED7-9093-47346706DEAA}"/>
    <cellStyle name="Vírgula 5 5 4 3" xfId="21429" xr:uid="{363103D7-746F-4CE8-9A45-2A963C5E3674}"/>
    <cellStyle name="Vírgula 5 5 4 3 2" xfId="41768" xr:uid="{137E5E36-B675-46EA-BEC1-6A96A8164A75}"/>
    <cellStyle name="Vírgula 5 5 4 3 3" xfId="57294" xr:uid="{7D9DB48E-29BA-42CE-963C-0E70514314EB}"/>
    <cellStyle name="Vírgula 5 5 4 4" xfId="24684" xr:uid="{355065F8-E1F5-4C26-AFB7-FB56D76CC1ED}"/>
    <cellStyle name="Vírgula 5 5 4 4 2" xfId="45019" xr:uid="{B91B8B6D-8172-4D44-94B9-5C80D77DB3A4}"/>
    <cellStyle name="Vírgula 5 5 4 5" xfId="15019" xr:uid="{FD9B4CA6-AF1C-4F67-A5AC-4F27E8028CE2}"/>
    <cellStyle name="Vírgula 5 5 4 5 2" xfId="35359" xr:uid="{ED79A9DD-F1FB-418F-9A15-28BB978C7C23}"/>
    <cellStyle name="Vírgula 5 5 4 6" xfId="11140" xr:uid="{24B2FA5D-CF13-4939-89D1-BB9F38283388}"/>
    <cellStyle name="Vírgula 5 5 4 6 2" xfId="31483" xr:uid="{508EB172-7470-4907-A440-D790F38903EA}"/>
    <cellStyle name="Vírgula 5 5 4 7" xfId="27989" xr:uid="{5E0A82C0-7EFB-4FA7-81B5-69F003DB00EC}"/>
    <cellStyle name="Vírgula 5 5 4 8" xfId="49215" xr:uid="{1CC37069-9EA1-42A5-99DF-A048A7E73C64}"/>
    <cellStyle name="Vírgula 5 5 4 9" xfId="50885" xr:uid="{351010D4-57BE-4DFC-A09D-A0837EC4BF5B}"/>
    <cellStyle name="Vírgula 5 5 5" xfId="610" xr:uid="{2F6078AC-FAB4-4820-912C-9DC3D9CDB91A}"/>
    <cellStyle name="Vírgula 5 5 5 10" xfId="8324" xr:uid="{F899DE66-24B3-48C0-810E-AA723601B50A}"/>
    <cellStyle name="Vírgula 5 5 5 2" xfId="2326" xr:uid="{32DC8BC1-CBC6-4DD3-A8EE-670F0AE80508}"/>
    <cellStyle name="Vírgula 5 5 5 2 2" xfId="42447" xr:uid="{D7E6B441-82E2-4325-B05B-82C88F06633A}"/>
    <cellStyle name="Vírgula 5 5 5 2 3" xfId="52518" xr:uid="{BEFF7726-E4B0-4713-A863-32E8FCEEBDD7}"/>
    <cellStyle name="Vírgula 5 5 5 2 4" xfId="55812" xr:uid="{BCB9786D-7073-4C24-B014-EA3A545B9BFE}"/>
    <cellStyle name="Vírgula 5 5 5 2 5" xfId="22111" xr:uid="{EE4AFEEF-565F-42A5-AA39-548CA4D07221}"/>
    <cellStyle name="Vírgula 5 5 5 3" xfId="25363" xr:uid="{40927A68-076C-4627-9447-E9FF71A1BB69}"/>
    <cellStyle name="Vírgula 5 5 5 3 2" xfId="45698" xr:uid="{F464FC53-5032-408A-92F9-C98D02871677}"/>
    <cellStyle name="Vírgula 5 5 5 3 3" xfId="56481" xr:uid="{5E295F30-7495-4AE9-9252-5B958C4A608C}"/>
    <cellStyle name="Vírgula 5 5 5 4" xfId="12711" xr:uid="{89ABAAFE-A9CD-4757-9407-7D0604718937}"/>
    <cellStyle name="Vírgula 5 5 5 4 2" xfId="33052" xr:uid="{14517816-FBEB-4F29-8C39-5D57243C28EA}"/>
    <cellStyle name="Vírgula 5 5 5 5" xfId="11820" xr:uid="{4A792B30-2A7A-41EA-94D8-205A6DF3DC21}"/>
    <cellStyle name="Vírgula 5 5 5 5 2" xfId="32162" xr:uid="{B694C353-2724-4979-82D1-0D644E9808DF}"/>
    <cellStyle name="Vírgula 5 5 5 6" xfId="28668" xr:uid="{3B57A08E-CB97-4289-BAAA-1EEB95BEB752}"/>
    <cellStyle name="Vírgula 5 5 5 7" xfId="49216" xr:uid="{5EA4F8AD-6A8C-4387-9CE6-8F06371866EF}"/>
    <cellStyle name="Vírgula 5 5 5 8" xfId="50886" xr:uid="{E61C80CE-BD0C-42C0-B884-DD2014315E9B}"/>
    <cellStyle name="Vírgula 5 5 5 9" xfId="54181" xr:uid="{B42373E0-B848-414E-B9F9-059F03E907C1}"/>
    <cellStyle name="Vírgula 5 5 6" xfId="3599" xr:uid="{E6E1B2D7-CE80-4E15-9721-FE3B7713F87A}"/>
    <cellStyle name="Vírgula 5 5 6 2" xfId="15606" xr:uid="{B5513DA6-9BD7-4EAD-8277-BB7888321927}"/>
    <cellStyle name="Vírgula 5 5 6 2 2" xfId="35946" xr:uid="{2439B98F-AE0A-476D-A350-117448A83A3E}"/>
    <cellStyle name="Vírgula 5 5 6 3" xfId="28976" xr:uid="{2C222912-A3CD-41FF-ACE0-BB938CE15087}"/>
    <cellStyle name="Vírgula 5 5 6 4" xfId="52511" xr:uid="{8862D016-D1BC-4112-A922-E53832E70304}"/>
    <cellStyle name="Vírgula 5 5 6 5" xfId="55805" xr:uid="{90FCE4CA-6B57-4DB2-A059-E4F02EFAEE01}"/>
    <cellStyle name="Vírgula 5 5 6 6" xfId="8633" xr:uid="{2DFF8BF3-F70E-4D3C-BECB-4D01C170B146}"/>
    <cellStyle name="Vírgula 5 5 7" xfId="3935" xr:uid="{B1DF2A6E-B24F-48C2-8AAC-8FBF093EAE30}"/>
    <cellStyle name="Vírgula 5 5 7 2" xfId="38860" xr:uid="{A648FBD8-D86A-4699-A8CA-FC1979D43000}"/>
    <cellStyle name="Vírgula 5 5 7 3" xfId="56072" xr:uid="{5DB89ABC-90D7-42D7-98C5-CDC7FDFF25DE}"/>
    <cellStyle name="Vírgula 5 5 7 4" xfId="18520" xr:uid="{6523F623-E01F-4A50-9594-E9DD9082ADBC}"/>
    <cellStyle name="Vírgula 5 5 8" xfId="1948" xr:uid="{2022703F-31C5-4FE4-81B0-63ECBB69B659}"/>
    <cellStyle name="Vírgula 5 5 8 2" xfId="39447" xr:uid="{473D7FCA-2B21-4914-AD70-9A5820677123}"/>
    <cellStyle name="Vírgula 5 5 8 3" xfId="19108" xr:uid="{FAF03989-DB49-4490-9B2B-9F8F2B595950}"/>
    <cellStyle name="Vírgula 5 5 9" xfId="22363" xr:uid="{C55C3F00-D7E0-4881-8AD7-A868A5A99B4D}"/>
    <cellStyle name="Vírgula 5 5 9 2" xfId="42698" xr:uid="{1EA2C3C8-3460-41B8-ACC3-B50DA4388BEE}"/>
    <cellStyle name="Vírgula 5 6" xfId="253" xr:uid="{D5C5E98D-4575-4F9C-924F-162E344F9D1F}"/>
    <cellStyle name="Vírgula 5 6 10" xfId="12176" xr:uid="{8868A672-246A-45F7-889E-D548D287BCCB}"/>
    <cellStyle name="Vírgula 5 6 10 2" xfId="32517" xr:uid="{58988E1A-E9F4-4481-B5BD-433267E6DE61}"/>
    <cellStyle name="Vírgula 5 6 11" xfId="8915" xr:uid="{8851A719-56CC-4046-86E9-6DA723CB2312}"/>
    <cellStyle name="Vírgula 5 6 11 2" xfId="29258" xr:uid="{A870030B-103B-42F7-A32A-F98DFC08AE76}"/>
    <cellStyle name="Vírgula 5 6 12" xfId="25764" xr:uid="{824921FA-B46A-477B-83CA-5EC6E03979FE}"/>
    <cellStyle name="Vírgula 5 6 13" xfId="46060" xr:uid="{ED542C8C-6FBA-4509-9437-F69FAB05F0F7}"/>
    <cellStyle name="Vírgula 5 6 14" xfId="46546" xr:uid="{34463DCD-F6C6-4D84-85DE-4222E8E9E574}"/>
    <cellStyle name="Vírgula 5 6 15" xfId="47038" xr:uid="{0605F654-2F4C-487F-8D46-F8508308B53F}"/>
    <cellStyle name="Vírgula 5 6 16" xfId="49217" xr:uid="{14396A53-911A-4116-B2AC-12F58E6E8D6F}"/>
    <cellStyle name="Vírgula 5 6 17" xfId="50887" xr:uid="{E18A8AC0-06E0-463A-A72E-AB570E7B630C}"/>
    <cellStyle name="Vírgula 5 6 18" xfId="54182" xr:uid="{806E48E0-A024-4E2E-A78E-6440FAEF58C0}"/>
    <cellStyle name="Vírgula 5 6 19" xfId="5432" xr:uid="{E8FB7BCF-A638-4CDE-80CF-E801A7F0D233}"/>
    <cellStyle name="Vírgula 5 6 2" xfId="442" xr:uid="{8D079BBB-756C-4CE3-9962-27B59009775B}"/>
    <cellStyle name="Vírgula 5 6 2 10" xfId="50888" xr:uid="{020F202D-83BA-450C-BD5E-6D564A6448FD}"/>
    <cellStyle name="Vírgula 5 6 2 11" xfId="54183" xr:uid="{7911FDB0-395D-4ACF-AC8A-A0E6F4A272D2}"/>
    <cellStyle name="Vírgula 5 6 2 12" xfId="5997" xr:uid="{6C4BCA28-3623-4B34-AE93-9FBF87F992E5}"/>
    <cellStyle name="Vírgula 5 6 2 13" xfId="4723" xr:uid="{8834E804-AB26-49BB-98B1-1026E52DE0EF}"/>
    <cellStyle name="Vírgula 5 6 2 2" xfId="1258" xr:uid="{48C7374A-EA6C-4486-AF4D-07C647F0360B}"/>
    <cellStyle name="Vírgula 5 6 2 2 10" xfId="54184" xr:uid="{400DFF65-B8A4-42A3-8106-B1DE5D7B3E6B}"/>
    <cellStyle name="Vírgula 5 6 2 2 11" xfId="7155" xr:uid="{4EB618FE-9846-4FC3-B5D4-B198C4190F6E}"/>
    <cellStyle name="Vírgula 5 6 2 2 2" xfId="2919" xr:uid="{861FB205-40EA-4A92-AC8E-4323E9FF59D5}"/>
    <cellStyle name="Vírgula 5 6 2 2 2 2" xfId="37781" xr:uid="{559BD94A-1946-4D61-9158-E1A62F0E7900}"/>
    <cellStyle name="Vírgula 5 6 2 2 2 3" xfId="52521" xr:uid="{A46D17E8-81B1-4122-B3DD-5E6023189F0A}"/>
    <cellStyle name="Vírgula 5 6 2 2 2 4" xfId="55815" xr:uid="{8EC83CB1-AB3C-43BE-AA92-1BCDD3D9CBD7}"/>
    <cellStyle name="Vírgula 5 6 2 2 2 5" xfId="17441" xr:uid="{CCAFFB37-72EB-4A78-BFDA-BE435654BF2A}"/>
    <cellStyle name="Vírgula 5 6 2 2 3" xfId="20943" xr:uid="{4E6D42D8-85B0-45B2-A37E-E533D38F3186}"/>
    <cellStyle name="Vírgula 5 6 2 2 3 2" xfId="41282" xr:uid="{7DFB4A65-809C-4679-8618-5924D120FF23}"/>
    <cellStyle name="Vírgula 5 6 2 2 3 3" xfId="57129" xr:uid="{F2402737-681A-4D6D-AB03-C2F5D55EF596}"/>
    <cellStyle name="Vírgula 5 6 2 2 4" xfId="24198" xr:uid="{9E8865BA-A204-4314-95CD-2146EAE5CCD7}"/>
    <cellStyle name="Vírgula 5 6 2 2 4 2" xfId="44533" xr:uid="{CA55B9C8-DA80-4B68-B029-693897DB4D4E}"/>
    <cellStyle name="Vírgula 5 6 2 2 5" xfId="14532" xr:uid="{AA65A1C5-AF88-475E-8D04-48C36271D86D}"/>
    <cellStyle name="Vírgula 5 6 2 2 5 2" xfId="34873" xr:uid="{514122E2-32B8-4B28-AFE9-ADBF42174A82}"/>
    <cellStyle name="Vírgula 5 6 2 2 6" xfId="10654" xr:uid="{C092E2EC-6B36-415F-ACE0-22D120B4380B}"/>
    <cellStyle name="Vírgula 5 6 2 2 6 2" xfId="30997" xr:uid="{173B2BE1-5A48-4562-9BEE-A28D24BFB74F}"/>
    <cellStyle name="Vírgula 5 6 2 2 7" xfId="27503" xr:uid="{5AF3395A-BC81-478A-BF80-F3DB35CE6033}"/>
    <cellStyle name="Vírgula 5 6 2 2 8" xfId="49219" xr:uid="{647BF032-3D82-421E-8398-F961607A9AC7}"/>
    <cellStyle name="Vírgula 5 6 2 2 9" xfId="50889" xr:uid="{3469B2A6-6916-46B2-AF9F-B0D99CE3ED6E}"/>
    <cellStyle name="Vírgula 5 6 2 3" xfId="1664" xr:uid="{BB6C9945-BD72-4CF0-9269-E20A76F20CCD}"/>
    <cellStyle name="Vírgula 5 6 2 3 2" xfId="3324" xr:uid="{BA2FC0C3-0F35-41E9-A68C-78C2C01AE0AF}"/>
    <cellStyle name="Vírgula 5 6 2 3 2 2" xfId="52522" xr:uid="{A32A9FD9-BFE4-46A3-A4CA-8675AA56284D}"/>
    <cellStyle name="Vírgula 5 6 2 3 2 3" xfId="55816" xr:uid="{2DFE07E5-81BB-4FB6-ADA9-B5EFC5D6668C}"/>
    <cellStyle name="Vírgula 5 6 2 3 2 4" xfId="36623" xr:uid="{C6A2CC4D-B2E7-4B68-B18A-51325C44EF50}"/>
    <cellStyle name="Vírgula 5 6 2 3 3" xfId="49220" xr:uid="{2C162AD0-B5F7-4CD4-868A-6117963D7E5C}"/>
    <cellStyle name="Vírgula 5 6 2 3 3 2" xfId="57535" xr:uid="{5915FB80-66E6-4B6A-A8BA-FC782F83D821}"/>
    <cellStyle name="Vírgula 5 6 2 3 4" xfId="50890" xr:uid="{798C1DDB-C369-43FA-B19D-DB88AD88E61F}"/>
    <cellStyle name="Vírgula 5 6 2 3 5" xfId="54185" xr:uid="{A0F4C0B8-A754-4B16-9E45-1E7873B23999}"/>
    <cellStyle name="Vírgula 5 6 2 3 6" xfId="16283" xr:uid="{B094A12C-8362-4B3B-970B-D96ED4D569ED}"/>
    <cellStyle name="Vírgula 5 6 2 4" xfId="851" xr:uid="{E3DFDEA8-1EB0-4693-99BD-F78793EC0F50}"/>
    <cellStyle name="Vírgula 5 6 2 4 2" xfId="2567" xr:uid="{00346FFE-E97F-4857-BAB8-034945995A2C}"/>
    <cellStyle name="Vírgula 5 6 2 4 2 2" xfId="52523" xr:uid="{0A90BEE9-7E0C-4D15-ABA4-EEDFC1ADF220}"/>
    <cellStyle name="Vírgula 5 6 2 4 2 3" xfId="55817" xr:uid="{EB9FE1A6-860B-47EE-AB66-1FCC7AA9B73B}"/>
    <cellStyle name="Vírgula 5 6 2 4 2 4" xfId="40124" xr:uid="{9CBE2892-7B0F-4422-B838-CD6845D660D9}"/>
    <cellStyle name="Vírgula 5 6 2 4 3" xfId="49221" xr:uid="{1096171E-C6D7-42AB-A354-878E45A20E19}"/>
    <cellStyle name="Vírgula 5 6 2 4 3 2" xfId="56722" xr:uid="{893B2329-E98D-4E8D-BD39-13ABB2F86162}"/>
    <cellStyle name="Vírgula 5 6 2 4 4" xfId="50891" xr:uid="{556DE8BC-FA0A-45C4-B39E-1D4A54DF40E0}"/>
    <cellStyle name="Vírgula 5 6 2 4 5" xfId="54186" xr:uid="{78A63634-98F8-458E-9DA8-C93971A85F73}"/>
    <cellStyle name="Vírgula 5 6 2 4 6" xfId="19785" xr:uid="{049DA350-E50A-4425-8211-ECDFC2037BD1}"/>
    <cellStyle name="Vírgula 5 6 2 5" xfId="2160" xr:uid="{D51589DF-107A-44D1-95D7-3785894C9723}"/>
    <cellStyle name="Vírgula 5 6 2 5 2" xfId="43375" xr:uid="{43EA0B9B-E71E-4F54-85F9-FE1B3E84F401}"/>
    <cellStyle name="Vírgula 5 6 2 5 3" xfId="52520" xr:uid="{39BA2AE4-2D03-4171-8756-6301EC4372E6}"/>
    <cellStyle name="Vírgula 5 6 2 5 4" xfId="55814" xr:uid="{B1DBA821-BEE0-48F3-8485-1EC776CE91EC}"/>
    <cellStyle name="Vírgula 5 6 2 5 5" xfId="23040" xr:uid="{D6715986-2DBA-43A9-A5A8-6A60F3BE3444}"/>
    <cellStyle name="Vírgula 5 6 2 6" xfId="13374" xr:uid="{A5BB8762-3839-4E78-8B7F-36DABCF3F146}"/>
    <cellStyle name="Vírgula 5 6 2 6 2" xfId="33715" xr:uid="{C6494AFE-670C-4D11-80DE-527A8F93C9C7}"/>
    <cellStyle name="Vírgula 5 6 2 6 3" xfId="56313" xr:uid="{3504344E-D930-4D43-B9EC-347EF6DACDD6}"/>
    <cellStyle name="Vírgula 5 6 2 7" xfId="9496" xr:uid="{1E95F99F-3D4A-4153-9D59-C533AE3B2EB3}"/>
    <cellStyle name="Vírgula 5 6 2 7 2" xfId="29839" xr:uid="{22353C62-49AA-4050-910E-D98C0AD455DC}"/>
    <cellStyle name="Vírgula 5 6 2 8" xfId="26345" xr:uid="{FD4F9F2D-A62A-409F-8E7B-84AF2C82003B}"/>
    <cellStyle name="Vírgula 5 6 2 9" xfId="49218" xr:uid="{5C09F2FD-DF07-46FD-B54A-4D3E44A6894F}"/>
    <cellStyle name="Vírgula 5 6 20" xfId="4534" xr:uid="{FDF2862F-7B6B-445F-9A06-6CD8EBA831A7}"/>
    <cellStyle name="Vírgula 5 6 3" xfId="1069" xr:uid="{1C8DDA16-76CC-4BCD-A0D3-D3F0E357E96C}"/>
    <cellStyle name="Vírgula 5 6 3 10" xfId="54187" xr:uid="{B28B4565-6537-4F3F-B41C-E6CC21074735}"/>
    <cellStyle name="Vírgula 5 6 3 11" xfId="6574" xr:uid="{FD37B870-F82B-4795-9BC5-72A76A5F5C5D}"/>
    <cellStyle name="Vírgula 5 6 3 12" xfId="4961" xr:uid="{2AEFC32E-06B1-4B8C-8211-5827420A8788}"/>
    <cellStyle name="Vírgula 5 6 3 2" xfId="2733" xr:uid="{BE42F387-580F-450C-B0C3-4767C79E5572}"/>
    <cellStyle name="Vírgula 5 6 3 2 2" xfId="37200" xr:uid="{D7477A08-4954-4FDA-A893-322E806216E6}"/>
    <cellStyle name="Vírgula 5 6 3 2 3" xfId="52524" xr:uid="{4950C937-76DA-4584-86C1-15838DA45BBF}"/>
    <cellStyle name="Vírgula 5 6 3 2 4" xfId="55818" xr:uid="{72B1C742-B526-44C2-8452-9D076F84ADD8}"/>
    <cellStyle name="Vírgula 5 6 3 2 5" xfId="16860" xr:uid="{A6BED4D2-53DC-4BD7-8EE7-FE0F2E8B058D}"/>
    <cellStyle name="Vírgula 5 6 3 3" xfId="20362" xr:uid="{8D9C7797-3C18-474C-B3B9-13D9E4F47247}"/>
    <cellStyle name="Vírgula 5 6 3 3 2" xfId="40701" xr:uid="{F8283BFC-FDB8-47B5-BE1E-E5801386221F}"/>
    <cellStyle name="Vírgula 5 6 3 3 3" xfId="56940" xr:uid="{E371C267-F307-4710-B2A4-DBD37845B8C9}"/>
    <cellStyle name="Vírgula 5 6 3 4" xfId="23617" xr:uid="{40168D0F-BD39-4748-A94C-BEB075C41544}"/>
    <cellStyle name="Vírgula 5 6 3 4 2" xfId="43952" xr:uid="{29043A74-BB6B-46EB-BB8C-08AAAF1BF2C7}"/>
    <cellStyle name="Vírgula 5 6 3 5" xfId="13951" xr:uid="{644C525C-1BFA-4106-9F70-931EAA263F2E}"/>
    <cellStyle name="Vírgula 5 6 3 5 2" xfId="34292" xr:uid="{A97266AE-F585-4719-BB63-89CFEA4A9429}"/>
    <cellStyle name="Vírgula 5 6 3 6" xfId="10073" xr:uid="{32B35F4F-C32B-4644-88A1-5AD89C6384BC}"/>
    <cellStyle name="Vírgula 5 6 3 6 2" xfId="30416" xr:uid="{3EFA880A-6FDB-4EC8-90CC-DF356824B207}"/>
    <cellStyle name="Vírgula 5 6 3 7" xfId="26922" xr:uid="{65F05292-4FD6-4043-B61B-6E53C157D002}"/>
    <cellStyle name="Vírgula 5 6 3 8" xfId="49222" xr:uid="{3C195224-5A59-4BDA-A0D7-4E4813D65B7A}"/>
    <cellStyle name="Vírgula 5 6 3 9" xfId="50892" xr:uid="{95339D57-E3F8-40CA-B89B-CFB08331EA73}"/>
    <cellStyle name="Vírgula 5 6 4" xfId="1475" xr:uid="{324168E8-47A6-47F5-9157-45C3B64DE3C3}"/>
    <cellStyle name="Vírgula 5 6 4 10" xfId="54188" xr:uid="{AAAF8CA1-0043-4938-A057-8C45B3B83220}"/>
    <cellStyle name="Vírgula 5 6 4 11" xfId="7738" xr:uid="{D3206E1D-F771-4E68-B2AC-54713FAB7363}"/>
    <cellStyle name="Vírgula 5 6 4 2" xfId="3136" xr:uid="{BDD15ACC-BB67-484D-9CBB-18338BC5EB98}"/>
    <cellStyle name="Vírgula 5 6 4 2 2" xfId="38363" xr:uid="{3888CB46-DFAC-4313-8938-B04DC258724C}"/>
    <cellStyle name="Vírgula 5 6 4 2 3" xfId="52525" xr:uid="{2CDE5B1F-0C1E-4086-9990-08F1FBCB3C33}"/>
    <cellStyle name="Vírgula 5 6 4 2 4" xfId="55819" xr:uid="{AABAD539-3698-4226-9D8B-D51DEA1F5E03}"/>
    <cellStyle name="Vírgula 5 6 4 2 5" xfId="18023" xr:uid="{A78A3D02-DDE1-4169-8209-C45D93091237}"/>
    <cellStyle name="Vírgula 5 6 4 3" xfId="21525" xr:uid="{F60D6813-AE57-42CD-9BE5-08EBE08F85EB}"/>
    <cellStyle name="Vírgula 5 6 4 3 2" xfId="41864" xr:uid="{51D681DD-BBE8-4AE9-8BD5-9768590E0D1B}"/>
    <cellStyle name="Vírgula 5 6 4 3 3" xfId="57346" xr:uid="{46FC5A4A-56CF-42FC-A946-5D9B5181FD58}"/>
    <cellStyle name="Vírgula 5 6 4 4" xfId="24780" xr:uid="{167AAEFD-745A-45A0-B4C5-62B207098AE9}"/>
    <cellStyle name="Vírgula 5 6 4 4 2" xfId="45115" xr:uid="{0D1F084A-B326-4675-ADA2-071875E83D8F}"/>
    <cellStyle name="Vírgula 5 6 4 5" xfId="15115" xr:uid="{26C49D13-7CBA-426A-BBB6-B253074C9612}"/>
    <cellStyle name="Vírgula 5 6 4 5 2" xfId="35455" xr:uid="{3EFD7513-CE88-4089-974D-3AD882F08C54}"/>
    <cellStyle name="Vírgula 5 6 4 6" xfId="11236" xr:uid="{1AECD93C-85E9-4094-B049-3517EAA77A13}"/>
    <cellStyle name="Vírgula 5 6 4 6 2" xfId="31579" xr:uid="{ECDEC56F-3DC3-4061-A020-26AC385FBD9E}"/>
    <cellStyle name="Vírgula 5 6 4 7" xfId="28085" xr:uid="{B3F720EF-86A1-479C-BB2F-0C8AA6042FAC}"/>
    <cellStyle name="Vírgula 5 6 4 8" xfId="49223" xr:uid="{B23C80C1-00A9-4213-A4CB-A2D72E6C0A4F}"/>
    <cellStyle name="Vírgula 5 6 4 9" xfId="50893" xr:uid="{8A78A275-4826-43D3-9A10-FD5DCA208CA2}"/>
    <cellStyle name="Vírgula 5 6 5" xfId="662" xr:uid="{D167B7E9-971F-492F-BA4B-C196CB9719AE}"/>
    <cellStyle name="Vírgula 5 6 5 10" xfId="8325" xr:uid="{0C9B886B-5910-4D05-B3BC-39A929223F8C}"/>
    <cellStyle name="Vírgula 5 6 5 2" xfId="2378" xr:uid="{AE30571C-D848-42FA-B6D5-42C9821F016F}"/>
    <cellStyle name="Vírgula 5 6 5 2 2" xfId="42448" xr:uid="{C557E286-FC87-456B-AC53-80C363FC97D3}"/>
    <cellStyle name="Vírgula 5 6 5 2 3" xfId="52526" xr:uid="{11C1FB45-6DE7-4564-823B-AEAB55BC47F5}"/>
    <cellStyle name="Vírgula 5 6 5 2 4" xfId="55820" xr:uid="{BA33525D-90DF-4F86-A627-1F50374A6C23}"/>
    <cellStyle name="Vírgula 5 6 5 2 5" xfId="22112" xr:uid="{336C711E-DAA8-4202-8EF3-FB5E4B479E62}"/>
    <cellStyle name="Vírgula 5 6 5 3" xfId="25364" xr:uid="{DAA8F007-0AC4-4BDD-9150-4A86C66DCA81}"/>
    <cellStyle name="Vírgula 5 6 5 3 2" xfId="45699" xr:uid="{BFF56D7A-2F37-497E-904B-C1B23ECE8A08}"/>
    <cellStyle name="Vírgula 5 6 5 3 3" xfId="56533" xr:uid="{CA867808-689F-4944-ADBB-5EB5E74C1AA6}"/>
    <cellStyle name="Vírgula 5 6 5 4" xfId="12805" xr:uid="{D7E96491-2D66-4E8E-AC5F-8C29E839A9A6}"/>
    <cellStyle name="Vírgula 5 6 5 4 2" xfId="33146" xr:uid="{50936F2D-628B-449D-9836-44418E988EA2}"/>
    <cellStyle name="Vírgula 5 6 5 5" xfId="11821" xr:uid="{A27BA350-90AB-4665-92B3-18667B2CC700}"/>
    <cellStyle name="Vírgula 5 6 5 5 2" xfId="32163" xr:uid="{EFEE0EC6-E47F-4702-8F86-1736071D61D8}"/>
    <cellStyle name="Vírgula 5 6 5 6" xfId="28669" xr:uid="{52D89BF8-8DBD-451A-AF25-F64E98121E6F}"/>
    <cellStyle name="Vírgula 5 6 5 7" xfId="49224" xr:uid="{5AACBA6F-0833-4CA9-9CA6-5EB6EF9FD7CF}"/>
    <cellStyle name="Vírgula 5 6 5 8" xfId="50894" xr:uid="{F4DB3E64-8E93-4E0D-9019-5867E6A4EDE8}"/>
    <cellStyle name="Vírgula 5 6 5 9" xfId="54189" xr:uid="{A2230EB7-E307-4EB5-AD45-9066B938EB00}"/>
    <cellStyle name="Vírgula 5 6 6" xfId="3489" xr:uid="{7844DB50-6E0C-4A3A-8189-08C14CFFE0CF}"/>
    <cellStyle name="Vírgula 5 6 6 2" xfId="36042" xr:uid="{1473BD12-C268-4346-B04B-76CF093C1AAC}"/>
    <cellStyle name="Vírgula 5 6 6 3" xfId="52519" xr:uid="{33380240-4D8F-4450-B0E3-983DC8FB2672}"/>
    <cellStyle name="Vírgula 5 6 6 4" xfId="55813" xr:uid="{E6F1BD43-3B02-4371-A544-5CAD92973E84}"/>
    <cellStyle name="Vírgula 5 6 6 5" xfId="15702" xr:uid="{473A003D-BF04-49AD-8D49-EB3B94B6C1F9}"/>
    <cellStyle name="Vírgula 5 6 7" xfId="3994" xr:uid="{A566256F-7175-419E-83A0-2C726E738BB6}"/>
    <cellStyle name="Vírgula 5 6 7 2" xfId="38956" xr:uid="{160CC25C-BECC-41ED-9D91-9B13F3FD7936}"/>
    <cellStyle name="Vírgula 5 6 7 3" xfId="56124" xr:uid="{E5CBC3D6-7624-4A1B-A98F-2F1495C73AB2}"/>
    <cellStyle name="Vírgula 5 6 7 4" xfId="18616" xr:uid="{5BC94FE2-EA93-4B9D-9EA0-09B573444A3B}"/>
    <cellStyle name="Vírgula 5 6 8" xfId="1838" xr:uid="{4C3DCEC3-0D26-46EE-B14C-5DE9635781B8}"/>
    <cellStyle name="Vírgula 5 6 8 2" xfId="39543" xr:uid="{C6CA1A38-66E6-47CB-8FBC-2C59FE2D0728}"/>
    <cellStyle name="Vírgula 5 6 8 3" xfId="19204" xr:uid="{9C62256A-C433-4357-BD9A-132F8AC77623}"/>
    <cellStyle name="Vírgula 5 6 9" xfId="22459" xr:uid="{A737E528-A514-46C9-840C-9AD0EAC60ACD}"/>
    <cellStyle name="Vírgula 5 6 9 2" xfId="42794" xr:uid="{50A473C2-0E62-43BB-BAC4-F9625A92CA5E}"/>
    <cellStyle name="Vírgula 5 7" xfId="308" xr:uid="{B76658D3-D8AA-4D9C-82C1-5138DD6E6904}"/>
    <cellStyle name="Vírgula 5 7 10" xfId="12234" xr:uid="{09489A3A-F890-4EDE-BCCD-5D54E0C94E59}"/>
    <cellStyle name="Vírgula 5 7 10 2" xfId="32575" xr:uid="{38402D33-EE71-44B2-AF3D-D95441EB3E2A}"/>
    <cellStyle name="Vírgula 5 7 11" xfId="8973" xr:uid="{76EFA3E7-EF45-4FDD-8808-7D55E985551F}"/>
    <cellStyle name="Vírgula 5 7 11 2" xfId="29316" xr:uid="{A5023259-043B-4DBF-A767-4B972B968EEA}"/>
    <cellStyle name="Vírgula 5 7 12" xfId="25822" xr:uid="{4520190F-3B69-4BF1-BC75-9A45822F661C}"/>
    <cellStyle name="Vírgula 5 7 13" xfId="49225" xr:uid="{B56D3572-879F-4757-AB71-15B0D96BFCFE}"/>
    <cellStyle name="Vírgula 5 7 14" xfId="50895" xr:uid="{C14CBB4F-F1DB-4048-8D36-2A10B73198A5}"/>
    <cellStyle name="Vírgula 5 7 15" xfId="54190" xr:uid="{C83BEA12-3B95-437D-A326-4DE753F052CD}"/>
    <cellStyle name="Vírgula 5 7 16" xfId="5483" xr:uid="{1C2E8CBB-4448-48F3-8C8C-1D25C62D1C7A}"/>
    <cellStyle name="Vírgula 5 7 17" xfId="4589" xr:uid="{161CCAAA-7116-4B51-A431-4E4896C9E073}"/>
    <cellStyle name="Vírgula 5 7 2" xfId="1124" xr:uid="{7376648D-708A-42C6-B02A-569B49812BCC}"/>
    <cellStyle name="Vírgula 5 7 2 10" xfId="50896" xr:uid="{1D4D5238-8492-4604-8B0A-03F71426A886}"/>
    <cellStyle name="Vírgula 5 7 2 11" xfId="54191" xr:uid="{7145038F-854E-4F3A-951B-958B86AB0347}"/>
    <cellStyle name="Vírgula 5 7 2 12" xfId="6055" xr:uid="{625641FB-F21B-45AB-A4EC-F717D7343004}"/>
    <cellStyle name="Vírgula 5 7 2 2" xfId="2786" xr:uid="{E02F1706-945E-4754-AC65-1AB4B8E9AE75}"/>
    <cellStyle name="Vírgula 5 7 2 2 10" xfId="7213" xr:uid="{530473D9-9F78-4149-9B8C-4EB834D56E2E}"/>
    <cellStyle name="Vírgula 5 7 2 2 2" xfId="17499" xr:uid="{1CE7C810-2813-41B8-A518-72763B584C08}"/>
    <cellStyle name="Vírgula 5 7 2 2 2 2" xfId="37839" xr:uid="{2E9854F2-4F2A-4674-B6DF-F4778366E8B6}"/>
    <cellStyle name="Vírgula 5 7 2 2 3" xfId="21001" xr:uid="{7BEDF9AB-9966-4DA5-B89E-B788D9140B92}"/>
    <cellStyle name="Vírgula 5 7 2 2 3 2" xfId="41340" xr:uid="{31E02B29-2E4B-4F37-AC0C-4574AF2F6E4C}"/>
    <cellStyle name="Vírgula 5 7 2 2 4" xfId="24256" xr:uid="{AE0F306F-C7C9-4D7E-8944-D002577EDAB4}"/>
    <cellStyle name="Vírgula 5 7 2 2 4 2" xfId="44591" xr:uid="{CCAA8BAE-D1C0-4FAC-82EF-152C636E4E76}"/>
    <cellStyle name="Vírgula 5 7 2 2 5" xfId="14590" xr:uid="{61AB4126-7B6C-44E6-A34C-CD91744C8E0A}"/>
    <cellStyle name="Vírgula 5 7 2 2 5 2" xfId="34931" xr:uid="{F2AE001F-5110-4215-8DB6-F7BD31AA435E}"/>
    <cellStyle name="Vírgula 5 7 2 2 6" xfId="10712" xr:uid="{1EE2B228-A6DD-4928-AB96-28B2B395960C}"/>
    <cellStyle name="Vírgula 5 7 2 2 6 2" xfId="31055" xr:uid="{70BDD218-5791-4098-8122-603C5CFF0DFC}"/>
    <cellStyle name="Vírgula 5 7 2 2 7" xfId="27561" xr:uid="{629ED158-EF4B-4749-984E-201BFCA489B3}"/>
    <cellStyle name="Vírgula 5 7 2 2 8" xfId="52528" xr:uid="{82AD90A8-D46C-4280-A583-CD4490F7CEDF}"/>
    <cellStyle name="Vírgula 5 7 2 2 9" xfId="55822" xr:uid="{6663721A-9BCB-4F48-AB15-E78A82657173}"/>
    <cellStyle name="Vírgula 5 7 2 3" xfId="16341" xr:uid="{A5D8AB8B-DD0B-4B8F-BD25-05ACA7A016D6}"/>
    <cellStyle name="Vírgula 5 7 2 3 2" xfId="36681" xr:uid="{A75C99F7-CC6F-4351-992C-B3020BC1EEEA}"/>
    <cellStyle name="Vírgula 5 7 2 3 3" xfId="56995" xr:uid="{D9358429-980F-4C41-A7E8-E6BFB1AFFB84}"/>
    <cellStyle name="Vírgula 5 7 2 4" xfId="19843" xr:uid="{1AC282F4-F354-4FD3-B42E-931C8B88CA99}"/>
    <cellStyle name="Vírgula 5 7 2 4 2" xfId="40182" xr:uid="{C2845D7C-36B5-4226-84B6-C5FF2F1C0319}"/>
    <cellStyle name="Vírgula 5 7 2 5" xfId="23098" xr:uid="{D33A853A-ED92-462E-BC09-BEC5D77D43C6}"/>
    <cellStyle name="Vírgula 5 7 2 5 2" xfId="43433" xr:uid="{2A3F8503-B7DD-4279-A54F-0BB129103AAB}"/>
    <cellStyle name="Vírgula 5 7 2 6" xfId="13432" xr:uid="{7A5D18E1-B6F5-4F8C-9B4B-21352667D6AE}"/>
    <cellStyle name="Vírgula 5 7 2 6 2" xfId="33773" xr:uid="{0D81E1DE-CD57-4329-AAB5-0B27991AB805}"/>
    <cellStyle name="Vírgula 5 7 2 7" xfId="9554" xr:uid="{A9D6AB84-28AF-4C94-A3CF-B43D450A23DB}"/>
    <cellStyle name="Vírgula 5 7 2 7 2" xfId="29897" xr:uid="{99A4BBDF-5EC9-4238-910A-93293FF2A69D}"/>
    <cellStyle name="Vírgula 5 7 2 8" xfId="26403" xr:uid="{C3E9F2A0-A84B-40D1-B985-C8864C50817D}"/>
    <cellStyle name="Vírgula 5 7 2 9" xfId="49226" xr:uid="{7D7B018B-3531-4DD1-BDDD-9A0A3DCE8F4C}"/>
    <cellStyle name="Vírgula 5 7 3" xfId="1530" xr:uid="{9CCF8CC5-032C-4392-BB23-026B82BE223A}"/>
    <cellStyle name="Vírgula 5 7 3 10" xfId="54192" xr:uid="{C71CE3AD-E400-4D73-8DCE-DC1284D2E315}"/>
    <cellStyle name="Vírgula 5 7 3 11" xfId="6632" xr:uid="{6FF9ECFD-F707-4E1E-AD3D-2C2D03B4A644}"/>
    <cellStyle name="Vírgula 5 7 3 2" xfId="3191" xr:uid="{41D153F7-E833-4D98-B939-5746C3336ADD}"/>
    <cellStyle name="Vírgula 5 7 3 2 2" xfId="37258" xr:uid="{7DAA3A9C-87FA-49D9-9F8B-394EC52826AE}"/>
    <cellStyle name="Vírgula 5 7 3 2 3" xfId="52529" xr:uid="{04E9E1CC-B279-4CD6-9099-FFDA9D847907}"/>
    <cellStyle name="Vírgula 5 7 3 2 4" xfId="55823" xr:uid="{11997E0E-A97A-4F51-8948-1D034C9AB57B}"/>
    <cellStyle name="Vírgula 5 7 3 2 5" xfId="16918" xr:uid="{22D48552-8B0F-4A5D-9D00-023005458BDE}"/>
    <cellStyle name="Vírgula 5 7 3 3" xfId="20420" xr:uid="{3658CF74-E298-4E64-B7F5-AADFCD35702B}"/>
    <cellStyle name="Vírgula 5 7 3 3 2" xfId="40759" xr:uid="{38DFCE2A-8FE8-49C3-AEF4-66EA9D3DEEFC}"/>
    <cellStyle name="Vírgula 5 7 3 3 3" xfId="57401" xr:uid="{0943832C-637B-4F08-AB19-6222C71F820F}"/>
    <cellStyle name="Vírgula 5 7 3 4" xfId="23675" xr:uid="{91921FE7-88FE-481D-8946-BAB03D7A7105}"/>
    <cellStyle name="Vírgula 5 7 3 4 2" xfId="44010" xr:uid="{B952A4D8-094D-4841-B129-2DC3C4357753}"/>
    <cellStyle name="Vírgula 5 7 3 5" xfId="14009" xr:uid="{C567EB67-38F8-42BE-8D2A-E50DA7A072A6}"/>
    <cellStyle name="Vírgula 5 7 3 5 2" xfId="34350" xr:uid="{1E237D59-1B07-43B2-8F0C-E66FEF60EE25}"/>
    <cellStyle name="Vírgula 5 7 3 6" xfId="10131" xr:uid="{B24F24D5-F377-4017-A61B-5C17AD3EEE75}"/>
    <cellStyle name="Vírgula 5 7 3 6 2" xfId="30474" xr:uid="{BB431EEE-F79B-4469-8DD3-5306D4BF6416}"/>
    <cellStyle name="Vírgula 5 7 3 7" xfId="26980" xr:uid="{2CDD87CD-4169-4CC8-8C12-8512DD5BFA72}"/>
    <cellStyle name="Vírgula 5 7 3 8" xfId="49227" xr:uid="{D4C57D9F-457C-4729-A56F-6AAB45AE75FE}"/>
    <cellStyle name="Vírgula 5 7 3 9" xfId="50897" xr:uid="{D3294467-E3DB-490B-AA82-3D4F4D7AA8B3}"/>
    <cellStyle name="Vírgula 5 7 4" xfId="717" xr:uid="{803A2650-27D9-418B-9DD8-9D91F583EBE8}"/>
    <cellStyle name="Vírgula 5 7 4 10" xfId="54193" xr:uid="{28485433-F111-452F-9AD5-0EF678944F4D}"/>
    <cellStyle name="Vírgula 5 7 4 11" xfId="7796" xr:uid="{97B07CB2-A467-4F63-99C9-A5EF3C134E9E}"/>
    <cellStyle name="Vírgula 5 7 4 2" xfId="2433" xr:uid="{68CEBF4B-2FDB-4567-932F-F23744376DE3}"/>
    <cellStyle name="Vírgula 5 7 4 2 2" xfId="38421" xr:uid="{09CEC1AC-EB4A-48EF-826D-7F3BEBF245BD}"/>
    <cellStyle name="Vírgula 5 7 4 2 3" xfId="52530" xr:uid="{3DC9A4BC-5D00-49E9-9782-DE4A9A2F08A5}"/>
    <cellStyle name="Vírgula 5 7 4 2 4" xfId="55824" xr:uid="{B30007CB-4E55-4E68-A4C7-B05423770022}"/>
    <cellStyle name="Vírgula 5 7 4 2 5" xfId="18081" xr:uid="{CB4A2989-8A1E-4E22-91A9-A1E96909C590}"/>
    <cellStyle name="Vírgula 5 7 4 3" xfId="21583" xr:uid="{C3701213-FB95-4C5B-9CCC-1B8E4806B4EA}"/>
    <cellStyle name="Vírgula 5 7 4 3 2" xfId="41922" xr:uid="{3DC1671E-0DDA-4B5A-8570-7DEBAFFC1BF3}"/>
    <cellStyle name="Vírgula 5 7 4 3 3" xfId="56588" xr:uid="{1A24B1E6-A64E-4CDC-98E3-11E402BA8B94}"/>
    <cellStyle name="Vírgula 5 7 4 4" xfId="24838" xr:uid="{38BB80F6-2C0C-4896-ACB5-1C6D006EA01E}"/>
    <cellStyle name="Vírgula 5 7 4 4 2" xfId="45173" xr:uid="{E0107D94-16DC-4EB0-9FA3-A29AA4972DB5}"/>
    <cellStyle name="Vírgula 5 7 4 5" xfId="15173" xr:uid="{2C8FD008-7AA5-4C97-AF70-5B3DF8CA867F}"/>
    <cellStyle name="Vírgula 5 7 4 5 2" xfId="35513" xr:uid="{54A38B52-725A-4B84-9395-D7930CF453C1}"/>
    <cellStyle name="Vírgula 5 7 4 6" xfId="11294" xr:uid="{FB2CF12C-E205-4765-B0F9-2CCE99E9B85E}"/>
    <cellStyle name="Vírgula 5 7 4 6 2" xfId="31637" xr:uid="{5AAA9083-1CE8-4CE1-904C-82D1A074DF73}"/>
    <cellStyle name="Vírgula 5 7 4 7" xfId="28143" xr:uid="{E60B2CB6-4C5E-453F-A847-6B25467209FD}"/>
    <cellStyle name="Vírgula 5 7 4 8" xfId="49228" xr:uid="{4BBB202A-7EA6-43AA-869E-9B7D3E5B6574}"/>
    <cellStyle name="Vírgula 5 7 4 9" xfId="50898" xr:uid="{E0FF91CC-11E7-4C36-8085-6B89977E8DCB}"/>
    <cellStyle name="Vírgula 5 7 5" xfId="3708" xr:uid="{61AED975-7A24-494E-B7A8-F3A8911C2CE9}"/>
    <cellStyle name="Vírgula 5 7 5 2" xfId="33204" xr:uid="{24D4681D-DEBB-4FBB-8D40-975D040A1D69}"/>
    <cellStyle name="Vírgula 5 7 5 3" xfId="52527" xr:uid="{A2893D44-C64D-4555-B474-F2CF6CF93F1D}"/>
    <cellStyle name="Vírgula 5 7 5 4" xfId="55821" xr:uid="{D35D037E-BAB8-44A6-8DB1-217698794E6F}"/>
    <cellStyle name="Vírgula 5 7 5 5" xfId="12863" xr:uid="{D393A359-95DE-44C2-B2FF-EE4C1328ED0D}"/>
    <cellStyle name="Vírgula 5 7 6" xfId="4166" xr:uid="{FFDC70F3-A727-484E-BB2E-06414C89C56B}"/>
    <cellStyle name="Vírgula 5 7 6 2" xfId="36100" xr:uid="{B636FB22-378D-44F1-B29B-C6472A415F49}"/>
    <cellStyle name="Vírgula 5 7 6 3" xfId="56179" xr:uid="{88E058E6-9847-4092-9F6B-F79A7067AB1D}"/>
    <cellStyle name="Vírgula 5 7 6 4" xfId="15760" xr:uid="{094F6C10-C7E5-4889-A02A-3F92143D8F7A}"/>
    <cellStyle name="Vírgula 5 7 7" xfId="2109" xr:uid="{C57A60B7-1835-4AB6-86B1-6144C5D723E9}"/>
    <cellStyle name="Vírgula 5 7 7 2" xfId="39014" xr:uid="{AADD78BA-4A1E-48C6-97CD-521DBB689F28}"/>
    <cellStyle name="Vírgula 5 7 7 3" xfId="18674" xr:uid="{BBC5FB2D-9B13-4178-8BBD-AFECF67B9FE3}"/>
    <cellStyle name="Vírgula 5 7 8" xfId="19262" xr:uid="{4755BC55-06BB-4D72-A4D6-BB4B231373BA}"/>
    <cellStyle name="Vírgula 5 7 8 2" xfId="39601" xr:uid="{B1BDEF38-1E2F-482C-91E1-06174AAA8803}"/>
    <cellStyle name="Vírgula 5 7 9" xfId="22517" xr:uid="{5C0AFFCE-5BF5-4798-B8D7-BDEA5B6038DA}"/>
    <cellStyle name="Vírgula 5 7 9 2" xfId="42852" xr:uid="{B779AD1A-EF78-4169-AEF2-598BBE0118E7}"/>
    <cellStyle name="Vírgula 5 8" xfId="119" xr:uid="{72DD64E1-6B2C-4B90-BA94-878227DAA587}"/>
    <cellStyle name="Vírgula 5 8 10" xfId="12309" xr:uid="{62C8FD05-217F-4724-A560-47E1C0303C6C}"/>
    <cellStyle name="Vírgula 5 8 10 2" xfId="32650" xr:uid="{CCDB73E9-33A3-449D-B270-66C5F823158F}"/>
    <cellStyle name="Vírgula 5 8 11" xfId="9048" xr:uid="{1AFDE739-490B-4B58-9284-6646496C9E39}"/>
    <cellStyle name="Vírgula 5 8 11 2" xfId="29391" xr:uid="{3E726B80-E980-4A3C-96AB-9D4F3EB39E7E}"/>
    <cellStyle name="Vírgula 5 8 12" xfId="25897" xr:uid="{A2C86145-429B-4F83-B923-FA84ADF0A591}"/>
    <cellStyle name="Vírgula 5 8 13" xfId="49229" xr:uid="{B8054FE6-BDA3-4A7B-B121-30D0CABA6014}"/>
    <cellStyle name="Vírgula 5 8 14" xfId="50899" xr:uid="{B331F451-517A-49EF-AEED-DD4AF435822A}"/>
    <cellStyle name="Vírgula 5 8 15" xfId="54194" xr:uid="{07B9B311-DEC2-43E7-B9B7-05BA98645C69}"/>
    <cellStyle name="Vírgula 5 8 16" xfId="5558" xr:uid="{7A4A636F-64D3-460A-A86E-A79AA1B61CAC}"/>
    <cellStyle name="Vírgula 5 8 17" xfId="4400" xr:uid="{3381BA4B-0EFC-4AD9-8D25-4132B9C97AA2}"/>
    <cellStyle name="Vírgula 5 8 2" xfId="935" xr:uid="{BDF99387-49D9-42D6-A327-225E0B36C0C2}"/>
    <cellStyle name="Vírgula 5 8 2 10" xfId="50900" xr:uid="{8058CE61-1135-42A6-9B69-8899CA006213}"/>
    <cellStyle name="Vírgula 5 8 2 11" xfId="54195" xr:uid="{6767A532-F143-47DB-8C14-2876128DEB4B}"/>
    <cellStyle name="Vírgula 5 8 2 12" xfId="6130" xr:uid="{1A2ADAF0-FEEB-4A15-8DDD-E306268D240C}"/>
    <cellStyle name="Vírgula 5 8 2 2" xfId="2650" xr:uid="{038FEF29-692A-4AD7-8530-6F1B2E6C6369}"/>
    <cellStyle name="Vírgula 5 8 2 2 10" xfId="7288" xr:uid="{8EEC6CFC-3C2F-4911-B16B-553D7D3C2B44}"/>
    <cellStyle name="Vírgula 5 8 2 2 2" xfId="17574" xr:uid="{0CF183E1-8385-4249-A770-62F9B886762E}"/>
    <cellStyle name="Vírgula 5 8 2 2 2 2" xfId="37914" xr:uid="{B9583DBF-E409-47EB-BC09-AE405915BC95}"/>
    <cellStyle name="Vírgula 5 8 2 2 3" xfId="21076" xr:uid="{57CF3501-24F7-4B61-A956-535E63429A9A}"/>
    <cellStyle name="Vírgula 5 8 2 2 3 2" xfId="41415" xr:uid="{8A706B2B-943C-4A6B-A191-A9306FBB98C7}"/>
    <cellStyle name="Vírgula 5 8 2 2 4" xfId="24331" xr:uid="{BB60AE62-EA14-4037-B1C0-F871DEE6E1BE}"/>
    <cellStyle name="Vírgula 5 8 2 2 4 2" xfId="44666" xr:uid="{D87E78BD-77E5-44DB-B768-1132D2D7D347}"/>
    <cellStyle name="Vírgula 5 8 2 2 5" xfId="14665" xr:uid="{D6F65CA1-1CEC-4117-9E36-3F4A8EC72C7F}"/>
    <cellStyle name="Vírgula 5 8 2 2 5 2" xfId="35006" xr:uid="{A1B9EE9C-3E67-4E48-97C1-C9DE535B6CBE}"/>
    <cellStyle name="Vírgula 5 8 2 2 6" xfId="10787" xr:uid="{DF46F0E7-72A3-4905-951E-2972F009C5A6}"/>
    <cellStyle name="Vírgula 5 8 2 2 6 2" xfId="31130" xr:uid="{A0222C6F-212D-4C39-BD80-8E9E28ED094D}"/>
    <cellStyle name="Vírgula 5 8 2 2 7" xfId="27636" xr:uid="{049C5BA5-88F7-4A1D-8B6A-4495B95C5CB4}"/>
    <cellStyle name="Vírgula 5 8 2 2 8" xfId="52532" xr:uid="{6108E7A3-617B-4EF8-B144-4C2D38832169}"/>
    <cellStyle name="Vírgula 5 8 2 2 9" xfId="55826" xr:uid="{C2B17DEB-B2B4-403D-8C70-BBEBC135D6C6}"/>
    <cellStyle name="Vírgula 5 8 2 3" xfId="16416" xr:uid="{D556F09D-4187-4705-93F1-FAD87E7EE0EF}"/>
    <cellStyle name="Vírgula 5 8 2 3 2" xfId="36756" xr:uid="{713986D2-DD72-46D9-94E2-72F79171AEE2}"/>
    <cellStyle name="Vírgula 5 8 2 3 3" xfId="56806" xr:uid="{81FB2D78-2BCE-46F7-ADE3-56242A6545E8}"/>
    <cellStyle name="Vírgula 5 8 2 4" xfId="19918" xr:uid="{D195D926-9D85-4E5C-BD54-6733BDF200DA}"/>
    <cellStyle name="Vírgula 5 8 2 4 2" xfId="40257" xr:uid="{204E01AE-E811-4F41-B1D3-9A6A584D9AFD}"/>
    <cellStyle name="Vírgula 5 8 2 5" xfId="23173" xr:uid="{969D2B86-A5AC-4580-9645-92F6B01A13CB}"/>
    <cellStyle name="Vírgula 5 8 2 5 2" xfId="43508" xr:uid="{09377F14-899C-4012-99ED-7BEBEFC9E48F}"/>
    <cellStyle name="Vírgula 5 8 2 6" xfId="13507" xr:uid="{1FD567AF-525B-4791-99BF-8CD965DC1630}"/>
    <cellStyle name="Vírgula 5 8 2 6 2" xfId="33848" xr:uid="{4620050A-7492-4AED-AC90-5262FB0A083A}"/>
    <cellStyle name="Vírgula 5 8 2 7" xfId="9629" xr:uid="{AFA22AA5-8C09-4A6C-B510-8CADE9025608}"/>
    <cellStyle name="Vírgula 5 8 2 7 2" xfId="29972" xr:uid="{CAC491EC-F7FC-4269-B8B4-64E39CB3AB99}"/>
    <cellStyle name="Vírgula 5 8 2 8" xfId="26478" xr:uid="{7403A2EC-5731-43C1-81CA-A41880FD5203}"/>
    <cellStyle name="Vírgula 5 8 2 9" xfId="49230" xr:uid="{50FF66D5-95B4-411C-9C7E-89DE631E3414}"/>
    <cellStyle name="Vírgula 5 8 3" xfId="1341" xr:uid="{3CD6CC41-82D0-4460-911C-8086760694BD}"/>
    <cellStyle name="Vírgula 5 8 3 10" xfId="54196" xr:uid="{4A1B6360-1617-4D7B-AD1B-6802733844EC}"/>
    <cellStyle name="Vírgula 5 8 3 11" xfId="6707" xr:uid="{8D9A39D6-E473-4B40-AAB4-50A8B7D17BB0}"/>
    <cellStyle name="Vírgula 5 8 3 2" xfId="3002" xr:uid="{3099F8FF-F2EE-40B6-9D76-292D60C1F908}"/>
    <cellStyle name="Vírgula 5 8 3 2 2" xfId="37333" xr:uid="{8D8A7E9E-A3D8-4D93-8549-EFD3AEF80398}"/>
    <cellStyle name="Vírgula 5 8 3 2 3" xfId="52533" xr:uid="{F8475EC3-3FC9-4ECF-8C1F-79CB94FA831C}"/>
    <cellStyle name="Vírgula 5 8 3 2 4" xfId="55827" xr:uid="{03920420-CA0F-4DAA-B745-879C3E95F07A}"/>
    <cellStyle name="Vírgula 5 8 3 2 5" xfId="16993" xr:uid="{9787A006-49D5-4EC2-85FA-6ED91523F80C}"/>
    <cellStyle name="Vírgula 5 8 3 3" xfId="20495" xr:uid="{E28A898D-2FC0-44B1-8BCB-ED333B07C2AD}"/>
    <cellStyle name="Vírgula 5 8 3 3 2" xfId="40834" xr:uid="{4FE22185-6B3A-4AA2-AA12-6B9C63BE7A53}"/>
    <cellStyle name="Vírgula 5 8 3 3 3" xfId="57212" xr:uid="{D0723D6C-F6FC-4A71-9C82-27056172CBEA}"/>
    <cellStyle name="Vírgula 5 8 3 4" xfId="23750" xr:uid="{4FAC8FD4-87D1-4B45-958B-47164CFE4CE4}"/>
    <cellStyle name="Vírgula 5 8 3 4 2" xfId="44085" xr:uid="{28BED326-EBB3-4041-84FD-677A57F11632}"/>
    <cellStyle name="Vírgula 5 8 3 5" xfId="14084" xr:uid="{7B95E3FA-D60E-4501-AB3A-3CA7238B3878}"/>
    <cellStyle name="Vírgula 5 8 3 5 2" xfId="34425" xr:uid="{D7C4B2FD-B087-4E23-8F3F-EB909CDF4E06}"/>
    <cellStyle name="Vírgula 5 8 3 6" xfId="10206" xr:uid="{472E6793-BB7A-4069-B5FF-3A4EE8C90200}"/>
    <cellStyle name="Vírgula 5 8 3 6 2" xfId="30549" xr:uid="{4528CDCD-EF26-4CD0-854B-073D48892619}"/>
    <cellStyle name="Vírgula 5 8 3 7" xfId="27055" xr:uid="{63609A23-3C5D-44C6-BA76-1F2DD28E71CE}"/>
    <cellStyle name="Vírgula 5 8 3 8" xfId="49231" xr:uid="{3F13CA69-9E92-4D52-A717-1102B6C67BBE}"/>
    <cellStyle name="Vírgula 5 8 3 9" xfId="50901" xr:uid="{A07616A1-864D-445A-985C-30E3FD0F5F3E}"/>
    <cellStyle name="Vírgula 5 8 4" xfId="528" xr:uid="{DE930850-7AB1-4835-80D8-D5747E183307}"/>
    <cellStyle name="Vírgula 5 8 4 10" xfId="54197" xr:uid="{3EC557DB-4ECC-4BCC-A690-1EDCE169E230}"/>
    <cellStyle name="Vírgula 5 8 4 11" xfId="7871" xr:uid="{008626C0-16CF-48AD-9D94-2B4250A20972}"/>
    <cellStyle name="Vírgula 5 8 4 2" xfId="2244" xr:uid="{58BC49F1-E43D-4CB4-B994-1344CFAA6347}"/>
    <cellStyle name="Vírgula 5 8 4 2 2" xfId="38496" xr:uid="{7FF5DB85-BED1-43E4-960C-8547F26D4952}"/>
    <cellStyle name="Vírgula 5 8 4 2 3" xfId="52534" xr:uid="{B403BCB5-C23B-4E63-BBC8-A3FBBBA58B94}"/>
    <cellStyle name="Vírgula 5 8 4 2 4" xfId="55828" xr:uid="{4A67F426-9CC6-474C-8D99-4AAD340D00D7}"/>
    <cellStyle name="Vírgula 5 8 4 2 5" xfId="18156" xr:uid="{1E135538-757D-4073-B998-00D4FE05BF17}"/>
    <cellStyle name="Vírgula 5 8 4 3" xfId="21658" xr:uid="{4D93ACCC-B6ED-4535-8D06-3658626A0FA7}"/>
    <cellStyle name="Vírgula 5 8 4 3 2" xfId="41997" xr:uid="{C38B94C8-6519-4426-B3DF-DDC907019F0B}"/>
    <cellStyle name="Vírgula 5 8 4 3 3" xfId="56399" xr:uid="{05D884AB-F725-4150-9D91-C2ED2966976F}"/>
    <cellStyle name="Vírgula 5 8 4 4" xfId="24913" xr:uid="{BD0BDE5E-FF73-4FC6-A5F3-753DD2373A18}"/>
    <cellStyle name="Vírgula 5 8 4 4 2" xfId="45248" xr:uid="{EE27BF82-5A52-4676-9574-763BC6254317}"/>
    <cellStyle name="Vírgula 5 8 4 5" xfId="15248" xr:uid="{8DE976E6-264F-499D-B866-025405C024B8}"/>
    <cellStyle name="Vírgula 5 8 4 5 2" xfId="35588" xr:uid="{188CEF2F-F608-49BF-BA00-6A245A88E149}"/>
    <cellStyle name="Vírgula 5 8 4 6" xfId="11369" xr:uid="{827D0A9F-D8B8-4B78-BF4B-09AE959614C6}"/>
    <cellStyle name="Vírgula 5 8 4 6 2" xfId="31712" xr:uid="{DB4E53CD-1DF1-4D98-A3FD-EA422E48A421}"/>
    <cellStyle name="Vírgula 5 8 4 7" xfId="28218" xr:uid="{80059AD8-1B6B-4817-A95A-57F717F2DE5E}"/>
    <cellStyle name="Vírgula 5 8 4 8" xfId="49232" xr:uid="{4405776C-1FE9-4CA3-BEC5-30432699A34B}"/>
    <cellStyle name="Vírgula 5 8 4 9" xfId="50902" xr:uid="{281ACFAA-2333-43F5-A69D-0252CFC0FC4F}"/>
    <cellStyle name="Vírgula 5 8 5" xfId="2064" xr:uid="{646FD4BB-636C-43E9-A63E-E90AF1B7CE52}"/>
    <cellStyle name="Vírgula 5 8 5 2" xfId="33279" xr:uid="{FE9DDF85-6D16-4D94-9F48-350C31B5D1AE}"/>
    <cellStyle name="Vírgula 5 8 5 3" xfId="52531" xr:uid="{4ED01238-0EBB-4C2D-9A17-F7B8F7DFFD2C}"/>
    <cellStyle name="Vírgula 5 8 5 4" xfId="55825" xr:uid="{557A505A-76C3-4C7F-AAFC-B3E40E75F874}"/>
    <cellStyle name="Vírgula 5 8 5 5" xfId="12938" xr:uid="{156226B0-E854-4A15-84E7-F4FA082BFDC5}"/>
    <cellStyle name="Vírgula 5 8 6" xfId="15835" xr:uid="{E2051475-1F07-4DF2-9BC2-3E2BEB5327AC}"/>
    <cellStyle name="Vírgula 5 8 6 2" xfId="36175" xr:uid="{BA56E571-225C-4987-A1F2-9D6A576A55C9}"/>
    <cellStyle name="Vírgula 5 8 6 3" xfId="55990" xr:uid="{A7B16A6C-9AD3-4679-8C1E-1C27E7A61D83}"/>
    <cellStyle name="Vírgula 5 8 7" xfId="18749" xr:uid="{0F9303C0-2558-4284-9FAA-84271AA79186}"/>
    <cellStyle name="Vírgula 5 8 7 2" xfId="39089" xr:uid="{DB54E06D-0EF0-4A7F-8098-8076A66EDF1F}"/>
    <cellStyle name="Vírgula 5 8 8" xfId="19337" xr:uid="{113A57C6-8E90-4768-A7DA-42AC07C0A847}"/>
    <cellStyle name="Vírgula 5 8 8 2" xfId="39676" xr:uid="{F14C8E33-28ED-4AF8-BCEB-6544ACB18DC1}"/>
    <cellStyle name="Vírgula 5 8 9" xfId="22592" xr:uid="{FBED61E9-EA45-49B1-844E-0A4CBCB6D2E1}"/>
    <cellStyle name="Vírgula 5 8 9 2" xfId="42927" xr:uid="{1345D7D1-0F97-447F-AAD8-65128AE1C486}"/>
    <cellStyle name="Vírgula 5 9" xfId="918" xr:uid="{C877C4CA-CF3E-45A8-BF12-F53E9F77B307}"/>
    <cellStyle name="Vírgula 5 9 10" xfId="12407" xr:uid="{C4F737F5-AC1B-4A1D-A5BF-1788D5BF214A}"/>
    <cellStyle name="Vírgula 5 9 10 2" xfId="32748" xr:uid="{3DDC2339-C783-4228-B61D-CF5B77719AAF}"/>
    <cellStyle name="Vírgula 5 9 11" xfId="9146" xr:uid="{23CEAAA8-3E6A-43EC-9FFA-9D72A8F03D50}"/>
    <cellStyle name="Vírgula 5 9 11 2" xfId="29489" xr:uid="{C0C5E892-5B90-4983-BB61-3E25FFAAF3A1}"/>
    <cellStyle name="Vírgula 5 9 12" xfId="25995" xr:uid="{0BEF69D9-A85D-478C-BF96-A723C9F81B04}"/>
    <cellStyle name="Vírgula 5 9 13" xfId="49233" xr:uid="{5753F287-A5A8-4ED3-82B2-03AA21DD56ED}"/>
    <cellStyle name="Vírgula 5 9 14" xfId="50903" xr:uid="{F86CFE9A-76B2-4607-B377-9D1E104EF9F2}"/>
    <cellStyle name="Vírgula 5 9 15" xfId="54198" xr:uid="{FD351AB5-10D1-4BA1-93F1-AF6EE9C41B4F}"/>
    <cellStyle name="Vírgula 5 9 16" xfId="5656" xr:uid="{48D27790-D42B-47BD-8892-EA9C57F47F20}"/>
    <cellStyle name="Vírgula 5 9 17" xfId="4779" xr:uid="{C25B09E5-2DD3-43E1-8BAB-57A26F6F248D}"/>
    <cellStyle name="Vírgula 5 9 2" xfId="2634" xr:uid="{8E5CF2D1-1A9E-4F7A-A436-01C470B67D77}"/>
    <cellStyle name="Vírgula 5 9 2 10" xfId="55829" xr:uid="{5E7D13EB-2378-42FD-B04E-75B4622FFFD1}"/>
    <cellStyle name="Vírgula 5 9 2 11" xfId="6228" xr:uid="{789BA2A3-E484-49F5-BF36-D91699B095D6}"/>
    <cellStyle name="Vírgula 5 9 2 2" xfId="7386" xr:uid="{0A1528DA-BAF5-42B6-87E7-4256A616B27E}"/>
    <cellStyle name="Vírgula 5 9 2 2 2" xfId="17672" xr:uid="{81966409-BDF7-4FF0-B5BD-5E27CEA10A58}"/>
    <cellStyle name="Vírgula 5 9 2 2 2 2" xfId="38012" xr:uid="{3D441E94-960C-4CD6-9B77-FC05D53F2E60}"/>
    <cellStyle name="Vírgula 5 9 2 2 3" xfId="21174" xr:uid="{4963F808-779E-43D6-AA85-1A533EBCA4DA}"/>
    <cellStyle name="Vírgula 5 9 2 2 3 2" xfId="41513" xr:uid="{EC1BDD1D-D346-4882-AA94-058ABAE651A6}"/>
    <cellStyle name="Vírgula 5 9 2 2 4" xfId="24429" xr:uid="{1617CA91-61BC-46BA-8A54-FD16D62AC981}"/>
    <cellStyle name="Vírgula 5 9 2 2 4 2" xfId="44764" xr:uid="{31998D27-2E66-4EDB-89F7-4520002213DB}"/>
    <cellStyle name="Vírgula 5 9 2 2 5" xfId="14763" xr:uid="{A1DFF5DA-EBDE-41FE-8E43-F31F8907B2B6}"/>
    <cellStyle name="Vírgula 5 9 2 2 5 2" xfId="35104" xr:uid="{793861DE-EA30-4611-A4D9-E9BC26DE8A42}"/>
    <cellStyle name="Vírgula 5 9 2 2 6" xfId="10885" xr:uid="{94342FFF-613F-4B7F-9401-ED256DA1CBBA}"/>
    <cellStyle name="Vírgula 5 9 2 2 6 2" xfId="31228" xr:uid="{434A729D-8D79-47E1-88A7-D4963BB62562}"/>
    <cellStyle name="Vírgula 5 9 2 2 7" xfId="27734" xr:uid="{F5488BA8-BE57-4343-B66E-B2F92D8A374A}"/>
    <cellStyle name="Vírgula 5 9 2 3" xfId="16514" xr:uid="{61C39EF9-2009-4C76-86CE-505DD983FA59}"/>
    <cellStyle name="Vírgula 5 9 2 3 2" xfId="36854" xr:uid="{7B9F49BD-52DB-4411-A6BE-702670DFA4CC}"/>
    <cellStyle name="Vírgula 5 9 2 4" xfId="20016" xr:uid="{BC2AF594-D51E-47C7-916A-3EB1F68305CE}"/>
    <cellStyle name="Vírgula 5 9 2 4 2" xfId="40355" xr:uid="{5958DE45-45EA-4D10-8EB4-FCCA50365ABA}"/>
    <cellStyle name="Vírgula 5 9 2 5" xfId="23271" xr:uid="{8D96ABB5-ECA0-4908-92EA-95FE1E8A97A4}"/>
    <cellStyle name="Vírgula 5 9 2 5 2" xfId="43606" xr:uid="{951E5B33-7770-4C65-B793-4BB2BBCD427B}"/>
    <cellStyle name="Vírgula 5 9 2 6" xfId="13605" xr:uid="{975A06C2-91AE-4A49-9F38-766C7F6909A2}"/>
    <cellStyle name="Vírgula 5 9 2 6 2" xfId="33946" xr:uid="{A39CF06A-7F63-42AF-90E2-EF7E30A8ED7D}"/>
    <cellStyle name="Vírgula 5 9 2 7" xfId="9727" xr:uid="{350868F6-E202-42CE-A7D3-39C16CDE7350}"/>
    <cellStyle name="Vírgula 5 9 2 7 2" xfId="30070" xr:uid="{5D1090CC-1B5E-408C-A3B0-0AB386C36097}"/>
    <cellStyle name="Vírgula 5 9 2 8" xfId="26576" xr:uid="{56F28A26-005A-4C0E-9A84-82D28B2D8F49}"/>
    <cellStyle name="Vírgula 5 9 2 9" xfId="52535" xr:uid="{18195AAD-A8EA-418D-994A-5FA495EF1262}"/>
    <cellStyle name="Vírgula 5 9 3" xfId="6805" xr:uid="{2F139674-8AA9-47C1-9326-C66A2D08E553}"/>
    <cellStyle name="Vírgula 5 9 3 2" xfId="17091" xr:uid="{0A4E702E-FF4F-4F13-9C4C-0385CDBEE972}"/>
    <cellStyle name="Vírgula 5 9 3 2 2" xfId="37431" xr:uid="{DC365D58-8269-408A-9289-B117C1F229BB}"/>
    <cellStyle name="Vírgula 5 9 3 3" xfId="20593" xr:uid="{33274C79-6EDC-4384-8C17-33F02FFAE375}"/>
    <cellStyle name="Vírgula 5 9 3 3 2" xfId="40932" xr:uid="{08323DAA-6D96-4FCD-9076-41D7C884E156}"/>
    <cellStyle name="Vírgula 5 9 3 4" xfId="23848" xr:uid="{E6634B97-B6A7-4404-8126-9289C3E60585}"/>
    <cellStyle name="Vírgula 5 9 3 4 2" xfId="44183" xr:uid="{1C297408-8EDC-458F-9A80-6220CBF5A74F}"/>
    <cellStyle name="Vírgula 5 9 3 5" xfId="14182" xr:uid="{C4471B28-7823-4276-A454-4A05E09956C7}"/>
    <cellStyle name="Vírgula 5 9 3 5 2" xfId="34523" xr:uid="{E65D1ACC-836B-46B8-853F-8EB8856C7FFD}"/>
    <cellStyle name="Vírgula 5 9 3 6" xfId="10304" xr:uid="{B1CC0DA8-8D4B-428F-ABDE-04DA79F036E2}"/>
    <cellStyle name="Vírgula 5 9 3 6 2" xfId="30647" xr:uid="{B3B688FA-9ABC-4C2D-A9A6-3C6D08DFA291}"/>
    <cellStyle name="Vírgula 5 9 3 7" xfId="27153" xr:uid="{E586A11F-9F44-4643-9445-980057E5DAFF}"/>
    <cellStyle name="Vírgula 5 9 3 8" xfId="56789" xr:uid="{D61B1249-0522-47C5-9E4B-EB21A31DCD7A}"/>
    <cellStyle name="Vírgula 5 9 4" xfId="7969" xr:uid="{1A182BD6-75CD-487F-84EC-CA2676B3F9FE}"/>
    <cellStyle name="Vírgula 5 9 4 2" xfId="18254" xr:uid="{801FF432-1563-4184-AA0F-36E9DB4B8CDB}"/>
    <cellStyle name="Vírgula 5 9 4 2 2" xfId="38594" xr:uid="{C4197A6C-9913-418D-BA68-19804AF0A7AE}"/>
    <cellStyle name="Vírgula 5 9 4 3" xfId="21756" xr:uid="{5B79F472-66CD-4D4F-9241-66F2C43C7C4A}"/>
    <cellStyle name="Vírgula 5 9 4 3 2" xfId="42095" xr:uid="{42FFA924-0C9E-4231-A3F6-8BFC1F977C2E}"/>
    <cellStyle name="Vírgula 5 9 4 4" xfId="25011" xr:uid="{EAE47ABE-D928-419A-A932-D66A44FD2554}"/>
    <cellStyle name="Vírgula 5 9 4 4 2" xfId="45346" xr:uid="{DA0A6C52-76C3-4996-AA25-0414A6C4C4F2}"/>
    <cellStyle name="Vírgula 5 9 4 5" xfId="15346" xr:uid="{C4419B55-123C-4690-8C22-E4336C171648}"/>
    <cellStyle name="Vírgula 5 9 4 5 2" xfId="35686" xr:uid="{8B8D0A5D-66ED-473B-8E7C-38B9189AF17E}"/>
    <cellStyle name="Vírgula 5 9 4 6" xfId="11467" xr:uid="{5542AF53-80B0-493C-BA42-380EDB286911}"/>
    <cellStyle name="Vírgula 5 9 4 6 2" xfId="31810" xr:uid="{5676FD84-363A-4564-8120-6D339B98F4B3}"/>
    <cellStyle name="Vírgula 5 9 4 7" xfId="28316" xr:uid="{711D27CF-C2A7-4F9C-A9D1-C22D51F35A03}"/>
    <cellStyle name="Vírgula 5 9 5" xfId="13036" xr:uid="{6EDAB030-2253-496A-9772-B5A314646F04}"/>
    <cellStyle name="Vírgula 5 9 5 2" xfId="33377" xr:uid="{72EF92A9-B1C8-4517-995E-AC511C24FB5A}"/>
    <cellStyle name="Vírgula 5 9 6" xfId="15933" xr:uid="{ADD57810-F729-41AE-B473-DEA023E6E73E}"/>
    <cellStyle name="Vírgula 5 9 6 2" xfId="36273" xr:uid="{04731DB1-19D9-4623-B318-845DFD79CBD8}"/>
    <cellStyle name="Vírgula 5 9 7" xfId="18847" xr:uid="{A3740561-6F7B-4AE9-BAFB-0D321414BAED}"/>
    <cellStyle name="Vírgula 5 9 7 2" xfId="39187" xr:uid="{736EE374-8383-4E6A-B395-38D140936403}"/>
    <cellStyle name="Vírgula 5 9 8" xfId="19435" xr:uid="{938F7BF3-E5DE-472E-AC98-DD913C717A8B}"/>
    <cellStyle name="Vírgula 5 9 8 2" xfId="39774" xr:uid="{667264EA-1C8F-44EC-A88E-300D7B0A222D}"/>
    <cellStyle name="Vírgula 5 9 9" xfId="22690" xr:uid="{3BB26CF5-1978-44DA-B139-423D76A2EF09}"/>
    <cellStyle name="Vírgula 5 9 9 2" xfId="43025" xr:uid="{FD6551A8-AE08-4958-A202-372283664DAA}"/>
    <cellStyle name="Vírgula 50" xfId="47680" xr:uid="{95ED51C4-208E-4962-A80B-FFB7C7315B20}"/>
    <cellStyle name="Vírgula 51" xfId="47685" xr:uid="{35865187-7E7A-4F19-B671-80E25C1713EA}"/>
    <cellStyle name="Vírgula 52" xfId="47688" xr:uid="{510DC529-F056-47AA-97F8-C4B3D06C55AC}"/>
    <cellStyle name="Vírgula 53" xfId="47691" xr:uid="{23BC13AC-1B25-40C8-8348-111BA3D23EE7}"/>
    <cellStyle name="Vírgula 54" xfId="47695" xr:uid="{4D9BB908-7157-4566-ACE6-E643D26B3A37}"/>
    <cellStyle name="Vírgula 55" xfId="48351" xr:uid="{1BB0A72F-A6BF-4679-B7F4-8EA2956BBCC3}"/>
    <cellStyle name="Vírgula 56" xfId="50019" xr:uid="{D4F54514-7086-4E0D-BF7E-6FE6999A121A}"/>
    <cellStyle name="Vírgula 57" xfId="53314" xr:uid="{AA528D14-1DE3-4409-B1B6-EE37D4A4BDCE}"/>
    <cellStyle name="Vírgula 58" xfId="5208" xr:uid="{141ECE1D-AE3D-4EC7-9CC4-9CB3D0197BB4}"/>
    <cellStyle name="Vírgula 59" xfId="57585" xr:uid="{E3C4D7E7-4DE7-423C-934E-408B7CB05243}"/>
    <cellStyle name="Vírgula 6" xfId="53" xr:uid="{25113FC5-5846-44E3-A1D3-1665655B5DB0}"/>
    <cellStyle name="Vírgula 6 10" xfId="512" xr:uid="{E01EAC14-1199-48D3-A67F-5E518F88CDD4}"/>
    <cellStyle name="Vírgula 6 10 10" xfId="54200" xr:uid="{45397A44-599A-48C4-BBFE-9BB2E1DAAB8E}"/>
    <cellStyle name="Vírgula 6 10 11" xfId="7534" xr:uid="{387E5576-92CA-4F89-819F-7023BB495BCC}"/>
    <cellStyle name="Vírgula 6 10 2" xfId="2228" xr:uid="{11409E83-D1D9-43E4-8D3F-4A1967EDDCE6}"/>
    <cellStyle name="Vírgula 6 10 2 2" xfId="38159" xr:uid="{CE56EEC4-2975-44A0-8362-49CB2850AD90}"/>
    <cellStyle name="Vírgula 6 10 2 3" xfId="52537" xr:uid="{172DE898-A190-4256-8715-91D1C91928E5}"/>
    <cellStyle name="Vírgula 6 10 2 4" xfId="55831" xr:uid="{67FB9DDA-95DF-4DAA-A580-F8507033BD33}"/>
    <cellStyle name="Vírgula 6 10 2 5" xfId="17819" xr:uid="{431C77D3-DB5A-4B81-A3C1-C4DA5A570CAE}"/>
    <cellStyle name="Vírgula 6 10 3" xfId="21321" xr:uid="{0AE9BBC6-F2C1-49E1-85CD-E11545F3A39C}"/>
    <cellStyle name="Vírgula 6 10 3 2" xfId="41660" xr:uid="{A90CAF4C-435D-484D-B776-D78D11E1555E}"/>
    <cellStyle name="Vírgula 6 10 3 3" xfId="56383" xr:uid="{5709E6A7-FC96-4C06-AB39-6527FE6BEE2E}"/>
    <cellStyle name="Vírgula 6 10 4" xfId="24576" xr:uid="{8D7D318C-E026-4154-89F6-B65345B45E54}"/>
    <cellStyle name="Vírgula 6 10 4 2" xfId="44911" xr:uid="{EE0F4CB1-DE8B-43A1-877F-7B9E4EEB917A}"/>
    <cellStyle name="Vírgula 6 10 5" xfId="14911" xr:uid="{37B12FD4-1A33-4AB2-BD01-0148B40235BC}"/>
    <cellStyle name="Vírgula 6 10 5 2" xfId="35251" xr:uid="{5A521CDA-4D67-482A-9928-9C006B849644}"/>
    <cellStyle name="Vírgula 6 10 6" xfId="11032" xr:uid="{0082FA00-9325-4E2C-AA23-1E7FE106565D}"/>
    <cellStyle name="Vírgula 6 10 6 2" xfId="31375" xr:uid="{36422E27-BE4B-4DCE-A1CD-128F810C4B73}"/>
    <cellStyle name="Vírgula 6 10 7" xfId="27881" xr:uid="{B8B5A5C9-3851-4482-B1DA-F19DAA03E51B}"/>
    <cellStyle name="Vírgula 6 10 8" xfId="49235" xr:uid="{AE303FDA-0743-480E-9E04-C76217AB28D3}"/>
    <cellStyle name="Vírgula 6 10 9" xfId="50905" xr:uid="{25982341-B2C5-4610-9739-54D66F2B4089}"/>
    <cellStyle name="Vírgula 6 11" xfId="2091" xr:uid="{A0714E40-63C9-4804-A06C-95CB1606A197}"/>
    <cellStyle name="Vírgula 6 11 2" xfId="22113" xr:uid="{35C615A0-707A-4C24-8815-FB1CF155B33B}"/>
    <cellStyle name="Vírgula 6 11 2 2" xfId="42449" xr:uid="{3A90F598-F5D3-48EB-AB51-378E013F567F}"/>
    <cellStyle name="Vírgula 6 11 3" xfId="25365" xr:uid="{23079716-4B77-468A-8C53-F29DB0D4093A}"/>
    <cellStyle name="Vírgula 6 11 3 2" xfId="45700" xr:uid="{B51762B1-EA8F-483B-A7FC-234275075BE5}"/>
    <cellStyle name="Vírgula 6 11 4" xfId="12610" xr:uid="{5935F4A0-6BB8-44F8-A134-B53625F4F2F1}"/>
    <cellStyle name="Vírgula 6 11 4 2" xfId="32951" xr:uid="{407F5970-3213-4380-9AFD-EDC05729CD43}"/>
    <cellStyle name="Vírgula 6 11 5" xfId="11822" xr:uid="{E272F81C-FE22-4AFA-9E15-5FF11D2BA0BA}"/>
    <cellStyle name="Vírgula 6 11 5 2" xfId="32164" xr:uid="{99DEDE1B-D693-4D9D-B7A6-BA36D73B2B61}"/>
    <cellStyle name="Vírgula 6 11 6" xfId="28670" xr:uid="{B5CF59A7-9106-42D7-9E0E-1E0DCC288B60}"/>
    <cellStyle name="Vírgula 6 11 7" xfId="52536" xr:uid="{51205AAB-ED32-442D-802A-8C2CBE4960A9}"/>
    <cellStyle name="Vírgula 6 11 8" xfId="55830" xr:uid="{FAE9FF5B-BA58-49C6-A98E-7485F978CC19}"/>
    <cellStyle name="Vírgula 6 11 9" xfId="8326" xr:uid="{9AF904F7-E1F3-49BF-8A49-B268DE1238D5}"/>
    <cellStyle name="Vírgula 6 12" xfId="3386" xr:uid="{4C1E1B0F-86D3-452E-A93E-596E7F30FDC0}"/>
    <cellStyle name="Vírgula 6 12 2" xfId="15498" xr:uid="{3CA96CFC-4F6E-4177-B41C-1038B6FF7EF8}"/>
    <cellStyle name="Vírgula 6 12 2 2" xfId="35838" xr:uid="{5661E4D3-164C-47D9-98D3-17249667FAE3}"/>
    <cellStyle name="Vírgula 6 12 3" xfId="28792" xr:uid="{8ACFA54D-DDA7-47EF-9D38-0B0FC3AB58ED}"/>
    <cellStyle name="Vírgula 6 12 4" xfId="55974" xr:uid="{F5CACECD-5D9F-4E18-8B4C-5E4027E49A34}"/>
    <cellStyle name="Vírgula 6 12 5" xfId="8449" xr:uid="{899A1153-FA54-4E19-AF02-4ADE0FB78532}"/>
    <cellStyle name="Vírgula 6 13" xfId="3841" xr:uid="{646A5E0B-63E8-49C5-B1E3-4C095DFEE2F4}"/>
    <cellStyle name="Vírgula 6 13 2" xfId="38752" xr:uid="{BF467A67-2D12-4971-A624-A5E8A4B6E7C3}"/>
    <cellStyle name="Vírgula 6 13 3" xfId="18412" xr:uid="{33194145-3FF8-47C6-9EE4-568DBBC4B8B7}"/>
    <cellStyle name="Vírgula 6 14" xfId="1734" xr:uid="{4DB0D30B-7729-473A-B1C1-ACCED5BBE84F}"/>
    <cellStyle name="Vírgula 6 14 2" xfId="39339" xr:uid="{538636AB-C238-4AC8-B241-9C252713F341}"/>
    <cellStyle name="Vírgula 6 14 3" xfId="19000" xr:uid="{AA5A1C10-FB6A-4736-928E-E201449DDB69}"/>
    <cellStyle name="Vírgula 6 15" xfId="22255" xr:uid="{F0C95EF3-11FD-4A50-987C-34AC3374AAB0}"/>
    <cellStyle name="Vírgula 6 15 2" xfId="42590" xr:uid="{1A030C62-AE42-418F-A8D2-F6850C8F4770}"/>
    <cellStyle name="Vírgula 6 16" xfId="11972" xr:uid="{6DE1B669-966B-4F06-8F51-3BC4221B865B}"/>
    <cellStyle name="Vírgula 6 16 2" xfId="32313" xr:uid="{1AAF5304-6A59-4253-8A47-87AA17DFD3A0}"/>
    <cellStyle name="Vírgula 6 17" xfId="8711" xr:uid="{FC85DFE0-47BE-4FD2-B12E-496E375FC838}"/>
    <cellStyle name="Vírgula 6 17 2" xfId="29054" xr:uid="{09DD62BC-EF78-4DF0-B1E8-0D56272F2D83}"/>
    <cellStyle name="Vírgula 6 18" xfId="25556" xr:uid="{DD8371A5-F71A-4EB6-A8C2-54D56924AFFB}"/>
    <cellStyle name="Vírgula 6 19" xfId="25496" xr:uid="{2011E7B9-388C-4BDC-AC65-9510B5C826A8}"/>
    <cellStyle name="Vírgula 6 2" xfId="61" xr:uid="{58D46FFA-6A83-4F5E-8B83-3AFF101326B0}"/>
    <cellStyle name="Vírgula 6 2 10" xfId="3412" xr:uid="{772DB6F6-A80B-40D6-8ECE-17B7E0A4E705}"/>
    <cellStyle name="Vírgula 6 2 10 2" xfId="22114" xr:uid="{F3E0CD1A-0778-45D7-97EA-EABD45864040}"/>
    <cellStyle name="Vírgula 6 2 10 2 2" xfId="42450" xr:uid="{DBB02F74-5681-4ECF-941B-71604CEF828E}"/>
    <cellStyle name="Vírgula 6 2 10 3" xfId="25366" xr:uid="{9E9D2375-A5D1-4189-9B77-0AD2C5CDBF1A}"/>
    <cellStyle name="Vírgula 6 2 10 3 2" xfId="45701" xr:uid="{58190D7B-8831-4F6E-BA1D-5531B85C5999}"/>
    <cellStyle name="Vírgula 6 2 10 4" xfId="12633" xr:uid="{190D5623-0049-469B-B209-7B6F0655E8F7}"/>
    <cellStyle name="Vírgula 6 2 10 4 2" xfId="32974" xr:uid="{69C65F32-8AF3-4400-993C-86C511D7F6AE}"/>
    <cellStyle name="Vírgula 6 2 10 5" xfId="11823" xr:uid="{40325472-E4FB-4CED-9BC1-BEC45CD12D5E}"/>
    <cellStyle name="Vírgula 6 2 10 5 2" xfId="32165" xr:uid="{E0EF096A-5AE6-4EA1-9E48-935E5142996E}"/>
    <cellStyle name="Vírgula 6 2 10 6" xfId="28671" xr:uid="{6D310908-C4A1-439A-ACC3-8924D7AC3C68}"/>
    <cellStyle name="Vírgula 6 2 10 7" xfId="55977" xr:uid="{15F70A26-CA3F-4F2D-B921-3290B1BE7E47}"/>
    <cellStyle name="Vírgula 6 2 10 8" xfId="8327" xr:uid="{8910454F-B739-46FA-B3CB-A0D4D90EC566}"/>
    <cellStyle name="Vírgula 6 2 11" xfId="3853" xr:uid="{968E7A77-6E72-4A32-8A75-82D2A20E72F0}"/>
    <cellStyle name="Vírgula 6 2 11 2" xfId="15526" xr:uid="{18785E01-FA89-4666-9F96-D0BCEF3AA7CD}"/>
    <cellStyle name="Vírgula 6 2 11 2 2" xfId="35866" xr:uid="{22347159-B2B4-4021-BCC1-48BE05F84597}"/>
    <cellStyle name="Vírgula 6 2 11 3" xfId="28820" xr:uid="{6BBDD2BF-0E6E-485D-BC7C-D85EDAB0C1AC}"/>
    <cellStyle name="Vírgula 6 2 11 4" xfId="8477" xr:uid="{A9A5559D-C9C0-4EA4-9FCE-6A46F8998616}"/>
    <cellStyle name="Vírgula 6 2 12" xfId="1760" xr:uid="{86A13D51-F3F2-4F4B-9E0A-220AD4AEAB29}"/>
    <cellStyle name="Vírgula 6 2 12 2" xfId="38780" xr:uid="{B06545DB-BAB9-416B-AE4B-EBC5CEDC6A5D}"/>
    <cellStyle name="Vírgula 6 2 12 3" xfId="18440" xr:uid="{9F1FFC6C-CD57-4118-AA86-A674227636C0}"/>
    <cellStyle name="Vírgula 6 2 13" xfId="19028" xr:uid="{4769169C-C282-4952-AFFA-6676BBB5F130}"/>
    <cellStyle name="Vírgula 6 2 13 2" xfId="39367" xr:uid="{074DDB0B-F412-440D-9B60-84EC35EBB69F}"/>
    <cellStyle name="Vírgula 6 2 14" xfId="22283" xr:uid="{5932339B-79E1-4C15-A65F-7A3B550B11F0}"/>
    <cellStyle name="Vírgula 6 2 14 2" xfId="42618" xr:uid="{5AD6DB50-3122-4850-B06F-5CF864698A62}"/>
    <cellStyle name="Vírgula 6 2 15" xfId="12000" xr:uid="{910BBD91-9223-4478-96E4-B1411470D2CB}"/>
    <cellStyle name="Vírgula 6 2 15 2" xfId="32341" xr:uid="{BB14BF30-50C2-4FCD-8C7F-33D8E6065A51}"/>
    <cellStyle name="Vírgula 6 2 16" xfId="8739" xr:uid="{E0133518-AA30-498C-8C39-902435ABFDDF}"/>
    <cellStyle name="Vírgula 6 2 16 2" xfId="29082" xr:uid="{D40A3C56-8236-4F84-89B1-4E25014A9F96}"/>
    <cellStyle name="Vírgula 6 2 17" xfId="25584" xr:uid="{9BA5D508-9018-40C7-B203-1B7B67F6BD3C}"/>
    <cellStyle name="Vírgula 6 2 18" xfId="25500" xr:uid="{46C4F5BF-F8C5-41B2-9369-7BD950BDFC04}"/>
    <cellStyle name="Vírgula 6 2 19" xfId="45852" xr:uid="{ED7C815A-705C-4D96-8EFD-52315385D74A}"/>
    <cellStyle name="Vírgula 6 2 2" xfId="234" xr:uid="{AF005E28-5A39-43FA-B7A0-2670257B325F}"/>
    <cellStyle name="Vírgula 6 2 2 10" xfId="22398" xr:uid="{EEC1D620-C3F9-48BF-9928-F3D130FA631D}"/>
    <cellStyle name="Vírgula 6 2 2 10 2" xfId="42733" xr:uid="{6B49B326-43E3-4D60-B92E-9F9265A08395}"/>
    <cellStyle name="Vírgula 6 2 2 11" xfId="12115" xr:uid="{BB8F5501-87E0-4C02-8E5C-159EEB3FCCE1}"/>
    <cellStyle name="Vírgula 6 2 2 11 2" xfId="32456" xr:uid="{8356D492-B6E9-4FF1-A5CE-C4B14F2258B9}"/>
    <cellStyle name="Vírgula 6 2 2 12" xfId="8854" xr:uid="{46BA8E25-74DD-46D9-81D5-ED8D3C98CE2B}"/>
    <cellStyle name="Vírgula 6 2 2 12 2" xfId="29197" xr:uid="{D78F5619-DABA-4E4A-8AC1-24A689806F9C}"/>
    <cellStyle name="Vírgula 6 2 2 13" xfId="25703" xr:uid="{42C5D6F3-861B-4662-A0E4-7B7CCE0917F3}"/>
    <cellStyle name="Vírgula 6 2 2 14" xfId="45912" xr:uid="{EBE1CB9E-130C-4D54-BEC5-E7FB82A4E83C}"/>
    <cellStyle name="Vírgula 6 2 2 15" xfId="46398" xr:uid="{65EDCCE2-6D4F-4EFB-9D4B-975361B851CE}"/>
    <cellStyle name="Vírgula 6 2 2 16" xfId="46890" xr:uid="{665081B5-EFAE-458D-9CE6-331890277190}"/>
    <cellStyle name="Vírgula 6 2 2 17" xfId="47400" xr:uid="{2111DF0C-97AF-4B6F-B074-340472A8061F}"/>
    <cellStyle name="Vírgula 6 2 2 18" xfId="47526" xr:uid="{2840301F-7922-4FC4-A5B6-A0788C494D46}"/>
    <cellStyle name="Vírgula 6 2 2 19" xfId="47652" xr:uid="{81B4F856-17DB-4FEE-9D99-9A5D3D35F8BC}"/>
    <cellStyle name="Vírgula 6 2 2 2" xfId="423" xr:uid="{FF77AD41-C088-4637-8829-48BA637F8D21}"/>
    <cellStyle name="Vírgula 6 2 2 2 10" xfId="12502" xr:uid="{2274AF02-9B8A-477A-9041-BC760247A301}"/>
    <cellStyle name="Vírgula 6 2 2 2 10 2" xfId="32843" xr:uid="{6F5043FE-3B3A-40B0-A211-5599BCC35385}"/>
    <cellStyle name="Vírgula 6 2 2 2 11" xfId="9241" xr:uid="{63BF2D22-9B4B-40DA-9C34-1B0B0B45DFAB}"/>
    <cellStyle name="Vírgula 6 2 2 2 11 2" xfId="29584" xr:uid="{420C2599-61A5-400C-B8A3-87F22DD9D777}"/>
    <cellStyle name="Vírgula 6 2 2 2 12" xfId="26090" xr:uid="{396837E8-2189-4869-A195-3C5122892FE0}"/>
    <cellStyle name="Vírgula 6 2 2 2 13" xfId="46018" xr:uid="{98352655-6741-4CFF-977F-96447ABADF82}"/>
    <cellStyle name="Vírgula 6 2 2 2 14" xfId="46504" xr:uid="{76679E30-B744-4843-A07A-EC89BD1DBEC4}"/>
    <cellStyle name="Vírgula 6 2 2 2 15" xfId="46996" xr:uid="{FE6083BD-489F-45FA-8585-B0B239A6C744}"/>
    <cellStyle name="Vírgula 6 2 2 2 16" xfId="49238" xr:uid="{FD61FDC5-0935-4851-9B1A-99B71343AB90}"/>
    <cellStyle name="Vírgula 6 2 2 2 17" xfId="50908" xr:uid="{9F97C242-EEEC-4B8D-AC7B-DB3714913AFF}"/>
    <cellStyle name="Vírgula 6 2 2 2 18" xfId="54203" xr:uid="{DD3CF2C0-BF0A-4F23-ABFD-904554E3BE04}"/>
    <cellStyle name="Vírgula 6 2 2 2 19" xfId="5747" xr:uid="{9EC0EFEC-C374-40E6-82C7-9651F0829021}"/>
    <cellStyle name="Vírgula 6 2 2 2 2" xfId="1239" xr:uid="{27E97FED-748A-4BCB-8A6A-8021C2E08C0E}"/>
    <cellStyle name="Vírgula 6 2 2 2 2 10" xfId="46747" xr:uid="{74FE665E-E009-48A8-8804-E1DD6DD45628}"/>
    <cellStyle name="Vírgula 6 2 2 2 2 11" xfId="47239" xr:uid="{B19BA244-01F0-4F6B-981D-01613A33B27C}"/>
    <cellStyle name="Vírgula 6 2 2 2 2 12" xfId="49239" xr:uid="{F17F1A3F-4F04-4357-846D-0D37B88F2082}"/>
    <cellStyle name="Vírgula 6 2 2 2 2 13" xfId="50909" xr:uid="{FA26B7FF-FC98-4D78-8B09-5A94AA56B9CC}"/>
    <cellStyle name="Vírgula 6 2 2 2 2 14" xfId="54204" xr:uid="{8735A1C4-D412-4367-ADBF-A5E1FDDF9E3E}"/>
    <cellStyle name="Vírgula 6 2 2 2 2 15" xfId="6323" xr:uid="{0875D7F4-87EB-48BB-8729-303751B36A14}"/>
    <cellStyle name="Vírgula 6 2 2 2 2 16" xfId="5136" xr:uid="{696E5FA0-FC03-4DE6-B60B-D7750CA23965}"/>
    <cellStyle name="Vírgula 6 2 2 2 2 2" xfId="2900" xr:uid="{52DE4D26-A43C-4DC0-8511-E87FF961F867}"/>
    <cellStyle name="Vírgula 6 2 2 2 2 2 10" xfId="7481" xr:uid="{1A162D00-86B0-406E-9BE6-C3F8B1E9594E}"/>
    <cellStyle name="Vírgula 6 2 2 2 2 2 2" xfId="17767" xr:uid="{2FC69DE1-7F46-478A-84BD-0467777B1133}"/>
    <cellStyle name="Vírgula 6 2 2 2 2 2 2 2" xfId="38107" xr:uid="{EEEF29F2-7509-4EED-B3A7-B8FF24CB0E14}"/>
    <cellStyle name="Vírgula 6 2 2 2 2 2 3" xfId="21269" xr:uid="{576B2152-3138-4E53-8811-BA3ADFB70F13}"/>
    <cellStyle name="Vírgula 6 2 2 2 2 2 3 2" xfId="41608" xr:uid="{630AAD26-C112-43D7-B971-6A50E31E1743}"/>
    <cellStyle name="Vírgula 6 2 2 2 2 2 4" xfId="24524" xr:uid="{15954399-CEB7-4A19-A5CD-185F26CD23B6}"/>
    <cellStyle name="Vírgula 6 2 2 2 2 2 4 2" xfId="44859" xr:uid="{761BA9BA-2E31-4C98-8CA5-5D9972A4C1A0}"/>
    <cellStyle name="Vírgula 6 2 2 2 2 2 5" xfId="14858" xr:uid="{06B1D646-A2E6-4CCD-9BF2-A3B5B1513263}"/>
    <cellStyle name="Vírgula 6 2 2 2 2 2 5 2" xfId="35199" xr:uid="{D8C4F431-322D-437F-8B2C-3E3E20F9DFF0}"/>
    <cellStyle name="Vírgula 6 2 2 2 2 2 6" xfId="10980" xr:uid="{8910A582-C131-43CC-88B6-26072900E261}"/>
    <cellStyle name="Vírgula 6 2 2 2 2 2 6 2" xfId="31323" xr:uid="{208B76C5-EECB-487F-A143-3E5DC514F398}"/>
    <cellStyle name="Vírgula 6 2 2 2 2 2 7" xfId="27829" xr:uid="{D8E57D06-61F1-409A-B68A-FB2C0D72952D}"/>
    <cellStyle name="Vírgula 6 2 2 2 2 2 8" xfId="52541" xr:uid="{4445091F-1C85-49AD-B632-FF3D57740070}"/>
    <cellStyle name="Vírgula 6 2 2 2 2 2 9" xfId="55835" xr:uid="{FA14C593-C1FA-4191-909B-702ABD2B66E2}"/>
    <cellStyle name="Vírgula 6 2 2 2 2 3" xfId="16609" xr:uid="{CE67EB7B-FFA1-4659-959D-76FBC1ED2601}"/>
    <cellStyle name="Vírgula 6 2 2 2 2 3 2" xfId="36949" xr:uid="{4B85863C-C8D0-4F4D-B8DF-D01851CC9ACF}"/>
    <cellStyle name="Vírgula 6 2 2 2 2 3 3" xfId="57110" xr:uid="{5BBFC8DC-8EE6-42DD-9317-1B493AFC8D1E}"/>
    <cellStyle name="Vírgula 6 2 2 2 2 4" xfId="20111" xr:uid="{E5DC1836-0709-4499-B220-F279465D2651}"/>
    <cellStyle name="Vírgula 6 2 2 2 2 4 2" xfId="40450" xr:uid="{50B8953C-9E77-4F0D-BFE3-3524037C6D29}"/>
    <cellStyle name="Vírgula 6 2 2 2 2 5" xfId="23366" xr:uid="{B0F2AF66-41F5-4CBE-B214-61EA399F22A8}"/>
    <cellStyle name="Vírgula 6 2 2 2 2 5 2" xfId="43701" xr:uid="{31ED9D29-287B-4856-AA84-7ED20BB8168C}"/>
    <cellStyle name="Vírgula 6 2 2 2 2 6" xfId="13700" xr:uid="{CE7B4A5C-ECD7-4FBD-9782-8337EA11A554}"/>
    <cellStyle name="Vírgula 6 2 2 2 2 6 2" xfId="34041" xr:uid="{F1107D18-ECC1-445E-AEF8-268F738AE668}"/>
    <cellStyle name="Vírgula 6 2 2 2 2 7" xfId="9822" xr:uid="{C7704148-7D96-4C8A-B90D-7E326FBF6050}"/>
    <cellStyle name="Vírgula 6 2 2 2 2 7 2" xfId="30165" xr:uid="{BA07D173-6030-4E7A-B151-DE5D78357C34}"/>
    <cellStyle name="Vírgula 6 2 2 2 2 8" xfId="26671" xr:uid="{C0EC1EEA-0ED3-4B1E-A08D-45FDE12CD99F}"/>
    <cellStyle name="Vírgula 6 2 2 2 2 9" xfId="46261" xr:uid="{BB507FAE-6286-4153-B316-6A26C6C577E6}"/>
    <cellStyle name="Vírgula 6 2 2 2 20" xfId="4704" xr:uid="{C5F202ED-11D9-4C32-8D72-BE3892E0E001}"/>
    <cellStyle name="Vírgula 6 2 2 2 3" xfId="1645" xr:uid="{6FE67DA1-B7C1-4860-982C-246A1EDEFA30}"/>
    <cellStyle name="Vírgula 6 2 2 2 3 10" xfId="54205" xr:uid="{5DF13199-7FE7-404E-8794-0DC697F13299}"/>
    <cellStyle name="Vírgula 6 2 2 2 3 11" xfId="6900" xr:uid="{5C919F7D-3DC2-4634-B9B9-79E63510C9EC}"/>
    <cellStyle name="Vírgula 6 2 2 2 3 2" xfId="3305" xr:uid="{351335D3-CCA2-4D7C-8D36-D6148F5D05C2}"/>
    <cellStyle name="Vírgula 6 2 2 2 3 2 2" xfId="37526" xr:uid="{29462C33-1329-44A6-8803-81A22D4336EA}"/>
    <cellStyle name="Vírgula 6 2 2 2 3 2 3" xfId="52542" xr:uid="{59E0AC13-AE53-4B07-9865-3B2F3C32DE98}"/>
    <cellStyle name="Vírgula 6 2 2 2 3 2 4" xfId="55836" xr:uid="{01AD5C0E-67B2-4A98-BF73-240845DC7102}"/>
    <cellStyle name="Vírgula 6 2 2 2 3 2 5" xfId="17186" xr:uid="{D7F3E071-6444-4258-8ABB-B1AA842B6607}"/>
    <cellStyle name="Vírgula 6 2 2 2 3 3" xfId="20688" xr:uid="{269228B7-567E-47FB-AF5C-66C82A5CEFD5}"/>
    <cellStyle name="Vírgula 6 2 2 2 3 3 2" xfId="41027" xr:uid="{132CB771-6326-4D6E-8660-8B9036B14A06}"/>
    <cellStyle name="Vírgula 6 2 2 2 3 3 3" xfId="57516" xr:uid="{4BE13BBE-56F4-48F6-B16D-B2A176AF59C4}"/>
    <cellStyle name="Vírgula 6 2 2 2 3 4" xfId="23943" xr:uid="{591C678F-F3E8-416C-95F7-2F24F184E84C}"/>
    <cellStyle name="Vírgula 6 2 2 2 3 4 2" xfId="44278" xr:uid="{A29603B6-D432-4815-8CB0-A7E3CCE68B98}"/>
    <cellStyle name="Vírgula 6 2 2 2 3 5" xfId="14277" xr:uid="{4C060754-38D7-467C-9ACD-B34C51114CCC}"/>
    <cellStyle name="Vírgula 6 2 2 2 3 5 2" xfId="34618" xr:uid="{B68EEA04-285C-4C4D-A39E-0EF39DD9CC5C}"/>
    <cellStyle name="Vírgula 6 2 2 2 3 6" xfId="10399" xr:uid="{BAAD52FF-B688-4F13-8D61-09A98C21D346}"/>
    <cellStyle name="Vírgula 6 2 2 2 3 6 2" xfId="30742" xr:uid="{E98329B4-E7D7-43A8-A00E-EB57F6FB629A}"/>
    <cellStyle name="Vírgula 6 2 2 2 3 7" xfId="27248" xr:uid="{EDFDD3E6-BC34-46F3-8C31-6B4661122712}"/>
    <cellStyle name="Vírgula 6 2 2 2 3 8" xfId="49240" xr:uid="{6346677C-95DA-44CA-BA57-88CAF420C648}"/>
    <cellStyle name="Vírgula 6 2 2 2 3 9" xfId="50910" xr:uid="{7CB52D2D-E554-47DC-B76B-2CA44D1C54DA}"/>
    <cellStyle name="Vírgula 6 2 2 2 4" xfId="832" xr:uid="{C7961D8A-BA89-4F55-B839-28FD0CAC0317}"/>
    <cellStyle name="Vírgula 6 2 2 2 4 10" xfId="54206" xr:uid="{3E77E30C-3EFA-4A1E-8129-C8D73F9CD140}"/>
    <cellStyle name="Vírgula 6 2 2 2 4 11" xfId="8064" xr:uid="{7895B531-998D-49A7-AA5F-91DFB7A48D4D}"/>
    <cellStyle name="Vírgula 6 2 2 2 4 2" xfId="2548" xr:uid="{ACE6E01A-4C90-4E6C-BDB7-B1C64AC959A5}"/>
    <cellStyle name="Vírgula 6 2 2 2 4 2 2" xfId="38689" xr:uid="{485333E1-BACC-4A99-832C-CF34C6A4F0C1}"/>
    <cellStyle name="Vírgula 6 2 2 2 4 2 3" xfId="52543" xr:uid="{2936B2FB-9ECF-4141-8107-D40CB8244775}"/>
    <cellStyle name="Vírgula 6 2 2 2 4 2 4" xfId="55837" xr:uid="{901007F7-E407-41EF-A2EE-CBDF42EC3EDF}"/>
    <cellStyle name="Vírgula 6 2 2 2 4 2 5" xfId="18349" xr:uid="{E018610A-A492-4698-9685-10368B49303E}"/>
    <cellStyle name="Vírgula 6 2 2 2 4 3" xfId="21851" xr:uid="{C9E40234-770D-4F2E-9F2C-4BBE015FA92A}"/>
    <cellStyle name="Vírgula 6 2 2 2 4 3 2" xfId="42190" xr:uid="{FBC10F31-4CB6-40FE-AD8E-22ED42B4ED79}"/>
    <cellStyle name="Vírgula 6 2 2 2 4 3 3" xfId="56703" xr:uid="{79560AF0-3BBD-4BAA-9052-E34FD0E75296}"/>
    <cellStyle name="Vírgula 6 2 2 2 4 4" xfId="25106" xr:uid="{19506DD7-FC21-4198-A016-A042CF4346D1}"/>
    <cellStyle name="Vírgula 6 2 2 2 4 4 2" xfId="45441" xr:uid="{D22CB722-5910-4AEE-AED3-05118498374D}"/>
    <cellStyle name="Vírgula 6 2 2 2 4 5" xfId="15441" xr:uid="{618E95CD-A24C-4337-8C4C-29D67774583D}"/>
    <cellStyle name="Vírgula 6 2 2 2 4 5 2" xfId="35781" xr:uid="{4C0E79B3-FC1B-4225-8ABD-0549EB4DD6FE}"/>
    <cellStyle name="Vírgula 6 2 2 2 4 6" xfId="11562" xr:uid="{2546D722-A816-4FD4-AB2C-934A7B8CF08A}"/>
    <cellStyle name="Vírgula 6 2 2 2 4 6 2" xfId="31905" xr:uid="{574E9360-76B4-4B24-AE94-702D8CD589F5}"/>
    <cellStyle name="Vírgula 6 2 2 2 4 7" xfId="28411" xr:uid="{8ED998DB-6D67-4A30-8A5B-929F342E809A}"/>
    <cellStyle name="Vírgula 6 2 2 2 4 8" xfId="49241" xr:uid="{F0FCED02-7E5F-41CD-9B29-2EFAD4549EDD}"/>
    <cellStyle name="Vírgula 6 2 2 2 4 9" xfId="50911" xr:uid="{0BF9CD17-DCF1-41A2-A42D-F4AE104336BC}"/>
    <cellStyle name="Vírgula 6 2 2 2 5" xfId="3686" xr:uid="{6B27CE1B-EFB4-4779-B516-3E4189E1EDDD}"/>
    <cellStyle name="Vírgula 6 2 2 2 5 2" xfId="22116" xr:uid="{E7A58333-45F0-4C4D-A071-C8C871EBB2A8}"/>
    <cellStyle name="Vírgula 6 2 2 2 5 2 2" xfId="42452" xr:uid="{A47FD78E-4938-479B-A36B-AC29ABA8DB19}"/>
    <cellStyle name="Vírgula 6 2 2 2 5 3" xfId="25368" xr:uid="{03DE3D36-F8EC-4562-8AFF-199B3E0AD59D}"/>
    <cellStyle name="Vírgula 6 2 2 2 5 3 2" xfId="45703" xr:uid="{349ED581-8F9A-400E-805D-80E9F8B947BF}"/>
    <cellStyle name="Vírgula 6 2 2 2 5 4" xfId="13131" xr:uid="{8973653E-F6A8-4A62-AD3A-90A2FBFB0B85}"/>
    <cellStyle name="Vírgula 6 2 2 2 5 4 2" xfId="33472" xr:uid="{58E0AB97-DCD4-4080-A23E-4A3CD8F3024E}"/>
    <cellStyle name="Vírgula 6 2 2 2 5 5" xfId="11825" xr:uid="{DCE717D0-2754-4FEC-9A36-2F104A671756}"/>
    <cellStyle name="Vírgula 6 2 2 2 5 5 2" xfId="32167" xr:uid="{A42A441F-9F64-47A7-8CBC-ED008C28273F}"/>
    <cellStyle name="Vírgula 6 2 2 2 5 6" xfId="28673" xr:uid="{C02FE8DE-46DD-4A0B-A6DA-D32AE4B81437}"/>
    <cellStyle name="Vírgula 6 2 2 2 5 7" xfId="52540" xr:uid="{5C105F7F-3D22-4A81-8A53-709484AFDC87}"/>
    <cellStyle name="Vírgula 6 2 2 2 5 8" xfId="55834" xr:uid="{3EAC4B3D-7655-434D-9E6A-414F6FCDE937}"/>
    <cellStyle name="Vírgula 6 2 2 2 5 9" xfId="8329" xr:uid="{1735CBF5-214C-42F5-B6F0-045D1A3C0F3E}"/>
    <cellStyle name="Vírgula 6 2 2 2 6" xfId="4064" xr:uid="{05F7A7BB-ED0F-407D-9564-05EFAA7142B5}"/>
    <cellStyle name="Vírgula 6 2 2 2 6 2" xfId="16028" xr:uid="{548BD576-7C81-4274-A22F-30B1DED583B9}"/>
    <cellStyle name="Vírgula 6 2 2 2 6 2 2" xfId="36368" xr:uid="{B229F050-5B9D-4BB4-BB65-5C8CDB9A2F51}"/>
    <cellStyle name="Vírgula 6 2 2 2 6 3" xfId="28986" xr:uid="{766A725C-0810-41FF-B49C-59C0426577DC}"/>
    <cellStyle name="Vírgula 6 2 2 2 6 4" xfId="56294" xr:uid="{B5BEAEE9-6F23-4305-80E9-DDD395A8499B}"/>
    <cellStyle name="Vírgula 6 2 2 2 6 5" xfId="8643" xr:uid="{4ED161AB-6CDB-4971-A8C0-0BB1B6DA5CE9}"/>
    <cellStyle name="Vírgula 6 2 2 2 7" xfId="2035" xr:uid="{E0CA9168-3DAB-46A4-81A8-876260ED770D}"/>
    <cellStyle name="Vírgula 6 2 2 2 7 2" xfId="39282" xr:uid="{32303B6A-2332-4464-8F5D-63D7D951A997}"/>
    <cellStyle name="Vírgula 6 2 2 2 7 3" xfId="18942" xr:uid="{536FD315-C487-4628-B5AB-72084E84B77C}"/>
    <cellStyle name="Vírgula 6 2 2 2 8" xfId="19530" xr:uid="{6AAC735E-CED7-40EE-AF63-CFDEFFB35486}"/>
    <cellStyle name="Vírgula 6 2 2 2 8 2" xfId="39869" xr:uid="{06A17DD7-86CF-4115-B865-5F670C41686B}"/>
    <cellStyle name="Vírgula 6 2 2 2 9" xfId="22785" xr:uid="{9A634953-B83F-427F-A7C2-A7F044B93E0C}"/>
    <cellStyle name="Vírgula 6 2 2 2 9 2" xfId="43120" xr:uid="{9C759B21-49CE-43E6-8B27-454428C784F8}"/>
    <cellStyle name="Vírgula 6 2 2 20" xfId="49237" xr:uid="{134F69B9-863D-4BD5-981F-873F25C3A949}"/>
    <cellStyle name="Vírgula 6 2 2 21" xfId="50907" xr:uid="{80552179-6C70-4E92-AAF2-D48BE50A4871}"/>
    <cellStyle name="Vírgula 6 2 2 22" xfId="54202" xr:uid="{78A2F701-7F23-4FBA-907B-96A0B622B634}"/>
    <cellStyle name="Vírgula 6 2 2 23" xfId="5376" xr:uid="{C025E820-E28D-447C-BF85-A4AEA6269D18}"/>
    <cellStyle name="Vírgula 6 2 2 24" xfId="4515" xr:uid="{A8E81B7E-9572-4E0C-894C-67ED8B615FC4}"/>
    <cellStyle name="Vírgula 6 2 2 3" xfId="1050" xr:uid="{E09EEDC5-A703-4C4D-B6D2-FE750E4FF88F}"/>
    <cellStyle name="Vírgula 6 2 2 3 10" xfId="46641" xr:uid="{E69188D0-555A-4918-B99F-93B793075A85}"/>
    <cellStyle name="Vírgula 6 2 2 3 11" xfId="47133" xr:uid="{F216FCAA-4C46-443C-BD2A-A62EA38E1327}"/>
    <cellStyle name="Vírgula 6 2 2 3 12" xfId="49242" xr:uid="{E92D169B-482D-4ABD-B8C7-C63A8F5E65A5}"/>
    <cellStyle name="Vírgula 6 2 2 3 13" xfId="50912" xr:uid="{F4BB9424-CA6D-4E8C-96B7-209352AC2732}"/>
    <cellStyle name="Vírgula 6 2 2 3 14" xfId="54207" xr:uid="{785FDA05-7AE3-4C20-98E7-9A043DDAD982}"/>
    <cellStyle name="Vírgula 6 2 2 3 15" xfId="5936" xr:uid="{0EFA054D-4D57-451C-91C5-E33B4AF23050}"/>
    <cellStyle name="Vírgula 6 2 2 3 16" xfId="5034" xr:uid="{45F269B6-E4EE-41D5-BC09-9EE7A63FBA95}"/>
    <cellStyle name="Vírgula 6 2 2 3 2" xfId="3577" xr:uid="{A012C222-3758-41FB-9814-773EE6097799}"/>
    <cellStyle name="Vírgula 6 2 2 3 2 10" xfId="7094" xr:uid="{35E36E2B-A04F-4CB4-939B-AD3ACF65BABE}"/>
    <cellStyle name="Vírgula 6 2 2 3 2 2" xfId="17380" xr:uid="{53B32C14-E5D8-466D-8998-AA495C860CF6}"/>
    <cellStyle name="Vírgula 6 2 2 3 2 2 2" xfId="37720" xr:uid="{D20C2443-30EE-4386-B0EC-9960259BAF7A}"/>
    <cellStyle name="Vírgula 6 2 2 3 2 3" xfId="20882" xr:uid="{7C9318E9-4F00-4FAB-B3BB-D46350790492}"/>
    <cellStyle name="Vírgula 6 2 2 3 2 3 2" xfId="41221" xr:uid="{23A75FDC-D1D8-4E41-9760-9A78FF3C7012}"/>
    <cellStyle name="Vírgula 6 2 2 3 2 4" xfId="24137" xr:uid="{50D3CDEC-05F6-4D38-8246-8E4592D50DD4}"/>
    <cellStyle name="Vírgula 6 2 2 3 2 4 2" xfId="44472" xr:uid="{5369B365-07E2-49D6-AA22-35290B114A05}"/>
    <cellStyle name="Vírgula 6 2 2 3 2 5" xfId="14471" xr:uid="{081E2AB6-60ED-4E0C-B845-D61EEF84B166}"/>
    <cellStyle name="Vírgula 6 2 2 3 2 5 2" xfId="34812" xr:uid="{75944EB5-A5D0-42EC-9F11-F62174D1547F}"/>
    <cellStyle name="Vírgula 6 2 2 3 2 6" xfId="10593" xr:uid="{903AB5C1-7B54-40F3-A202-CB27F8898957}"/>
    <cellStyle name="Vírgula 6 2 2 3 2 6 2" xfId="30936" xr:uid="{C4A49406-18B9-4FBF-A905-C1FFACEF16BD}"/>
    <cellStyle name="Vírgula 6 2 2 3 2 7" xfId="27442" xr:uid="{EC206C0F-61C8-4640-BA86-D191D0AE242C}"/>
    <cellStyle name="Vírgula 6 2 2 3 2 8" xfId="52544" xr:uid="{A4DB8BA3-F412-4FE3-8C2D-562896A9A731}"/>
    <cellStyle name="Vírgula 6 2 2 3 2 9" xfId="55838" xr:uid="{40EF7CB1-0ADC-4EA9-96D0-8A0A2525B68B}"/>
    <cellStyle name="Vírgula 6 2 2 3 3" xfId="4236" xr:uid="{02E0B4D7-D599-4373-959C-58A7BFBFAC83}"/>
    <cellStyle name="Vírgula 6 2 2 3 3 2" xfId="22117" xr:uid="{7F6A9D3E-7B76-4475-8815-40217FCC5BA4}"/>
    <cellStyle name="Vírgula 6 2 2 3 3 2 2" xfId="42453" xr:uid="{67EE9558-76E1-4629-A955-76DCB3A02B18}"/>
    <cellStyle name="Vírgula 6 2 2 3 3 3" xfId="25369" xr:uid="{43645BDE-F85C-4F64-B404-57670C456452}"/>
    <cellStyle name="Vírgula 6 2 2 3 3 3 2" xfId="45704" xr:uid="{375A1A49-9BDB-4D35-A4D5-55F367884DF4}"/>
    <cellStyle name="Vírgula 6 2 2 3 3 4" xfId="16222" xr:uid="{08322573-E644-4207-B995-7C7242590237}"/>
    <cellStyle name="Vírgula 6 2 2 3 3 4 2" xfId="36562" xr:uid="{A7200BC7-1076-4CF1-BA03-0A0C59737C2E}"/>
    <cellStyle name="Vírgula 6 2 2 3 3 5" xfId="11826" xr:uid="{EF76FFFF-727B-43E4-8455-8475A289A345}"/>
    <cellStyle name="Vírgula 6 2 2 3 3 5 2" xfId="32168" xr:uid="{052D5303-53DB-4F6A-A26B-ED0A5C813E0E}"/>
    <cellStyle name="Vírgula 6 2 2 3 3 6" xfId="28674" xr:uid="{E5DC1AD4-E993-4761-A8ED-942B7F764A91}"/>
    <cellStyle name="Vírgula 6 2 2 3 3 7" xfId="56921" xr:uid="{901F482B-BFE3-40DE-ACA6-2EE95B961B80}"/>
    <cellStyle name="Vírgula 6 2 2 3 3 8" xfId="8330" xr:uid="{F9B96CE7-E574-435F-B893-D9F9A7BCC455}"/>
    <cellStyle name="Vírgula 6 2 2 3 4" xfId="1926" xr:uid="{D48C72CB-7FDE-4F48-BE6B-BED2894DC492}"/>
    <cellStyle name="Vírgula 6 2 2 3 4 2" xfId="40063" xr:uid="{6C7CEF54-662F-4251-A25A-22E75DA4961C}"/>
    <cellStyle name="Vírgula 6 2 2 3 4 3" xfId="19724" xr:uid="{25E72F39-5C07-409A-88C9-B7BB8B3FE30B}"/>
    <cellStyle name="Vírgula 6 2 2 3 5" xfId="22979" xr:uid="{1C395320-EF73-4704-A990-13F87BA00DD4}"/>
    <cellStyle name="Vírgula 6 2 2 3 5 2" xfId="43314" xr:uid="{B7FF0E8A-C50F-421F-9DB5-F87311031B67}"/>
    <cellStyle name="Vírgula 6 2 2 3 6" xfId="13314" xr:uid="{78CE27FC-0125-4506-B466-CCCFEBAAD4DD}"/>
    <cellStyle name="Vírgula 6 2 2 3 6 2" xfId="33655" xr:uid="{9141006D-C1E8-420F-A47A-FD3344283DAD}"/>
    <cellStyle name="Vírgula 6 2 2 3 7" xfId="9435" xr:uid="{CC2F039F-C855-4F0D-AE51-1C3BE4CF77FD}"/>
    <cellStyle name="Vírgula 6 2 2 3 7 2" xfId="29778" xr:uid="{92F6F52D-F2C4-4526-9EEA-B52C267BAE99}"/>
    <cellStyle name="Vírgula 6 2 2 3 8" xfId="26284" xr:uid="{44598FBD-2AA1-4EA8-9BA4-AD3827FB4B93}"/>
    <cellStyle name="Vírgula 6 2 2 3 9" xfId="46155" xr:uid="{D9ACBE79-CDA7-4086-BB63-24D290411B43}"/>
    <cellStyle name="Vírgula 6 2 2 4" xfId="1456" xr:uid="{DD49B517-AB2A-4FD6-A1D0-2D5D8BCD2D0A}"/>
    <cellStyle name="Vírgula 6 2 2 4 10" xfId="54208" xr:uid="{9FE7AD75-EE09-4BE0-B46D-CD864E910304}"/>
    <cellStyle name="Vírgula 6 2 2 4 11" xfId="6513" xr:uid="{7F441F07-7688-4692-985A-9696E4282C34}"/>
    <cellStyle name="Vírgula 6 2 2 4 12" xfId="4917" xr:uid="{1487810D-EEAE-4764-86D4-7AF0C30DDCA3}"/>
    <cellStyle name="Vírgula 6 2 2 4 2" xfId="3795" xr:uid="{BBBD27D9-435C-4713-8F5F-B4D62C11928E}"/>
    <cellStyle name="Vírgula 6 2 2 4 2 2" xfId="37139" xr:uid="{ABAEDF99-928F-44F4-8373-AE57AD29F10E}"/>
    <cellStyle name="Vírgula 6 2 2 4 2 3" xfId="52545" xr:uid="{1C4A1DF0-61F1-46FD-A528-B2C684951824}"/>
    <cellStyle name="Vírgula 6 2 2 4 2 4" xfId="55839" xr:uid="{8C487768-21FF-42BF-831F-37A2A696BD7E}"/>
    <cellStyle name="Vírgula 6 2 2 4 2 5" xfId="16799" xr:uid="{4B85F6F9-02A2-43A3-AE2F-9D0C7D74A0CF}"/>
    <cellStyle name="Vírgula 6 2 2 4 3" xfId="3117" xr:uid="{76E1D572-F432-4619-92DB-A6D72E970FEF}"/>
    <cellStyle name="Vírgula 6 2 2 4 3 2" xfId="40640" xr:uid="{829B05FB-6AAB-448F-B34E-F0A555E2EF19}"/>
    <cellStyle name="Vírgula 6 2 2 4 3 3" xfId="57327" xr:uid="{E48FE131-6086-4BC0-9CC4-FA557E8028CF}"/>
    <cellStyle name="Vírgula 6 2 2 4 3 4" xfId="20301" xr:uid="{5ACC0762-61C5-4E05-928A-669B21331F3B}"/>
    <cellStyle name="Vírgula 6 2 2 4 4" xfId="23556" xr:uid="{101516CE-4CA7-47EA-B043-988EBB44206D}"/>
    <cellStyle name="Vírgula 6 2 2 4 4 2" xfId="43891" xr:uid="{1179A292-4162-4A68-8D40-E85B37ED159A}"/>
    <cellStyle name="Vírgula 6 2 2 4 5" xfId="13890" xr:uid="{93A7836A-B779-487C-A518-69936FA8E7C0}"/>
    <cellStyle name="Vírgula 6 2 2 4 5 2" xfId="34231" xr:uid="{802DD1F1-6735-43C6-AF66-8AAE81EEB1F1}"/>
    <cellStyle name="Vírgula 6 2 2 4 6" xfId="10012" xr:uid="{37D05A1A-8B92-4FA5-9C57-D64343299918}"/>
    <cellStyle name="Vírgula 6 2 2 4 6 2" xfId="30355" xr:uid="{2AEC515F-A3C7-48BB-8273-88E92EE972EF}"/>
    <cellStyle name="Vírgula 6 2 2 4 7" xfId="26861" xr:uid="{1E42B815-F1BF-4125-892A-F5C61D2B0610}"/>
    <cellStyle name="Vírgula 6 2 2 4 8" xfId="49243" xr:uid="{05F2A2DF-044E-423C-A03C-F88F4114B50C}"/>
    <cellStyle name="Vírgula 6 2 2 4 9" xfId="50913" xr:uid="{0EF51919-4CE4-4019-B131-128AFF8FB811}"/>
    <cellStyle name="Vírgula 6 2 2 5" xfId="643" xr:uid="{FCD8B4E2-C519-4D76-89BE-E94B8E13F054}"/>
    <cellStyle name="Vírgula 6 2 2 5 10" xfId="54209" xr:uid="{8B84194C-6C8D-464C-94DB-169F46DF379B}"/>
    <cellStyle name="Vírgula 6 2 2 5 11" xfId="7677" xr:uid="{13E31CF0-3378-48A4-9373-B3EF83A5ECF5}"/>
    <cellStyle name="Vírgula 6 2 2 5 2" xfId="2359" xr:uid="{EF06F110-AF27-4A5D-8F0B-06F8B0121FFF}"/>
    <cellStyle name="Vírgula 6 2 2 5 2 2" xfId="38302" xr:uid="{C4596076-8D71-4412-B36D-65886C86B55E}"/>
    <cellStyle name="Vírgula 6 2 2 5 2 3" xfId="52546" xr:uid="{11E118F1-5C54-42CB-A808-F4F90526EF78}"/>
    <cellStyle name="Vírgula 6 2 2 5 2 4" xfId="55840" xr:uid="{462D51F8-1369-41F5-8018-1F29736A008C}"/>
    <cellStyle name="Vírgula 6 2 2 5 2 5" xfId="17962" xr:uid="{89139457-BF84-4E51-A9DF-DBB1617F5120}"/>
    <cellStyle name="Vírgula 6 2 2 5 3" xfId="21464" xr:uid="{4EA79003-A847-4B4C-A75E-BC83B88EB913}"/>
    <cellStyle name="Vírgula 6 2 2 5 3 2" xfId="41803" xr:uid="{A884C5BA-D41B-4DEB-B530-D5A2D46403AB}"/>
    <cellStyle name="Vírgula 6 2 2 5 3 3" xfId="56514" xr:uid="{E0A663BF-DDC2-4857-8679-8CE9374F6082}"/>
    <cellStyle name="Vírgula 6 2 2 5 4" xfId="24719" xr:uid="{8625B58B-4069-442A-84E7-D438B329DBEB}"/>
    <cellStyle name="Vírgula 6 2 2 5 4 2" xfId="45054" xr:uid="{97686714-4C8E-45EE-9DFE-A6BA2F67832E}"/>
    <cellStyle name="Vírgula 6 2 2 5 5" xfId="15054" xr:uid="{5AE2E1EB-1CFF-4428-82A4-5600F36E0CD6}"/>
    <cellStyle name="Vírgula 6 2 2 5 5 2" xfId="35394" xr:uid="{DAFBC606-BF1F-400C-9A73-A07D0EE3C02A}"/>
    <cellStyle name="Vírgula 6 2 2 5 6" xfId="11175" xr:uid="{2D9E693F-DE66-4772-8B6B-BB5FC0C0AE57}"/>
    <cellStyle name="Vírgula 6 2 2 5 6 2" xfId="31518" xr:uid="{4C43F97C-C2A2-45F0-9D8D-778C34A30D1D}"/>
    <cellStyle name="Vírgula 6 2 2 5 7" xfId="28024" xr:uid="{B23A8683-E567-476D-978A-1E1B8AEFBFA8}"/>
    <cellStyle name="Vírgula 6 2 2 5 8" xfId="49244" xr:uid="{2D6CE780-D20D-4655-B7F7-9824FF2E49B0}"/>
    <cellStyle name="Vírgula 6 2 2 5 9" xfId="50914" xr:uid="{F757AF97-CE83-4767-91E3-A393FDABB899}"/>
    <cellStyle name="Vírgula 6 2 2 6" xfId="3467" xr:uid="{FB515123-2B53-4871-892C-BD225DA08D41}"/>
    <cellStyle name="Vírgula 6 2 2 6 2" xfId="22115" xr:uid="{CE996ACA-D355-4385-88C2-691AC173F367}"/>
    <cellStyle name="Vírgula 6 2 2 6 2 2" xfId="42451" xr:uid="{40713DEA-F9B1-464D-B789-7481ACC7D69B}"/>
    <cellStyle name="Vírgula 6 2 2 6 3" xfId="25367" xr:uid="{F8CF3BA0-335D-4D3D-A413-B91BA782FF39}"/>
    <cellStyle name="Vírgula 6 2 2 6 3 2" xfId="45702" xr:uid="{20536C94-1B5E-498F-900E-741B30A4B634}"/>
    <cellStyle name="Vírgula 6 2 2 6 4" xfId="12745" xr:uid="{340AD73F-D08B-4683-A35E-3A4C2AC432BC}"/>
    <cellStyle name="Vírgula 6 2 2 6 4 2" xfId="33086" xr:uid="{02C7A16D-5F1F-48E9-B398-B0A7905D20EB}"/>
    <cellStyle name="Vírgula 6 2 2 6 5" xfId="11824" xr:uid="{62C79C0D-2B38-47D6-A0FB-C157B0154571}"/>
    <cellStyle name="Vírgula 6 2 2 6 5 2" xfId="32166" xr:uid="{229993EF-8ECA-4734-9D70-3EC149EB8297}"/>
    <cellStyle name="Vírgula 6 2 2 6 6" xfId="28672" xr:uid="{CD488FC7-5031-43FF-B10B-B428EB4089EC}"/>
    <cellStyle name="Vírgula 6 2 2 6 7" xfId="52539" xr:uid="{94511AB3-70E7-485F-913A-3A005DF53AC6}"/>
    <cellStyle name="Vírgula 6 2 2 6 8" xfId="55833" xr:uid="{1DB98FAD-345B-4CF5-9B9F-EE203D8466AE}"/>
    <cellStyle name="Vírgula 6 2 2 6 9" xfId="8328" xr:uid="{A256D7EA-8844-4893-A765-AD82E51F599F}"/>
    <cellStyle name="Vírgula 6 2 2 7" xfId="3893" xr:uid="{23B8B3DA-2C81-4658-8334-2A474AF7CAFC}"/>
    <cellStyle name="Vírgula 6 2 2 7 2" xfId="15641" xr:uid="{3E3608B2-53A1-46B6-B942-CA05D496B531}"/>
    <cellStyle name="Vírgula 6 2 2 7 2 2" xfId="35981" xr:uid="{ECCDA6A9-FDD2-4766-9DA8-E6EAA0E5EF27}"/>
    <cellStyle name="Vírgula 6 2 2 7 3" xfId="28880" xr:uid="{DAF51943-FDCC-455B-9E03-45A3FBCF966D}"/>
    <cellStyle name="Vírgula 6 2 2 7 4" xfId="56105" xr:uid="{56F600FF-4B9F-4D1E-A047-68D9C7569689}"/>
    <cellStyle name="Vírgula 6 2 2 7 5" xfId="8537" xr:uid="{C684154C-EA39-41CF-ADEC-94C625E1C6EF}"/>
    <cellStyle name="Vírgula 6 2 2 8" xfId="1816" xr:uid="{FDF51882-A6C7-42AF-ABE3-D227E0F2E9A0}"/>
    <cellStyle name="Vírgula 6 2 2 8 2" xfId="38895" xr:uid="{88813C33-0D87-4CEC-BEF8-CCAC2351ED16}"/>
    <cellStyle name="Vírgula 6 2 2 8 3" xfId="18555" xr:uid="{B37E4806-CAE7-4305-946B-2F24CA2E6CE2}"/>
    <cellStyle name="Vírgula 6 2 2 9" xfId="19143" xr:uid="{542E721E-A46A-48E7-B97A-9778E1E2D382}"/>
    <cellStyle name="Vírgula 6 2 2 9 2" xfId="39482" xr:uid="{EE2B01F1-4F58-4811-90CE-5827684B79EB}"/>
    <cellStyle name="Vírgula 6 2 20" xfId="46338" xr:uid="{6D7A3174-E71C-43E2-BF28-6D7C9B51F831}"/>
    <cellStyle name="Vírgula 6 2 21" xfId="46830" xr:uid="{71CBA14B-3003-4294-ABAB-3A3F043928A5}"/>
    <cellStyle name="Vírgula 6 2 22" xfId="47344" xr:uid="{C97D12AD-68FB-409F-AE73-08B83AF76923}"/>
    <cellStyle name="Vírgula 6 2 23" xfId="47470" xr:uid="{F3DFB265-1A0D-4E69-9397-8F54CFBF545A}"/>
    <cellStyle name="Vírgula 6 2 24" xfId="47596" xr:uid="{9A46C4B6-1A16-4DD5-9D22-7B60A29D6400}"/>
    <cellStyle name="Vírgula 6 2 25" xfId="49236" xr:uid="{A0A3FF93-A123-40BA-9568-B61CF2C7391A}"/>
    <cellStyle name="Vírgula 6 2 26" xfId="50906" xr:uid="{BF17FC8B-D8B5-46D3-81DE-94CB160BCD62}"/>
    <cellStyle name="Vírgula 6 2 27" xfId="54201" xr:uid="{AD31E2DC-B587-4566-8944-694E1BC64E13}"/>
    <cellStyle name="Vírgula 6 2 28" xfId="5253" xr:uid="{EF14FF9D-4A90-4326-A1AE-B730DF90A16E}"/>
    <cellStyle name="Vírgula 6 2 29" xfId="4387" xr:uid="{D0E1CB08-C809-4DDF-8FF4-FDD1D436A622}"/>
    <cellStyle name="Vírgula 6 2 3" xfId="286" xr:uid="{F13BFBB7-25A1-455C-8684-74D7C95011C4}"/>
    <cellStyle name="Vírgula 6 2 3 10" xfId="12211" xr:uid="{38B383F3-BCE2-4EEA-957B-2946B58FA348}"/>
    <cellStyle name="Vírgula 6 2 3 10 2" xfId="32552" xr:uid="{80912370-2D2C-4AEF-BD6A-596EE190BBD9}"/>
    <cellStyle name="Vírgula 6 2 3 11" xfId="8950" xr:uid="{F9B5EF35-48DA-4641-906C-3E04DD077919}"/>
    <cellStyle name="Vírgula 6 2 3 11 2" xfId="29293" xr:uid="{E0E05DBC-3A50-4FAA-979F-AF1E187D8615}"/>
    <cellStyle name="Vírgula 6 2 3 12" xfId="25799" xr:uid="{030355D0-C65E-4EE7-99A5-90EDDDE91A92}"/>
    <cellStyle name="Vírgula 6 2 3 13" xfId="46017" xr:uid="{15877B21-F852-46B6-ADE8-8F714188EE26}"/>
    <cellStyle name="Vírgula 6 2 3 14" xfId="46503" xr:uid="{5C5FA29C-D1AC-4769-92A9-009DCF1F598B}"/>
    <cellStyle name="Vírgula 6 2 3 15" xfId="46995" xr:uid="{E8EC181F-7EE9-4534-BD8C-8F34CAC60201}"/>
    <cellStyle name="Vírgula 6 2 3 16" xfId="49245" xr:uid="{E6C02449-C774-43C2-B484-3CF2876CEF1E}"/>
    <cellStyle name="Vírgula 6 2 3 17" xfId="50915" xr:uid="{84AD34B0-2E5A-413C-9174-1AA42311A54C}"/>
    <cellStyle name="Vírgula 6 2 3 18" xfId="54210" xr:uid="{CF591B26-715F-497F-90E8-833FB2D621AE}"/>
    <cellStyle name="Vírgula 6 2 3 19" xfId="5464" xr:uid="{C1764775-3FCB-4163-A1D1-42E417F465F4}"/>
    <cellStyle name="Vírgula 6 2 3 2" xfId="475" xr:uid="{3528CFD6-9AF7-4110-8D9C-7DB7F0FF2CFB}"/>
    <cellStyle name="Vírgula 6 2 3 2 10" xfId="46746" xr:uid="{E6A84848-0D87-4005-A0C0-C919DCBF9461}"/>
    <cellStyle name="Vírgula 6 2 3 2 11" xfId="47238" xr:uid="{71A9EF75-FBA4-45FF-9658-050F47C3EBA7}"/>
    <cellStyle name="Vírgula 6 2 3 2 12" xfId="49246" xr:uid="{DE69215E-274A-47F5-8306-4E65255FB43C}"/>
    <cellStyle name="Vírgula 6 2 3 2 13" xfId="50916" xr:uid="{EE3804BF-C83C-4719-906A-5BDDF3D32C95}"/>
    <cellStyle name="Vírgula 6 2 3 2 14" xfId="54211" xr:uid="{CB2D9D1A-4433-40C1-9909-BD08B9886363}"/>
    <cellStyle name="Vírgula 6 2 3 2 15" xfId="6032" xr:uid="{609CE9E6-EB93-4101-9BB1-5E535826CE07}"/>
    <cellStyle name="Vírgula 6 2 3 2 16" xfId="4756" xr:uid="{41936163-4676-4C74-B020-88FE925AE453}"/>
    <cellStyle name="Vírgula 6 2 3 2 2" xfId="1291" xr:uid="{6E65CEA9-61B0-497A-8A86-B0147DD6613A}"/>
    <cellStyle name="Vírgula 6 2 3 2 2 10" xfId="54212" xr:uid="{F648D751-5DED-4EA8-AA2B-D816354E096D}"/>
    <cellStyle name="Vírgula 6 2 3 2 2 11" xfId="7190" xr:uid="{C1663E9B-4D14-48B3-99D3-06F0A941AAC9}"/>
    <cellStyle name="Vírgula 6 2 3 2 2 12" xfId="5135" xr:uid="{70F44900-CB9D-4DDE-9017-2C335C500EF2}"/>
    <cellStyle name="Vírgula 6 2 3 2 2 2" xfId="2952" xr:uid="{BD5B577F-9C57-42AA-9F0F-5D0783317B45}"/>
    <cellStyle name="Vírgula 6 2 3 2 2 2 2" xfId="37816" xr:uid="{F3F2E22E-6FC9-4C18-B526-3E7688BF164E}"/>
    <cellStyle name="Vírgula 6 2 3 2 2 2 3" xfId="52549" xr:uid="{42D73784-B37A-45A0-86F0-4091A67C4D9B}"/>
    <cellStyle name="Vírgula 6 2 3 2 2 2 4" xfId="55843" xr:uid="{AE785B08-C072-4FD1-8871-69D20D189237}"/>
    <cellStyle name="Vírgula 6 2 3 2 2 2 5" xfId="17476" xr:uid="{97AA3905-6525-47B0-91C7-6F87AE624ED3}"/>
    <cellStyle name="Vírgula 6 2 3 2 2 3" xfId="20978" xr:uid="{56B94744-3984-4345-B37A-245642DECADA}"/>
    <cellStyle name="Vírgula 6 2 3 2 2 3 2" xfId="41317" xr:uid="{CF56AD54-54B1-45F3-977C-A5B4C7307DF6}"/>
    <cellStyle name="Vírgula 6 2 3 2 2 3 3" xfId="57162" xr:uid="{37930915-C6A2-4DFE-93C0-EEFFF801B9B9}"/>
    <cellStyle name="Vírgula 6 2 3 2 2 4" xfId="24233" xr:uid="{03581471-5D7C-4D01-9339-D0EAF3E172F5}"/>
    <cellStyle name="Vírgula 6 2 3 2 2 4 2" xfId="44568" xr:uid="{D4331487-1CFD-4000-AA8F-678C59E1D3BF}"/>
    <cellStyle name="Vírgula 6 2 3 2 2 5" xfId="14567" xr:uid="{6E3C3708-9074-49F2-B94A-2A4E0FF29C4D}"/>
    <cellStyle name="Vírgula 6 2 3 2 2 5 2" xfId="34908" xr:uid="{4C596D89-8E0D-4B52-A8B6-AF94386612D0}"/>
    <cellStyle name="Vírgula 6 2 3 2 2 6" xfId="10689" xr:uid="{147DF792-E666-4322-AAB9-5CE50BFA02D0}"/>
    <cellStyle name="Vírgula 6 2 3 2 2 6 2" xfId="31032" xr:uid="{34F7CEA6-3720-4633-8F6E-B1DB1C3BD1E6}"/>
    <cellStyle name="Vírgula 6 2 3 2 2 7" xfId="27538" xr:uid="{385926C9-2985-4421-A477-85385F72252B}"/>
    <cellStyle name="Vírgula 6 2 3 2 2 8" xfId="49247" xr:uid="{C098E8A5-ACC6-4A30-B7FE-255497440DA0}"/>
    <cellStyle name="Vírgula 6 2 3 2 2 9" xfId="50917" xr:uid="{540B6262-09CE-4CE3-A617-28EAFEED24C8}"/>
    <cellStyle name="Vírgula 6 2 3 2 3" xfId="1697" xr:uid="{0593D0C7-B782-4129-8EFF-272181113D65}"/>
    <cellStyle name="Vírgula 6 2 3 2 3 2" xfId="3357" xr:uid="{0776C9FE-C57D-48DC-BBE7-2B2B67FD978F}"/>
    <cellStyle name="Vírgula 6 2 3 2 3 2 2" xfId="52550" xr:uid="{CCF5E701-6A98-48D8-92C7-47A916F9AA5E}"/>
    <cellStyle name="Vírgula 6 2 3 2 3 2 3" xfId="55844" xr:uid="{8F8BFC5C-69EA-4533-8253-53F1E86558A9}"/>
    <cellStyle name="Vírgula 6 2 3 2 3 2 4" xfId="36658" xr:uid="{7A62EDF7-012B-4E1A-BE0B-78B9EB00E2D6}"/>
    <cellStyle name="Vírgula 6 2 3 2 3 3" xfId="49248" xr:uid="{6E4471E5-A333-42F1-A76C-DD91A1B7562E}"/>
    <cellStyle name="Vírgula 6 2 3 2 3 3 2" xfId="57568" xr:uid="{A4B165DA-4F3C-42FB-95E9-6F21971F492E}"/>
    <cellStyle name="Vírgula 6 2 3 2 3 4" xfId="50918" xr:uid="{E93B9EFD-6933-435E-959D-7644BE5C5BAC}"/>
    <cellStyle name="Vírgula 6 2 3 2 3 5" xfId="54213" xr:uid="{00C40E7B-611F-4BF9-B2EF-1B8479D91551}"/>
    <cellStyle name="Vírgula 6 2 3 2 3 6" xfId="16318" xr:uid="{583A0325-B457-4029-A697-5108881805D3}"/>
    <cellStyle name="Vírgula 6 2 3 2 4" xfId="884" xr:uid="{F81CEC27-EB36-49C3-9F41-ECFFD0DDAAD7}"/>
    <cellStyle name="Vírgula 6 2 3 2 4 2" xfId="2600" xr:uid="{E241F71C-FC32-40EC-A893-F126D729C009}"/>
    <cellStyle name="Vírgula 6 2 3 2 4 2 2" xfId="52551" xr:uid="{6F8E800A-E8D9-4DEF-B676-2D64AC3D43A7}"/>
    <cellStyle name="Vírgula 6 2 3 2 4 2 3" xfId="55845" xr:uid="{77064F09-4175-4264-98FD-7BA950BE284E}"/>
    <cellStyle name="Vírgula 6 2 3 2 4 2 4" xfId="40159" xr:uid="{F26AC2CE-E7F2-4CD2-8909-BB6A10FBEDA1}"/>
    <cellStyle name="Vírgula 6 2 3 2 4 3" xfId="49249" xr:uid="{5A01E1B9-505A-44B1-93FF-FE68C8A0A1E0}"/>
    <cellStyle name="Vírgula 6 2 3 2 4 3 2" xfId="56755" xr:uid="{4B99825E-14A5-4718-8E7F-6BFA4D9C28B6}"/>
    <cellStyle name="Vírgula 6 2 3 2 4 4" xfId="50919" xr:uid="{9CFE870C-6164-4371-A95B-2D7089508222}"/>
    <cellStyle name="Vírgula 6 2 3 2 4 5" xfId="54214" xr:uid="{546C565A-AB90-467C-9489-E0B2C686AB9F}"/>
    <cellStyle name="Vírgula 6 2 3 2 4 6" xfId="19820" xr:uid="{4156FE92-0343-479F-A0F7-A08F64D4C116}"/>
    <cellStyle name="Vírgula 6 2 3 2 5" xfId="4137" xr:uid="{01A9147F-BF4E-4059-89B4-46EFDEF12791}"/>
    <cellStyle name="Vírgula 6 2 3 2 5 2" xfId="43410" xr:uid="{0C83AF8C-351C-4E32-B872-40966E647273}"/>
    <cellStyle name="Vírgula 6 2 3 2 5 3" xfId="52548" xr:uid="{CFE31C3A-9FF1-4B89-8D6E-23852B3CB35D}"/>
    <cellStyle name="Vírgula 6 2 3 2 5 4" xfId="55842" xr:uid="{53ACF1F5-DEE9-4B24-98D5-D73D57CB9B8A}"/>
    <cellStyle name="Vírgula 6 2 3 2 5 5" xfId="23075" xr:uid="{5FD43ECE-E876-43D3-8254-4531B243FD51}"/>
    <cellStyle name="Vírgula 6 2 3 2 6" xfId="2192" xr:uid="{DDA0CAB8-4CA3-4606-AFC2-A7256024DDC7}"/>
    <cellStyle name="Vírgula 6 2 3 2 6 2" xfId="33750" xr:uid="{5AD3F38A-5F16-4B18-8AC6-FC21C3F6604A}"/>
    <cellStyle name="Vírgula 6 2 3 2 6 3" xfId="56346" xr:uid="{CEDA97C8-E755-4033-8B54-0B5FCED0A5D3}"/>
    <cellStyle name="Vírgula 6 2 3 2 6 4" xfId="13409" xr:uid="{539CBB3A-AB2E-4481-BD21-0EF9DD7DA978}"/>
    <cellStyle name="Vírgula 6 2 3 2 7" xfId="9531" xr:uid="{A51AF3E5-F8B8-4769-A21A-A489551B9D3E}"/>
    <cellStyle name="Vírgula 6 2 3 2 7 2" xfId="29874" xr:uid="{1CEE988B-185B-458C-9F71-A488ED72A7F0}"/>
    <cellStyle name="Vírgula 6 2 3 2 8" xfId="26380" xr:uid="{5361A57D-3FD8-4469-9B39-00E5AB16FBF2}"/>
    <cellStyle name="Vírgula 6 2 3 2 9" xfId="46260" xr:uid="{DE97D6DB-9DD9-4379-96D0-56F51A2C25BC}"/>
    <cellStyle name="Vírgula 6 2 3 20" xfId="4567" xr:uid="{EBABD3C2-3C01-4E6D-9AE9-0584215734BF}"/>
    <cellStyle name="Vírgula 6 2 3 3" xfId="1102" xr:uid="{9BA8836B-83E6-4FD3-B55C-275930D41B49}"/>
    <cellStyle name="Vírgula 6 2 3 3 10" xfId="54215" xr:uid="{8AA5CEE4-D610-458D-AA3D-3FE586A9712D}"/>
    <cellStyle name="Vírgula 6 2 3 3 11" xfId="6609" xr:uid="{68405E0D-11DD-45CE-BFBB-5B4795D031C2}"/>
    <cellStyle name="Vírgula 6 2 3 3 12" xfId="4916" xr:uid="{36F97BC4-B436-4B3E-8798-DD7728714DFD}"/>
    <cellStyle name="Vírgula 6 2 3 3 2" xfId="4309" xr:uid="{8514A5BF-02C5-4116-8290-BFDBFD81DD9C}"/>
    <cellStyle name="Vírgula 6 2 3 3 2 2" xfId="37235" xr:uid="{BEC28626-44E3-468A-A10C-186F1E708FB9}"/>
    <cellStyle name="Vírgula 6 2 3 3 2 3" xfId="52552" xr:uid="{F81EAB4B-EE4A-407C-83E7-D9523C0AEF65}"/>
    <cellStyle name="Vírgula 6 2 3 3 2 4" xfId="55846" xr:uid="{79FB4A7F-6488-4C4C-B8FD-607A4BF34CA9}"/>
    <cellStyle name="Vírgula 6 2 3 3 2 5" xfId="16895" xr:uid="{1A0C14FC-3AB0-4437-AC91-6ECB36F262EA}"/>
    <cellStyle name="Vírgula 6 2 3 3 3" xfId="2765" xr:uid="{7800274A-8560-4BFC-B10A-09EE9211BDCF}"/>
    <cellStyle name="Vírgula 6 2 3 3 3 2" xfId="40736" xr:uid="{53AF64CF-6369-4018-A53D-3B0910936B92}"/>
    <cellStyle name="Vírgula 6 2 3 3 3 3" xfId="56973" xr:uid="{FE5C9642-20F2-486B-9861-812EC4922B71}"/>
    <cellStyle name="Vírgula 6 2 3 3 3 4" xfId="20397" xr:uid="{92C876BB-5D90-4673-B627-21A73C0CFC18}"/>
    <cellStyle name="Vírgula 6 2 3 3 4" xfId="23652" xr:uid="{86BD43B5-ECD3-48A1-AAE2-0E8529179C39}"/>
    <cellStyle name="Vírgula 6 2 3 3 4 2" xfId="43987" xr:uid="{178CB862-E52B-43ED-934E-B42349B6F451}"/>
    <cellStyle name="Vírgula 6 2 3 3 5" xfId="13986" xr:uid="{B828BBCF-F546-4EDC-85F0-3AB58252EC4F}"/>
    <cellStyle name="Vírgula 6 2 3 3 5 2" xfId="34327" xr:uid="{CC4F59EA-667B-434F-85D3-DB054BCFF736}"/>
    <cellStyle name="Vírgula 6 2 3 3 6" xfId="10108" xr:uid="{F96229A3-3F69-4BB7-8D31-050D217917F1}"/>
    <cellStyle name="Vírgula 6 2 3 3 6 2" xfId="30451" xr:uid="{FD9E4C6F-D1E5-41BA-8C0C-E44053656CCD}"/>
    <cellStyle name="Vírgula 6 2 3 3 7" xfId="26957" xr:uid="{E5012417-7D0A-4D31-B45B-8FA36D09053D}"/>
    <cellStyle name="Vírgula 6 2 3 3 8" xfId="49250" xr:uid="{146C53C0-E02B-4DB6-95AF-C03F66073136}"/>
    <cellStyle name="Vírgula 6 2 3 3 9" xfId="50920" xr:uid="{39C8768E-31A7-4253-BDBB-0F02816A2103}"/>
    <cellStyle name="Vírgula 6 2 3 4" xfId="1508" xr:uid="{2EBA6E5D-8B8D-4FBB-B10B-DE6EE46F5500}"/>
    <cellStyle name="Vírgula 6 2 3 4 10" xfId="54216" xr:uid="{A76F365A-FB87-449A-A699-A7BEBF11B445}"/>
    <cellStyle name="Vírgula 6 2 3 4 11" xfId="7773" xr:uid="{6E615BBB-9299-434D-8A69-8329EB9E0F92}"/>
    <cellStyle name="Vírgula 6 2 3 4 2" xfId="3169" xr:uid="{CBA98654-012C-4B93-8A5A-55A99E5408CE}"/>
    <cellStyle name="Vírgula 6 2 3 4 2 2" xfId="38398" xr:uid="{D1D84004-1685-429E-94DE-871D788963E2}"/>
    <cellStyle name="Vírgula 6 2 3 4 2 3" xfId="52553" xr:uid="{C1ACB64F-DFE9-4620-B30E-6D887D9386D1}"/>
    <cellStyle name="Vírgula 6 2 3 4 2 4" xfId="55847" xr:uid="{36C92C84-E52E-4B74-B0AC-79D4E588EF54}"/>
    <cellStyle name="Vírgula 6 2 3 4 2 5" xfId="18058" xr:uid="{A0A6BDF2-6ED2-4B69-9CD1-728D51CAA466}"/>
    <cellStyle name="Vírgula 6 2 3 4 3" xfId="21560" xr:uid="{21735640-81ED-46D5-8317-11181C216087}"/>
    <cellStyle name="Vírgula 6 2 3 4 3 2" xfId="41899" xr:uid="{1DF506B2-9C19-4FA9-95FB-AB073F12E670}"/>
    <cellStyle name="Vírgula 6 2 3 4 3 3" xfId="57379" xr:uid="{FB7818E0-DF06-41FD-8483-129987EF19A1}"/>
    <cellStyle name="Vírgula 6 2 3 4 4" xfId="24815" xr:uid="{701CD84F-C602-4F6C-BA07-43E73B419830}"/>
    <cellStyle name="Vírgula 6 2 3 4 4 2" xfId="45150" xr:uid="{640F94A9-D078-4166-8C50-86C123C3573B}"/>
    <cellStyle name="Vírgula 6 2 3 4 5" xfId="15150" xr:uid="{6C5ACEF9-6040-48C7-A5A3-4D83765629D8}"/>
    <cellStyle name="Vírgula 6 2 3 4 5 2" xfId="35490" xr:uid="{F18C3EC2-8235-4FA8-A142-90508485B804}"/>
    <cellStyle name="Vírgula 6 2 3 4 6" xfId="11271" xr:uid="{58417B32-690B-41D1-9AB1-1E315A561DBA}"/>
    <cellStyle name="Vírgula 6 2 3 4 6 2" xfId="31614" xr:uid="{8E3107B0-749F-4AD3-9CA3-18D1F1DDB111}"/>
    <cellStyle name="Vírgula 6 2 3 4 7" xfId="28120" xr:uid="{71229B92-FA7D-4C1C-98FC-40FCD097316F}"/>
    <cellStyle name="Vírgula 6 2 3 4 8" xfId="49251" xr:uid="{4BC4C986-5F3E-4756-9AC3-2BD782297A0C}"/>
    <cellStyle name="Vírgula 6 2 3 4 9" xfId="50921" xr:uid="{89A6AED0-3A00-486F-AB33-DDB460CC059A}"/>
    <cellStyle name="Vírgula 6 2 3 5" xfId="695" xr:uid="{5C054D0E-FE18-4296-B600-B1A8AC45E5B8}"/>
    <cellStyle name="Vírgula 6 2 3 5 10" xfId="8331" xr:uid="{9D1B0471-1927-493B-AA5D-2F4513943101}"/>
    <cellStyle name="Vírgula 6 2 3 5 2" xfId="2411" xr:uid="{C706F321-5300-4F68-965C-162C99EEDA8C}"/>
    <cellStyle name="Vírgula 6 2 3 5 2 2" xfId="42454" xr:uid="{E62FB8CE-E91E-4BA2-8A37-1DF30E63B751}"/>
    <cellStyle name="Vírgula 6 2 3 5 2 3" xfId="52554" xr:uid="{609C1795-CD67-44B8-9254-3E137986DC42}"/>
    <cellStyle name="Vírgula 6 2 3 5 2 4" xfId="55848" xr:uid="{51E8DE1A-376B-4BF6-9C4D-6D020FBF3A82}"/>
    <cellStyle name="Vírgula 6 2 3 5 2 5" xfId="22118" xr:uid="{51341E01-D879-4BAD-B32F-2755B7CF12D0}"/>
    <cellStyle name="Vírgula 6 2 3 5 3" xfId="25370" xr:uid="{6A1BED88-95B0-47D9-A893-EEEEE6C6990D}"/>
    <cellStyle name="Vírgula 6 2 3 5 3 2" xfId="45705" xr:uid="{1640CBAD-3B0A-460B-8C23-0DC483B3CE56}"/>
    <cellStyle name="Vírgula 6 2 3 5 3 3" xfId="56566" xr:uid="{9B4E7095-8073-4E4B-8623-2241667A3360}"/>
    <cellStyle name="Vírgula 6 2 3 5 4" xfId="12840" xr:uid="{E47631F5-0082-400F-B80A-FFB95333CB06}"/>
    <cellStyle name="Vírgula 6 2 3 5 4 2" xfId="33181" xr:uid="{42874B0E-89D7-499F-8A71-B155B910C0C7}"/>
    <cellStyle name="Vírgula 6 2 3 5 5" xfId="11827" xr:uid="{8548A4EB-2EE0-4D93-B208-F68830ADF2A9}"/>
    <cellStyle name="Vírgula 6 2 3 5 5 2" xfId="32169" xr:uid="{E176FAFB-2F9E-42EC-A34E-0D3ED4FC2F3A}"/>
    <cellStyle name="Vírgula 6 2 3 5 6" xfId="28675" xr:uid="{1F81A6FB-0FCF-4EC9-8CD5-54DE6E8B0947}"/>
    <cellStyle name="Vírgula 6 2 3 5 7" xfId="49252" xr:uid="{61FF094A-091D-4334-A596-57FC86C58664}"/>
    <cellStyle name="Vírgula 6 2 3 5 8" xfId="50922" xr:uid="{1AD8D2D4-FCDC-43DF-8835-91449D1FD648}"/>
    <cellStyle name="Vírgula 6 2 3 5 9" xfId="54217" xr:uid="{79B4FE73-E59E-4C83-9BB6-0CD414B180A4}"/>
    <cellStyle name="Vírgula 6 2 3 6" xfId="3631" xr:uid="{804AE09B-2F0D-4839-947E-1290DE201CD8}"/>
    <cellStyle name="Vírgula 6 2 3 6 2" xfId="15737" xr:uid="{C1775165-50CB-4D6D-A890-F7DEDCCFC1E7}"/>
    <cellStyle name="Vírgula 6 2 3 6 2 2" xfId="36077" xr:uid="{0F827AA8-68B9-486C-8225-FA9A9781658C}"/>
    <cellStyle name="Vírgula 6 2 3 6 3" xfId="28985" xr:uid="{EE41CFBB-120C-483D-83A6-01D314DDEFA7}"/>
    <cellStyle name="Vírgula 6 2 3 6 4" xfId="52547" xr:uid="{675CA7B5-771F-444F-BBF9-0A80C5398557}"/>
    <cellStyle name="Vírgula 6 2 3 6 5" xfId="55841" xr:uid="{4DC77B89-66AA-4357-B9B4-17A3DEEA4C38}"/>
    <cellStyle name="Vírgula 6 2 3 6 6" xfId="8642" xr:uid="{CE47A7F4-EDEF-4765-94BD-3D0B97D8D6FC}"/>
    <cellStyle name="Vírgula 6 2 3 7" xfId="3965" xr:uid="{9E29007B-FD08-4003-8090-07B1CFACFFEB}"/>
    <cellStyle name="Vírgula 6 2 3 7 2" xfId="38991" xr:uid="{3114BB1F-0D6C-4351-B784-4967331D3EEA}"/>
    <cellStyle name="Vírgula 6 2 3 7 3" xfId="56157" xr:uid="{8CFAC2E9-9E4D-4A01-8878-7643DBE34DD7}"/>
    <cellStyle name="Vírgula 6 2 3 7 4" xfId="18651" xr:uid="{108DFCF9-058D-436A-9AC4-D114EF9095CD}"/>
    <cellStyle name="Vírgula 6 2 3 8" xfId="1980" xr:uid="{6A081508-8DEF-45B8-A7DA-CAE5763DBF4F}"/>
    <cellStyle name="Vírgula 6 2 3 8 2" xfId="39578" xr:uid="{45064710-BE0E-4433-A83A-2461771ACF47}"/>
    <cellStyle name="Vírgula 6 2 3 8 3" xfId="19239" xr:uid="{81B55F8A-4092-4773-BEF5-195EA00B2D42}"/>
    <cellStyle name="Vírgula 6 2 3 9" xfId="22494" xr:uid="{7AAFF8C8-152F-4D5F-BD04-E04FD26B419C}"/>
    <cellStyle name="Vírgula 6 2 3 9 2" xfId="42829" xr:uid="{5BC2C2FF-3C2D-4B22-9C6F-F79BC8458100}"/>
    <cellStyle name="Vírgula 6 2 4" xfId="331" xr:uid="{E6288DE2-26D8-4EBD-AF54-CBDE860F062B}"/>
    <cellStyle name="Vírgula 6 2 4 10" xfId="12269" xr:uid="{827F9163-4A71-4C5E-A14F-9FBF636AB931}"/>
    <cellStyle name="Vírgula 6 2 4 10 2" xfId="32610" xr:uid="{34330EB4-1CCD-46BA-9487-0640B54EECD6}"/>
    <cellStyle name="Vírgula 6 2 4 11" xfId="9008" xr:uid="{6E26EFDD-D880-4128-B8C6-31573A82D1A4}"/>
    <cellStyle name="Vírgula 6 2 4 11 2" xfId="29351" xr:uid="{6922C1FB-13B9-4693-83F3-AC8CA93DC638}"/>
    <cellStyle name="Vírgula 6 2 4 12" xfId="25857" xr:uid="{15464476-1772-4D6A-B372-68D6F9ACA6A6}"/>
    <cellStyle name="Vírgula 6 2 4 13" xfId="46095" xr:uid="{FB2C6C30-BB33-4DBE-9D8B-524E58D16882}"/>
    <cellStyle name="Vírgula 6 2 4 14" xfId="46581" xr:uid="{7A3C0CA5-5E13-4CFF-9D2F-A19BCEBB3436}"/>
    <cellStyle name="Vírgula 6 2 4 15" xfId="47073" xr:uid="{77FA1B3E-E072-406A-9567-9D40BEA7E4CE}"/>
    <cellStyle name="Vírgula 6 2 4 16" xfId="49253" xr:uid="{7492CD6B-A40C-4BD1-BD47-ABB52FD187E9}"/>
    <cellStyle name="Vírgula 6 2 4 17" xfId="50923" xr:uid="{AEADBEC9-0D03-4D33-9E7E-AFF3020C9F4E}"/>
    <cellStyle name="Vírgula 6 2 4 18" xfId="54218" xr:uid="{06B9D7EC-80C6-459F-9E04-1F7AE7D51F6C}"/>
    <cellStyle name="Vírgula 6 2 4 19" xfId="5518" xr:uid="{18220F08-5EC1-4903-88D6-7E99904BF4BA}"/>
    <cellStyle name="Vírgula 6 2 4 2" xfId="1147" xr:uid="{DEBC9C98-FFE8-4F8E-AE64-5C918C701B4B}"/>
    <cellStyle name="Vírgula 6 2 4 2 10" xfId="50924" xr:uid="{CCC1550A-5622-44CD-B00E-AAEC7603B4A7}"/>
    <cellStyle name="Vírgula 6 2 4 2 11" xfId="54219" xr:uid="{32E0252E-3638-4FA9-B63D-EB6DF11B7C8A}"/>
    <cellStyle name="Vírgula 6 2 4 2 12" xfId="6090" xr:uid="{D5078372-32C0-450C-A115-59451D9E5DEF}"/>
    <cellStyle name="Vírgula 6 2 4 2 13" xfId="4989" xr:uid="{8C0896C8-0842-42B7-A37E-51D0B412B931}"/>
    <cellStyle name="Vírgula 6 2 4 2 2" xfId="2808" xr:uid="{7B92A968-91BF-43F0-A730-AD872EAE5723}"/>
    <cellStyle name="Vírgula 6 2 4 2 2 10" xfId="7248" xr:uid="{C52E8C05-1745-4D7E-9D6F-8889621F47F9}"/>
    <cellStyle name="Vírgula 6 2 4 2 2 2" xfId="17534" xr:uid="{2CCFA886-DC48-4C0A-9C14-E36855A246AA}"/>
    <cellStyle name="Vírgula 6 2 4 2 2 2 2" xfId="37874" xr:uid="{8CB32979-C117-4A2E-BAAC-3EEE795C5EE0}"/>
    <cellStyle name="Vírgula 6 2 4 2 2 3" xfId="21036" xr:uid="{FBF73404-EB8D-41F0-AE87-F40A1AD09C0B}"/>
    <cellStyle name="Vírgula 6 2 4 2 2 3 2" xfId="41375" xr:uid="{B64DFAB3-78F4-485C-AD85-074DDDC84BBD}"/>
    <cellStyle name="Vírgula 6 2 4 2 2 4" xfId="24291" xr:uid="{75859CFA-2EBC-4C55-817A-D5EE0BC680C6}"/>
    <cellStyle name="Vírgula 6 2 4 2 2 4 2" xfId="44626" xr:uid="{D3898CF6-4E09-4052-B864-457798F49EB9}"/>
    <cellStyle name="Vírgula 6 2 4 2 2 5" xfId="14625" xr:uid="{774873C1-B37F-4CE1-9145-8FC79E912997}"/>
    <cellStyle name="Vírgula 6 2 4 2 2 5 2" xfId="34966" xr:uid="{88F74414-3182-45F0-99EF-B5340AAA7268}"/>
    <cellStyle name="Vírgula 6 2 4 2 2 6" xfId="10747" xr:uid="{AF1F48DE-980A-4F70-ADD0-F6D97C661F6C}"/>
    <cellStyle name="Vírgula 6 2 4 2 2 6 2" xfId="31090" xr:uid="{19340414-8716-4750-BBBA-BCD501CD9479}"/>
    <cellStyle name="Vírgula 6 2 4 2 2 7" xfId="27596" xr:uid="{1F3B27C3-0E01-4D13-AA38-6B4CA9CAD1C9}"/>
    <cellStyle name="Vírgula 6 2 4 2 2 8" xfId="52556" xr:uid="{524A6B61-71DE-4900-9B48-793523F6E10A}"/>
    <cellStyle name="Vírgula 6 2 4 2 2 9" xfId="55850" xr:uid="{19DEDEC0-6351-4324-B44A-E518E1C2F497}"/>
    <cellStyle name="Vírgula 6 2 4 2 3" xfId="16376" xr:uid="{9644AEE9-730F-4922-8B73-41EF1A13249B}"/>
    <cellStyle name="Vírgula 6 2 4 2 3 2" xfId="36716" xr:uid="{7E263E71-F2D8-471D-A384-E1FA062B7E35}"/>
    <cellStyle name="Vírgula 6 2 4 2 3 3" xfId="57018" xr:uid="{5EAA19A6-15E0-4032-8A38-E80D84FEB362}"/>
    <cellStyle name="Vírgula 6 2 4 2 4" xfId="19878" xr:uid="{F40A9E77-277F-49F7-B694-B6CBC0685AD2}"/>
    <cellStyle name="Vírgula 6 2 4 2 4 2" xfId="40217" xr:uid="{08808072-56F7-4518-9B91-797B7C6463B1}"/>
    <cellStyle name="Vírgula 6 2 4 2 5" xfId="23133" xr:uid="{A6843ADD-1BFD-470C-8488-F9D1F3BD7A40}"/>
    <cellStyle name="Vírgula 6 2 4 2 5 2" xfId="43468" xr:uid="{328E20D3-17C8-4BD1-AF11-7FFCA08561B0}"/>
    <cellStyle name="Vírgula 6 2 4 2 6" xfId="13467" xr:uid="{F5CA71DF-E90B-45B1-A06B-B85347435245}"/>
    <cellStyle name="Vírgula 6 2 4 2 6 2" xfId="33808" xr:uid="{CF592C5A-D7A8-4D9D-8B81-6866E68ACF8A}"/>
    <cellStyle name="Vírgula 6 2 4 2 7" xfId="9589" xr:uid="{D7FBF64F-E17B-4C71-839A-436803F50466}"/>
    <cellStyle name="Vírgula 6 2 4 2 7 2" xfId="29932" xr:uid="{1BF18D75-272A-43FE-A37C-5A870F00CFD1}"/>
    <cellStyle name="Vírgula 6 2 4 2 8" xfId="26438" xr:uid="{727A9841-6747-4C57-8D72-45C246841D7A}"/>
    <cellStyle name="Vírgula 6 2 4 2 9" xfId="49254" xr:uid="{A753289D-8F88-415D-A198-B385FABA7DCE}"/>
    <cellStyle name="Vírgula 6 2 4 20" xfId="4612" xr:uid="{6BE82682-3CFC-4D96-837B-D5ABE3A6D66E}"/>
    <cellStyle name="Vírgula 6 2 4 3" xfId="1553" xr:uid="{4560C31A-1372-405B-86F5-D8E5661196BA}"/>
    <cellStyle name="Vírgula 6 2 4 3 10" xfId="54220" xr:uid="{EE3C05A0-44EC-4202-8B1B-32719193B450}"/>
    <cellStyle name="Vírgula 6 2 4 3 11" xfId="6667" xr:uid="{28708B04-86AA-4019-8F20-5CDE23F86BE9}"/>
    <cellStyle name="Vírgula 6 2 4 3 2" xfId="3213" xr:uid="{F85B7813-3DD4-4D79-8D64-E9ED31E7D032}"/>
    <cellStyle name="Vírgula 6 2 4 3 2 2" xfId="37293" xr:uid="{284C4B05-8EFB-4AFF-941F-3EB06383D44A}"/>
    <cellStyle name="Vírgula 6 2 4 3 2 3" xfId="52557" xr:uid="{35E2FED9-F8FE-4CD2-B1CD-3E7A6BD01690}"/>
    <cellStyle name="Vírgula 6 2 4 3 2 4" xfId="55851" xr:uid="{8C607F13-6979-4060-99A0-C7AA46A4F4D6}"/>
    <cellStyle name="Vírgula 6 2 4 3 2 5" xfId="16953" xr:uid="{B328DC0A-F47D-40C7-B7A9-5EF321A93C56}"/>
    <cellStyle name="Vírgula 6 2 4 3 3" xfId="20455" xr:uid="{6BCDC1C2-3466-4635-9F5E-BE11D3DCEDF6}"/>
    <cellStyle name="Vírgula 6 2 4 3 3 2" xfId="40794" xr:uid="{944DA3C7-BF70-4BF3-AEB1-AFFC9F3AB731}"/>
    <cellStyle name="Vírgula 6 2 4 3 3 3" xfId="57424" xr:uid="{838DC799-7F4B-49C5-B2A3-E5D290BC653E}"/>
    <cellStyle name="Vírgula 6 2 4 3 4" xfId="23710" xr:uid="{D71F32B0-E401-4454-A453-F7832E2CA95C}"/>
    <cellStyle name="Vírgula 6 2 4 3 4 2" xfId="44045" xr:uid="{378724A9-7103-4ADA-9567-B682D536A5E0}"/>
    <cellStyle name="Vírgula 6 2 4 3 5" xfId="14044" xr:uid="{CB22C463-6AA0-4D59-B00D-6FD047175C2C}"/>
    <cellStyle name="Vírgula 6 2 4 3 5 2" xfId="34385" xr:uid="{1F0ADA54-E5B8-41FD-9D77-EDE6C52ABB5B}"/>
    <cellStyle name="Vírgula 6 2 4 3 6" xfId="10166" xr:uid="{B286BD18-B881-4C90-B2EB-2364A35A3AE4}"/>
    <cellStyle name="Vírgula 6 2 4 3 6 2" xfId="30509" xr:uid="{3EFE848F-283E-421A-8580-79B1B4DB22C4}"/>
    <cellStyle name="Vírgula 6 2 4 3 7" xfId="27015" xr:uid="{ACFDD8CD-52F2-43BD-A480-29AB663FEB9A}"/>
    <cellStyle name="Vírgula 6 2 4 3 8" xfId="49255" xr:uid="{B9FD675D-413A-49DC-9491-8EBDD067DFC0}"/>
    <cellStyle name="Vírgula 6 2 4 3 9" xfId="50925" xr:uid="{979B2E42-FB78-41EB-BFA5-1334D53AAAFB}"/>
    <cellStyle name="Vírgula 6 2 4 4" xfId="740" xr:uid="{4C4E0E96-B403-4111-99B5-AE13CACFB549}"/>
    <cellStyle name="Vírgula 6 2 4 4 10" xfId="54221" xr:uid="{AE62E01B-8482-418F-BD4D-5809CD5BC761}"/>
    <cellStyle name="Vírgula 6 2 4 4 11" xfId="7831" xr:uid="{150DE224-CFEB-425D-9434-5C91386C06E3}"/>
    <cellStyle name="Vírgula 6 2 4 4 2" xfId="2456" xr:uid="{3CC31DCA-7310-4279-9B42-A8EA78FCB5BC}"/>
    <cellStyle name="Vírgula 6 2 4 4 2 2" xfId="38456" xr:uid="{20FE8EA8-CDF6-4264-85CE-DC2AB3FC371B}"/>
    <cellStyle name="Vírgula 6 2 4 4 2 3" xfId="52558" xr:uid="{62823A7B-28AF-448D-8649-736B7D59FD45}"/>
    <cellStyle name="Vírgula 6 2 4 4 2 4" xfId="55852" xr:uid="{735A2B0F-CC83-43F2-B165-00F48D056A78}"/>
    <cellStyle name="Vírgula 6 2 4 4 2 5" xfId="18116" xr:uid="{A4E8A114-EE6C-485F-A38C-633EBFAD8FB8}"/>
    <cellStyle name="Vírgula 6 2 4 4 3" xfId="21618" xr:uid="{0D83EE77-1800-4D8E-902F-796450A94A83}"/>
    <cellStyle name="Vírgula 6 2 4 4 3 2" xfId="41957" xr:uid="{63B0714D-CD5A-41F3-A10B-7623FA885A89}"/>
    <cellStyle name="Vírgula 6 2 4 4 3 3" xfId="56611" xr:uid="{EBE45999-C960-4AB7-A1E5-91946AFD44AC}"/>
    <cellStyle name="Vírgula 6 2 4 4 4" xfId="24873" xr:uid="{1955C9C7-34AB-484F-A9D4-10E40177CE92}"/>
    <cellStyle name="Vírgula 6 2 4 4 4 2" xfId="45208" xr:uid="{B687FEBD-4179-4B0A-8115-5559C48C72B3}"/>
    <cellStyle name="Vírgula 6 2 4 4 5" xfId="15208" xr:uid="{3A7E831F-35E5-4A74-ACE7-E6F98B26C738}"/>
    <cellStyle name="Vírgula 6 2 4 4 5 2" xfId="35548" xr:uid="{197ED772-1AA2-49FD-8463-2500ECAAF412}"/>
    <cellStyle name="Vírgula 6 2 4 4 6" xfId="11329" xr:uid="{E4848E04-E447-40FB-8C2C-A79AAE30FE04}"/>
    <cellStyle name="Vírgula 6 2 4 4 6 2" xfId="31672" xr:uid="{BC2D8386-4973-43E4-9335-4FC54CD0DCDD}"/>
    <cellStyle name="Vírgula 6 2 4 4 7" xfId="28178" xr:uid="{C01D9CA4-5F6C-4B7D-8AAF-0741D42A8290}"/>
    <cellStyle name="Vírgula 6 2 4 4 8" xfId="49256" xr:uid="{932A3785-32EB-4788-81C4-E53857A581A2}"/>
    <cellStyle name="Vírgula 6 2 4 4 9" xfId="50926" xr:uid="{C2F28744-DBAB-49D9-82CA-4216B2733C5A}"/>
    <cellStyle name="Vírgula 6 2 4 5" xfId="3522" xr:uid="{F64960D3-C0E0-4313-9F34-779235F6F94B}"/>
    <cellStyle name="Vírgula 6 2 4 5 2" xfId="22119" xr:uid="{5D8719F6-986C-40FD-929B-C2C61D5ACEAD}"/>
    <cellStyle name="Vírgula 6 2 4 5 2 2" xfId="42455" xr:uid="{7E21492A-7E7E-4D22-BA9D-3D701C31F664}"/>
    <cellStyle name="Vírgula 6 2 4 5 3" xfId="25371" xr:uid="{56313857-9B74-4C17-929D-44AB2AB1F5F3}"/>
    <cellStyle name="Vírgula 6 2 4 5 3 2" xfId="45706" xr:uid="{4D4EA49B-0E84-439F-B9B4-4436D339BE77}"/>
    <cellStyle name="Vírgula 6 2 4 5 4" xfId="12898" xr:uid="{5DD14241-ADE8-471E-B47D-9D78CB9AFD24}"/>
    <cellStyle name="Vírgula 6 2 4 5 4 2" xfId="33239" xr:uid="{E57A2EE2-C01B-48BE-906E-7865A282C724}"/>
    <cellStyle name="Vírgula 6 2 4 5 5" xfId="11828" xr:uid="{B2C1B77F-1F79-4847-B799-1F937E832F47}"/>
    <cellStyle name="Vírgula 6 2 4 5 5 2" xfId="32170" xr:uid="{854DAF03-F170-415C-B14F-7F26FF7B6A70}"/>
    <cellStyle name="Vírgula 6 2 4 5 6" xfId="28676" xr:uid="{2EEA2E0A-40E4-4860-A6DF-922EE13B3CF8}"/>
    <cellStyle name="Vírgula 6 2 4 5 7" xfId="52555" xr:uid="{51592180-AE38-4FDD-92E2-16F427FCB1D6}"/>
    <cellStyle name="Vírgula 6 2 4 5 8" xfId="55849" xr:uid="{A17609C1-B313-436B-8925-9BC57B4FEBCD}"/>
    <cellStyle name="Vírgula 6 2 4 5 9" xfId="8332" xr:uid="{750D036C-8620-458E-BE54-78A4FE616D11}"/>
    <cellStyle name="Vírgula 6 2 4 6" xfId="4024" xr:uid="{B807EDBE-408B-4A61-B0CD-44099052AAD5}"/>
    <cellStyle name="Vírgula 6 2 4 6 2" xfId="36135" xr:uid="{15492894-7E39-4876-8FFD-515A43B60DB5}"/>
    <cellStyle name="Vírgula 6 2 4 6 3" xfId="56202" xr:uid="{4D5EADA5-CB39-403E-9ED1-3CA7AC35540D}"/>
    <cellStyle name="Vírgula 6 2 4 6 4" xfId="15795" xr:uid="{98B3E402-CB27-48A0-80FA-FB6ADB44E5A4}"/>
    <cellStyle name="Vírgula 6 2 4 7" xfId="1871" xr:uid="{5EFF5AD1-2B94-4FA0-8F10-DB425AFF1378}"/>
    <cellStyle name="Vírgula 6 2 4 7 2" xfId="39049" xr:uid="{EBCB7496-7D02-425A-A451-29424778E444}"/>
    <cellStyle name="Vírgula 6 2 4 7 3" xfId="18709" xr:uid="{D898D634-AB31-4EA5-9EC5-F11549714B50}"/>
    <cellStyle name="Vírgula 6 2 4 8" xfId="19297" xr:uid="{98D4DE2C-8164-4838-94F0-463FE377CE9B}"/>
    <cellStyle name="Vírgula 6 2 4 8 2" xfId="39636" xr:uid="{05332AF5-B13E-4436-B3C9-1710B0CEC72F}"/>
    <cellStyle name="Vírgula 6 2 4 9" xfId="22552" xr:uid="{E7C91206-04C2-48ED-B4F2-2B471FE9D34A}"/>
    <cellStyle name="Vírgula 6 2 4 9 2" xfId="42887" xr:uid="{5F8EEAE2-53DF-4543-BF36-618060639B94}"/>
    <cellStyle name="Vírgula 6 2 5" xfId="142" xr:uid="{5D88C80D-C8C9-4EB9-A3E1-B45A06F56C58}"/>
    <cellStyle name="Vírgula 6 2 5 10" xfId="12344" xr:uid="{ADE0D111-CFA7-4445-A1B2-8A29CF084FFB}"/>
    <cellStyle name="Vírgula 6 2 5 10 2" xfId="32685" xr:uid="{226589B5-C969-4851-ABC1-75943965CF83}"/>
    <cellStyle name="Vírgula 6 2 5 11" xfId="9083" xr:uid="{3E95CE14-FA6D-4522-9D94-CD01A0E41C5B}"/>
    <cellStyle name="Vírgula 6 2 5 11 2" xfId="29426" xr:uid="{384B0FE3-AFBA-4F3F-A91C-6A9E4642EDE9}"/>
    <cellStyle name="Vírgula 6 2 5 12" xfId="25932" xr:uid="{04255827-1FC8-410E-BC35-50C01D27C351}"/>
    <cellStyle name="Vírgula 6 2 5 13" xfId="49257" xr:uid="{02AFB6F8-65C8-4E3B-860B-FE9B53CBDDB6}"/>
    <cellStyle name="Vírgula 6 2 5 14" xfId="50927" xr:uid="{18BB0335-E755-4452-A5EA-0B253F93BF6E}"/>
    <cellStyle name="Vírgula 6 2 5 15" xfId="54222" xr:uid="{240AC661-BD85-4F9D-B91A-BFDCF7228D0D}"/>
    <cellStyle name="Vírgula 6 2 5 16" xfId="5593" xr:uid="{41C13C4E-F7E2-4AA6-A24C-61810E3EF651}"/>
    <cellStyle name="Vírgula 6 2 5 17" xfId="4423" xr:uid="{A145BFF3-C250-4A99-AF78-27323D92551C}"/>
    <cellStyle name="Vírgula 6 2 5 2" xfId="958" xr:uid="{42FD7C87-EAB4-430C-8EA4-88BD11C7955D}"/>
    <cellStyle name="Vírgula 6 2 5 2 10" xfId="50928" xr:uid="{C24E4B46-4E81-4B7A-B5EB-5DF6BB859E56}"/>
    <cellStyle name="Vírgula 6 2 5 2 11" xfId="54223" xr:uid="{5B0AC904-1036-4284-B1F6-4A01EE95A7CB}"/>
    <cellStyle name="Vírgula 6 2 5 2 12" xfId="6165" xr:uid="{32644C86-1878-4F59-882C-72EDB127DD95}"/>
    <cellStyle name="Vírgula 6 2 5 2 2" xfId="2673" xr:uid="{EDF92C0F-7A40-49B0-A5E3-10988A4B5CCF}"/>
    <cellStyle name="Vírgula 6 2 5 2 2 10" xfId="7323" xr:uid="{6B0E7BAF-CB13-48CD-9BB1-6AF7C7A66470}"/>
    <cellStyle name="Vírgula 6 2 5 2 2 2" xfId="17609" xr:uid="{ABAEE864-8378-41A4-B8B2-3ADB7AA367F6}"/>
    <cellStyle name="Vírgula 6 2 5 2 2 2 2" xfId="37949" xr:uid="{BADC1238-5755-40C0-B05C-E772B07C7F41}"/>
    <cellStyle name="Vírgula 6 2 5 2 2 3" xfId="21111" xr:uid="{615ED4F0-02D3-4D4D-BCED-C42C0FAF3F9C}"/>
    <cellStyle name="Vírgula 6 2 5 2 2 3 2" xfId="41450" xr:uid="{832FFBE5-B9A1-408F-96EC-EAFC8F3F992B}"/>
    <cellStyle name="Vírgula 6 2 5 2 2 4" xfId="24366" xr:uid="{A1456B61-7158-4C75-BA32-301DF59CC409}"/>
    <cellStyle name="Vírgula 6 2 5 2 2 4 2" xfId="44701" xr:uid="{D6C5AA40-2D76-4BA5-A856-0A96267D314F}"/>
    <cellStyle name="Vírgula 6 2 5 2 2 5" xfId="14700" xr:uid="{8B62F270-DC46-4DC3-9892-D927A4AFBA6A}"/>
    <cellStyle name="Vírgula 6 2 5 2 2 5 2" xfId="35041" xr:uid="{4BE8E7AF-29FB-479D-BFC1-98FA003396FC}"/>
    <cellStyle name="Vírgula 6 2 5 2 2 6" xfId="10822" xr:uid="{924C04FF-47C8-4556-8CDB-26FE20EFBB94}"/>
    <cellStyle name="Vírgula 6 2 5 2 2 6 2" xfId="31165" xr:uid="{50B6C71F-D6E5-4D79-80D7-A53F290D5F26}"/>
    <cellStyle name="Vírgula 6 2 5 2 2 7" xfId="27671" xr:uid="{19E774C9-4AEE-4C90-8D40-E5908B17C674}"/>
    <cellStyle name="Vírgula 6 2 5 2 2 8" xfId="52560" xr:uid="{6311F6C2-ED06-4165-B2E0-79DBECD41CE9}"/>
    <cellStyle name="Vírgula 6 2 5 2 2 9" xfId="55854" xr:uid="{FB73A5E8-91EE-44F1-9936-4DD5F4438129}"/>
    <cellStyle name="Vírgula 6 2 5 2 3" xfId="16451" xr:uid="{49DAD7D6-95B1-4B93-A53F-903ADB25CAA0}"/>
    <cellStyle name="Vírgula 6 2 5 2 3 2" xfId="36791" xr:uid="{E789B927-89E5-4268-AE98-6E437C0351C1}"/>
    <cellStyle name="Vírgula 6 2 5 2 3 3" xfId="56829" xr:uid="{3FDD969C-ECD2-4F2D-9FDF-AABF93721C6D}"/>
    <cellStyle name="Vírgula 6 2 5 2 4" xfId="19953" xr:uid="{288BF6B2-DBF8-4856-B6BF-7E958A499590}"/>
    <cellStyle name="Vírgula 6 2 5 2 4 2" xfId="40292" xr:uid="{829D9F6E-6DD2-41F3-BFBE-6A380B1A186F}"/>
    <cellStyle name="Vírgula 6 2 5 2 5" xfId="23208" xr:uid="{DA5AE845-EF33-4B66-AFEF-E3F0FA8E21FE}"/>
    <cellStyle name="Vírgula 6 2 5 2 5 2" xfId="43543" xr:uid="{7F0B6B7D-19F0-4F72-913D-AEB49C1FBB99}"/>
    <cellStyle name="Vírgula 6 2 5 2 6" xfId="13542" xr:uid="{8E5AF2A5-025A-45C4-B74F-404ABEF68D76}"/>
    <cellStyle name="Vírgula 6 2 5 2 6 2" xfId="33883" xr:uid="{EB0D7BDE-7864-4063-AD31-B5E5DF1EF067}"/>
    <cellStyle name="Vírgula 6 2 5 2 7" xfId="9664" xr:uid="{FED5104F-286E-4107-BC0C-9E03E601E1AE}"/>
    <cellStyle name="Vírgula 6 2 5 2 7 2" xfId="30007" xr:uid="{F8B7C5DC-3880-4D81-A09C-75B1964BEF0D}"/>
    <cellStyle name="Vírgula 6 2 5 2 8" xfId="26513" xr:uid="{AC07D3BC-7659-4F45-895B-3AA32FA3874D}"/>
    <cellStyle name="Vírgula 6 2 5 2 9" xfId="49258" xr:uid="{5FDD1D3F-11CF-4459-AC57-10E1E6A714A6}"/>
    <cellStyle name="Vírgula 6 2 5 3" xfId="1364" xr:uid="{322C15E4-F2F8-42BD-A6CE-4DDEF7EFA710}"/>
    <cellStyle name="Vírgula 6 2 5 3 10" xfId="54224" xr:uid="{22955481-59D8-49D2-9E7D-1628741B8861}"/>
    <cellStyle name="Vírgula 6 2 5 3 11" xfId="6742" xr:uid="{EFA8B3B2-ED0E-48FA-9492-BA725AAD56AB}"/>
    <cellStyle name="Vírgula 6 2 5 3 2" xfId="3025" xr:uid="{E5592F0C-5A31-430C-934C-C5808687B757}"/>
    <cellStyle name="Vírgula 6 2 5 3 2 2" xfId="37368" xr:uid="{B95369AF-E0BD-49B3-B409-D102BCD65668}"/>
    <cellStyle name="Vírgula 6 2 5 3 2 3" xfId="52561" xr:uid="{2114DF39-354D-40EE-ACF5-D829B7D96E8D}"/>
    <cellStyle name="Vírgula 6 2 5 3 2 4" xfId="55855" xr:uid="{2BBB69CA-9422-422A-A465-81DD1C04D8FC}"/>
    <cellStyle name="Vírgula 6 2 5 3 2 5" xfId="17028" xr:uid="{B8A7C00C-2E2A-4B46-ACA8-1C9BC45C02F3}"/>
    <cellStyle name="Vírgula 6 2 5 3 3" xfId="20530" xr:uid="{1F3A32A2-F257-4A61-9302-45EB8CA23C82}"/>
    <cellStyle name="Vírgula 6 2 5 3 3 2" xfId="40869" xr:uid="{9281A8BE-065F-480B-9B10-88D7E15B2C8E}"/>
    <cellStyle name="Vírgula 6 2 5 3 3 3" xfId="57235" xr:uid="{BC5E3CA1-1432-43EF-9F7A-C7142CC303E2}"/>
    <cellStyle name="Vírgula 6 2 5 3 4" xfId="23785" xr:uid="{1E29FF6B-01E3-4B54-8380-4FE016B588C2}"/>
    <cellStyle name="Vírgula 6 2 5 3 4 2" xfId="44120" xr:uid="{6C421B60-C8F0-45AB-A398-81329C5B0490}"/>
    <cellStyle name="Vírgula 6 2 5 3 5" xfId="14119" xr:uid="{B8781B6A-41F0-480B-9361-AF54334496C0}"/>
    <cellStyle name="Vírgula 6 2 5 3 5 2" xfId="34460" xr:uid="{717C2E8D-78ED-4159-9856-DBA7398576FC}"/>
    <cellStyle name="Vírgula 6 2 5 3 6" xfId="10241" xr:uid="{5CED70D9-9D74-41C4-BB2E-3794B1B16332}"/>
    <cellStyle name="Vírgula 6 2 5 3 6 2" xfId="30584" xr:uid="{B30F4E4F-0DCE-4D7C-A151-31AD4310B01F}"/>
    <cellStyle name="Vírgula 6 2 5 3 7" xfId="27090" xr:uid="{A55DBCD2-199B-4D7C-8C7F-3C5957C57E10}"/>
    <cellStyle name="Vírgula 6 2 5 3 8" xfId="49259" xr:uid="{347876B0-8F60-4B85-9DF0-DE95FF95D68C}"/>
    <cellStyle name="Vírgula 6 2 5 3 9" xfId="50929" xr:uid="{B419E224-E6B3-422F-8BDB-B16E670DB979}"/>
    <cellStyle name="Vírgula 6 2 5 4" xfId="551" xr:uid="{7BDCFAA6-F44D-4043-B3B7-E318B9B62EF0}"/>
    <cellStyle name="Vírgula 6 2 5 4 10" xfId="54225" xr:uid="{F3D69400-E764-438E-A25A-AA583741D9B2}"/>
    <cellStyle name="Vírgula 6 2 5 4 11" xfId="7906" xr:uid="{FA365D71-37B6-4B01-AFC5-CC6B5EEEBFB7}"/>
    <cellStyle name="Vírgula 6 2 5 4 2" xfId="2267" xr:uid="{9FA40081-0063-4141-9B3D-90B03E50E6A2}"/>
    <cellStyle name="Vírgula 6 2 5 4 2 2" xfId="38531" xr:uid="{36B5BE81-C006-4E62-8D22-469289D267A0}"/>
    <cellStyle name="Vírgula 6 2 5 4 2 3" xfId="52562" xr:uid="{904A123B-9665-4A7D-90AB-3F65D25E722E}"/>
    <cellStyle name="Vírgula 6 2 5 4 2 4" xfId="55856" xr:uid="{46201BEE-AC3F-41FA-BD64-1C4D020C17ED}"/>
    <cellStyle name="Vírgula 6 2 5 4 2 5" xfId="18191" xr:uid="{2EBA5B48-2E95-4611-9824-79D4FA98A8B4}"/>
    <cellStyle name="Vírgula 6 2 5 4 3" xfId="21693" xr:uid="{0B4C55A5-D666-45C8-9369-604381D0996C}"/>
    <cellStyle name="Vírgula 6 2 5 4 3 2" xfId="42032" xr:uid="{7FFF21D7-32D6-42D2-9012-D064AA197C76}"/>
    <cellStyle name="Vírgula 6 2 5 4 3 3" xfId="56422" xr:uid="{EF387D06-3072-4E00-9780-63C1829A5072}"/>
    <cellStyle name="Vírgula 6 2 5 4 4" xfId="24948" xr:uid="{BC7CB77B-47D9-4DF0-9522-27FE42651051}"/>
    <cellStyle name="Vírgula 6 2 5 4 4 2" xfId="45283" xr:uid="{734040AD-DF1C-4432-BB3A-1C473B594463}"/>
    <cellStyle name="Vírgula 6 2 5 4 5" xfId="15283" xr:uid="{E5BBB426-9E6A-4FE6-B02A-EA71BCB1B282}"/>
    <cellStyle name="Vírgula 6 2 5 4 5 2" xfId="35623" xr:uid="{40F0E441-4D42-4A48-8DD0-00B66F6181E5}"/>
    <cellStyle name="Vírgula 6 2 5 4 6" xfId="11404" xr:uid="{0E4BA8B9-9387-4F4A-817B-E7BF186D4320}"/>
    <cellStyle name="Vírgula 6 2 5 4 6 2" xfId="31747" xr:uid="{A9832478-A747-4386-B3C3-2F72188D2544}"/>
    <cellStyle name="Vírgula 6 2 5 4 7" xfId="28253" xr:uid="{89AB1E64-3775-4A3D-870F-C71084E149C4}"/>
    <cellStyle name="Vírgula 6 2 5 4 8" xfId="49260" xr:uid="{A92401E2-5EF5-490B-B475-77D7DF469C67}"/>
    <cellStyle name="Vírgula 6 2 5 4 9" xfId="50930" xr:uid="{527015ED-CEA8-42C0-BABF-166C216D15A8}"/>
    <cellStyle name="Vírgula 6 2 5 5" xfId="3740" xr:uid="{A1904098-EE2F-4C86-8C4E-7280F0EC787E}"/>
    <cellStyle name="Vírgula 6 2 5 5 2" xfId="33314" xr:uid="{A57E4436-3F1F-4C6E-8B02-9B2DB74888F8}"/>
    <cellStyle name="Vírgula 6 2 5 5 3" xfId="52559" xr:uid="{7E11E4E5-5462-42E9-82B6-AA112BD196E7}"/>
    <cellStyle name="Vírgula 6 2 5 5 4" xfId="55853" xr:uid="{2DF613BB-901B-4DE3-A6B6-CCCD20FA477E}"/>
    <cellStyle name="Vírgula 6 2 5 5 5" xfId="12973" xr:uid="{BBB685AF-C896-4F7D-9356-22954CCC666A}"/>
    <cellStyle name="Vírgula 6 2 5 6" xfId="4196" xr:uid="{32317B20-5040-4A28-A3D7-9DD2A5B5A06B}"/>
    <cellStyle name="Vírgula 6 2 5 6 2" xfId="36210" xr:uid="{ADD05CDE-6A7D-40C0-B216-9007E28D3DCD}"/>
    <cellStyle name="Vírgula 6 2 5 6 3" xfId="56013" xr:uid="{1D9A0795-2AEE-4750-BBE2-DBD5A7B691FC}"/>
    <cellStyle name="Vírgula 6 2 5 6 4" xfId="15870" xr:uid="{19DD8A13-76FD-4D3A-B106-2D8C2A29F0AA}"/>
    <cellStyle name="Vírgula 6 2 5 7" xfId="2097" xr:uid="{EA888C33-6947-40A0-A5C1-8CC7824345B0}"/>
    <cellStyle name="Vírgula 6 2 5 7 2" xfId="39124" xr:uid="{C156ECFE-0B6A-41ED-BCAB-8A5803F1A654}"/>
    <cellStyle name="Vírgula 6 2 5 7 3" xfId="18784" xr:uid="{05C0E80B-4C6E-4B8B-8133-D80974BE9A08}"/>
    <cellStyle name="Vírgula 6 2 5 8" xfId="19372" xr:uid="{F04CE0F1-E174-4E7E-84E4-30BB21830C8E}"/>
    <cellStyle name="Vírgula 6 2 5 8 2" xfId="39711" xr:uid="{F421ACE7-82BD-4C03-B756-52D6029F4F58}"/>
    <cellStyle name="Vírgula 6 2 5 9" xfId="22627" xr:uid="{3C8C531C-FF44-40BF-87CB-43D5FB738D5F}"/>
    <cellStyle name="Vírgula 6 2 5 9 2" xfId="42962" xr:uid="{9A38B544-B82D-4695-A5C5-A0E02086CC25}"/>
    <cellStyle name="Vírgula 6 2 6" xfId="922" xr:uid="{DD3D33F1-6EAE-486C-93E6-39452E34DA60}"/>
    <cellStyle name="Vírgula 6 2 6 10" xfId="12442" xr:uid="{35DBEE81-4C83-4C62-A7EA-406E7CC5C7BF}"/>
    <cellStyle name="Vírgula 6 2 6 10 2" xfId="32783" xr:uid="{4CA71B81-8D52-4E18-8969-BF4D7AF07033}"/>
    <cellStyle name="Vírgula 6 2 6 11" xfId="9181" xr:uid="{0E020E75-A7C9-42C1-AC3A-05A46EB2A53E}"/>
    <cellStyle name="Vírgula 6 2 6 11 2" xfId="29524" xr:uid="{A78FE656-EFA8-48DF-AED2-19FC8CC98254}"/>
    <cellStyle name="Vírgula 6 2 6 12" xfId="26030" xr:uid="{99F05C07-3232-4DC6-937C-2B8C5C715498}"/>
    <cellStyle name="Vírgula 6 2 6 13" xfId="49261" xr:uid="{18083FAB-B8F4-4FB4-8F75-003DD8A3CE14}"/>
    <cellStyle name="Vírgula 6 2 6 14" xfId="50931" xr:uid="{AA6494AA-EA96-4B8E-9D9B-31DF3D67B813}"/>
    <cellStyle name="Vírgula 6 2 6 15" xfId="54226" xr:uid="{BC1F55B6-5996-4A73-BA97-65AECCB261B5}"/>
    <cellStyle name="Vírgula 6 2 6 16" xfId="5691" xr:uid="{CFFA930F-3C83-4F7E-BE4E-00DC67F71AB8}"/>
    <cellStyle name="Vírgula 6 2 6 17" xfId="4824" xr:uid="{1FA08B6D-0BC9-4DA0-B469-773250668704}"/>
    <cellStyle name="Vírgula 6 2 6 2" xfId="2638" xr:uid="{EFFFA1E0-D899-4DD1-9E61-C1B9A2B774A0}"/>
    <cellStyle name="Vírgula 6 2 6 2 10" xfId="55857" xr:uid="{9D9CDEF7-74BE-4730-805C-7D1754876A81}"/>
    <cellStyle name="Vírgula 6 2 6 2 11" xfId="6263" xr:uid="{7B9AF519-A332-4B24-838E-233340E03496}"/>
    <cellStyle name="Vírgula 6 2 6 2 2" xfId="7421" xr:uid="{1FF1B7E0-F8E7-47D4-B304-459E3D56FB08}"/>
    <cellStyle name="Vírgula 6 2 6 2 2 2" xfId="17707" xr:uid="{3C0FD818-36B5-41D2-A72C-DCCE9B15B96D}"/>
    <cellStyle name="Vírgula 6 2 6 2 2 2 2" xfId="38047" xr:uid="{319CF765-9078-46B1-96F7-30D4A013653B}"/>
    <cellStyle name="Vírgula 6 2 6 2 2 3" xfId="21209" xr:uid="{1BF4EA6C-613C-478C-BB15-A804C7C437BD}"/>
    <cellStyle name="Vírgula 6 2 6 2 2 3 2" xfId="41548" xr:uid="{DD967ABD-E4F7-4098-8B59-A61680AFB05B}"/>
    <cellStyle name="Vírgula 6 2 6 2 2 4" xfId="24464" xr:uid="{90041FD7-E8D7-4A61-AD32-A65AC880A3C5}"/>
    <cellStyle name="Vírgula 6 2 6 2 2 4 2" xfId="44799" xr:uid="{EAF55C1D-FDB8-49ED-BC82-28EB8EF334F3}"/>
    <cellStyle name="Vírgula 6 2 6 2 2 5" xfId="14798" xr:uid="{ECA15BC8-9584-436D-AAEA-A648EF30228D}"/>
    <cellStyle name="Vírgula 6 2 6 2 2 5 2" xfId="35139" xr:uid="{F34DBA05-E177-4C9A-87C7-356B6DD11078}"/>
    <cellStyle name="Vírgula 6 2 6 2 2 6" xfId="10920" xr:uid="{69638931-87EB-4D9A-B2DB-9C71CFB6BDB6}"/>
    <cellStyle name="Vírgula 6 2 6 2 2 6 2" xfId="31263" xr:uid="{842C7264-BFB9-4B57-8A5C-8DA77FBB656C}"/>
    <cellStyle name="Vírgula 6 2 6 2 2 7" xfId="27769" xr:uid="{023EB978-E89A-47B3-BB10-330D6A902FBC}"/>
    <cellStyle name="Vírgula 6 2 6 2 3" xfId="16549" xr:uid="{032CA108-CDAB-41A4-A658-4AE98B5D83BD}"/>
    <cellStyle name="Vírgula 6 2 6 2 3 2" xfId="36889" xr:uid="{BA3E11B0-58FB-4C3A-A398-991CF40B33AF}"/>
    <cellStyle name="Vírgula 6 2 6 2 4" xfId="20051" xr:uid="{1E7257F8-DFF9-4C09-9274-31CB781B815D}"/>
    <cellStyle name="Vírgula 6 2 6 2 4 2" xfId="40390" xr:uid="{0D5C12AC-3413-4A0E-94AB-757CEA33060D}"/>
    <cellStyle name="Vírgula 6 2 6 2 5" xfId="23306" xr:uid="{62303D9C-AB72-44EA-B345-289D44D75846}"/>
    <cellStyle name="Vírgula 6 2 6 2 5 2" xfId="43641" xr:uid="{DF554A67-8BB0-4EA2-B3D0-50918A7D11C3}"/>
    <cellStyle name="Vírgula 6 2 6 2 6" xfId="13640" xr:uid="{D4551D6B-4FFA-4028-95D5-A75E66F7A152}"/>
    <cellStyle name="Vírgula 6 2 6 2 6 2" xfId="33981" xr:uid="{78659402-540E-4430-8B01-179ECF74857F}"/>
    <cellStyle name="Vírgula 6 2 6 2 7" xfId="9762" xr:uid="{0571A6C7-1590-4AD9-AE11-E12B99C18933}"/>
    <cellStyle name="Vírgula 6 2 6 2 7 2" xfId="30105" xr:uid="{D1A29910-E4EF-427A-ADF2-B2CFE7C3CAA5}"/>
    <cellStyle name="Vírgula 6 2 6 2 8" xfId="26611" xr:uid="{9419A901-2361-46AF-9639-B0ED9A8EDE78}"/>
    <cellStyle name="Vírgula 6 2 6 2 9" xfId="52563" xr:uid="{762D2001-FDDA-4372-A3B3-16592B44CDD5}"/>
    <cellStyle name="Vírgula 6 2 6 3" xfId="6840" xr:uid="{9DC40A0F-CFA0-4E8A-87DF-33D5F4536A50}"/>
    <cellStyle name="Vírgula 6 2 6 3 2" xfId="17126" xr:uid="{90E64032-6006-4C04-B7F0-4442A5F540CD}"/>
    <cellStyle name="Vírgula 6 2 6 3 2 2" xfId="37466" xr:uid="{C45AEB94-DEDA-4506-A034-EFF6C4FF6602}"/>
    <cellStyle name="Vírgula 6 2 6 3 3" xfId="20628" xr:uid="{0056EF34-25D4-48CC-AD3E-2BEE302272D0}"/>
    <cellStyle name="Vírgula 6 2 6 3 3 2" xfId="40967" xr:uid="{1F160CD3-CCF9-4883-928C-40CAE7F43165}"/>
    <cellStyle name="Vírgula 6 2 6 3 4" xfId="23883" xr:uid="{59E93B60-D75C-41F1-A452-FFF79150BE0A}"/>
    <cellStyle name="Vírgula 6 2 6 3 4 2" xfId="44218" xr:uid="{85ECC9E7-CC15-43DA-9E1B-88B7A91F1CA2}"/>
    <cellStyle name="Vírgula 6 2 6 3 5" xfId="14217" xr:uid="{CACF23CD-7B96-407A-8EEE-FE26ED6C0E02}"/>
    <cellStyle name="Vírgula 6 2 6 3 5 2" xfId="34558" xr:uid="{9F74CE4B-ECF5-4384-986B-15A1D191A112}"/>
    <cellStyle name="Vírgula 6 2 6 3 6" xfId="10339" xr:uid="{8F51917F-DDB6-4337-BBCE-A25A5BDC139A}"/>
    <cellStyle name="Vírgula 6 2 6 3 6 2" xfId="30682" xr:uid="{B463E44E-8552-46ED-B4EE-E6522CF34BF2}"/>
    <cellStyle name="Vírgula 6 2 6 3 7" xfId="27188" xr:uid="{42AD81F0-4094-4893-AAFC-9961398DD97C}"/>
    <cellStyle name="Vírgula 6 2 6 3 8" xfId="56793" xr:uid="{A1FD4C86-5970-470D-ABD5-BDC60E502AA1}"/>
    <cellStyle name="Vírgula 6 2 6 4" xfId="8004" xr:uid="{8CF01289-C784-404A-9245-3C636FD3C168}"/>
    <cellStyle name="Vírgula 6 2 6 4 2" xfId="18289" xr:uid="{2BA6C2A8-DD28-4C8C-AF1D-9651EC89A3BB}"/>
    <cellStyle name="Vírgula 6 2 6 4 2 2" xfId="38629" xr:uid="{30D7AB45-6ACE-40BE-B496-250CF4EFA186}"/>
    <cellStyle name="Vírgula 6 2 6 4 3" xfId="21791" xr:uid="{A7E6A39D-37CA-4608-B274-4D14A1EA2F7E}"/>
    <cellStyle name="Vírgula 6 2 6 4 3 2" xfId="42130" xr:uid="{0B604889-ECB2-45B9-83D0-CA887A28615C}"/>
    <cellStyle name="Vírgula 6 2 6 4 4" xfId="25046" xr:uid="{BD8FF760-5BFB-4D15-8574-AD568461CCB2}"/>
    <cellStyle name="Vírgula 6 2 6 4 4 2" xfId="45381" xr:uid="{5321C48F-6585-4136-A8A9-261132A18C06}"/>
    <cellStyle name="Vírgula 6 2 6 4 5" xfId="15381" xr:uid="{CD5FC4B4-2FF6-4E8C-AB87-B1199E325E41}"/>
    <cellStyle name="Vírgula 6 2 6 4 5 2" xfId="35721" xr:uid="{9C9B6ECD-FF6F-48C9-9AF4-FF1CA7A73301}"/>
    <cellStyle name="Vírgula 6 2 6 4 6" xfId="11502" xr:uid="{CF7C71C1-B983-4A65-A058-B7745DDECE4A}"/>
    <cellStyle name="Vírgula 6 2 6 4 6 2" xfId="31845" xr:uid="{5BE2DAED-49DF-4CC0-9A20-32E285CAB2E5}"/>
    <cellStyle name="Vírgula 6 2 6 4 7" xfId="28351" xr:uid="{FE17C085-DA0B-44F4-A414-4270BBE1C6A9}"/>
    <cellStyle name="Vírgula 6 2 6 5" xfId="13071" xr:uid="{3AA40213-E94F-4268-9293-0B83117B8843}"/>
    <cellStyle name="Vírgula 6 2 6 5 2" xfId="33412" xr:uid="{DD000EE0-410C-49BB-8A66-1BC955FE84A7}"/>
    <cellStyle name="Vírgula 6 2 6 6" xfId="15968" xr:uid="{66ACD70A-B7C5-40A5-8F6D-E1416B087DA3}"/>
    <cellStyle name="Vírgula 6 2 6 6 2" xfId="36308" xr:uid="{73E866F0-876B-4BA5-871A-143DF97069D6}"/>
    <cellStyle name="Vírgula 6 2 6 7" xfId="18882" xr:uid="{1B10A23F-3507-4142-A062-64B27D52981E}"/>
    <cellStyle name="Vírgula 6 2 6 7 2" xfId="39222" xr:uid="{864D4428-C005-4702-B688-D964BCC55CED}"/>
    <cellStyle name="Vírgula 6 2 6 8" xfId="19470" xr:uid="{6C6C43F1-8904-4C25-931B-3B47A054ADD3}"/>
    <cellStyle name="Vírgula 6 2 6 8 2" xfId="39809" xr:uid="{1C4FEB76-AA4C-4C4C-8B3B-8CE214DEB28E}"/>
    <cellStyle name="Vírgula 6 2 6 9" xfId="22725" xr:uid="{22B67F62-9E69-41BA-954E-86C2ACB21F4A}"/>
    <cellStyle name="Vírgula 6 2 6 9 2" xfId="43060" xr:uid="{D4F6D59F-E298-4880-BCDD-865EE6744027}"/>
    <cellStyle name="Vírgula 6 2 7" xfId="1328" xr:uid="{8DB1FFAF-F8B0-449E-8805-114F7CD0E644}"/>
    <cellStyle name="Vírgula 6 2 7 10" xfId="49262" xr:uid="{4E1CBF2C-B6D8-419F-BDF0-A6F3ACCC6A3A}"/>
    <cellStyle name="Vírgula 6 2 7 11" xfId="50932" xr:uid="{F075DF69-AEFC-4675-AB4B-A86F582967E9}"/>
    <cellStyle name="Vírgula 6 2 7 12" xfId="54227" xr:uid="{AF5C57A1-BFE8-4525-85A6-B1C33E667064}"/>
    <cellStyle name="Vírgula 6 2 7 13" xfId="5821" xr:uid="{5DB661D2-35D1-48FC-BF6E-EBC66CE99BBD}"/>
    <cellStyle name="Vírgula 6 2 7 2" xfId="2989" xr:uid="{FEA30A0A-8D78-4B7E-891E-9D75CEF30828}"/>
    <cellStyle name="Vírgula 6 2 7 2 10" xfId="6979" xr:uid="{238AC874-3B9C-4123-B434-973E60E684A4}"/>
    <cellStyle name="Vírgula 6 2 7 2 2" xfId="17265" xr:uid="{0B556395-D9C1-4A6B-B74D-461C67C4F673}"/>
    <cellStyle name="Vírgula 6 2 7 2 2 2" xfId="37605" xr:uid="{D77DB644-ED1A-460E-98BB-7BE050199EEF}"/>
    <cellStyle name="Vírgula 6 2 7 2 3" xfId="20767" xr:uid="{27FE80E4-11B7-412D-959B-1D30AD962E9E}"/>
    <cellStyle name="Vírgula 6 2 7 2 3 2" xfId="41106" xr:uid="{E332913E-9AE8-4A23-8EAF-79F48E8089BD}"/>
    <cellStyle name="Vírgula 6 2 7 2 4" xfId="24022" xr:uid="{BA23DBE1-76BD-4B0C-BC66-8276234EF6FF}"/>
    <cellStyle name="Vírgula 6 2 7 2 4 2" xfId="44357" xr:uid="{0C00FF1A-FDA9-41EF-A901-2B6F8CBEA7C2}"/>
    <cellStyle name="Vírgula 6 2 7 2 5" xfId="14356" xr:uid="{6A0EDC8D-7FC9-4D64-84FD-E4E6F5003964}"/>
    <cellStyle name="Vírgula 6 2 7 2 5 2" xfId="34697" xr:uid="{C10D8E0F-997E-4922-9D48-040868F78B94}"/>
    <cellStyle name="Vírgula 6 2 7 2 6" xfId="10478" xr:uid="{C00FB5D7-9507-41F2-8B50-C952F8E51826}"/>
    <cellStyle name="Vírgula 6 2 7 2 6 2" xfId="30821" xr:uid="{AA65100C-89CB-440F-9BD9-5D499F27A94E}"/>
    <cellStyle name="Vírgula 6 2 7 2 7" xfId="27327" xr:uid="{0ECA0A0E-BDD9-48B0-9BFC-E7F0CF199ED5}"/>
    <cellStyle name="Vírgula 6 2 7 2 8" xfId="52564" xr:uid="{4AB8493C-AC78-43D8-A95B-FEFDC6CE4CC7}"/>
    <cellStyle name="Vírgula 6 2 7 2 9" xfId="55858" xr:uid="{581D5913-3422-4D94-AA2F-F476AB277581}"/>
    <cellStyle name="Vírgula 6 2 7 3" xfId="13202" xr:uid="{F638ED76-1D0E-414F-BE72-C87C14757B8F}"/>
    <cellStyle name="Vírgula 6 2 7 3 2" xfId="33543" xr:uid="{963161A2-C93B-40D3-8CFF-5C1F2A21415C}"/>
    <cellStyle name="Vírgula 6 2 7 3 3" xfId="57199" xr:uid="{C46314E5-1B05-4564-9551-81984C1514F4}"/>
    <cellStyle name="Vírgula 6 2 7 4" xfId="16107" xr:uid="{7EFA8D5B-EF93-4AD5-A93B-465322710F15}"/>
    <cellStyle name="Vírgula 6 2 7 4 2" xfId="36447" xr:uid="{7DAFE388-B263-4C36-8211-AA7138B0C752}"/>
    <cellStyle name="Vírgula 6 2 7 5" xfId="19609" xr:uid="{519FE0B1-3FB1-4B4D-B4B6-B0D1F32D7201}"/>
    <cellStyle name="Vírgula 6 2 7 5 2" xfId="39948" xr:uid="{8C53DF11-7D1F-4129-A235-8CF8A476D958}"/>
    <cellStyle name="Vírgula 6 2 7 6" xfId="22864" xr:uid="{0B9288C9-36BC-4F53-8A87-A0A1B157CD8C}"/>
    <cellStyle name="Vírgula 6 2 7 6 2" xfId="43199" xr:uid="{413B2CDA-FFB7-4291-8B76-38298F35967D}"/>
    <cellStyle name="Vírgula 6 2 7 7" xfId="12565" xr:uid="{9B687E95-7139-4901-96D7-1D2C4F067737}"/>
    <cellStyle name="Vírgula 6 2 7 7 2" xfId="32906" xr:uid="{136F3ED6-0E0C-4011-96F9-E1C752DF5581}"/>
    <cellStyle name="Vírgula 6 2 7 8" xfId="9320" xr:uid="{A564CE38-AADA-4F73-A93D-FE26ECF23D54}"/>
    <cellStyle name="Vírgula 6 2 7 8 2" xfId="29663" xr:uid="{BB8118D5-5383-47F0-BB58-46CF86358719}"/>
    <cellStyle name="Vírgula 6 2 7 9" xfId="26169" xr:uid="{0F7840C5-6F1F-4F8C-A39B-0F168ACC424B}"/>
    <cellStyle name="Vírgula 6 2 8" xfId="515" xr:uid="{B7315EB9-7527-4EED-B9C7-9F9563415C31}"/>
    <cellStyle name="Vírgula 6 2 8 10" xfId="54228" xr:uid="{BC234F9B-E282-4764-A749-E0B486001662}"/>
    <cellStyle name="Vírgula 6 2 8 11" xfId="6398" xr:uid="{2EFD2AE6-7F61-4F0C-820D-3F61E0A9C9A7}"/>
    <cellStyle name="Vírgula 6 2 8 2" xfId="2231" xr:uid="{8B10B9DB-0077-476A-8218-541888DB0E29}"/>
    <cellStyle name="Vírgula 6 2 8 2 2" xfId="37024" xr:uid="{908FE95B-7B13-47E8-B19D-CA2018CEA135}"/>
    <cellStyle name="Vírgula 6 2 8 2 3" xfId="52565" xr:uid="{305560DB-6FDC-483A-A414-5418BF1977E9}"/>
    <cellStyle name="Vírgula 6 2 8 2 4" xfId="55859" xr:uid="{07F5E01D-830C-406A-859B-C727090A613D}"/>
    <cellStyle name="Vírgula 6 2 8 2 5" xfId="16684" xr:uid="{EB1079F8-C19C-4486-A788-C26F38409A1A}"/>
    <cellStyle name="Vírgula 6 2 8 3" xfId="20186" xr:uid="{A71BF348-4264-4D82-9525-80E3BC5B7CED}"/>
    <cellStyle name="Vírgula 6 2 8 3 2" xfId="40525" xr:uid="{C4939E03-034F-4965-A306-BC8F5E4304EC}"/>
    <cellStyle name="Vírgula 6 2 8 3 3" xfId="56386" xr:uid="{7A74CB62-1895-4F59-80A4-B18852CC4326}"/>
    <cellStyle name="Vírgula 6 2 8 4" xfId="23441" xr:uid="{74F2B73E-945C-435B-976C-773DAC2DB18B}"/>
    <cellStyle name="Vírgula 6 2 8 4 2" xfId="43776" xr:uid="{54AE8E46-94F2-4CCE-BD60-BCB6308842F4}"/>
    <cellStyle name="Vírgula 6 2 8 5" xfId="13775" xr:uid="{C962E331-0850-4D54-B55C-025D3BFD37C0}"/>
    <cellStyle name="Vírgula 6 2 8 5 2" xfId="34116" xr:uid="{723B6A88-1CA1-455D-B7A0-0C698F0BDBC4}"/>
    <cellStyle name="Vírgula 6 2 8 6" xfId="9897" xr:uid="{1C0EB815-B8D1-40B0-B2D6-AD1048B3B3E3}"/>
    <cellStyle name="Vírgula 6 2 8 6 2" xfId="30240" xr:uid="{987B0C5F-518A-4B8F-A4D2-A541E5E2572C}"/>
    <cellStyle name="Vírgula 6 2 8 7" xfId="26746" xr:uid="{A0C27CA7-2BFF-446D-B2FA-5F151832FE99}"/>
    <cellStyle name="Vírgula 6 2 8 8" xfId="49263" xr:uid="{7BECB8AE-C1EA-41BB-AD1B-5D000912F4CD}"/>
    <cellStyle name="Vírgula 6 2 8 9" xfId="50933" xr:uid="{A7ED581B-A31E-4CBF-B76F-A77C8B3D393D}"/>
    <cellStyle name="Vírgula 6 2 9" xfId="2090" xr:uid="{79A8ABBE-BCA0-4BB0-9D26-1DA31AE36946}"/>
    <cellStyle name="Vírgula 6 2 9 10" xfId="7562" xr:uid="{6DD09CF1-84A4-4841-8FF6-ACD5D3666E89}"/>
    <cellStyle name="Vírgula 6 2 9 2" xfId="17847" xr:uid="{CFA5D9AF-7D20-428D-8E1E-8DD1A7649BBA}"/>
    <cellStyle name="Vírgula 6 2 9 2 2" xfId="38187" xr:uid="{36C09129-7838-40C0-B0CA-5CCD3A8F2C41}"/>
    <cellStyle name="Vírgula 6 2 9 3" xfId="21349" xr:uid="{A1E8786B-A335-492F-B74A-499EB97DB841}"/>
    <cellStyle name="Vírgula 6 2 9 3 2" xfId="41688" xr:uid="{F47E9589-2505-4511-B075-FC64507BC1CC}"/>
    <cellStyle name="Vírgula 6 2 9 4" xfId="24604" xr:uid="{3C48F562-36CC-4364-A04E-0302CC641A6D}"/>
    <cellStyle name="Vírgula 6 2 9 4 2" xfId="44939" xr:uid="{55AFAB78-6FB2-4788-8541-12D11E7BE6C4}"/>
    <cellStyle name="Vírgula 6 2 9 5" xfId="14939" xr:uid="{3D5F07AB-D8BC-446E-8221-3F16B61B3003}"/>
    <cellStyle name="Vírgula 6 2 9 5 2" xfId="35279" xr:uid="{B2534D0B-1957-48B9-A1BF-44424E34D5DD}"/>
    <cellStyle name="Vírgula 6 2 9 6" xfId="11060" xr:uid="{B692928B-7E99-43FC-A18B-F7D90BF5776A}"/>
    <cellStyle name="Vírgula 6 2 9 6 2" xfId="31403" xr:uid="{12F588A7-6A57-44CB-8672-32656D7F92B9}"/>
    <cellStyle name="Vírgula 6 2 9 7" xfId="27909" xr:uid="{93631178-7AF5-4E26-AC61-0F4A612915FB}"/>
    <cellStyle name="Vírgula 6 2 9 8" xfId="52538" xr:uid="{60A4F766-45B7-4763-9801-72F12634BD7E}"/>
    <cellStyle name="Vírgula 6 2 9 9" xfId="55832" xr:uid="{39425994-31E7-404E-A63C-0201D784FC11}"/>
    <cellStyle name="Vírgula 6 20" xfId="45824" xr:uid="{FAA9D29C-4AA3-4E00-B708-82D4AB534570}"/>
    <cellStyle name="Vírgula 6 21" xfId="46310" xr:uid="{7EE64ECD-F9E7-4356-9967-6E47ED93DDC7}"/>
    <cellStyle name="Vírgula 6 22" xfId="46802" xr:uid="{14179CBC-EF06-4BEE-B1C3-F071AD0B257E}"/>
    <cellStyle name="Vírgula 6 23" xfId="47318" xr:uid="{FDD0D86B-7609-4724-B9C0-DB67E8EE4E68}"/>
    <cellStyle name="Vírgula 6 24" xfId="47444" xr:uid="{4090D3A9-3006-408D-A29C-E497A1C5C79D}"/>
    <cellStyle name="Vírgula 6 25" xfId="47570" xr:uid="{E83CA1FB-DC16-451D-B6A7-4C5547B6870E}"/>
    <cellStyle name="Vírgula 6 26" xfId="49234" xr:uid="{82B8C7CC-D69F-45FA-84B8-23F6E363C661}"/>
    <cellStyle name="Vírgula 6 27" xfId="50904" xr:uid="{4A77C3DA-207B-4440-B1AA-50938FC1E946}"/>
    <cellStyle name="Vírgula 6 28" xfId="54199" xr:uid="{16DBE7F6-E38D-4A78-A73E-E160DEB662FD}"/>
    <cellStyle name="Vírgula 6 29" xfId="5232" xr:uid="{A9001CEA-12C5-40B9-A772-6946A8F82D0A}"/>
    <cellStyle name="Vírgula 6 3" xfId="182" xr:uid="{63486A77-6B9A-4A8C-87AE-0124D0B48C4C}"/>
    <cellStyle name="Vírgula 6 3 10" xfId="22370" xr:uid="{835572CA-3DC3-42D8-B4CA-4EC83EFD9DE1}"/>
    <cellStyle name="Vírgula 6 3 10 2" xfId="42705" xr:uid="{7301A4F6-5F9B-47F3-97E0-A2C4D478893A}"/>
    <cellStyle name="Vírgula 6 3 11" xfId="12087" xr:uid="{58726338-A583-42FA-AD73-E17EE932FA77}"/>
    <cellStyle name="Vírgula 6 3 11 2" xfId="32428" xr:uid="{BFDA6CB4-75CF-4533-931C-63860A1004EC}"/>
    <cellStyle name="Vírgula 6 3 12" xfId="8826" xr:uid="{F227F822-A627-4F5E-B039-B8F01B280500}"/>
    <cellStyle name="Vírgula 6 3 12 2" xfId="29169" xr:uid="{7E2AB922-BE70-4A9E-A8BF-BF93D00950ED}"/>
    <cellStyle name="Vírgula 6 3 13" xfId="25675" xr:uid="{3D397AF6-7618-4EBA-BBC8-A69D312C0E2D}"/>
    <cellStyle name="Vírgula 6 3 14" xfId="45884" xr:uid="{8E07752F-A6E5-4A81-947A-371BFE736E8D}"/>
    <cellStyle name="Vírgula 6 3 15" xfId="46370" xr:uid="{28D462F3-1128-4FA4-ACDB-5944198A67BF}"/>
    <cellStyle name="Vírgula 6 3 16" xfId="46862" xr:uid="{B32439A3-2141-4598-B6FA-5DBF652C3BA7}"/>
    <cellStyle name="Vírgula 6 3 17" xfId="47374" xr:uid="{D46C017E-AEBE-4E9C-96B2-18750605CAB9}"/>
    <cellStyle name="Vírgula 6 3 18" xfId="47500" xr:uid="{E48ADCDE-2A1A-4C5C-AFDD-650DA951E440}"/>
    <cellStyle name="Vírgula 6 3 19" xfId="47626" xr:uid="{66E77820-5F1D-4B22-B7E4-9CF9F622608F}"/>
    <cellStyle name="Vírgula 6 3 2" xfId="371" xr:uid="{60DDE0C3-3BBC-45D0-89C5-212A44B0D255}"/>
    <cellStyle name="Vírgula 6 3 2 10" xfId="12474" xr:uid="{EAD99C9A-2EC2-4F71-8A02-D7248347393D}"/>
    <cellStyle name="Vírgula 6 3 2 10 2" xfId="32815" xr:uid="{CFA829D9-565C-40CA-A7B0-3F34CE139565}"/>
    <cellStyle name="Vírgula 6 3 2 11" xfId="9213" xr:uid="{E14EA63C-EB47-453C-9B50-AECF4C0DEF10}"/>
    <cellStyle name="Vírgula 6 3 2 11 2" xfId="29556" xr:uid="{213D4EAD-F902-431E-A277-B8E622761521}"/>
    <cellStyle name="Vírgula 6 3 2 12" xfId="26062" xr:uid="{CCA834D4-9F92-42A0-B5C7-54B11E94CAC5}"/>
    <cellStyle name="Vírgula 6 3 2 13" xfId="46019" xr:uid="{6B647D09-EE7F-46C4-B4C0-190F840E75D6}"/>
    <cellStyle name="Vírgula 6 3 2 14" xfId="46505" xr:uid="{F4A892D3-34FC-451C-B529-612CE145EE46}"/>
    <cellStyle name="Vírgula 6 3 2 15" xfId="46997" xr:uid="{47CEBC10-B123-4693-A7A5-C45D832D890E}"/>
    <cellStyle name="Vírgula 6 3 2 16" xfId="49265" xr:uid="{F2317266-E099-4024-9081-90EF08EBBA6F}"/>
    <cellStyle name="Vírgula 6 3 2 17" xfId="50935" xr:uid="{1CE11D57-CEAC-4BC4-A8A2-B40F683AFA9C}"/>
    <cellStyle name="Vírgula 6 3 2 18" xfId="54230" xr:uid="{E73695C0-18E5-4950-A929-683987E86277}"/>
    <cellStyle name="Vírgula 6 3 2 19" xfId="5723" xr:uid="{8CFE0F6C-B9AF-4C19-9D52-42614F6F7439}"/>
    <cellStyle name="Vírgula 6 3 2 2" xfId="1187" xr:uid="{7EA12C8A-388E-4BE0-99EE-A706D3ABEBE9}"/>
    <cellStyle name="Vírgula 6 3 2 2 10" xfId="46748" xr:uid="{7D87CAEF-3EB0-42F7-9071-8E3C60D5315D}"/>
    <cellStyle name="Vírgula 6 3 2 2 11" xfId="47240" xr:uid="{B18A94ED-804A-4045-ABF2-CFED73459819}"/>
    <cellStyle name="Vírgula 6 3 2 2 12" xfId="49266" xr:uid="{614F5041-2C4A-4120-ACB2-1387B8D98359}"/>
    <cellStyle name="Vírgula 6 3 2 2 13" xfId="50936" xr:uid="{FFADE6F5-B184-4B2B-9418-179188459FF9}"/>
    <cellStyle name="Vírgula 6 3 2 2 14" xfId="54231" xr:uid="{D8F70BF3-6D39-447F-B0A3-DF799F3C5B2C}"/>
    <cellStyle name="Vírgula 6 3 2 2 15" xfId="6295" xr:uid="{6A30DEDB-2B52-4031-9F00-3BBEB868C13E}"/>
    <cellStyle name="Vírgula 6 3 2 2 16" xfId="5137" xr:uid="{1D454A02-CF22-48B3-A4FF-26FB2ED5815C}"/>
    <cellStyle name="Vírgula 6 3 2 2 2" xfId="2848" xr:uid="{417985B8-905B-48C4-9D63-F5293DE6A00D}"/>
    <cellStyle name="Vírgula 6 3 2 2 2 10" xfId="7453" xr:uid="{37B486E8-A069-4180-A6BF-566EFF6BDAD5}"/>
    <cellStyle name="Vírgula 6 3 2 2 2 2" xfId="17739" xr:uid="{038DD2FE-F5EE-4BF5-B633-86FD035479A1}"/>
    <cellStyle name="Vírgula 6 3 2 2 2 2 2" xfId="38079" xr:uid="{097D3733-E317-47D5-AA22-F49793643648}"/>
    <cellStyle name="Vírgula 6 3 2 2 2 3" xfId="21241" xr:uid="{D494FD2E-B3A7-4517-B227-9B9B99F183E4}"/>
    <cellStyle name="Vírgula 6 3 2 2 2 3 2" xfId="41580" xr:uid="{9641571F-C610-4D83-AEC4-03C6D88AC8C9}"/>
    <cellStyle name="Vírgula 6 3 2 2 2 4" xfId="24496" xr:uid="{E21EE84A-77E5-4B14-B6ED-0B735668B102}"/>
    <cellStyle name="Vírgula 6 3 2 2 2 4 2" xfId="44831" xr:uid="{9361F39E-C0E1-43DE-8817-9B8EEB9A38C0}"/>
    <cellStyle name="Vírgula 6 3 2 2 2 5" xfId="14830" xr:uid="{6D3EF954-062A-4F37-AA03-B5016918DED7}"/>
    <cellStyle name="Vírgula 6 3 2 2 2 5 2" xfId="35171" xr:uid="{57F82F64-4E1D-45D7-940A-C7CB2BC95B76}"/>
    <cellStyle name="Vírgula 6 3 2 2 2 6" xfId="10952" xr:uid="{8828F73E-8A17-4592-8DB6-A64B26726694}"/>
    <cellStyle name="Vírgula 6 3 2 2 2 6 2" xfId="31295" xr:uid="{4EA71324-4FB5-46CE-AA2F-38A418280DBA}"/>
    <cellStyle name="Vírgula 6 3 2 2 2 7" xfId="27801" xr:uid="{2B2FFC9E-064C-4B18-AB80-033394AD8C48}"/>
    <cellStyle name="Vírgula 6 3 2 2 2 8" xfId="52568" xr:uid="{C28B5C74-EC91-4ADB-BAB7-6C459CA20EBD}"/>
    <cellStyle name="Vírgula 6 3 2 2 2 9" xfId="55862" xr:uid="{08EAA311-A59D-4172-84BB-1894FD05500C}"/>
    <cellStyle name="Vírgula 6 3 2 2 3" xfId="16581" xr:uid="{5A70D149-8D39-4322-8DAD-F7CA7D3D8550}"/>
    <cellStyle name="Vírgula 6 3 2 2 3 2" xfId="36921" xr:uid="{F92DDD55-5CA3-4587-941D-50972B0C6A50}"/>
    <cellStyle name="Vírgula 6 3 2 2 3 3" xfId="57058" xr:uid="{897979EE-3D49-405B-96DF-296B675B4CDB}"/>
    <cellStyle name="Vírgula 6 3 2 2 4" xfId="20083" xr:uid="{4CEE43B2-B323-4E08-9CB9-5B7ED0203D13}"/>
    <cellStyle name="Vírgula 6 3 2 2 4 2" xfId="40422" xr:uid="{8CEEE30F-AF48-4A73-8EDF-75F42CDF923C}"/>
    <cellStyle name="Vírgula 6 3 2 2 5" xfId="23338" xr:uid="{4B247A34-6EB7-4C85-A798-A4AD0E379663}"/>
    <cellStyle name="Vírgula 6 3 2 2 5 2" xfId="43673" xr:uid="{DF3A72B7-4A2A-434E-B54C-44ED41819D7F}"/>
    <cellStyle name="Vírgula 6 3 2 2 6" xfId="13672" xr:uid="{4D1E8892-60BD-4AC3-AE78-D28F7C680437}"/>
    <cellStyle name="Vírgula 6 3 2 2 6 2" xfId="34013" xr:uid="{0EE65BAC-C7B3-4589-AFBF-B855414CA8B4}"/>
    <cellStyle name="Vírgula 6 3 2 2 7" xfId="9794" xr:uid="{68CB6DA2-1F4E-4227-8044-48574E27DA1A}"/>
    <cellStyle name="Vírgula 6 3 2 2 7 2" xfId="30137" xr:uid="{2B571C5B-292D-4F77-B7AC-88F06B845A3A}"/>
    <cellStyle name="Vírgula 6 3 2 2 8" xfId="26643" xr:uid="{960426A3-EE81-4B84-A3D1-2F45667AA50A}"/>
    <cellStyle name="Vírgula 6 3 2 2 9" xfId="46262" xr:uid="{C8E02D18-C92E-4FB4-8513-664956777ADC}"/>
    <cellStyle name="Vírgula 6 3 2 20" xfId="4652" xr:uid="{3FD57691-7171-433D-A75E-A67831456EFE}"/>
    <cellStyle name="Vírgula 6 3 2 3" xfId="1593" xr:uid="{92D3158A-22CA-4375-A394-DA684CE62D28}"/>
    <cellStyle name="Vírgula 6 3 2 3 10" xfId="54232" xr:uid="{F9107C25-6611-4007-92EB-18E6C8014C97}"/>
    <cellStyle name="Vírgula 6 3 2 3 11" xfId="6872" xr:uid="{11A1CDA6-2BE6-4849-8F4D-2ED5587F4630}"/>
    <cellStyle name="Vírgula 6 3 2 3 12" xfId="4918" xr:uid="{753FB26F-CF5F-46E9-87DF-07F6C8F72B24}"/>
    <cellStyle name="Vírgula 6 3 2 3 2" xfId="3253" xr:uid="{02A66F29-23BF-4AA8-B62B-24FAADC89422}"/>
    <cellStyle name="Vírgula 6 3 2 3 2 2" xfId="37498" xr:uid="{39F7B22E-3BAB-42F6-A113-D7D93ED5208D}"/>
    <cellStyle name="Vírgula 6 3 2 3 2 3" xfId="52569" xr:uid="{299ED90E-099E-4440-B52C-7DC8D2D3FA75}"/>
    <cellStyle name="Vírgula 6 3 2 3 2 4" xfId="55863" xr:uid="{A5A761DC-45BB-4FCC-BDB2-C8D75D65B3FE}"/>
    <cellStyle name="Vírgula 6 3 2 3 2 5" xfId="17158" xr:uid="{D4AFF694-FEA0-4270-B225-7E2BEF9725EC}"/>
    <cellStyle name="Vírgula 6 3 2 3 3" xfId="20660" xr:uid="{7649413B-A695-4C90-9C20-45F2B4CD845C}"/>
    <cellStyle name="Vírgula 6 3 2 3 3 2" xfId="40999" xr:uid="{84B24F82-FA8F-4383-AD76-68EECB5CB287}"/>
    <cellStyle name="Vírgula 6 3 2 3 3 3" xfId="57464" xr:uid="{B302CB9F-EB3C-4A56-A75A-E1F80995DB74}"/>
    <cellStyle name="Vírgula 6 3 2 3 4" xfId="23915" xr:uid="{9B2CCA80-150D-4C20-873C-A605FCE4258A}"/>
    <cellStyle name="Vírgula 6 3 2 3 4 2" xfId="44250" xr:uid="{AEE9B219-1BEE-42D0-A1AF-BDFE7537B256}"/>
    <cellStyle name="Vírgula 6 3 2 3 5" xfId="14249" xr:uid="{DABA65FA-FB2B-4CF4-8E8C-2AE9489B9CCB}"/>
    <cellStyle name="Vírgula 6 3 2 3 5 2" xfId="34590" xr:uid="{CA52AFBE-B2BD-45EB-815E-1E90257033F8}"/>
    <cellStyle name="Vírgula 6 3 2 3 6" xfId="10371" xr:uid="{C43010FA-52F3-4FFD-82EA-C70507A5DDC3}"/>
    <cellStyle name="Vírgula 6 3 2 3 6 2" xfId="30714" xr:uid="{8DA1653E-19A2-4FF1-844F-19550777FCB6}"/>
    <cellStyle name="Vírgula 6 3 2 3 7" xfId="27220" xr:uid="{5DCEA481-74CF-4BD7-BEFB-97D6B7856659}"/>
    <cellStyle name="Vírgula 6 3 2 3 8" xfId="49267" xr:uid="{FB50038A-3E52-47F6-8A32-D2BBAE772644}"/>
    <cellStyle name="Vírgula 6 3 2 3 9" xfId="50937" xr:uid="{5914EADC-F4AD-4E54-99AA-BA0ED7111227}"/>
    <cellStyle name="Vírgula 6 3 2 4" xfId="780" xr:uid="{82BC9FE5-A66B-4242-AF9C-8FC4F1796888}"/>
    <cellStyle name="Vírgula 6 3 2 4 10" xfId="54233" xr:uid="{4A2FE179-6762-4AA1-B70A-C7B3BB08E115}"/>
    <cellStyle name="Vírgula 6 3 2 4 11" xfId="8036" xr:uid="{A7766EAC-A16A-41BD-AFE4-3491432AB8D1}"/>
    <cellStyle name="Vírgula 6 3 2 4 2" xfId="2496" xr:uid="{A0E11784-1576-4289-BF0F-920C8CBC7792}"/>
    <cellStyle name="Vírgula 6 3 2 4 2 2" xfId="38661" xr:uid="{B44A8325-064B-4C55-9151-68B9720204FB}"/>
    <cellStyle name="Vírgula 6 3 2 4 2 3" xfId="52570" xr:uid="{361A4CE5-9926-49CF-BCF8-4BA8403ACBAD}"/>
    <cellStyle name="Vírgula 6 3 2 4 2 4" xfId="55864" xr:uid="{1BD6C242-47C6-4D36-9BB0-E68FD455890F}"/>
    <cellStyle name="Vírgula 6 3 2 4 2 5" xfId="18321" xr:uid="{0CED40AD-5173-4A96-9ABF-D89243FA1C4F}"/>
    <cellStyle name="Vírgula 6 3 2 4 3" xfId="21823" xr:uid="{D2C6254D-C177-438E-9D0A-36C59E8C212F}"/>
    <cellStyle name="Vírgula 6 3 2 4 3 2" xfId="42162" xr:uid="{97AFD894-910A-4324-A0A1-6DC7676F6B7B}"/>
    <cellStyle name="Vírgula 6 3 2 4 3 3" xfId="56651" xr:uid="{6A6C3312-618E-4E49-ACBA-27830D0F45E8}"/>
    <cellStyle name="Vírgula 6 3 2 4 4" xfId="25078" xr:uid="{51993E7E-8521-4685-B35F-3715C14033B5}"/>
    <cellStyle name="Vírgula 6 3 2 4 4 2" xfId="45413" xr:uid="{DA3AE649-110F-48E6-ADED-9EA3305C26C8}"/>
    <cellStyle name="Vírgula 6 3 2 4 5" xfId="15413" xr:uid="{16E6EFF6-873C-49B5-8DDF-E3530CFF0635}"/>
    <cellStyle name="Vírgula 6 3 2 4 5 2" xfId="35753" xr:uid="{5A9F1862-F808-4B22-8787-28013796A65D}"/>
    <cellStyle name="Vírgula 6 3 2 4 6" xfId="11534" xr:uid="{A6CA9768-C182-4C24-9F0D-AF99FC907D47}"/>
    <cellStyle name="Vírgula 6 3 2 4 6 2" xfId="31877" xr:uid="{748AAE34-0F38-4259-8642-441E7F92643F}"/>
    <cellStyle name="Vírgula 6 3 2 4 7" xfId="28383" xr:uid="{D75AE67D-8EEC-4462-A5BA-4BA53FC333AD}"/>
    <cellStyle name="Vírgula 6 3 2 4 8" xfId="49268" xr:uid="{EDFF4B95-9BE2-42AB-AFDE-E022A1F3663F}"/>
    <cellStyle name="Vírgula 6 3 2 4 9" xfId="50938" xr:uid="{7FE5B6F0-62F6-476E-B3C9-0B72BB6B235E}"/>
    <cellStyle name="Vírgula 6 3 2 5" xfId="3660" xr:uid="{7389F488-EEB9-4CCB-B60A-27BC11534CA6}"/>
    <cellStyle name="Vírgula 6 3 2 5 2" xfId="22121" xr:uid="{6A2552C3-731B-4E86-A72D-6ECCF5EE1500}"/>
    <cellStyle name="Vírgula 6 3 2 5 2 2" xfId="42457" xr:uid="{5CAFB0C1-F561-449F-A97F-D2FB0511DB7B}"/>
    <cellStyle name="Vírgula 6 3 2 5 3" xfId="25373" xr:uid="{0E6A2E82-5A66-45FC-ACF7-7FA1B751F02D}"/>
    <cellStyle name="Vírgula 6 3 2 5 3 2" xfId="45708" xr:uid="{6D47841C-5A6E-404F-9997-1CBB1BFCBFB1}"/>
    <cellStyle name="Vírgula 6 3 2 5 4" xfId="13103" xr:uid="{DC9B83D1-A707-4DA3-A4D9-D1DB29035365}"/>
    <cellStyle name="Vírgula 6 3 2 5 4 2" xfId="33444" xr:uid="{BD431748-19A3-4FCA-A615-A9BE88894B20}"/>
    <cellStyle name="Vírgula 6 3 2 5 5" xfId="11830" xr:uid="{6C40EF7E-E6BC-4E7E-9EDD-C7F62CA50801}"/>
    <cellStyle name="Vírgula 6 3 2 5 5 2" xfId="32172" xr:uid="{F742A8CF-B8D2-43ED-A2BC-719B889C0A6F}"/>
    <cellStyle name="Vírgula 6 3 2 5 6" xfId="28678" xr:uid="{9718B5F7-80F1-4B6E-8718-5139E8CB2C9B}"/>
    <cellStyle name="Vírgula 6 3 2 5 7" xfId="52567" xr:uid="{0CCE3280-3404-4578-B747-27263C0E84AD}"/>
    <cellStyle name="Vírgula 6 3 2 5 8" xfId="55861" xr:uid="{BD89113D-EA97-4E39-9646-E7211B5AD58D}"/>
    <cellStyle name="Vírgula 6 3 2 5 9" xfId="8334" xr:uid="{E14BDB89-1C3B-472E-B94F-B54FFC4937DB}"/>
    <cellStyle name="Vírgula 6 3 2 6" xfId="4052" xr:uid="{8EE1A091-697B-4A55-B3F0-E74946D4A444}"/>
    <cellStyle name="Vírgula 6 3 2 6 2" xfId="16000" xr:uid="{D1EE6DB3-2DFA-4AA2-9F5A-A81ADA4268E8}"/>
    <cellStyle name="Vírgula 6 3 2 6 2 2" xfId="36340" xr:uid="{66AC03B2-F218-4ACE-8A0C-E5FF8E46D183}"/>
    <cellStyle name="Vírgula 6 3 2 6 3" xfId="28987" xr:uid="{175A3544-B046-439B-A4A8-57C66EF78103}"/>
    <cellStyle name="Vírgula 6 3 2 6 4" xfId="56242" xr:uid="{ED223742-ED46-41E0-87B4-6FC91F70EAF5}"/>
    <cellStyle name="Vírgula 6 3 2 6 5" xfId="8644" xr:uid="{0079EF2E-8061-4E9D-A2EA-224A4DFB4C56}"/>
    <cellStyle name="Vírgula 6 3 2 7" xfId="2009" xr:uid="{089AE400-7E0D-4F2C-9957-1CA7950EC62B}"/>
    <cellStyle name="Vírgula 6 3 2 7 2" xfId="39254" xr:uid="{B0DED633-D878-4238-8E5E-645C9ECB24CF}"/>
    <cellStyle name="Vírgula 6 3 2 7 3" xfId="18914" xr:uid="{091E5D8B-873A-4E82-B998-3171B187DBA5}"/>
    <cellStyle name="Vírgula 6 3 2 8" xfId="19502" xr:uid="{73C93AD2-B98C-4CBA-8F4E-C678689729E5}"/>
    <cellStyle name="Vírgula 6 3 2 8 2" xfId="39841" xr:uid="{88274AA6-B9C5-447A-91E4-7D592277D393}"/>
    <cellStyle name="Vírgula 6 3 2 9" xfId="22757" xr:uid="{68752CAA-DB67-4A32-899D-5D6096DEFC5C}"/>
    <cellStyle name="Vírgula 6 3 2 9 2" xfId="43092" xr:uid="{3ABC405E-C288-4901-A005-8C91AA67EC04}"/>
    <cellStyle name="Vírgula 6 3 20" xfId="49264" xr:uid="{51309840-9AD3-402E-AC50-642D91934DCC}"/>
    <cellStyle name="Vírgula 6 3 21" xfId="50934" xr:uid="{8EBF395B-AA98-4A2D-A615-500780087535}"/>
    <cellStyle name="Vírgula 6 3 22" xfId="54229" xr:uid="{9BEF14D7-35ED-4DFD-8B60-E3A4E5EB9A26}"/>
    <cellStyle name="Vírgula 6 3 23" xfId="5354" xr:uid="{CC4B0B85-06A5-4E01-9E35-19E0475593CA}"/>
    <cellStyle name="Vírgula 6 3 24" xfId="4463" xr:uid="{29FE1C94-32B4-4268-9BB4-F9437EE8C8E8}"/>
    <cellStyle name="Vírgula 6 3 3" xfId="998" xr:uid="{4555221E-747E-4DFE-B0CE-DB460ACC7EB2}"/>
    <cellStyle name="Vírgula 6 3 3 10" xfId="46613" xr:uid="{028A907E-4DDD-46EE-8FCD-ED651B46CBA9}"/>
    <cellStyle name="Vírgula 6 3 3 11" xfId="47105" xr:uid="{46776D5B-D043-4F2C-83EB-2323EEA45D37}"/>
    <cellStyle name="Vírgula 6 3 3 12" xfId="49269" xr:uid="{6201C754-10C9-4575-90AE-078E0411155A}"/>
    <cellStyle name="Vírgula 6 3 3 13" xfId="50939" xr:uid="{01E1CF47-50CE-404B-A64D-9A9E05CBBE80}"/>
    <cellStyle name="Vírgula 6 3 3 14" xfId="54234" xr:uid="{6E8F8ED3-4C92-4A3E-A5AC-3661C3F4E95D}"/>
    <cellStyle name="Vírgula 6 3 3 15" xfId="5908" xr:uid="{73111CBD-67FE-4339-83A2-1AB9B681F4BC}"/>
    <cellStyle name="Vírgula 6 3 3 16" xfId="5013" xr:uid="{114026ED-FAA5-4C3D-8E9A-BF82DB5A028B}"/>
    <cellStyle name="Vírgula 6 3 3 2" xfId="3551" xr:uid="{1DD4E70C-2940-444C-A423-FEE13B028488}"/>
    <cellStyle name="Vírgula 6 3 3 2 10" xfId="7066" xr:uid="{ADC9E05A-E88A-4E13-A608-EB34D234FA85}"/>
    <cellStyle name="Vírgula 6 3 3 2 2" xfId="17352" xr:uid="{7D7C90A4-997F-4ABD-9EF8-605D20444519}"/>
    <cellStyle name="Vírgula 6 3 3 2 2 2" xfId="37692" xr:uid="{65693168-F503-4056-B838-DB3C016DE53C}"/>
    <cellStyle name="Vírgula 6 3 3 2 3" xfId="20854" xr:uid="{7F4B282E-F1F8-411B-A15E-DD703480F622}"/>
    <cellStyle name="Vírgula 6 3 3 2 3 2" xfId="41193" xr:uid="{FC7C1C5A-A279-4B91-BC36-1C3DB194094C}"/>
    <cellStyle name="Vírgula 6 3 3 2 4" xfId="24109" xr:uid="{CFE98FE3-D76C-4CC3-80EF-5CC14C7A93B7}"/>
    <cellStyle name="Vírgula 6 3 3 2 4 2" xfId="44444" xr:uid="{6C8BBA2E-1E17-450D-A99E-597EB3B79260}"/>
    <cellStyle name="Vírgula 6 3 3 2 5" xfId="14443" xr:uid="{354ACEAC-6F3B-421C-B2A5-0473AD42337A}"/>
    <cellStyle name="Vírgula 6 3 3 2 5 2" xfId="34784" xr:uid="{E8E27BE8-4F8D-4C67-84E9-0415F8CBFBD0}"/>
    <cellStyle name="Vírgula 6 3 3 2 6" xfId="10565" xr:uid="{79688CDC-7764-4951-A1B5-2CBEE6879A3F}"/>
    <cellStyle name="Vírgula 6 3 3 2 6 2" xfId="30908" xr:uid="{369A4BB6-26E7-4998-A8C5-98214288B61E}"/>
    <cellStyle name="Vírgula 6 3 3 2 7" xfId="27414" xr:uid="{78BE60DD-C39F-4E3E-85C7-E6185A8A8BD5}"/>
    <cellStyle name="Vírgula 6 3 3 2 8" xfId="52571" xr:uid="{2A11A9D1-B1F1-4E7C-87F9-E156AD015990}"/>
    <cellStyle name="Vírgula 6 3 3 2 9" xfId="55865" xr:uid="{F48E5307-84B8-413E-991B-A0E9F6892502}"/>
    <cellStyle name="Vírgula 6 3 3 3" xfId="4224" xr:uid="{57DC8E31-7C0E-426E-B748-C45D0692C2CA}"/>
    <cellStyle name="Vírgula 6 3 3 3 2" xfId="22122" xr:uid="{C9F4DE4C-DF0A-4073-A308-B5B16EEF96BA}"/>
    <cellStyle name="Vírgula 6 3 3 3 2 2" xfId="42458" xr:uid="{363961BD-982E-4BA3-9DF4-F14017ADFAF2}"/>
    <cellStyle name="Vírgula 6 3 3 3 3" xfId="25374" xr:uid="{0C159A3A-6AFE-48A9-990E-A1BFD993AFA1}"/>
    <cellStyle name="Vírgula 6 3 3 3 3 2" xfId="45709" xr:uid="{A467E47E-13C0-413F-9D31-BB1DFC5D9999}"/>
    <cellStyle name="Vírgula 6 3 3 3 4" xfId="16194" xr:uid="{891EBDD9-6705-46FE-958C-ED6DDE77FF35}"/>
    <cellStyle name="Vírgula 6 3 3 3 4 2" xfId="36534" xr:uid="{7C42E10B-3200-4CC5-88D2-9D41F32EEE8D}"/>
    <cellStyle name="Vírgula 6 3 3 3 5" xfId="11831" xr:uid="{6510F23C-CAC9-42DB-9927-9AC1922836B1}"/>
    <cellStyle name="Vírgula 6 3 3 3 5 2" xfId="32173" xr:uid="{BD1AF37D-F242-4682-9D16-B85AFF3D437E}"/>
    <cellStyle name="Vírgula 6 3 3 3 6" xfId="28679" xr:uid="{0CADC4D5-576C-4834-923F-AF45EF5A3F31}"/>
    <cellStyle name="Vírgula 6 3 3 3 7" xfId="56869" xr:uid="{83753F4D-8B7F-4737-8091-D9CC4D2A9F6D}"/>
    <cellStyle name="Vírgula 6 3 3 3 8" xfId="8335" xr:uid="{044FBB10-1E32-4355-8795-143B1F65A9D5}"/>
    <cellStyle name="Vírgula 6 3 3 4" xfId="1900" xr:uid="{7EA6444F-D2A6-4A42-85B2-6C0536CC8953}"/>
    <cellStyle name="Vírgula 6 3 3 4 2" xfId="40035" xr:uid="{1927410F-2331-48C4-94E6-B8D72AE6F4C1}"/>
    <cellStyle name="Vírgula 6 3 3 4 3" xfId="19696" xr:uid="{BCBCA054-54C4-40B0-9031-266CA97E967D}"/>
    <cellStyle name="Vírgula 6 3 3 5" xfId="22951" xr:uid="{46FFDF4D-2F29-468F-9306-CC16CD35CA10}"/>
    <cellStyle name="Vírgula 6 3 3 5 2" xfId="43286" xr:uid="{020C32F9-69D7-4D2E-8627-B3EAD6B2AEF1}"/>
    <cellStyle name="Vírgula 6 3 3 6" xfId="13287" xr:uid="{90CBAD8D-60C3-4FBD-AFE3-FE8A25AF64D0}"/>
    <cellStyle name="Vírgula 6 3 3 6 2" xfId="33628" xr:uid="{5F3E6FE0-EB16-41A3-B76F-9BE523434601}"/>
    <cellStyle name="Vírgula 6 3 3 7" xfId="9407" xr:uid="{15543E7F-2B7C-4F9C-8C15-DB25DC166C7A}"/>
    <cellStyle name="Vírgula 6 3 3 7 2" xfId="29750" xr:uid="{451F3D30-EFF6-4D17-BC2B-E18060F4AB32}"/>
    <cellStyle name="Vírgula 6 3 3 8" xfId="26256" xr:uid="{4E77B48A-971C-4C08-9644-24D2B5D0025E}"/>
    <cellStyle name="Vírgula 6 3 3 9" xfId="46127" xr:uid="{376F59E2-4A10-47B8-BB92-F73024E336D9}"/>
    <cellStyle name="Vírgula 6 3 4" xfId="1404" xr:uid="{974FBB5A-8746-4330-B3DD-8120CF8D2844}"/>
    <cellStyle name="Vírgula 6 3 4 10" xfId="54235" xr:uid="{DEF419D6-FC2F-4A8C-A63C-2B90A26A51B8}"/>
    <cellStyle name="Vírgula 6 3 4 11" xfId="6485" xr:uid="{378342BB-BCC3-418B-89D9-8A1C936A86EA}"/>
    <cellStyle name="Vírgula 6 3 4 12" xfId="4798" xr:uid="{1DC4932E-F764-4A19-8EB7-DD07C25A6BF7}"/>
    <cellStyle name="Vírgula 6 3 4 2" xfId="3769" xr:uid="{060A5F3F-AFE6-4DF7-A7A7-11943BF12D59}"/>
    <cellStyle name="Vírgula 6 3 4 2 2" xfId="37111" xr:uid="{094E0B48-D5CB-4728-B9BF-AC962E186DD8}"/>
    <cellStyle name="Vírgula 6 3 4 2 3" xfId="52572" xr:uid="{26AF5EB3-4A75-4AFD-AF96-170893E245B4}"/>
    <cellStyle name="Vírgula 6 3 4 2 4" xfId="55866" xr:uid="{C20E3691-3D98-4780-ADE6-7A3F6770DCB9}"/>
    <cellStyle name="Vírgula 6 3 4 2 5" xfId="16771" xr:uid="{BEB40441-F891-4E4C-AAAE-4138289DECBB}"/>
    <cellStyle name="Vírgula 6 3 4 3" xfId="3065" xr:uid="{F2549574-63D5-4335-9D20-ABBDA5412615}"/>
    <cellStyle name="Vírgula 6 3 4 3 2" xfId="40612" xr:uid="{F98883E9-3C76-4D1D-A0CB-983DBB5046F4}"/>
    <cellStyle name="Vírgula 6 3 4 3 3" xfId="57275" xr:uid="{3C86191C-99B8-4139-BE77-70BC8121CE9D}"/>
    <cellStyle name="Vírgula 6 3 4 3 4" xfId="20273" xr:uid="{503494CD-D015-4498-86C8-C2FDFA8D6F11}"/>
    <cellStyle name="Vírgula 6 3 4 4" xfId="23528" xr:uid="{B2B0067A-C566-4793-A36F-D1EFFEA566D9}"/>
    <cellStyle name="Vírgula 6 3 4 4 2" xfId="43863" xr:uid="{8FB8C36C-9E95-459D-B7BC-C18CB1DAB05D}"/>
    <cellStyle name="Vírgula 6 3 4 5" xfId="13862" xr:uid="{E4E08DFF-0740-4552-9D42-8815FDBEC136}"/>
    <cellStyle name="Vírgula 6 3 4 5 2" xfId="34203" xr:uid="{29119868-3511-4B6D-8568-0BE892600E5E}"/>
    <cellStyle name="Vírgula 6 3 4 6" xfId="9984" xr:uid="{ECC42405-1CC4-4B46-96C1-DDE309E701A0}"/>
    <cellStyle name="Vírgula 6 3 4 6 2" xfId="30327" xr:uid="{5B38F2F4-A10F-43C2-B7FF-A5A7D609372C}"/>
    <cellStyle name="Vírgula 6 3 4 7" xfId="26833" xr:uid="{453815BD-5F05-427E-9CD5-33896919FBF7}"/>
    <cellStyle name="Vírgula 6 3 4 8" xfId="49270" xr:uid="{3D024167-B1CB-468B-B803-2C751BD4F301}"/>
    <cellStyle name="Vírgula 6 3 4 9" xfId="50940" xr:uid="{DEADF385-873D-4E6F-A78A-F9DBD944428F}"/>
    <cellStyle name="Vírgula 6 3 5" xfId="591" xr:uid="{D8414870-F401-4EAD-9B9B-6038591777DB}"/>
    <cellStyle name="Vírgula 6 3 5 10" xfId="54236" xr:uid="{1296786F-7D51-4744-B61B-70A9EE3678CD}"/>
    <cellStyle name="Vírgula 6 3 5 11" xfId="7649" xr:uid="{B25EF42D-9DE8-4368-8DE9-D3BD6088A830}"/>
    <cellStyle name="Vírgula 6 3 5 2" xfId="2307" xr:uid="{B38B3BE9-3008-453C-BA9F-308D2558410C}"/>
    <cellStyle name="Vírgula 6 3 5 2 2" xfId="38274" xr:uid="{7F2B500E-32F6-40BE-8C24-2F768D19293A}"/>
    <cellStyle name="Vírgula 6 3 5 2 3" xfId="52573" xr:uid="{60DAE371-3048-457E-AF88-3021D79EBE06}"/>
    <cellStyle name="Vírgula 6 3 5 2 4" xfId="55867" xr:uid="{CBF21D61-3F3A-4F84-9B9B-808F96774E7F}"/>
    <cellStyle name="Vírgula 6 3 5 2 5" xfId="17934" xr:uid="{B5A2E445-5D90-4E62-81AA-96AEEC74B769}"/>
    <cellStyle name="Vírgula 6 3 5 3" xfId="21436" xr:uid="{3C979A27-F0E9-402C-B260-71565A1FBEB2}"/>
    <cellStyle name="Vírgula 6 3 5 3 2" xfId="41775" xr:uid="{3E666AAC-8385-4B76-8C42-75EAC89D7743}"/>
    <cellStyle name="Vírgula 6 3 5 3 3" xfId="56462" xr:uid="{DC8978E9-DD9B-4F9F-8BDA-26F86A1E9750}"/>
    <cellStyle name="Vírgula 6 3 5 4" xfId="24691" xr:uid="{AA80C468-4C08-4FF5-B349-FB1F58FE9E33}"/>
    <cellStyle name="Vírgula 6 3 5 4 2" xfId="45026" xr:uid="{F600F99A-4E97-4E81-98B1-3845E031B33C}"/>
    <cellStyle name="Vírgula 6 3 5 5" xfId="15026" xr:uid="{AED5068B-6142-4B7E-8ECA-C1AB626EAA9D}"/>
    <cellStyle name="Vírgula 6 3 5 5 2" xfId="35366" xr:uid="{E33BD6C9-9A1F-4828-8F92-3A13F15EC419}"/>
    <cellStyle name="Vírgula 6 3 5 6" xfId="11147" xr:uid="{2A088553-1694-487F-9459-B5BB018A0E57}"/>
    <cellStyle name="Vírgula 6 3 5 6 2" xfId="31490" xr:uid="{2C6F0A59-8BE6-4804-AA2F-9748C62F589B}"/>
    <cellStyle name="Vírgula 6 3 5 7" xfId="27996" xr:uid="{E6F7134B-B94B-449B-9C4E-0DBB5FF80D56}"/>
    <cellStyle name="Vírgula 6 3 5 8" xfId="49271" xr:uid="{5094CCA1-F274-4BB8-9C38-677BB5D1342E}"/>
    <cellStyle name="Vírgula 6 3 5 9" xfId="50941" xr:uid="{DB88C01C-FD46-4072-AED0-975D019A994A}"/>
    <cellStyle name="Vírgula 6 3 6" xfId="3441" xr:uid="{B589BACA-1AF5-4A04-93EE-1D302D8905CC}"/>
    <cellStyle name="Vírgula 6 3 6 2" xfId="22120" xr:uid="{F9215F65-F7DD-4FB3-8A54-2DCF2DF1821A}"/>
    <cellStyle name="Vírgula 6 3 6 2 2" xfId="42456" xr:uid="{35FB1CE1-E613-4A2F-9361-803F60B11B0B}"/>
    <cellStyle name="Vírgula 6 3 6 3" xfId="25372" xr:uid="{394E6EA1-A348-4B5D-831F-E9E9FB2327D6}"/>
    <cellStyle name="Vírgula 6 3 6 3 2" xfId="45707" xr:uid="{56FD053A-A238-4CF3-A196-120F65F8E72C}"/>
    <cellStyle name="Vírgula 6 3 6 4" xfId="12718" xr:uid="{ED8B506D-4C9A-4AB2-88D8-7E7F5FD280DC}"/>
    <cellStyle name="Vírgula 6 3 6 4 2" xfId="33059" xr:uid="{CA65C508-1271-426C-A73D-11503D23DF11}"/>
    <cellStyle name="Vírgula 6 3 6 5" xfId="11829" xr:uid="{9D2B5D0D-0CD1-490C-AFA9-DD5BC9B75FE0}"/>
    <cellStyle name="Vírgula 6 3 6 5 2" xfId="32171" xr:uid="{C20A0FF3-1595-495F-AAB1-07574C9A479A}"/>
    <cellStyle name="Vírgula 6 3 6 6" xfId="28677" xr:uid="{22E73081-4F24-4FDA-BD7C-062A01F7B444}"/>
    <cellStyle name="Vírgula 6 3 6 7" xfId="52566" xr:uid="{769B7925-C61F-4297-B1A5-506E397E839A}"/>
    <cellStyle name="Vírgula 6 3 6 8" xfId="55860" xr:uid="{7175D946-B3A5-4566-84D3-8B493C9ED484}"/>
    <cellStyle name="Vírgula 6 3 6 9" xfId="8333" xr:uid="{673264A3-9229-4372-B7CD-D190692B362B}"/>
    <cellStyle name="Vírgula 6 3 7" xfId="3881" xr:uid="{9F4AF6D3-5D83-43E7-A9BB-D5B2A00906B8}"/>
    <cellStyle name="Vírgula 6 3 7 2" xfId="15613" xr:uid="{4ED2BF08-C3C3-4179-AE25-7412C87D1BC8}"/>
    <cellStyle name="Vírgula 6 3 7 2 2" xfId="35953" xr:uid="{D1ED014D-82EE-41DA-866A-F6A0755D3795}"/>
    <cellStyle name="Vírgula 6 3 7 3" xfId="28852" xr:uid="{23D4FAE9-758A-47F8-9978-EF1EEFF50017}"/>
    <cellStyle name="Vírgula 6 3 7 4" xfId="56053" xr:uid="{9776C86B-BB7A-4007-B387-E3407F0DC17A}"/>
    <cellStyle name="Vírgula 6 3 7 5" xfId="8509" xr:uid="{0A8697D1-4DEB-4481-91BA-0F5E058F4A3B}"/>
    <cellStyle name="Vírgula 6 3 8" xfId="1790" xr:uid="{C52D0697-79EF-4385-A092-E1B271420BB3}"/>
    <cellStyle name="Vírgula 6 3 8 2" xfId="38867" xr:uid="{B47E5BAA-917D-4F10-BF33-962C9221B95F}"/>
    <cellStyle name="Vírgula 6 3 8 3" xfId="18527" xr:uid="{54CFA584-5310-4044-86F2-B2550C35E2FE}"/>
    <cellStyle name="Vírgula 6 3 9" xfId="19115" xr:uid="{34BA6D80-7462-433B-BDEB-A8FD15A4EEFC}"/>
    <cellStyle name="Vírgula 6 3 9 2" xfId="39454" xr:uid="{87EC9EB5-1430-455D-B008-2CA67D52E367}"/>
    <cellStyle name="Vírgula 6 30" xfId="4384" xr:uid="{664B6E32-CC41-4837-BCC9-7A1A269F1C70}"/>
    <cellStyle name="Vírgula 6 4" xfId="208" xr:uid="{022E0EBF-BA62-4034-A6CC-2B1450A278DC}"/>
    <cellStyle name="Vírgula 6 4 10" xfId="12183" xr:uid="{91C50863-BDF5-4967-82B8-BDE8FEE51EBD}"/>
    <cellStyle name="Vírgula 6 4 10 2" xfId="32524" xr:uid="{D9E0D3B6-27AD-4133-98A8-6E3C7818895B}"/>
    <cellStyle name="Vírgula 6 4 11" xfId="8922" xr:uid="{4163391E-215B-4AD2-A0FF-D1D25B37394F}"/>
    <cellStyle name="Vírgula 6 4 11 2" xfId="29265" xr:uid="{7EA56C5F-2F30-4567-A15D-A9DD86D7FFF0}"/>
    <cellStyle name="Vírgula 6 4 12" xfId="25771" xr:uid="{D462B319-9E3C-4AC7-8CE2-1E32193CB7F9}"/>
    <cellStyle name="Vírgula 6 4 13" xfId="46016" xr:uid="{1290575D-66AB-4F1C-B91F-8E59F47DC3D6}"/>
    <cellStyle name="Vírgula 6 4 14" xfId="46502" xr:uid="{D9416C1D-1C92-46A8-908F-EE7275020AA0}"/>
    <cellStyle name="Vírgula 6 4 15" xfId="46994" xr:uid="{448BD89B-6DE7-4DFC-A788-7C8C74C15999}"/>
    <cellStyle name="Vírgula 6 4 16" xfId="49272" xr:uid="{EF7E8BB6-C44B-496A-98B0-E42DBAD49B60}"/>
    <cellStyle name="Vírgula 6 4 17" xfId="50942" xr:uid="{111913BD-9240-45B8-B154-E86ABE829672}"/>
    <cellStyle name="Vírgula 6 4 18" xfId="54237" xr:uid="{348D55DD-0E1A-4A26-80CA-D86DDF2B5A3B}"/>
    <cellStyle name="Vírgula 6 4 19" xfId="5439" xr:uid="{50F543BC-745C-485D-8C59-6C14174F14E1}"/>
    <cellStyle name="Vírgula 6 4 2" xfId="397" xr:uid="{B18AD7FD-F1F4-483E-87E2-8CE026BD239B}"/>
    <cellStyle name="Vírgula 6 4 2 10" xfId="46745" xr:uid="{6707413D-BD97-4C2C-8435-C4B866E28E69}"/>
    <cellStyle name="Vírgula 6 4 2 11" xfId="47237" xr:uid="{D0873552-8132-40D5-B41F-AE4167857C05}"/>
    <cellStyle name="Vírgula 6 4 2 12" xfId="49273" xr:uid="{98BE5961-CAAE-45A3-A488-65A62A4444C0}"/>
    <cellStyle name="Vírgula 6 4 2 13" xfId="50943" xr:uid="{A3F6B8A8-7685-4F07-A6B8-4112EBE23E65}"/>
    <cellStyle name="Vírgula 6 4 2 14" xfId="54238" xr:uid="{EDC1D5B7-7746-4A91-8DDB-6C16AE04E1C0}"/>
    <cellStyle name="Vírgula 6 4 2 15" xfId="6004" xr:uid="{A8D6B4E4-0AEB-4C65-BB0D-93A7E3F0D85F}"/>
    <cellStyle name="Vírgula 6 4 2 16" xfId="4678" xr:uid="{EA755D2F-E572-49C4-A42C-FFDBB0577404}"/>
    <cellStyle name="Vírgula 6 4 2 2" xfId="1213" xr:uid="{EE2993E1-F540-45F6-AEEB-570EAF1102F6}"/>
    <cellStyle name="Vírgula 6 4 2 2 10" xfId="54239" xr:uid="{904A29BB-DA00-4482-A36D-A398F1CCD0A9}"/>
    <cellStyle name="Vírgula 6 4 2 2 11" xfId="7162" xr:uid="{0C01BE6D-1BA1-4080-AD36-349B2B42CBA7}"/>
    <cellStyle name="Vírgula 6 4 2 2 12" xfId="5134" xr:uid="{F4F6CFFF-A2E0-4DC9-9FCF-32EEBB3233E3}"/>
    <cellStyle name="Vírgula 6 4 2 2 2" xfId="2874" xr:uid="{7C8586D2-4E3A-42A3-A089-F725F69E980E}"/>
    <cellStyle name="Vírgula 6 4 2 2 2 2" xfId="37788" xr:uid="{CAE4F823-5455-4334-9931-255ED7BFAD0B}"/>
    <cellStyle name="Vírgula 6 4 2 2 2 3" xfId="52576" xr:uid="{4700CC09-447A-468D-A8DC-D47A01FAFA9A}"/>
    <cellStyle name="Vírgula 6 4 2 2 2 4" xfId="55870" xr:uid="{5F12D17F-792C-47F3-B86E-7AFBEEBBE65E}"/>
    <cellStyle name="Vírgula 6 4 2 2 2 5" xfId="17448" xr:uid="{ADEB60D3-1C57-4327-8225-6D77618C9F8D}"/>
    <cellStyle name="Vírgula 6 4 2 2 3" xfId="20950" xr:uid="{93939B63-F8D8-49C9-B986-7EB517DE29F7}"/>
    <cellStyle name="Vírgula 6 4 2 2 3 2" xfId="41289" xr:uid="{6E067020-38DF-4B2F-9572-FAA03EFB4505}"/>
    <cellStyle name="Vírgula 6 4 2 2 3 3" xfId="57084" xr:uid="{9FCAD299-5B39-4C7E-9991-4AC92923E772}"/>
    <cellStyle name="Vírgula 6 4 2 2 4" xfId="24205" xr:uid="{AC3A539E-8840-413B-9CB2-0C6AA125CD55}"/>
    <cellStyle name="Vírgula 6 4 2 2 4 2" xfId="44540" xr:uid="{441E0167-371C-497A-B786-DB02C45B5335}"/>
    <cellStyle name="Vírgula 6 4 2 2 5" xfId="14539" xr:uid="{B5A5F4C7-6327-4EC5-9747-1D40A7DDC022}"/>
    <cellStyle name="Vírgula 6 4 2 2 5 2" xfId="34880" xr:uid="{85F9F377-82A9-4F69-87FB-AB4599784019}"/>
    <cellStyle name="Vírgula 6 4 2 2 6" xfId="10661" xr:uid="{14AFE672-1028-4E58-B8F6-374835963AF4}"/>
    <cellStyle name="Vírgula 6 4 2 2 6 2" xfId="31004" xr:uid="{803C4486-7995-4721-A4D3-59744D699688}"/>
    <cellStyle name="Vírgula 6 4 2 2 7" xfId="27510" xr:uid="{90235073-8C24-4544-910A-2936B37B49BA}"/>
    <cellStyle name="Vírgula 6 4 2 2 8" xfId="49274" xr:uid="{F9F8AD31-8C7B-43A7-B54D-9515C6D8A856}"/>
    <cellStyle name="Vírgula 6 4 2 2 9" xfId="50944" xr:uid="{C73600E1-5994-4914-93EB-FE80FFC79014}"/>
    <cellStyle name="Vírgula 6 4 2 3" xfId="1619" xr:uid="{87C06338-179B-40B4-AF85-B7C12BE07404}"/>
    <cellStyle name="Vírgula 6 4 2 3 2" xfId="3279" xr:uid="{024927A3-8D17-461E-A36F-A77018A63A29}"/>
    <cellStyle name="Vírgula 6 4 2 3 2 2" xfId="52577" xr:uid="{2BFAFFD5-142C-4C34-8C17-7170840EAFE8}"/>
    <cellStyle name="Vírgula 6 4 2 3 2 3" xfId="55871" xr:uid="{EBA3E163-8AE0-42D5-A566-54BAE41A0C17}"/>
    <cellStyle name="Vírgula 6 4 2 3 2 4" xfId="36630" xr:uid="{A08202D4-62A6-4647-A041-4E05A5D1EC77}"/>
    <cellStyle name="Vírgula 6 4 2 3 3" xfId="49275" xr:uid="{4D56460B-B76E-4FDC-8AED-8F5FAA0633BD}"/>
    <cellStyle name="Vírgula 6 4 2 3 3 2" xfId="57490" xr:uid="{3267F9BD-1E1D-4D6D-AB9A-C0E61DAE1813}"/>
    <cellStyle name="Vírgula 6 4 2 3 4" xfId="50945" xr:uid="{4F42607D-3F70-4C91-B13C-677BD4100141}"/>
    <cellStyle name="Vírgula 6 4 2 3 5" xfId="54240" xr:uid="{E64EAF89-92C2-4AAA-A1D5-9D8EEF51EBDB}"/>
    <cellStyle name="Vírgula 6 4 2 3 6" xfId="16290" xr:uid="{AEDBD906-8149-4F4F-B7B8-0BAA39682650}"/>
    <cellStyle name="Vírgula 6 4 2 4" xfId="806" xr:uid="{5AE2AB4D-BCA7-47A7-B1AA-14FCA5F9BF06}"/>
    <cellStyle name="Vírgula 6 4 2 4 2" xfId="2522" xr:uid="{E778AEED-BA5F-4422-8A2B-20A3AC14DC5A}"/>
    <cellStyle name="Vírgula 6 4 2 4 2 2" xfId="52578" xr:uid="{39D622F1-4791-4F45-B71B-C1948240BB61}"/>
    <cellStyle name="Vírgula 6 4 2 4 2 3" xfId="55872" xr:uid="{9682D2A5-A855-4DC0-AE86-C4445E3A55A5}"/>
    <cellStyle name="Vírgula 6 4 2 4 2 4" xfId="40131" xr:uid="{44EE0B30-F133-4B2E-9891-6019007A7CC3}"/>
    <cellStyle name="Vírgula 6 4 2 4 3" xfId="49276" xr:uid="{1C9492B6-21C6-4A50-8810-4E2FE044EE27}"/>
    <cellStyle name="Vírgula 6 4 2 4 3 2" xfId="56677" xr:uid="{56D1D2F4-EE45-4CF7-AF4A-AF8D7D03F0D7}"/>
    <cellStyle name="Vírgula 6 4 2 4 4" xfId="50946" xr:uid="{8D286D23-A765-407C-BF2E-314335A9E7B1}"/>
    <cellStyle name="Vírgula 6 4 2 4 5" xfId="54241" xr:uid="{7459E07D-E6A5-4CCC-BDC9-3F47632E6137}"/>
    <cellStyle name="Vírgula 6 4 2 4 6" xfId="19792" xr:uid="{04817CA0-68DC-4C3D-8338-463802F4E7D4}"/>
    <cellStyle name="Vírgula 6 4 2 5" xfId="4125" xr:uid="{E92F9085-F0EB-4FD5-ABA8-835348042DA9}"/>
    <cellStyle name="Vírgula 6 4 2 5 2" xfId="43382" xr:uid="{66F16AC2-FD24-4AD5-BCFB-EBEB8E710E48}"/>
    <cellStyle name="Vírgula 6 4 2 5 3" xfId="52575" xr:uid="{232293E8-00F7-4263-8401-B61F7B29BED8}"/>
    <cellStyle name="Vírgula 6 4 2 5 4" xfId="55869" xr:uid="{B366AF80-F438-40C2-911B-714CB3FF62F7}"/>
    <cellStyle name="Vírgula 6 4 2 5 5" xfId="23047" xr:uid="{D4FE1620-D749-4DEB-8A7B-38599F4264A3}"/>
    <cellStyle name="Vírgula 6 4 2 6" xfId="2140" xr:uid="{65A8D5AA-C133-4178-8591-C3629F9DCD85}"/>
    <cellStyle name="Vírgula 6 4 2 6 2" xfId="33722" xr:uid="{AA731876-5CF5-4A23-90D6-2F59D13C8F85}"/>
    <cellStyle name="Vírgula 6 4 2 6 3" xfId="56268" xr:uid="{5D72ED68-393A-4E05-A34A-AEB86C4E6026}"/>
    <cellStyle name="Vírgula 6 4 2 6 4" xfId="13381" xr:uid="{73261A54-8260-4F94-B68C-E8ECEF76D4C6}"/>
    <cellStyle name="Vírgula 6 4 2 7" xfId="9503" xr:uid="{93E2F082-FE2F-4012-9D73-6C004A9214D1}"/>
    <cellStyle name="Vírgula 6 4 2 7 2" xfId="29846" xr:uid="{3FD9F889-FE42-41AA-BF7F-9AF96924748F}"/>
    <cellStyle name="Vírgula 6 4 2 8" xfId="26352" xr:uid="{694C0D99-A559-4CAF-956C-99BCB4E6CF68}"/>
    <cellStyle name="Vírgula 6 4 2 9" xfId="46259" xr:uid="{E35C4BB4-5A46-436A-A8B3-34D8396DB936}"/>
    <cellStyle name="Vírgula 6 4 20" xfId="4489" xr:uid="{7496B8D3-ABAD-4894-9CA4-F629868DCBAB}"/>
    <cellStyle name="Vírgula 6 4 3" xfId="1024" xr:uid="{4225D383-5DFD-4800-9E14-364C49C729F0}"/>
    <cellStyle name="Vírgula 6 4 3 10" xfId="54242" xr:uid="{40489231-FFA7-434D-8692-12A604DF4E3C}"/>
    <cellStyle name="Vírgula 6 4 3 11" xfId="6581" xr:uid="{CAF4478A-B544-4130-9BF8-6F403B08145E}"/>
    <cellStyle name="Vírgula 6 4 3 12" xfId="4915" xr:uid="{6191D7CB-0FF3-46A7-94B4-EFD2515D8AC9}"/>
    <cellStyle name="Vírgula 6 4 3 2" xfId="4297" xr:uid="{94448C84-456D-4403-BEFA-F2AE69E0DCBD}"/>
    <cellStyle name="Vírgula 6 4 3 2 2" xfId="37207" xr:uid="{87DCC286-E099-408D-86EC-04C9CFC51368}"/>
    <cellStyle name="Vírgula 6 4 3 2 3" xfId="52579" xr:uid="{4D327A60-CEA5-45D9-8A79-64557BB5C06E}"/>
    <cellStyle name="Vírgula 6 4 3 2 4" xfId="55873" xr:uid="{6D2216E5-378D-4211-8067-77F9B00EA56B}"/>
    <cellStyle name="Vírgula 6 4 3 2 5" xfId="16867" xr:uid="{6B757B4E-0AA4-442E-A41E-5D7C055AAD26}"/>
    <cellStyle name="Vírgula 6 4 3 3" xfId="2712" xr:uid="{33B782B0-A74B-495E-BDB1-7ABDA2CB0624}"/>
    <cellStyle name="Vírgula 6 4 3 3 2" xfId="40708" xr:uid="{2AEA7B91-9121-48DF-90CD-680C33A004A1}"/>
    <cellStyle name="Vírgula 6 4 3 3 3" xfId="56895" xr:uid="{D65507F0-044F-48D9-96FC-F2B51BDC5C11}"/>
    <cellStyle name="Vírgula 6 4 3 3 4" xfId="20369" xr:uid="{77E625AA-E8DA-46FC-8E97-29F582628932}"/>
    <cellStyle name="Vírgula 6 4 3 4" xfId="23624" xr:uid="{519D7F7A-8C18-46DD-B1F0-042DB9FCBA56}"/>
    <cellStyle name="Vírgula 6 4 3 4 2" xfId="43959" xr:uid="{DF632CF0-E5EF-4DC0-B209-32CDC0EAC260}"/>
    <cellStyle name="Vírgula 6 4 3 5" xfId="13958" xr:uid="{E2281634-6EF7-49F1-9265-96D026AA06BF}"/>
    <cellStyle name="Vírgula 6 4 3 5 2" xfId="34299" xr:uid="{E89D5A77-BD18-4C7F-8336-A6030AA59A20}"/>
    <cellStyle name="Vírgula 6 4 3 6" xfId="10080" xr:uid="{0408A94E-FF1A-4E49-944F-DC84090105E0}"/>
    <cellStyle name="Vírgula 6 4 3 6 2" xfId="30423" xr:uid="{842840CD-B7DA-43E5-BA1F-DFD1674DC79A}"/>
    <cellStyle name="Vírgula 6 4 3 7" xfId="26929" xr:uid="{846BEB49-3C76-4B33-BE30-FADB175B8033}"/>
    <cellStyle name="Vírgula 6 4 3 8" xfId="49277" xr:uid="{6347D37B-94FD-46EB-80A5-A9CBA300EC16}"/>
    <cellStyle name="Vírgula 6 4 3 9" xfId="50947" xr:uid="{F7FD29D2-9374-41CE-984D-F31DF691D2B8}"/>
    <cellStyle name="Vírgula 6 4 4" xfId="1430" xr:uid="{B01F6CF7-025D-4999-81FF-311DDE70B5DF}"/>
    <cellStyle name="Vírgula 6 4 4 10" xfId="54243" xr:uid="{70873861-ADE9-47AD-96A8-55DB04F1B159}"/>
    <cellStyle name="Vírgula 6 4 4 11" xfId="7745" xr:uid="{E2C09EB5-0768-4023-9B1A-3225E528D4FF}"/>
    <cellStyle name="Vírgula 6 4 4 2" xfId="3091" xr:uid="{40BCBA56-0AA9-4640-8E39-9EF1533E96A0}"/>
    <cellStyle name="Vírgula 6 4 4 2 2" xfId="38370" xr:uid="{595375E9-944E-419F-BC11-E475AFAA7C62}"/>
    <cellStyle name="Vírgula 6 4 4 2 3" xfId="52580" xr:uid="{064B0F76-2299-4528-90F2-5D6272C0AEB7}"/>
    <cellStyle name="Vírgula 6 4 4 2 4" xfId="55874" xr:uid="{9CCE84D0-84F8-48C8-8D20-DA0328C8AC89}"/>
    <cellStyle name="Vírgula 6 4 4 2 5" xfId="18030" xr:uid="{A7E9F31B-A361-4808-A695-FAF1C1ACBD74}"/>
    <cellStyle name="Vírgula 6 4 4 3" xfId="21532" xr:uid="{D99982F2-834F-48D6-800C-390A5695833D}"/>
    <cellStyle name="Vírgula 6 4 4 3 2" xfId="41871" xr:uid="{3811221C-E96D-4780-BD83-FC3214A6AD6D}"/>
    <cellStyle name="Vírgula 6 4 4 3 3" xfId="57301" xr:uid="{A6B87A0D-C027-487A-B343-D64F2371B2AB}"/>
    <cellStyle name="Vírgula 6 4 4 4" xfId="24787" xr:uid="{63C49AEE-E566-423C-BBDE-7285868C983F}"/>
    <cellStyle name="Vírgula 6 4 4 4 2" xfId="45122" xr:uid="{01590555-A129-4202-A326-0D3762586E67}"/>
    <cellStyle name="Vírgula 6 4 4 5" xfId="15122" xr:uid="{1A2FA477-0A64-436D-87CC-9945FE75FC94}"/>
    <cellStyle name="Vírgula 6 4 4 5 2" xfId="35462" xr:uid="{2916782E-7A47-4CE5-B9E7-BF1C04894B7A}"/>
    <cellStyle name="Vírgula 6 4 4 6" xfId="11243" xr:uid="{E4C23128-D9CC-4CD2-8385-57DA16E41F0F}"/>
    <cellStyle name="Vírgula 6 4 4 6 2" xfId="31586" xr:uid="{DB9D6C23-8F20-4DBB-BA85-FA6FFC8031DB}"/>
    <cellStyle name="Vírgula 6 4 4 7" xfId="28092" xr:uid="{DAA46D98-8BE3-4917-B538-1C0BE638C8A9}"/>
    <cellStyle name="Vírgula 6 4 4 8" xfId="49278" xr:uid="{C5C42809-9344-484A-8FFF-3E5B4729E33A}"/>
    <cellStyle name="Vírgula 6 4 4 9" xfId="50948" xr:uid="{74A11047-C737-475F-8B04-05D4BD2AE623}"/>
    <cellStyle name="Vírgula 6 4 5" xfId="617" xr:uid="{A671461B-5B0F-49B0-B9EA-2FF743FF6419}"/>
    <cellStyle name="Vírgula 6 4 5 10" xfId="8336" xr:uid="{7D488FC2-FDFC-489E-B196-FC391B848734}"/>
    <cellStyle name="Vírgula 6 4 5 2" xfId="2333" xr:uid="{7910AD45-9FFF-454D-A532-AA34DD9E1462}"/>
    <cellStyle name="Vírgula 6 4 5 2 2" xfId="42459" xr:uid="{FA86B486-949C-4932-8CC4-135262F94C03}"/>
    <cellStyle name="Vírgula 6 4 5 2 3" xfId="52581" xr:uid="{A743C46F-649E-4A24-93CC-B680E4E5F4A8}"/>
    <cellStyle name="Vírgula 6 4 5 2 4" xfId="55875" xr:uid="{0829A9CF-5FBF-4351-A808-0AC5B78AE9DD}"/>
    <cellStyle name="Vírgula 6 4 5 2 5" xfId="22123" xr:uid="{7C154B7E-A844-4F91-98E7-D74775B67291}"/>
    <cellStyle name="Vírgula 6 4 5 3" xfId="25375" xr:uid="{F2DAA9B5-3600-41E0-86C4-18C2E0C0BE3A}"/>
    <cellStyle name="Vírgula 6 4 5 3 2" xfId="45710" xr:uid="{121F238A-9651-46A0-A401-06E3304CD36C}"/>
    <cellStyle name="Vírgula 6 4 5 3 3" xfId="56488" xr:uid="{B7DCC3A2-A55F-4E0F-973C-6F0DCF16E689}"/>
    <cellStyle name="Vírgula 6 4 5 4" xfId="12812" xr:uid="{8835F27A-073D-43CD-8A01-0D7467CA8FC9}"/>
    <cellStyle name="Vírgula 6 4 5 4 2" xfId="33153" xr:uid="{4A30B136-C42F-4CDD-8952-6FA884513502}"/>
    <cellStyle name="Vírgula 6 4 5 5" xfId="11832" xr:uid="{BDD89E60-4A58-4AD9-836E-032BE053DCB1}"/>
    <cellStyle name="Vírgula 6 4 5 5 2" xfId="32174" xr:uid="{59B86867-EF81-431C-89CA-EB36CBCECEF9}"/>
    <cellStyle name="Vírgula 6 4 5 6" xfId="28680" xr:uid="{B6824B36-4556-405A-A6E3-629E2CCE1343}"/>
    <cellStyle name="Vírgula 6 4 5 7" xfId="49279" xr:uid="{E7DCF545-76CD-4128-9F9F-B5793B87CE31}"/>
    <cellStyle name="Vírgula 6 4 5 8" xfId="50949" xr:uid="{B5BB9D44-1312-4666-808A-F9FB3AF185FB}"/>
    <cellStyle name="Vírgula 6 4 5 9" xfId="54244" xr:uid="{C3D08BF0-B407-4678-9114-D4D2D556182A}"/>
    <cellStyle name="Vírgula 6 4 6" xfId="3605" xr:uid="{27146BAA-2E5E-458A-A9D6-6069CEB1448D}"/>
    <cellStyle name="Vírgula 6 4 6 2" xfId="15709" xr:uid="{A5F868CF-7CF2-4290-B2EC-BCB498BE01CD}"/>
    <cellStyle name="Vírgula 6 4 6 2 2" xfId="36049" xr:uid="{3EA7AF29-07A2-4B50-B233-25BD03E9C0FF}"/>
    <cellStyle name="Vírgula 6 4 6 3" xfId="28984" xr:uid="{08B66BC9-9957-47B8-B71F-01C63965C460}"/>
    <cellStyle name="Vírgula 6 4 6 4" xfId="52574" xr:uid="{8FDDC06E-4C7D-46E7-8FC0-77D17FAAF711}"/>
    <cellStyle name="Vírgula 6 4 6 5" xfId="55868" xr:uid="{1691F674-9A0E-4355-8B0B-ACD2E7E26519}"/>
    <cellStyle name="Vírgula 6 4 6 6" xfId="8641" xr:uid="{24B919FB-B28F-4D1D-9518-9829FCC744FE}"/>
    <cellStyle name="Vírgula 6 4 7" xfId="3953" xr:uid="{07B52792-633A-4109-BC27-4627339F2068}"/>
    <cellStyle name="Vírgula 6 4 7 2" xfId="38963" xr:uid="{33E2A845-79E9-471A-BE40-E787C68E2E5C}"/>
    <cellStyle name="Vírgula 6 4 7 3" xfId="56079" xr:uid="{D137B986-2BD0-4CA2-AA2A-70E04E07752C}"/>
    <cellStyle name="Vírgula 6 4 7 4" xfId="18623" xr:uid="{C34CAD8C-ECEB-4D80-B30C-CA217E3A7D64}"/>
    <cellStyle name="Vírgula 6 4 8" xfId="1954" xr:uid="{994DE883-7B3A-4D35-AB52-5E2DB5EEF2CB}"/>
    <cellStyle name="Vírgula 6 4 8 2" xfId="39550" xr:uid="{49395F3B-FDA9-4F78-BF80-7F6E95335E34}"/>
    <cellStyle name="Vírgula 6 4 8 3" xfId="19211" xr:uid="{4B0030EC-C998-4D81-ABAB-1DA177C31A4A}"/>
    <cellStyle name="Vírgula 6 4 9" xfId="22466" xr:uid="{D773737F-E787-4556-9D75-CD4ADE37108E}"/>
    <cellStyle name="Vírgula 6 4 9 2" xfId="42801" xr:uid="{0A6628F0-6543-4C86-90F0-1DBFE069D7B6}"/>
    <cellStyle name="Vírgula 6 5" xfId="260" xr:uid="{20C64955-B4E8-48B5-8B9B-9CBD9AFA571A}"/>
    <cellStyle name="Vírgula 6 5 10" xfId="12241" xr:uid="{4940B463-6051-4BDD-AF9E-FF787A57FE9F}"/>
    <cellStyle name="Vírgula 6 5 10 2" xfId="32582" xr:uid="{03A2804A-3675-4D31-AB2C-29F73358FCB4}"/>
    <cellStyle name="Vírgula 6 5 11" xfId="8980" xr:uid="{535E18E0-4BE1-4B43-9156-0B581E79CDA6}"/>
    <cellStyle name="Vírgula 6 5 11 2" xfId="29323" xr:uid="{A5F67447-4B1B-4359-A15C-2D340C4BAC3D}"/>
    <cellStyle name="Vírgula 6 5 12" xfId="25829" xr:uid="{855C23C6-92D0-4A58-B5FE-5B119B70ADEA}"/>
    <cellStyle name="Vírgula 6 5 13" xfId="46067" xr:uid="{C1F03131-5A82-46C4-B356-DD47DC428F21}"/>
    <cellStyle name="Vírgula 6 5 14" xfId="46553" xr:uid="{C47FE2C2-1CA8-40CF-85E7-372A1C4978CE}"/>
    <cellStyle name="Vírgula 6 5 15" xfId="47045" xr:uid="{4E3CC071-2C15-4BCC-9B59-1BDC2CDC95E4}"/>
    <cellStyle name="Vírgula 6 5 16" xfId="49280" xr:uid="{8C06C1C4-E899-4687-96A7-D8BDC16B41F6}"/>
    <cellStyle name="Vírgula 6 5 17" xfId="50950" xr:uid="{C8374D48-19FB-4AAD-948D-6A1A78DF3BB0}"/>
    <cellStyle name="Vírgula 6 5 18" xfId="54245" xr:uid="{0D582C64-F6CA-43F3-A59D-8DD19ACB4B22}"/>
    <cellStyle name="Vírgula 6 5 19" xfId="5490" xr:uid="{03960953-069D-4C82-B92F-138F4990F437}"/>
    <cellStyle name="Vírgula 6 5 2" xfId="449" xr:uid="{41F92610-45DA-43D0-A143-F3D659308A6F}"/>
    <cellStyle name="Vírgula 6 5 2 10" xfId="50951" xr:uid="{289D7029-BBE4-4AFF-82F6-A9FA8743CF1B}"/>
    <cellStyle name="Vírgula 6 5 2 11" xfId="54246" xr:uid="{F9B1DE9D-CC7C-48EB-B358-2E542D3EBE52}"/>
    <cellStyle name="Vírgula 6 5 2 12" xfId="6062" xr:uid="{990410E0-07E6-4A71-81F4-07A2037CAF7B}"/>
    <cellStyle name="Vírgula 6 5 2 13" xfId="4730" xr:uid="{E27DC138-8DAE-4A68-A2B1-DA006D51EEFC}"/>
    <cellStyle name="Vírgula 6 5 2 2" xfId="1265" xr:uid="{E49163F0-4977-43CB-A2D7-D2B16BD45AEA}"/>
    <cellStyle name="Vírgula 6 5 2 2 10" xfId="54247" xr:uid="{66F7BE81-30E2-4FF4-BAF6-1916CDC407DD}"/>
    <cellStyle name="Vírgula 6 5 2 2 11" xfId="7220" xr:uid="{2AEA0826-30AC-40BE-88F8-3572C8A2210F}"/>
    <cellStyle name="Vírgula 6 5 2 2 2" xfId="2926" xr:uid="{8DB184DC-DF7C-433C-B677-52D906C53245}"/>
    <cellStyle name="Vírgula 6 5 2 2 2 2" xfId="37846" xr:uid="{012DFF56-EF08-4FF8-9379-90626EEFE423}"/>
    <cellStyle name="Vírgula 6 5 2 2 2 3" xfId="52584" xr:uid="{097828FC-207E-4C93-BCB4-34B0BA51B616}"/>
    <cellStyle name="Vírgula 6 5 2 2 2 4" xfId="55878" xr:uid="{A39EB54D-E59A-47D3-AB37-4D9E85DEBA5B}"/>
    <cellStyle name="Vírgula 6 5 2 2 2 5" xfId="17506" xr:uid="{42AFC650-3037-420A-B03C-67C853A0047E}"/>
    <cellStyle name="Vírgula 6 5 2 2 3" xfId="21008" xr:uid="{E3B627EB-9C8B-4325-A56B-B7B8DDC09182}"/>
    <cellStyle name="Vírgula 6 5 2 2 3 2" xfId="41347" xr:uid="{65E014A1-319E-4DC5-AE1D-8489F1292639}"/>
    <cellStyle name="Vírgula 6 5 2 2 3 3" xfId="57136" xr:uid="{0443CA9F-D796-4E53-B79F-400164EC1DF0}"/>
    <cellStyle name="Vírgula 6 5 2 2 4" xfId="24263" xr:uid="{62607C88-D367-4A5A-AF3F-BEDC808C2910}"/>
    <cellStyle name="Vírgula 6 5 2 2 4 2" xfId="44598" xr:uid="{0B214790-6539-452B-AD3E-1696561B393F}"/>
    <cellStyle name="Vírgula 6 5 2 2 5" xfId="14597" xr:uid="{C06ECAD7-1143-4A9B-BF24-F38A53FFFC9D}"/>
    <cellStyle name="Vírgula 6 5 2 2 5 2" xfId="34938" xr:uid="{5F7E9B67-0113-4DB8-BB26-089C7262309D}"/>
    <cellStyle name="Vírgula 6 5 2 2 6" xfId="10719" xr:uid="{0CD80E60-A883-4A32-A977-B158C7683BD0}"/>
    <cellStyle name="Vírgula 6 5 2 2 6 2" xfId="31062" xr:uid="{448E3E39-3579-4DD3-9CE9-5CBA025A469A}"/>
    <cellStyle name="Vírgula 6 5 2 2 7" xfId="27568" xr:uid="{B26830E0-D562-4899-965E-8E29E7ABEDCD}"/>
    <cellStyle name="Vírgula 6 5 2 2 8" xfId="49282" xr:uid="{08048DBF-9458-4053-AC4B-4A98A1D17EE9}"/>
    <cellStyle name="Vírgula 6 5 2 2 9" xfId="50952" xr:uid="{994F9D27-7C69-4DAE-9312-EBD27D548E9C}"/>
    <cellStyle name="Vírgula 6 5 2 3" xfId="1671" xr:uid="{B2CCDBE7-8A1F-4531-BD0A-C6B2F3791738}"/>
    <cellStyle name="Vírgula 6 5 2 3 2" xfId="3331" xr:uid="{9E78A4A9-9262-4374-AA01-A23E941D1EE2}"/>
    <cellStyle name="Vírgula 6 5 2 3 2 2" xfId="52585" xr:uid="{09C66941-4C5E-44F2-A171-DE23638BA4B3}"/>
    <cellStyle name="Vírgula 6 5 2 3 2 3" xfId="55879" xr:uid="{A9A34A97-C0A5-4856-866F-BDBED8552EF3}"/>
    <cellStyle name="Vírgula 6 5 2 3 2 4" xfId="36688" xr:uid="{17B93486-04DA-4E30-ABAF-4E9863ECB8A3}"/>
    <cellStyle name="Vírgula 6 5 2 3 3" xfId="49283" xr:uid="{CE88CF65-DA1F-4A9F-87D3-A10BF9F586DC}"/>
    <cellStyle name="Vírgula 6 5 2 3 3 2" xfId="57542" xr:uid="{B5BE5685-40C4-479D-A3A9-B4D311B81F89}"/>
    <cellStyle name="Vírgula 6 5 2 3 4" xfId="50953" xr:uid="{4B4B84F4-2231-49DC-A4C5-59B384E5A875}"/>
    <cellStyle name="Vírgula 6 5 2 3 5" xfId="54248" xr:uid="{452B556A-D45D-4CAA-97BB-492F526F2D79}"/>
    <cellStyle name="Vírgula 6 5 2 3 6" xfId="16348" xr:uid="{99CC0DC6-F17E-4BE6-BF88-37FADB3D9C29}"/>
    <cellStyle name="Vírgula 6 5 2 4" xfId="858" xr:uid="{CE160DAA-D5F6-4AC0-ACEC-027720B51D9B}"/>
    <cellStyle name="Vírgula 6 5 2 4 2" xfId="2574" xr:uid="{42583A1D-3E40-453B-AEBC-BD3C10DBE4D2}"/>
    <cellStyle name="Vírgula 6 5 2 4 2 2" xfId="52586" xr:uid="{890C77DE-C6EA-4B70-BEF4-37413732F383}"/>
    <cellStyle name="Vírgula 6 5 2 4 2 3" xfId="55880" xr:uid="{4526D64B-2A35-4718-8809-41F8CF810E73}"/>
    <cellStyle name="Vírgula 6 5 2 4 2 4" xfId="40189" xr:uid="{1CC2A618-28E4-4617-9C2A-E38F5881D415}"/>
    <cellStyle name="Vírgula 6 5 2 4 3" xfId="49284" xr:uid="{26A0710C-51D6-4651-A96A-465474A42788}"/>
    <cellStyle name="Vírgula 6 5 2 4 3 2" xfId="56729" xr:uid="{BE3A885A-3463-424A-91FB-98A9CC52D68D}"/>
    <cellStyle name="Vírgula 6 5 2 4 4" xfId="50954" xr:uid="{87040972-9F6C-4E85-BFC1-9AA1C1C56D21}"/>
    <cellStyle name="Vírgula 6 5 2 4 5" xfId="54249" xr:uid="{C00CFA99-104F-41CE-AE62-0F96DA1890C9}"/>
    <cellStyle name="Vírgula 6 5 2 4 6" xfId="19850" xr:uid="{945866AF-CC25-4361-8F45-B145CA206F33}"/>
    <cellStyle name="Vírgula 6 5 2 5" xfId="2166" xr:uid="{3A20F310-2BBE-417E-A797-E77D4888CCB9}"/>
    <cellStyle name="Vírgula 6 5 2 5 2" xfId="43440" xr:uid="{04C3C056-5372-47F4-92C4-CC971C4242E3}"/>
    <cellStyle name="Vírgula 6 5 2 5 3" xfId="52583" xr:uid="{64A3A011-0716-46D9-9A55-DCA5A3A89CFF}"/>
    <cellStyle name="Vírgula 6 5 2 5 4" xfId="55877" xr:uid="{ADA024CD-5DDD-4CF2-A48E-AFC80EA0F65F}"/>
    <cellStyle name="Vírgula 6 5 2 5 5" xfId="23105" xr:uid="{A38A6B02-A349-4221-BC75-F6035AFE0489}"/>
    <cellStyle name="Vírgula 6 5 2 6" xfId="13439" xr:uid="{24A14586-A762-44DA-85E0-649C2D5EA98A}"/>
    <cellStyle name="Vírgula 6 5 2 6 2" xfId="33780" xr:uid="{5257023E-8579-4203-93C5-AD00D98CE892}"/>
    <cellStyle name="Vírgula 6 5 2 6 3" xfId="56320" xr:uid="{DBEDFD19-67C3-4FF2-9AF4-2C558048BF4E}"/>
    <cellStyle name="Vírgula 6 5 2 7" xfId="9561" xr:uid="{1394983C-76FA-4558-AE1E-828E3310B4E9}"/>
    <cellStyle name="Vírgula 6 5 2 7 2" xfId="29904" xr:uid="{4501F961-3E1D-4CDC-ACDB-71BBAE3D6651}"/>
    <cellStyle name="Vírgula 6 5 2 8" xfId="26410" xr:uid="{4C2AB756-1322-405E-85EC-C5DD2B50CD31}"/>
    <cellStyle name="Vírgula 6 5 2 9" xfId="49281" xr:uid="{9C419C6D-8E16-4996-877F-5ADE4F4B95C7}"/>
    <cellStyle name="Vírgula 6 5 20" xfId="4541" xr:uid="{4F9D0C29-643F-4F3D-9810-B7260AF377FC}"/>
    <cellStyle name="Vírgula 6 5 3" xfId="1076" xr:uid="{A4A8CD37-BC1F-49A9-8AE2-DD93D850283F}"/>
    <cellStyle name="Vírgula 6 5 3 10" xfId="54250" xr:uid="{0C597F0C-2307-4700-BAE4-A023642A0C15}"/>
    <cellStyle name="Vírgula 6 5 3 11" xfId="6639" xr:uid="{7648732D-7291-400A-A24D-A8E9866C8FC3}"/>
    <cellStyle name="Vírgula 6 5 3 12" xfId="4968" xr:uid="{47AE7D1B-242B-4C42-8721-AFF71DB7EC14}"/>
    <cellStyle name="Vírgula 6 5 3 2" xfId="2739" xr:uid="{86735A16-DD99-441C-AB14-5ECBC5DD9992}"/>
    <cellStyle name="Vírgula 6 5 3 2 2" xfId="37265" xr:uid="{E7F64DA3-341E-42C6-B08D-77EE5EC7AF79}"/>
    <cellStyle name="Vírgula 6 5 3 2 3" xfId="52587" xr:uid="{03F92DAB-9F2F-4600-B03E-4D365ADD96CC}"/>
    <cellStyle name="Vírgula 6 5 3 2 4" xfId="55881" xr:uid="{02C70439-1C83-4387-AA61-FFA0D5667FBB}"/>
    <cellStyle name="Vírgula 6 5 3 2 5" xfId="16925" xr:uid="{618A779C-4D08-4E88-9E59-8D209761C414}"/>
    <cellStyle name="Vírgula 6 5 3 3" xfId="20427" xr:uid="{176C0DF0-4815-449F-9CCF-1DB2C5C77ADC}"/>
    <cellStyle name="Vírgula 6 5 3 3 2" xfId="40766" xr:uid="{615F3A32-D3DA-4890-9140-83C05E83BBF2}"/>
    <cellStyle name="Vírgula 6 5 3 3 3" xfId="56947" xr:uid="{B557FF1D-0C31-4ABC-99BA-544E856953B7}"/>
    <cellStyle name="Vírgula 6 5 3 4" xfId="23682" xr:uid="{18CC691E-44AA-4CF8-A4B4-890E8376DECE}"/>
    <cellStyle name="Vírgula 6 5 3 4 2" xfId="44017" xr:uid="{E6C0ED36-BC0B-41CF-8572-B57026064095}"/>
    <cellStyle name="Vírgula 6 5 3 5" xfId="14016" xr:uid="{F75073FC-D1A3-468E-9E04-725B5F084F0C}"/>
    <cellStyle name="Vírgula 6 5 3 5 2" xfId="34357" xr:uid="{CDDC7F86-B0FB-4FCC-AE65-B126F0316FCB}"/>
    <cellStyle name="Vírgula 6 5 3 6" xfId="10138" xr:uid="{5233BADA-F7FD-4D7C-A17B-837780303D34}"/>
    <cellStyle name="Vírgula 6 5 3 6 2" xfId="30481" xr:uid="{A07C0439-E2CE-4792-A588-2087985FDAA4}"/>
    <cellStyle name="Vírgula 6 5 3 7" xfId="26987" xr:uid="{C4BA6F45-F119-44BF-95BA-4B01FE7BD80F}"/>
    <cellStyle name="Vírgula 6 5 3 8" xfId="49285" xr:uid="{0A4D3C86-3BF6-482F-8FAE-93B003F572B9}"/>
    <cellStyle name="Vírgula 6 5 3 9" xfId="50955" xr:uid="{65C9EBA5-C138-4238-861B-DE0F03B85652}"/>
    <cellStyle name="Vírgula 6 5 4" xfId="1482" xr:uid="{728304AB-9FFE-49E1-92FA-68CF1BA0ACA4}"/>
    <cellStyle name="Vírgula 6 5 4 10" xfId="54251" xr:uid="{76E8A86E-0057-4DD2-B166-62D3557BFD7E}"/>
    <cellStyle name="Vírgula 6 5 4 11" xfId="7803" xr:uid="{B8EB7CFC-5F16-454E-8888-18890BEDFA80}"/>
    <cellStyle name="Vírgula 6 5 4 2" xfId="3143" xr:uid="{E8A88151-E690-40B7-8899-4063963E1B1E}"/>
    <cellStyle name="Vírgula 6 5 4 2 2" xfId="38428" xr:uid="{FC5922D0-55B1-4A52-9C78-FC1957B09EFA}"/>
    <cellStyle name="Vírgula 6 5 4 2 3" xfId="52588" xr:uid="{5ED1BEA8-DADF-47EF-824E-61D4D2893207}"/>
    <cellStyle name="Vírgula 6 5 4 2 4" xfId="55882" xr:uid="{EC20A017-33CA-41F3-B46B-32D47AB218F6}"/>
    <cellStyle name="Vírgula 6 5 4 2 5" xfId="18088" xr:uid="{4F568837-D6C6-4E9A-82DA-A2F158F37DF3}"/>
    <cellStyle name="Vírgula 6 5 4 3" xfId="21590" xr:uid="{64F43FC9-BC13-4D16-9629-73EB365B04DF}"/>
    <cellStyle name="Vírgula 6 5 4 3 2" xfId="41929" xr:uid="{934DB194-E1D1-4D35-A4AF-D8D68C0CCA28}"/>
    <cellStyle name="Vírgula 6 5 4 3 3" xfId="57353" xr:uid="{5BFAD180-6C02-4C3C-9C06-5AB5A848610B}"/>
    <cellStyle name="Vírgula 6 5 4 4" xfId="24845" xr:uid="{85A2B65F-0235-4E69-961D-6C33BE2F6298}"/>
    <cellStyle name="Vírgula 6 5 4 4 2" xfId="45180" xr:uid="{8FE440B3-D706-4C20-A3AF-9FA8AA199813}"/>
    <cellStyle name="Vírgula 6 5 4 5" xfId="15180" xr:uid="{01E91C64-27D1-4AB1-91FA-9B5A55198A5F}"/>
    <cellStyle name="Vírgula 6 5 4 5 2" xfId="35520" xr:uid="{4B4F3BEF-DD45-4356-BAF6-B264E88D8AE6}"/>
    <cellStyle name="Vírgula 6 5 4 6" xfId="11301" xr:uid="{9B0130DA-D996-4466-9B28-5C81E62C4908}"/>
    <cellStyle name="Vírgula 6 5 4 6 2" xfId="31644" xr:uid="{9A36E2B8-C97B-43DE-A87F-118539E044DE}"/>
    <cellStyle name="Vírgula 6 5 4 7" xfId="28150" xr:uid="{06061E08-9DED-44D0-BEC4-B579525B26AC}"/>
    <cellStyle name="Vírgula 6 5 4 8" xfId="49286" xr:uid="{09FACE63-706C-444D-8462-8CA881321A08}"/>
    <cellStyle name="Vírgula 6 5 4 9" xfId="50956" xr:uid="{4DE3331D-80E1-4F87-838A-97702F91B978}"/>
    <cellStyle name="Vírgula 6 5 5" xfId="669" xr:uid="{432847FC-8CE2-421A-B579-F6B343147FD3}"/>
    <cellStyle name="Vírgula 6 5 5 10" xfId="8337" xr:uid="{437E6542-38D7-4EE5-AE88-823A0DD413F4}"/>
    <cellStyle name="Vírgula 6 5 5 2" xfId="2385" xr:uid="{995CE3B5-016C-4C8B-B78E-9DCD2D3CA5FA}"/>
    <cellStyle name="Vírgula 6 5 5 2 2" xfId="42460" xr:uid="{87B322CE-1995-43F1-A24D-D6370797774D}"/>
    <cellStyle name="Vírgula 6 5 5 2 3" xfId="52589" xr:uid="{109C4708-7E0B-46CF-A93F-35BB93D66BA8}"/>
    <cellStyle name="Vírgula 6 5 5 2 4" xfId="55883" xr:uid="{7DE001FD-465B-441C-A5ED-D6776A661627}"/>
    <cellStyle name="Vírgula 6 5 5 2 5" xfId="22124" xr:uid="{F8681EA8-27EF-4CAE-B943-7A66F7440588}"/>
    <cellStyle name="Vírgula 6 5 5 3" xfId="25376" xr:uid="{B58397ED-F6C9-4DA6-896A-CD216574820E}"/>
    <cellStyle name="Vírgula 6 5 5 3 2" xfId="45711" xr:uid="{897AD851-DFD4-4D99-8425-446B27BFAEB2}"/>
    <cellStyle name="Vírgula 6 5 5 3 3" xfId="56540" xr:uid="{49DD1EBD-BA70-4339-941B-63820804352D}"/>
    <cellStyle name="Vírgula 6 5 5 4" xfId="12870" xr:uid="{C66549B4-53BA-4B9F-B200-A133B8AB3C1D}"/>
    <cellStyle name="Vírgula 6 5 5 4 2" xfId="33211" xr:uid="{A3AFCA54-7FEA-4DFD-A1DD-2479B978EDFC}"/>
    <cellStyle name="Vírgula 6 5 5 5" xfId="11833" xr:uid="{BE04A475-99D8-46D5-8718-0D27C19B3390}"/>
    <cellStyle name="Vírgula 6 5 5 5 2" xfId="32175" xr:uid="{916F7A4A-6C4A-4DD5-846C-D534101C3488}"/>
    <cellStyle name="Vírgula 6 5 5 6" xfId="28681" xr:uid="{9A443979-2BBB-40D7-B26E-C0B863EC10A7}"/>
    <cellStyle name="Vírgula 6 5 5 7" xfId="49287" xr:uid="{C36875D2-C300-4BC0-AEA4-11F628A53944}"/>
    <cellStyle name="Vírgula 6 5 5 8" xfId="50957" xr:uid="{77B4FFAC-EDE9-4764-A4C6-45FFD55ADDC9}"/>
    <cellStyle name="Vírgula 6 5 5 9" xfId="54252" xr:uid="{090F5D72-25D5-49BB-BAA2-066569664976}"/>
    <cellStyle name="Vírgula 6 5 6" xfId="3496" xr:uid="{95C0D330-2351-40A0-9C2C-BE7B7C22DB8A}"/>
    <cellStyle name="Vírgula 6 5 6 2" xfId="36107" xr:uid="{280D4608-FA9A-4507-B0AA-B9898CB97101}"/>
    <cellStyle name="Vírgula 6 5 6 3" xfId="52582" xr:uid="{E63DE20D-111A-4EC8-BE7E-78B94A20CA60}"/>
    <cellStyle name="Vírgula 6 5 6 4" xfId="55876" xr:uid="{13A63B78-AA8E-47A2-8069-2D0C8C444515}"/>
    <cellStyle name="Vírgula 6 5 6 5" xfId="15767" xr:uid="{680A7712-0D6D-461D-BFD4-DEFA0F9449A6}"/>
    <cellStyle name="Vírgula 6 5 7" xfId="4012" xr:uid="{CD045376-D86D-41F3-B5F9-5150A76262DC}"/>
    <cellStyle name="Vírgula 6 5 7 2" xfId="39021" xr:uid="{5F379232-7A96-4701-955C-6A038E787E3D}"/>
    <cellStyle name="Vírgula 6 5 7 3" xfId="56131" xr:uid="{904D4C04-72BA-4ABD-BDB4-25A8514D6533}"/>
    <cellStyle name="Vírgula 6 5 7 4" xfId="18681" xr:uid="{023859F4-831E-4490-B54D-C8AF56E43033}"/>
    <cellStyle name="Vírgula 6 5 8" xfId="1845" xr:uid="{C53361EB-F745-47A1-AE24-6C165D50C22A}"/>
    <cellStyle name="Vírgula 6 5 8 2" xfId="39608" xr:uid="{3775BC07-D2ED-428D-94A0-0DC0F77F3B38}"/>
    <cellStyle name="Vírgula 6 5 8 3" xfId="19269" xr:uid="{18671DA6-A2A5-4581-9509-B8A7588D1771}"/>
    <cellStyle name="Vírgula 6 5 9" xfId="22524" xr:uid="{0EBA7090-EE4C-40CA-A0CE-90BB150ED824}"/>
    <cellStyle name="Vírgula 6 5 9 2" xfId="42859" xr:uid="{DDA9D2E2-97EE-4D38-8311-77BE8560BDB7}"/>
    <cellStyle name="Vírgula 6 6" xfId="302" xr:uid="{56469C37-A8E8-4E04-A7F1-5600B238EFEE}"/>
    <cellStyle name="Vírgula 6 6 10" xfId="12316" xr:uid="{6D8F3A70-539B-4020-B6B9-931E0258C9A5}"/>
    <cellStyle name="Vírgula 6 6 10 2" xfId="32657" xr:uid="{6FD32E4F-B76B-4520-8C0F-1FB782355D13}"/>
    <cellStyle name="Vírgula 6 6 11" xfId="9055" xr:uid="{DD22C901-0231-455C-9059-9176FA550A4E}"/>
    <cellStyle name="Vírgula 6 6 11 2" xfId="29398" xr:uid="{3734BBB5-2658-425A-B21C-6F2E5E6A9756}"/>
    <cellStyle name="Vírgula 6 6 12" xfId="25904" xr:uid="{131BC4B8-7989-4724-9ADB-84F3DFC37CE7}"/>
    <cellStyle name="Vírgula 6 6 13" xfId="49288" xr:uid="{203F892E-BDF4-4175-ACE5-C74B7BFA0FB4}"/>
    <cellStyle name="Vírgula 6 6 14" xfId="50958" xr:uid="{E3123880-8792-4877-997A-38A72E0B96F1}"/>
    <cellStyle name="Vírgula 6 6 15" xfId="54253" xr:uid="{129DDE33-61A5-4AD9-9733-8D0111B498E4}"/>
    <cellStyle name="Vírgula 6 6 16" xfId="5565" xr:uid="{CEF0B598-F576-4780-AF91-3135C772B946}"/>
    <cellStyle name="Vírgula 6 6 17" xfId="4583" xr:uid="{F17A136D-70C3-49F6-907C-F0B61D4DE289}"/>
    <cellStyle name="Vírgula 6 6 2" xfId="1118" xr:uid="{B9F7FE8C-ADB5-481E-9673-956E3848F211}"/>
    <cellStyle name="Vírgula 6 6 2 10" xfId="50959" xr:uid="{896C0709-4AB1-4D3E-B679-37378AC53624}"/>
    <cellStyle name="Vírgula 6 6 2 11" xfId="54254" xr:uid="{6A8E29C7-B981-4C56-8B6B-96F4586B0462}"/>
    <cellStyle name="Vírgula 6 6 2 12" xfId="6137" xr:uid="{184A8C51-10B7-4CC6-95FF-F396489EC57C}"/>
    <cellStyle name="Vírgula 6 6 2 2" xfId="2780" xr:uid="{59E8A108-1CC3-483F-B3C4-70A35B37E2BB}"/>
    <cellStyle name="Vírgula 6 6 2 2 10" xfId="7295" xr:uid="{AEFE5DC7-19DB-4928-AA35-5689DE03F29B}"/>
    <cellStyle name="Vírgula 6 6 2 2 2" xfId="17581" xr:uid="{543A0C0E-9AA9-41C1-A49E-AA9B0FBCE3CA}"/>
    <cellStyle name="Vírgula 6 6 2 2 2 2" xfId="37921" xr:uid="{1F6FE291-01BA-45F3-A753-A3C21BF066A8}"/>
    <cellStyle name="Vírgula 6 6 2 2 3" xfId="21083" xr:uid="{B196255A-476A-4669-9E22-E7C911DB99DE}"/>
    <cellStyle name="Vírgula 6 6 2 2 3 2" xfId="41422" xr:uid="{34FBBA80-1747-4048-A176-9EC795F8DEDA}"/>
    <cellStyle name="Vírgula 6 6 2 2 4" xfId="24338" xr:uid="{C91D6723-5DEE-4F3F-B15E-1D5B8B691E0A}"/>
    <cellStyle name="Vírgula 6 6 2 2 4 2" xfId="44673" xr:uid="{B1B3F614-59AE-44BF-A540-AE2630FE05BB}"/>
    <cellStyle name="Vírgula 6 6 2 2 5" xfId="14672" xr:uid="{537C40E9-1F77-4769-ADD2-84B95A5A989D}"/>
    <cellStyle name="Vírgula 6 6 2 2 5 2" xfId="35013" xr:uid="{55C6CC37-5F2D-4EBE-AF07-5DA1709F482D}"/>
    <cellStyle name="Vírgula 6 6 2 2 6" xfId="10794" xr:uid="{69671329-D851-4325-B9DB-1CEC69B1FC10}"/>
    <cellStyle name="Vírgula 6 6 2 2 6 2" xfId="31137" xr:uid="{B0229AE4-E813-4A1D-9D2E-08D11437BD51}"/>
    <cellStyle name="Vírgula 6 6 2 2 7" xfId="27643" xr:uid="{7F28C285-9D86-4B05-9E9E-EB3ECAF98327}"/>
    <cellStyle name="Vírgula 6 6 2 2 8" xfId="52591" xr:uid="{926C2E26-A042-4344-8FA3-B325BAAB0B95}"/>
    <cellStyle name="Vírgula 6 6 2 2 9" xfId="55885" xr:uid="{BECCCB14-88FD-4844-B966-31AF368D23AA}"/>
    <cellStyle name="Vírgula 6 6 2 3" xfId="16423" xr:uid="{B0B3B44D-F90E-4734-90F8-A07C032FEF96}"/>
    <cellStyle name="Vírgula 6 6 2 3 2" xfId="36763" xr:uid="{0E687D31-BC44-4D87-B104-263271457B05}"/>
    <cellStyle name="Vírgula 6 6 2 3 3" xfId="56989" xr:uid="{7D829FF3-2CF0-4209-945A-F2E2E9E75D7E}"/>
    <cellStyle name="Vírgula 6 6 2 4" xfId="19925" xr:uid="{7D6ED9C7-C946-4D38-B1F7-38257B6A6339}"/>
    <cellStyle name="Vírgula 6 6 2 4 2" xfId="40264" xr:uid="{678F733D-1C76-406B-9DF0-878DD525307C}"/>
    <cellStyle name="Vírgula 6 6 2 5" xfId="23180" xr:uid="{DC3373CD-7447-43D4-BD58-34434AF339BE}"/>
    <cellStyle name="Vírgula 6 6 2 5 2" xfId="43515" xr:uid="{189D9BF5-2AD5-4E6E-B669-39722C86EA79}"/>
    <cellStyle name="Vírgula 6 6 2 6" xfId="13514" xr:uid="{6E563E6A-A384-468A-AFF7-620BBF846368}"/>
    <cellStyle name="Vírgula 6 6 2 6 2" xfId="33855" xr:uid="{B539AFBB-1EC7-4BAA-8692-EE9F98B17460}"/>
    <cellStyle name="Vírgula 6 6 2 7" xfId="9636" xr:uid="{BC8E798C-7A7B-4BA3-9DFB-E3014E647588}"/>
    <cellStyle name="Vírgula 6 6 2 7 2" xfId="29979" xr:uid="{C8F77C1B-4342-437A-817C-8174D7402561}"/>
    <cellStyle name="Vírgula 6 6 2 8" xfId="26485" xr:uid="{54D5FEB5-F658-46B4-9E95-EE696D2203C6}"/>
    <cellStyle name="Vírgula 6 6 2 9" xfId="49289" xr:uid="{D4F815DB-E44E-4415-81F1-BB3E76BDF3F7}"/>
    <cellStyle name="Vírgula 6 6 3" xfId="1524" xr:uid="{6271F2EE-7D33-46B6-BF26-CB660B99AA14}"/>
    <cellStyle name="Vírgula 6 6 3 10" xfId="54255" xr:uid="{B20E4F9E-521A-44AD-A7BB-0A3047D6FEA2}"/>
    <cellStyle name="Vírgula 6 6 3 11" xfId="6714" xr:uid="{BA8D4EB5-4EA8-4E7A-BC00-E43C74956CB3}"/>
    <cellStyle name="Vírgula 6 6 3 2" xfId="3185" xr:uid="{FEC74D10-4E44-49E2-B988-6F2B4682BE7A}"/>
    <cellStyle name="Vírgula 6 6 3 2 2" xfId="37340" xr:uid="{333188EE-67A3-4222-8276-157BD89D4F96}"/>
    <cellStyle name="Vírgula 6 6 3 2 3" xfId="52592" xr:uid="{CAC4E92A-E1D6-433A-8A54-F17091F15E3C}"/>
    <cellStyle name="Vírgula 6 6 3 2 4" xfId="55886" xr:uid="{A4B66EFD-8C11-4E7C-ADA3-9393C7DD403E}"/>
    <cellStyle name="Vírgula 6 6 3 2 5" xfId="17000" xr:uid="{C8874169-3334-4CBB-B2FA-3EB5F107AF24}"/>
    <cellStyle name="Vírgula 6 6 3 3" xfId="20502" xr:uid="{D75B23B8-DBCB-44CF-A7CF-040174AA1A92}"/>
    <cellStyle name="Vírgula 6 6 3 3 2" xfId="40841" xr:uid="{3F63AAB1-3838-45DB-9284-7DD9650D9CE2}"/>
    <cellStyle name="Vírgula 6 6 3 3 3" xfId="57395" xr:uid="{E1B6E907-9D20-48AF-906E-F9B981E25030}"/>
    <cellStyle name="Vírgula 6 6 3 4" xfId="23757" xr:uid="{5BF146CC-A524-4980-96BF-7D4D1DEBE9E3}"/>
    <cellStyle name="Vírgula 6 6 3 4 2" xfId="44092" xr:uid="{010A10B9-F2ED-4946-A2D4-42A88F3C59A2}"/>
    <cellStyle name="Vírgula 6 6 3 5" xfId="14091" xr:uid="{5C054C68-BC91-4E4D-8C35-18F1E2E0E591}"/>
    <cellStyle name="Vírgula 6 6 3 5 2" xfId="34432" xr:uid="{93D3B7AE-9E5B-4181-923D-E1A1CC78D5FC}"/>
    <cellStyle name="Vírgula 6 6 3 6" xfId="10213" xr:uid="{6AE9FA18-D96D-4275-9352-A2D99A05E852}"/>
    <cellStyle name="Vírgula 6 6 3 6 2" xfId="30556" xr:uid="{4CEBBD6D-7B37-4EE4-BD0A-4A917D50D855}"/>
    <cellStyle name="Vírgula 6 6 3 7" xfId="27062" xr:uid="{B8F3D37A-7796-4044-A11E-46C1E59A65ED}"/>
    <cellStyle name="Vírgula 6 6 3 8" xfId="49290" xr:uid="{61A4948D-051F-416A-AACD-5C097FBB4244}"/>
    <cellStyle name="Vírgula 6 6 3 9" xfId="50960" xr:uid="{097CDDF4-7649-48BA-9D66-84C782CB0F53}"/>
    <cellStyle name="Vírgula 6 6 4" xfId="711" xr:uid="{783B67B5-1BBF-45D1-91C2-ADC6EEDE1E29}"/>
    <cellStyle name="Vírgula 6 6 4 10" xfId="54256" xr:uid="{5660EE34-E62F-41BE-8F49-F40957017FEE}"/>
    <cellStyle name="Vírgula 6 6 4 11" xfId="7878" xr:uid="{8C85CEBE-B512-49B6-B8E4-8FC6F5C4C8D9}"/>
    <cellStyle name="Vírgula 6 6 4 2" xfId="2427" xr:uid="{9EE2444D-0E1B-4B9F-ABAB-DEEC9C0EA326}"/>
    <cellStyle name="Vírgula 6 6 4 2 2" xfId="38503" xr:uid="{13D1F5C9-54BD-4C30-B49F-10AA6ABB87F5}"/>
    <cellStyle name="Vírgula 6 6 4 2 3" xfId="52593" xr:uid="{8FC47B05-FB86-4B22-98E1-DD1032B4CEB6}"/>
    <cellStyle name="Vírgula 6 6 4 2 4" xfId="55887" xr:uid="{83DB1176-11C0-4CC6-80A8-A782F25492FD}"/>
    <cellStyle name="Vírgula 6 6 4 2 5" xfId="18163" xr:uid="{19942AF3-CD2C-4B16-8F35-180EEA9CD705}"/>
    <cellStyle name="Vírgula 6 6 4 3" xfId="21665" xr:uid="{7A2447B4-B623-4C79-BA60-77892321B3C3}"/>
    <cellStyle name="Vírgula 6 6 4 3 2" xfId="42004" xr:uid="{65203A1D-BA90-454B-BA98-5884AAE27719}"/>
    <cellStyle name="Vírgula 6 6 4 3 3" xfId="56582" xr:uid="{AA4DF704-FE5F-4DAE-8557-32E72CCE98BD}"/>
    <cellStyle name="Vírgula 6 6 4 4" xfId="24920" xr:uid="{310056CF-CECA-4C71-921A-B992F00C02F9}"/>
    <cellStyle name="Vírgula 6 6 4 4 2" xfId="45255" xr:uid="{F7210B5E-2C27-4790-BA05-22ADD489C0D5}"/>
    <cellStyle name="Vírgula 6 6 4 5" xfId="15255" xr:uid="{6D74E4F1-95C6-4ACB-9223-ACB74C765F9C}"/>
    <cellStyle name="Vírgula 6 6 4 5 2" xfId="35595" xr:uid="{8F4F240F-1E40-4D4A-9F81-4773CBC09BF8}"/>
    <cellStyle name="Vírgula 6 6 4 6" xfId="11376" xr:uid="{AC775FCA-A1ED-47E2-97B9-390E182B2B76}"/>
    <cellStyle name="Vírgula 6 6 4 6 2" xfId="31719" xr:uid="{7A2EF8A5-7638-4B31-8F52-87CBDE5F8333}"/>
    <cellStyle name="Vírgula 6 6 4 7" xfId="28225" xr:uid="{3E4D62DC-1D97-4BBD-9C47-DD6216A4E09C}"/>
    <cellStyle name="Vírgula 6 6 4 8" xfId="49291" xr:uid="{8A3DB93E-E21B-41DD-A1EE-6D23986BAB9C}"/>
    <cellStyle name="Vírgula 6 6 4 9" xfId="50961" xr:uid="{710A8D5A-63DB-4569-A9D5-E61714CC350E}"/>
    <cellStyle name="Vírgula 6 6 5" xfId="3714" xr:uid="{EC26AE23-8297-4EC1-B712-54CFDB0E5835}"/>
    <cellStyle name="Vírgula 6 6 5 2" xfId="33286" xr:uid="{ECE996F6-A749-4953-B66A-90140EF88299}"/>
    <cellStyle name="Vírgula 6 6 5 3" xfId="52590" xr:uid="{B85DCF25-E0B1-460C-AE9E-AB3E1DC2208B}"/>
    <cellStyle name="Vírgula 6 6 5 4" xfId="55884" xr:uid="{7671CBA0-EE77-4DD6-9266-BB3BA31E736B}"/>
    <cellStyle name="Vírgula 6 6 5 5" xfId="12945" xr:uid="{3E3265AE-3C73-4778-A113-A465DD8C339A}"/>
    <cellStyle name="Vírgula 6 6 6" xfId="4184" xr:uid="{8C7CD8B6-B034-4169-AFFA-3F101FD2915B}"/>
    <cellStyle name="Vírgula 6 6 6 2" xfId="36182" xr:uid="{9804BD13-C52E-4DDE-9CA7-EA9DBF6A205A}"/>
    <cellStyle name="Vírgula 6 6 6 3" xfId="56173" xr:uid="{D2E31EB5-8931-4CD7-887F-D93A9F2EB159}"/>
    <cellStyle name="Vírgula 6 6 6 4" xfId="15842" xr:uid="{2D5C8869-48EE-412B-8494-E1BDD2075390}"/>
    <cellStyle name="Vírgula 6 6 7" xfId="2103" xr:uid="{759138EC-B039-47F7-9FE2-64DEBBE9DB44}"/>
    <cellStyle name="Vírgula 6 6 7 2" xfId="39096" xr:uid="{6D3A14FC-4B5F-478C-A1C2-16F6B6C2DA94}"/>
    <cellStyle name="Vírgula 6 6 7 3" xfId="18756" xr:uid="{F9F29994-968A-4A00-8408-A8C5AA69493E}"/>
    <cellStyle name="Vírgula 6 6 8" xfId="19344" xr:uid="{31492523-489F-493C-9D9D-78F4C3000970}"/>
    <cellStyle name="Vírgula 6 6 8 2" xfId="39683" xr:uid="{1D3991E9-2A31-4453-A45D-DA769DDA32C5}"/>
    <cellStyle name="Vírgula 6 6 9" xfId="22599" xr:uid="{7B216569-031A-4C70-879D-B8C78A2D2206}"/>
    <cellStyle name="Vírgula 6 6 9 2" xfId="42934" xr:uid="{D63E9B4F-9AD0-4874-A691-5D5EAFB6C199}"/>
    <cellStyle name="Vírgula 6 7" xfId="111" xr:uid="{4A991215-B7E0-4C3F-A381-977F8C8D6BD9}"/>
    <cellStyle name="Vírgula 6 7 10" xfId="12414" xr:uid="{1C4445C6-F50F-45BC-824B-B0B3F1936881}"/>
    <cellStyle name="Vírgula 6 7 10 2" xfId="32755" xr:uid="{47915DC8-2E3E-465F-960A-12A902D5FB6F}"/>
    <cellStyle name="Vírgula 6 7 11" xfId="9153" xr:uid="{5D012C5F-EB83-49D8-B785-8BA6CD56C254}"/>
    <cellStyle name="Vírgula 6 7 11 2" xfId="29496" xr:uid="{9596B834-59B6-41E1-AA25-3C32FE101263}"/>
    <cellStyle name="Vírgula 6 7 12" xfId="26002" xr:uid="{A2196B19-99D0-4C0B-8C19-090226D9166C}"/>
    <cellStyle name="Vírgula 6 7 13" xfId="49292" xr:uid="{EDD4DB01-CF92-4BFD-A016-659A2E4E63C2}"/>
    <cellStyle name="Vírgula 6 7 14" xfId="50962" xr:uid="{61597AAC-2322-40C1-9FEE-901F1C826DBA}"/>
    <cellStyle name="Vírgula 6 7 15" xfId="54257" xr:uid="{CC5C9889-ABA1-496B-982A-B482D8F342C7}"/>
    <cellStyle name="Vírgula 6 7 16" xfId="5663" xr:uid="{1DE02967-EB26-4F36-A1FC-0141DEE74747}"/>
    <cellStyle name="Vírgula 6 7 17" xfId="4394" xr:uid="{8C75F1CD-BC13-427A-A2DC-0F7F687E077C}"/>
    <cellStyle name="Vírgula 6 7 2" xfId="929" xr:uid="{30A355C8-9579-4B36-BC09-2113A0665D4E}"/>
    <cellStyle name="Vírgula 6 7 2 10" xfId="50963" xr:uid="{5CE2B554-2E04-41CE-A944-DA2E50F598E5}"/>
    <cellStyle name="Vírgula 6 7 2 11" xfId="54258" xr:uid="{9C8F52DE-9C5A-440E-A151-89CC35D60364}"/>
    <cellStyle name="Vírgula 6 7 2 12" xfId="6235" xr:uid="{F0C43DA1-BAEE-4DA3-BF7C-84D1F115E168}"/>
    <cellStyle name="Vírgula 6 7 2 2" xfId="2644" xr:uid="{DC308DC2-A5B9-4604-A14C-D1A6C2219F72}"/>
    <cellStyle name="Vírgula 6 7 2 2 10" xfId="7393" xr:uid="{34F5D370-9EAE-431B-B99F-5B7853693C31}"/>
    <cellStyle name="Vírgula 6 7 2 2 2" xfId="17679" xr:uid="{ABA64DAF-A69E-450B-81F2-475C663B5FD6}"/>
    <cellStyle name="Vírgula 6 7 2 2 2 2" xfId="38019" xr:uid="{91DA945B-523B-4DA8-AB98-EE62F987F389}"/>
    <cellStyle name="Vírgula 6 7 2 2 3" xfId="21181" xr:uid="{DB28E6F0-F138-4700-95C3-4BB2912E79FE}"/>
    <cellStyle name="Vírgula 6 7 2 2 3 2" xfId="41520" xr:uid="{80BF6867-8D76-4C34-BC7A-B3C5500DC477}"/>
    <cellStyle name="Vírgula 6 7 2 2 4" xfId="24436" xr:uid="{998D9EE7-1853-42FE-9FB7-FCA05BFE6893}"/>
    <cellStyle name="Vírgula 6 7 2 2 4 2" xfId="44771" xr:uid="{1D6A5B95-B8EB-4AD3-B5A2-2134B83ACF5C}"/>
    <cellStyle name="Vírgula 6 7 2 2 5" xfId="14770" xr:uid="{19EC8A3B-B38A-48EC-B5BE-A43C9033812A}"/>
    <cellStyle name="Vírgula 6 7 2 2 5 2" xfId="35111" xr:uid="{47331827-F91F-4FFF-A98C-A34AE8FE82B1}"/>
    <cellStyle name="Vírgula 6 7 2 2 6" xfId="10892" xr:uid="{17719461-E646-45CC-864A-12B734059D3F}"/>
    <cellStyle name="Vírgula 6 7 2 2 6 2" xfId="31235" xr:uid="{F002E97E-961C-4A57-B5D1-EBC1CC43542B}"/>
    <cellStyle name="Vírgula 6 7 2 2 7" xfId="27741" xr:uid="{B6975881-6BA6-4F0D-BEC9-480EC068A319}"/>
    <cellStyle name="Vírgula 6 7 2 2 8" xfId="52595" xr:uid="{E2C245D0-627D-4305-9DBC-D761E6611096}"/>
    <cellStyle name="Vírgula 6 7 2 2 9" xfId="55889" xr:uid="{6537C2D6-E29D-41C4-A78C-C005C38085B7}"/>
    <cellStyle name="Vírgula 6 7 2 3" xfId="16521" xr:uid="{91D25E48-9E79-4B24-8B90-CBE52BB9B958}"/>
    <cellStyle name="Vírgula 6 7 2 3 2" xfId="36861" xr:uid="{B40D6DB5-6F73-485E-8AEA-D6E0D8E3060C}"/>
    <cellStyle name="Vírgula 6 7 2 3 3" xfId="56800" xr:uid="{61F0DA95-0CFC-4109-A8CD-BF0BC8EF576D}"/>
    <cellStyle name="Vírgula 6 7 2 4" xfId="20023" xr:uid="{527C0E20-0644-44B9-8920-B9E894A4A858}"/>
    <cellStyle name="Vírgula 6 7 2 4 2" xfId="40362" xr:uid="{BB6FF938-5B9B-447E-BCBC-3EE26ED40C05}"/>
    <cellStyle name="Vírgula 6 7 2 5" xfId="23278" xr:uid="{61249AA7-82DE-4D85-8B8A-A3188C60FC29}"/>
    <cellStyle name="Vírgula 6 7 2 5 2" xfId="43613" xr:uid="{88C1F20F-627E-43DF-96F7-BBCBB8B3DFD9}"/>
    <cellStyle name="Vírgula 6 7 2 6" xfId="13612" xr:uid="{9E4EB5F6-B676-4E53-AA34-482F6CF3CF55}"/>
    <cellStyle name="Vírgula 6 7 2 6 2" xfId="33953" xr:uid="{40AD3DF6-8097-404C-A8F7-EB6F5EFD5C8A}"/>
    <cellStyle name="Vírgula 6 7 2 7" xfId="9734" xr:uid="{84E2369B-1D3B-41E0-957A-6C81016BE44D}"/>
    <cellStyle name="Vírgula 6 7 2 7 2" xfId="30077" xr:uid="{26305943-E4D2-4C19-9835-91145B23B97A}"/>
    <cellStyle name="Vírgula 6 7 2 8" xfId="26583" xr:uid="{2C66EB6A-B07F-4D5C-8120-5EFDAB685336}"/>
    <cellStyle name="Vírgula 6 7 2 9" xfId="49293" xr:uid="{453F5F48-9D38-4563-A403-5D8B87D4DC0A}"/>
    <cellStyle name="Vírgula 6 7 3" xfId="1335" xr:uid="{008EEDAA-A5F6-4FD1-B6CB-15E167B30038}"/>
    <cellStyle name="Vírgula 6 7 3 10" xfId="54259" xr:uid="{5AD86010-78C4-480D-9583-60BE2D3B92F2}"/>
    <cellStyle name="Vírgula 6 7 3 11" xfId="6812" xr:uid="{21B75C02-A8AE-4051-B888-AA128A81F2A1}"/>
    <cellStyle name="Vírgula 6 7 3 2" xfId="2996" xr:uid="{E71B64B3-18BB-4623-B4AF-43FCA5C2DC50}"/>
    <cellStyle name="Vírgula 6 7 3 2 2" xfId="37438" xr:uid="{7E8C5E9C-8FFB-4FDE-9E06-3CB494A36B7B}"/>
    <cellStyle name="Vírgula 6 7 3 2 3" xfId="52596" xr:uid="{4A61C4EA-D012-4400-B57D-F31F6C048501}"/>
    <cellStyle name="Vírgula 6 7 3 2 4" xfId="55890" xr:uid="{D80176CA-42D5-4E15-AB48-90F8CA2955E4}"/>
    <cellStyle name="Vírgula 6 7 3 2 5" xfId="17098" xr:uid="{FD32ED42-AA2E-43DB-BF25-997915D3DC1B}"/>
    <cellStyle name="Vírgula 6 7 3 3" xfId="20600" xr:uid="{5B323FD2-F187-4987-864C-98D59FE4B172}"/>
    <cellStyle name="Vírgula 6 7 3 3 2" xfId="40939" xr:uid="{E81E882D-0AF0-4BD0-BA92-02F99F5C4CD7}"/>
    <cellStyle name="Vírgula 6 7 3 3 3" xfId="57206" xr:uid="{191FEF8D-54D8-48C4-865D-CBBECDECBAFD}"/>
    <cellStyle name="Vírgula 6 7 3 4" xfId="23855" xr:uid="{8C216D91-AB12-4BF7-9B8E-017653F81F9C}"/>
    <cellStyle name="Vírgula 6 7 3 4 2" xfId="44190" xr:uid="{B921409F-4684-46D2-96F0-0D445378339E}"/>
    <cellStyle name="Vírgula 6 7 3 5" xfId="14189" xr:uid="{4E006D2C-1113-4F3A-B22C-42AAE347C76E}"/>
    <cellStyle name="Vírgula 6 7 3 5 2" xfId="34530" xr:uid="{8D97D695-8E4B-4BFF-B5D5-426D2EAF4DF7}"/>
    <cellStyle name="Vírgula 6 7 3 6" xfId="10311" xr:uid="{1149BEDC-6868-4111-9140-896220FB066A}"/>
    <cellStyle name="Vírgula 6 7 3 6 2" xfId="30654" xr:uid="{3D13A606-A5DA-465D-8D48-E336262E8BF9}"/>
    <cellStyle name="Vírgula 6 7 3 7" xfId="27160" xr:uid="{8641BAB2-105A-425B-92DF-1F74B568B57E}"/>
    <cellStyle name="Vírgula 6 7 3 8" xfId="49294" xr:uid="{5C073EBA-62AB-4EAE-8FDC-31779A3D7FEF}"/>
    <cellStyle name="Vírgula 6 7 3 9" xfId="50964" xr:uid="{63E920DD-DD85-4890-8D5C-EF91B0708F95}"/>
    <cellStyle name="Vírgula 6 7 4" xfId="522" xr:uid="{1384E1FB-F2D6-44FD-99FD-E338C3AC8464}"/>
    <cellStyle name="Vírgula 6 7 4 10" xfId="54260" xr:uid="{C0AE3266-B9A8-4013-8054-41D1FBEB9A63}"/>
    <cellStyle name="Vírgula 6 7 4 11" xfId="7976" xr:uid="{49BE54D0-AF3D-4058-B5AA-1E01F582587B}"/>
    <cellStyle name="Vírgula 6 7 4 2" xfId="2238" xr:uid="{3693649E-B9AC-474C-B378-FFD37EB52B9B}"/>
    <cellStyle name="Vírgula 6 7 4 2 2" xfId="38601" xr:uid="{2DA73CC7-AAEC-4D1F-A904-D21282597BA7}"/>
    <cellStyle name="Vírgula 6 7 4 2 3" xfId="52597" xr:uid="{D2B04E98-2D7A-4A77-A76E-A16C8D43C15F}"/>
    <cellStyle name="Vírgula 6 7 4 2 4" xfId="55891" xr:uid="{C789C303-EA8F-412A-8A36-9C5CFB8C16C7}"/>
    <cellStyle name="Vírgula 6 7 4 2 5" xfId="18261" xr:uid="{67F188D3-619A-4A42-93FF-1FFBD99F1763}"/>
    <cellStyle name="Vírgula 6 7 4 3" xfId="21763" xr:uid="{7ED35A1B-3E22-47C9-A982-C54186657374}"/>
    <cellStyle name="Vírgula 6 7 4 3 2" xfId="42102" xr:uid="{D425AAC8-1494-4504-9B58-15BB730AA9F1}"/>
    <cellStyle name="Vírgula 6 7 4 3 3" xfId="56393" xr:uid="{F14E8DDE-762D-4213-A489-95C6FCB86B5D}"/>
    <cellStyle name="Vírgula 6 7 4 4" xfId="25018" xr:uid="{B8FB53BC-1446-44B0-8EE4-EA3DBEECB289}"/>
    <cellStyle name="Vírgula 6 7 4 4 2" xfId="45353" xr:uid="{C835EE32-91CB-4D87-ADF8-709A77623931}"/>
    <cellStyle name="Vírgula 6 7 4 5" xfId="15353" xr:uid="{51BFA988-F2B8-44B4-A41E-D87CEB6E22BB}"/>
    <cellStyle name="Vírgula 6 7 4 5 2" xfId="35693" xr:uid="{01475FA4-C193-419D-8BE3-37DF4EF55B49}"/>
    <cellStyle name="Vírgula 6 7 4 6" xfId="11474" xr:uid="{D40D0530-C518-42CA-BF7E-5F6BD8E3F112}"/>
    <cellStyle name="Vírgula 6 7 4 6 2" xfId="31817" xr:uid="{96C5CBF4-9B85-4450-87B0-49FF68F21346}"/>
    <cellStyle name="Vírgula 6 7 4 7" xfId="28323" xr:uid="{F7AB1196-A426-4E7D-AB75-03432557489B}"/>
    <cellStyle name="Vírgula 6 7 4 8" xfId="49295" xr:uid="{8C032500-11BA-4717-A094-845BB2C1F362}"/>
    <cellStyle name="Vírgula 6 7 4 9" xfId="50965" xr:uid="{828E2E4A-07E8-424F-A949-B39FB198060C}"/>
    <cellStyle name="Vírgula 6 7 5" xfId="2066" xr:uid="{17829FD7-6B23-402B-A0ED-7A0FD886C64C}"/>
    <cellStyle name="Vírgula 6 7 5 2" xfId="33384" xr:uid="{9A7860EA-6404-4BB8-BF63-A9AF97C81134}"/>
    <cellStyle name="Vírgula 6 7 5 3" xfId="52594" xr:uid="{F4588E94-4E99-4A46-903D-22C55BCC49E1}"/>
    <cellStyle name="Vírgula 6 7 5 4" xfId="55888" xr:uid="{6312E144-73C7-4BC8-B28E-83DDF65904C3}"/>
    <cellStyle name="Vírgula 6 7 5 5" xfId="13043" xr:uid="{16E0D57B-261B-4529-8E7A-241D158273F2}"/>
    <cellStyle name="Vírgula 6 7 6" xfId="15940" xr:uid="{27CE537A-533A-4DAB-AD2B-BF254F836D8C}"/>
    <cellStyle name="Vírgula 6 7 6 2" xfId="36280" xr:uid="{7357EB3F-A3F6-40A3-B1B1-92EAF54EAB78}"/>
    <cellStyle name="Vírgula 6 7 6 3" xfId="55984" xr:uid="{D45684E9-9666-4FA1-82DD-8636F1E57866}"/>
    <cellStyle name="Vírgula 6 7 7" xfId="18854" xr:uid="{16A57D83-3B9C-4E95-8F85-377C3B7888A6}"/>
    <cellStyle name="Vírgula 6 7 7 2" xfId="39194" xr:uid="{E61ED860-1EAC-4D45-8A76-99BC27488B0B}"/>
    <cellStyle name="Vírgula 6 7 8" xfId="19442" xr:uid="{31A07EBF-3AFF-437C-BD05-E374AB71232D}"/>
    <cellStyle name="Vírgula 6 7 8 2" xfId="39781" xr:uid="{5A2D1256-2C53-423E-91AC-D642B93C44BC}"/>
    <cellStyle name="Vírgula 6 7 9" xfId="22697" xr:uid="{39F60F2A-B832-4292-8A88-F6F3D5262A81}"/>
    <cellStyle name="Vírgula 6 7 9 2" xfId="43032" xr:uid="{D6C435E7-4F9F-4A0E-B1F0-84D5E71A8222}"/>
    <cellStyle name="Vírgula 6 8" xfId="919" xr:uid="{5B862849-DA6F-4F41-AA21-A151F426C34E}"/>
    <cellStyle name="Vírgula 6 8 10" xfId="49296" xr:uid="{6BA75163-70A2-4131-AF8B-59DED8E411C3}"/>
    <cellStyle name="Vírgula 6 8 11" xfId="50966" xr:uid="{F0A657D0-5E0A-4755-87F8-95FDD0052616}"/>
    <cellStyle name="Vírgula 6 8 12" xfId="54261" xr:uid="{B0F983AE-9649-40D6-A585-23FE9294B072}"/>
    <cellStyle name="Vírgula 6 8 13" xfId="5793" xr:uid="{89C6E4C4-83D8-4DD6-A825-5323C1FC0A16}"/>
    <cellStyle name="Vírgula 6 8 14" xfId="4778" xr:uid="{084F139F-1823-4248-A0A3-E2585172F695}"/>
    <cellStyle name="Vírgula 6 8 2" xfId="2635" xr:uid="{C119936B-E3C0-4D0E-B997-3A2E0A72E1AB}"/>
    <cellStyle name="Vírgula 6 8 2 10" xfId="6951" xr:uid="{B68906E5-B711-4D31-A2A4-08374EF0542A}"/>
    <cellStyle name="Vírgula 6 8 2 2" xfId="17237" xr:uid="{5D9614F6-D591-4230-A3A7-DF126EF85303}"/>
    <cellStyle name="Vírgula 6 8 2 2 2" xfId="37577" xr:uid="{2A6EB0DB-69B5-4545-A103-F3A1351253EB}"/>
    <cellStyle name="Vírgula 6 8 2 3" xfId="20739" xr:uid="{160B1ADE-6EE6-48B5-9CA4-94BF153D7EA4}"/>
    <cellStyle name="Vírgula 6 8 2 3 2" xfId="41078" xr:uid="{7A77C530-B8FB-410B-A3D8-9B729779B983}"/>
    <cellStyle name="Vírgula 6 8 2 4" xfId="23994" xr:uid="{F5C77FC4-9FF7-4708-9EAF-0A4BB72FF033}"/>
    <cellStyle name="Vírgula 6 8 2 4 2" xfId="44329" xr:uid="{CE54CE72-3228-46F4-BEAE-49052EE9A302}"/>
    <cellStyle name="Vírgula 6 8 2 5" xfId="14328" xr:uid="{73EA7C14-9B9A-44C7-A8DB-AD2B120BE44A}"/>
    <cellStyle name="Vírgula 6 8 2 5 2" xfId="34669" xr:uid="{0873705B-7C72-4412-A124-45EAE33E6C12}"/>
    <cellStyle name="Vírgula 6 8 2 6" xfId="10450" xr:uid="{A4DB6407-05DD-4657-AC45-DF425DC73D63}"/>
    <cellStyle name="Vírgula 6 8 2 6 2" xfId="30793" xr:uid="{955D8D20-7059-401E-9D2A-19CBF7E27D7E}"/>
    <cellStyle name="Vírgula 6 8 2 7" xfId="27299" xr:uid="{C5EF4CE9-6AC5-4E2F-8ECD-24DE1AD69C84}"/>
    <cellStyle name="Vírgula 6 8 2 8" xfId="52598" xr:uid="{48C58404-FEF8-4ACE-8896-ABEF18ACFFC6}"/>
    <cellStyle name="Vírgula 6 8 2 9" xfId="55892" xr:uid="{6A6FA7D6-FAE2-41BC-8E12-434408DBA002}"/>
    <cellStyle name="Vírgula 6 8 3" xfId="13179" xr:uid="{31348503-EE68-4360-8CC2-C2C90FA83923}"/>
    <cellStyle name="Vírgula 6 8 3 2" xfId="33520" xr:uid="{10BCC1CD-57EE-4B88-BB51-951556EDA63B}"/>
    <cellStyle name="Vírgula 6 8 3 3" xfId="56790" xr:uid="{6B2B8E29-6795-45EC-A02C-385297F1164E}"/>
    <cellStyle name="Vírgula 6 8 4" xfId="16079" xr:uid="{78E68925-AF5A-4E33-88FF-859CF36BC9A7}"/>
    <cellStyle name="Vírgula 6 8 4 2" xfId="36419" xr:uid="{0EF868C1-8D71-47E7-A651-1FBB0000138C}"/>
    <cellStyle name="Vírgula 6 8 5" xfId="19581" xr:uid="{64EDD863-F0CA-4E62-8E0C-CA0128308CE3}"/>
    <cellStyle name="Vírgula 6 8 5 2" xfId="39920" xr:uid="{B5013106-A34B-4F26-BF86-E53A0CFB1DD8}"/>
    <cellStyle name="Vírgula 6 8 6" xfId="22836" xr:uid="{A60BEAE5-006A-4BF9-9D26-32D62A7A700E}"/>
    <cellStyle name="Vírgula 6 8 6 2" xfId="43171" xr:uid="{8AE5EE21-D657-4BEB-9F54-87A5F53BAD38}"/>
    <cellStyle name="Vírgula 6 8 7" xfId="12539" xr:uid="{D8EE1652-4997-4538-BF4E-B7D13C64AD0C}"/>
    <cellStyle name="Vírgula 6 8 7 2" xfId="32880" xr:uid="{883A5995-ACAB-480D-9BF3-40C043EF288A}"/>
    <cellStyle name="Vírgula 6 8 8" xfId="9292" xr:uid="{C61C32E6-F8FB-4B2D-9A72-53DCA3330443}"/>
    <cellStyle name="Vírgula 6 8 8 2" xfId="29635" xr:uid="{EC84CF97-0EFF-4FCA-AA62-0601D285991C}"/>
    <cellStyle name="Vírgula 6 8 9" xfId="26141" xr:uid="{F021D60E-46CD-49F6-B6C4-08A85FE3F6E7}"/>
    <cellStyle name="Vírgula 6 9" xfId="1325" xr:uid="{3E7FD1FB-A225-4410-B86E-3539E90C8F03}"/>
    <cellStyle name="Vírgula 6 9 10" xfId="54262" xr:uid="{ADF25893-574D-44A3-B7FE-B1E743223541}"/>
    <cellStyle name="Vírgula 6 9 11" xfId="6370" xr:uid="{EFE728DB-1264-44FD-ADA3-C3573602C15C}"/>
    <cellStyle name="Vírgula 6 9 2" xfId="2986" xr:uid="{ECCEE918-1EE6-41AC-B8F1-05C95B04E0C7}"/>
    <cellStyle name="Vírgula 6 9 2 2" xfId="36996" xr:uid="{F8225488-EEA0-44FA-93F2-A1060BC94B18}"/>
    <cellStyle name="Vírgula 6 9 2 3" xfId="52599" xr:uid="{8E80913C-8D77-4C74-BC58-112588AAE14C}"/>
    <cellStyle name="Vírgula 6 9 2 4" xfId="55893" xr:uid="{A878AB78-17F3-4DED-A8DB-52DBD5841E29}"/>
    <cellStyle name="Vírgula 6 9 2 5" xfId="16656" xr:uid="{C457C832-3EEC-487F-A2A6-AF2DED8BF222}"/>
    <cellStyle name="Vírgula 6 9 3" xfId="20158" xr:uid="{F4ADBD61-7BA3-4410-9BF0-AE32012E4FDF}"/>
    <cellStyle name="Vírgula 6 9 3 2" xfId="40497" xr:uid="{32EDE856-DD9D-42B2-B2BA-C83BCAB43A08}"/>
    <cellStyle name="Vírgula 6 9 3 3" xfId="57196" xr:uid="{E4484212-1E23-49AE-BF3C-767C729149FD}"/>
    <cellStyle name="Vírgula 6 9 4" xfId="23413" xr:uid="{2F1CC44F-9366-4978-A821-1FC06F0D9D71}"/>
    <cellStyle name="Vírgula 6 9 4 2" xfId="43748" xr:uid="{D6C8820A-0DFA-4A66-B656-708DC8A78683}"/>
    <cellStyle name="Vírgula 6 9 5" xfId="13747" xr:uid="{914B915F-9E01-489E-A395-F1220B1C53E1}"/>
    <cellStyle name="Vírgula 6 9 5 2" xfId="34088" xr:uid="{A45AAD7C-D8B4-4205-B123-D070E5542A57}"/>
    <cellStyle name="Vírgula 6 9 6" xfId="9869" xr:uid="{902044BE-1851-4B82-9DBD-9B0CF16E3341}"/>
    <cellStyle name="Vírgula 6 9 6 2" xfId="30212" xr:uid="{6AA00254-D6F8-4259-B47A-8B600594CE58}"/>
    <cellStyle name="Vírgula 6 9 7" xfId="26718" xr:uid="{05160756-D9CD-4591-942F-3D86F77D98F3}"/>
    <cellStyle name="Vírgula 6 9 8" xfId="49297" xr:uid="{4ECC391C-278A-4D9D-AE0B-9197FF27A001}"/>
    <cellStyle name="Vírgula 6 9 9" xfId="50967" xr:uid="{7E083A99-DC19-45B3-B352-00C8B31D74E0}"/>
    <cellStyle name="Vírgula 60" xfId="57588" xr:uid="{68BF5B19-F7EF-4025-8E36-A3D5DE789430}"/>
    <cellStyle name="Vírgula 61" xfId="57593" xr:uid="{3B3D8980-0DE5-4363-B20C-81A54D7547E2}"/>
    <cellStyle name="Vírgula 62" xfId="57610" xr:uid="{EBAF9EC9-6537-4633-8394-12F20EF7E775}"/>
    <cellStyle name="Vírgula 7" xfId="54" xr:uid="{627AEA8E-B3CA-4ED0-A243-178CC192CE49}"/>
    <cellStyle name="Vírgula 7 10" xfId="2073" xr:uid="{B72D7DF3-F841-44A9-ABC3-F359D01510B1}"/>
    <cellStyle name="Vírgula 7 10 2" xfId="38736" xr:uid="{31A1041A-7600-46FC-9730-6448DF1A73C0}"/>
    <cellStyle name="Vírgula 7 10 3" xfId="52600" xr:uid="{DC5F1722-F2E7-4713-B59B-56D19370BB02}"/>
    <cellStyle name="Vírgula 7 10 4" xfId="55894" xr:uid="{4F45F8F8-34E2-46D0-8EC4-A51BDA70C6B0}"/>
    <cellStyle name="Vírgula 7 10 5" xfId="18396" xr:uid="{B4AEEA0F-1EBC-4CD5-B53B-05260C9D8A4C}"/>
    <cellStyle name="Vírgula 7 11" xfId="3399" xr:uid="{3C4D8B14-BB1E-43BE-B059-8ADA35C9D944}"/>
    <cellStyle name="Vírgula 7 11 2" xfId="39323" xr:uid="{BCA45714-010D-4827-AC17-633A6336A2EF}"/>
    <cellStyle name="Vírgula 7 11 3" xfId="55975" xr:uid="{659A6397-BDD6-4D88-828E-E742D18AF81B}"/>
    <cellStyle name="Vírgula 7 11 4" xfId="18984" xr:uid="{DE03225A-4723-4426-8B06-0262406D0E2A}"/>
    <cellStyle name="Vírgula 7 12" xfId="3843" xr:uid="{6F5BE9FA-9C8C-4D39-AF12-ECCAB022495E}"/>
    <cellStyle name="Vírgula 7 12 2" xfId="42574" xr:uid="{CDA4CFC1-08AC-4031-954D-135D455D2D11}"/>
    <cellStyle name="Vírgula 7 12 3" xfId="22239" xr:uid="{3218E4A9-D8B5-4B5E-9E63-C9B05874DDB8}"/>
    <cellStyle name="Vírgula 7 13" xfId="1747" xr:uid="{5E386EC6-7C31-45E7-8EA7-FD21F12BF3B7}"/>
    <cellStyle name="Vírgula 7 13 2" xfId="32297" xr:uid="{67FB5F9A-5C3D-4B91-9469-518EF658F084}"/>
    <cellStyle name="Vírgula 7 13 3" xfId="11956" xr:uid="{84823E0B-D133-46BF-8DE4-4861E92B59B0}"/>
    <cellStyle name="Vírgula 7 14" xfId="8695" xr:uid="{E262F3DE-62A2-4493-B18C-90AA0158D7D7}"/>
    <cellStyle name="Vírgula 7 14 2" xfId="29038" xr:uid="{3FF9448B-F63F-4EEA-9861-00145E997B57}"/>
    <cellStyle name="Vírgula 7 15" xfId="25540" xr:uid="{B87F9726-8ED2-40D2-9223-AF5F107D59A6}"/>
    <cellStyle name="Vírgula 7 16" xfId="25497" xr:uid="{7E0B9DB5-A720-464F-A877-79974BB28E6B}"/>
    <cellStyle name="Vírgula 7 17" xfId="47331" xr:uid="{5CB5F568-8C3A-47DB-9CC1-ECB635141599}"/>
    <cellStyle name="Vírgula 7 18" xfId="47457" xr:uid="{A868F143-577E-4A2D-A4F7-9A23FDEC254E}"/>
    <cellStyle name="Vírgula 7 19" xfId="47583" xr:uid="{356E8066-50AA-4703-BBEF-25C3E957E685}"/>
    <cellStyle name="Vírgula 7 2" xfId="156" xr:uid="{45E366AD-112C-4AFF-84BC-23E08FF18F0E}"/>
    <cellStyle name="Vírgula 7 2 10" xfId="6365" xr:uid="{8771E905-28E3-4D0A-A391-154BA2DBA21C}"/>
    <cellStyle name="Vírgula 7 2 10 2" xfId="16651" xr:uid="{B197E71A-1A7A-4B12-98EE-CAF0FECBB38C}"/>
    <cellStyle name="Vírgula 7 2 10 2 2" xfId="36991" xr:uid="{4ACB24BA-A744-4919-A5E4-5F723A16C831}"/>
    <cellStyle name="Vírgula 7 2 10 3" xfId="20153" xr:uid="{91661FC2-7E7F-4343-A7F7-2519B5BE47BF}"/>
    <cellStyle name="Vírgula 7 2 10 3 2" xfId="40492" xr:uid="{01F429CF-A5E2-4643-871B-03C489E0A0E9}"/>
    <cellStyle name="Vírgula 7 2 10 4" xfId="23408" xr:uid="{5CADE9A4-4553-46F1-807A-2BE40D15AAE3}"/>
    <cellStyle name="Vírgula 7 2 10 4 2" xfId="43743" xr:uid="{7F288D4E-BDE4-4F0D-97BF-A3D27F1A1CFE}"/>
    <cellStyle name="Vírgula 7 2 10 5" xfId="13742" xr:uid="{B987892F-BFCA-42C9-9E31-404FA8F83E32}"/>
    <cellStyle name="Vírgula 7 2 10 5 2" xfId="34083" xr:uid="{40197088-9C22-45DD-BAA3-F98926787CB3}"/>
    <cellStyle name="Vírgula 7 2 10 6" xfId="9864" xr:uid="{68CF1098-3693-4D13-A230-D00DA8000BA2}"/>
    <cellStyle name="Vírgula 7 2 10 6 2" xfId="30207" xr:uid="{83680A1F-8132-4C45-8351-4C97D01595E2}"/>
    <cellStyle name="Vírgula 7 2 10 7" xfId="26713" xr:uid="{C8139B47-B96E-4091-A827-8FBFFC7592E1}"/>
    <cellStyle name="Vírgula 7 2 11" xfId="7529" xr:uid="{B5D370EE-3E04-4D50-AC07-584FC0D85D62}"/>
    <cellStyle name="Vírgula 7 2 11 2" xfId="17814" xr:uid="{CA623B5F-6196-4EF7-91F3-2FD12E2AF87C}"/>
    <cellStyle name="Vírgula 7 2 11 2 2" xfId="38154" xr:uid="{0FECCCD0-36E4-4E98-BA28-ABCABCD93937}"/>
    <cellStyle name="Vírgula 7 2 11 3" xfId="21316" xr:uid="{714FFE8D-A69D-4D1E-8261-9C60DEDBEC1C}"/>
    <cellStyle name="Vírgula 7 2 11 3 2" xfId="41655" xr:uid="{791168F6-B20D-4D7A-905F-5236DD236073}"/>
    <cellStyle name="Vírgula 7 2 11 4" xfId="24571" xr:uid="{F734DA7B-A41D-4A4F-A62B-7B727F9F7FF8}"/>
    <cellStyle name="Vírgula 7 2 11 4 2" xfId="44906" xr:uid="{F7495C1D-B29E-488D-AF00-089D032E4FE2}"/>
    <cellStyle name="Vírgula 7 2 11 5" xfId="14906" xr:uid="{DDEA6983-304F-4B79-AD85-253CBFD5C265}"/>
    <cellStyle name="Vírgula 7 2 11 5 2" xfId="35246" xr:uid="{38B40C69-B82A-4529-AE38-23F42B535392}"/>
    <cellStyle name="Vírgula 7 2 11 6" xfId="11027" xr:uid="{18E85536-4028-47B1-BD6D-B4C4369780C5}"/>
    <cellStyle name="Vírgula 7 2 11 6 2" xfId="31370" xr:uid="{337A2189-B1BA-4F89-AAFF-F39FD5B50CEC}"/>
    <cellStyle name="Vírgula 7 2 11 7" xfId="27876" xr:uid="{6D42B9D0-4744-43EA-A4AC-BCCE179553A3}"/>
    <cellStyle name="Vírgula 7 2 12" xfId="8339" xr:uid="{C62A1DDC-D2A8-48F8-8C5C-62A2F05567F7}"/>
    <cellStyle name="Vírgula 7 2 12 2" xfId="22126" xr:uid="{47B3A454-151E-43A0-B84C-7A18DA394F1F}"/>
    <cellStyle name="Vírgula 7 2 12 2 2" xfId="42462" xr:uid="{52EE909B-97B3-4901-A726-39C148118E1D}"/>
    <cellStyle name="Vírgula 7 2 12 3" xfId="25378" xr:uid="{B2E51B08-414E-44A4-99A8-A0BF3420F02D}"/>
    <cellStyle name="Vírgula 7 2 12 3 2" xfId="45713" xr:uid="{3C8A6F6F-4D9C-4AD6-8169-211ECB2A84D1}"/>
    <cellStyle name="Vírgula 7 2 12 4" xfId="12605" xr:uid="{8E062364-B936-4088-A283-3FAC457362AA}"/>
    <cellStyle name="Vírgula 7 2 12 4 2" xfId="32946" xr:uid="{0BACBC43-4E5B-4A85-B5D8-846FB3390886}"/>
    <cellStyle name="Vírgula 7 2 12 5" xfId="11835" xr:uid="{FABFE3C2-5DE8-4BFF-AAC2-6ECEEBF4F795}"/>
    <cellStyle name="Vírgula 7 2 12 5 2" xfId="32177" xr:uid="{0A2A01BB-D4E8-4F82-987D-A46F64D007C5}"/>
    <cellStyle name="Vírgula 7 2 12 6" xfId="28683" xr:uid="{82F8CC78-A991-4396-A717-EA4EC3535375}"/>
    <cellStyle name="Vírgula 7 2 13" xfId="8444" xr:uid="{4B9B804B-EB7A-42BB-B39C-9301B5C2054A}"/>
    <cellStyle name="Vírgula 7 2 13 2" xfId="15493" xr:uid="{BBFB35BC-25EC-4031-BE40-E2CDE99BF576}"/>
    <cellStyle name="Vírgula 7 2 13 2 2" xfId="35833" xr:uid="{E88F78C5-B9FC-4818-B5DC-DD49BA068B8A}"/>
    <cellStyle name="Vírgula 7 2 13 3" xfId="28787" xr:uid="{512E920F-6D23-495B-95D2-504E1DD0A571}"/>
    <cellStyle name="Vírgula 7 2 14" xfId="18407" xr:uid="{78DB26A2-FEA7-49A3-9A40-E3B2268864D1}"/>
    <cellStyle name="Vírgula 7 2 14 2" xfId="38747" xr:uid="{C388A555-0024-44E5-A505-8F77EE99C523}"/>
    <cellStyle name="Vírgula 7 2 15" xfId="18995" xr:uid="{73EBC3B0-6B6A-4667-9A80-2F63840D626B}"/>
    <cellStyle name="Vírgula 7 2 15 2" xfId="39334" xr:uid="{7F986D87-B241-4698-A393-59D63ACFBC6C}"/>
    <cellStyle name="Vírgula 7 2 16" xfId="22250" xr:uid="{8626B6FA-6E93-46DD-91A1-CAF13EBF52B9}"/>
    <cellStyle name="Vírgula 7 2 16 2" xfId="42585" xr:uid="{47FA9DDD-F932-4373-8FD7-CB411A3796B4}"/>
    <cellStyle name="Vírgula 7 2 17" xfId="11967" xr:uid="{4F3CA75E-3719-43ED-8B00-FE21F7ABA2B9}"/>
    <cellStyle name="Vírgula 7 2 17 2" xfId="32308" xr:uid="{065915AA-B604-44D7-9894-29D91E287B02}"/>
    <cellStyle name="Vírgula 7 2 18" xfId="8706" xr:uid="{54303A4D-706F-4B33-A6D5-C0DF8D884638}"/>
    <cellStyle name="Vírgula 7 2 18 2" xfId="29049" xr:uid="{9C35F146-1643-46CB-A70E-298141C6937F}"/>
    <cellStyle name="Vírgula 7 2 19" xfId="25551" xr:uid="{45A2B9A5-8484-4441-A5D9-8CD14C2E4B7F}"/>
    <cellStyle name="Vírgula 7 2 2" xfId="345" xr:uid="{2742F2C9-0168-4B40-84CD-D5589BCF7C37}"/>
    <cellStyle name="Vírgula 7 2 2 10" xfId="7542" xr:uid="{EBCEC575-B672-4BCF-8717-E682D907C90C}"/>
    <cellStyle name="Vírgula 7 2 2 10 2" xfId="17827" xr:uid="{B0302EB0-DA79-4500-95B6-D6EDFF82FE03}"/>
    <cellStyle name="Vírgula 7 2 2 10 2 2" xfId="38167" xr:uid="{62E84181-0867-4B64-87FF-F6988423BB42}"/>
    <cellStyle name="Vírgula 7 2 2 10 3" xfId="21329" xr:uid="{85DBB2F9-D2D2-4441-88F4-1E7F457C392D}"/>
    <cellStyle name="Vírgula 7 2 2 10 3 2" xfId="41668" xr:uid="{D2C752AB-CFF7-4EDC-BE4C-8C4B8CD1B28E}"/>
    <cellStyle name="Vírgula 7 2 2 10 4" xfId="24584" xr:uid="{DD3B240E-B408-4ED3-85A5-AA9A552C6194}"/>
    <cellStyle name="Vírgula 7 2 2 10 4 2" xfId="44919" xr:uid="{4239E6CE-A67E-4AEF-B6A7-33236BD4C9C7}"/>
    <cellStyle name="Vírgula 7 2 2 10 5" xfId="14919" xr:uid="{A9B43A09-11D0-470F-8592-2B03B4F1AC11}"/>
    <cellStyle name="Vírgula 7 2 2 10 5 2" xfId="35259" xr:uid="{A5EAEB84-2187-42A5-A5DD-1A729B5DE3C2}"/>
    <cellStyle name="Vírgula 7 2 2 10 6" xfId="11040" xr:uid="{C51AB857-E125-4838-A09C-5B520B062642}"/>
    <cellStyle name="Vírgula 7 2 2 10 6 2" xfId="31383" xr:uid="{315F85A0-B15C-485D-99CA-E9BFE4C01402}"/>
    <cellStyle name="Vírgula 7 2 2 10 7" xfId="27889" xr:uid="{FF4CE2DF-82B1-4298-90B0-7666140D1B4A}"/>
    <cellStyle name="Vírgula 7 2 2 11" xfId="8340" xr:uid="{D4AF0530-1FB2-45C4-B11A-36D0821F0ED5}"/>
    <cellStyle name="Vírgula 7 2 2 11 2" xfId="22127" xr:uid="{305281AF-912B-42F1-81E0-DC3CDE348080}"/>
    <cellStyle name="Vírgula 7 2 2 11 2 2" xfId="42463" xr:uid="{8C328D04-D7D2-4BDE-8CB2-034F47B996FF}"/>
    <cellStyle name="Vírgula 7 2 2 11 3" xfId="25379" xr:uid="{E0B00A00-6415-4845-A48D-E9AE73D8204C}"/>
    <cellStyle name="Vírgula 7 2 2 11 3 2" xfId="45714" xr:uid="{ED66BDC7-0F9B-4BF1-B2E8-DAD924680B51}"/>
    <cellStyle name="Vírgula 7 2 2 11 4" xfId="12616" xr:uid="{5E8116EB-4630-49AA-8233-B5649372991D}"/>
    <cellStyle name="Vírgula 7 2 2 11 4 2" xfId="32957" xr:uid="{D974533E-EEDD-4296-807A-2F28039B0949}"/>
    <cellStyle name="Vírgula 7 2 2 11 5" xfId="11836" xr:uid="{6DE70FCA-1A1E-4A49-8450-13CB84A6FA14}"/>
    <cellStyle name="Vírgula 7 2 2 11 5 2" xfId="32178" xr:uid="{8729096F-5B0C-4624-90E3-9F9B7178CD6C}"/>
    <cellStyle name="Vírgula 7 2 2 11 6" xfId="28684" xr:uid="{0CE408AB-8AC1-4ECE-B4AA-F7C19483B883}"/>
    <cellStyle name="Vírgula 7 2 2 12" xfId="8457" xr:uid="{BD0951E9-174C-4800-B0E6-9996779D3513}"/>
    <cellStyle name="Vírgula 7 2 2 12 2" xfId="15506" xr:uid="{B30D29C8-25D4-46AC-B953-40120BC95191}"/>
    <cellStyle name="Vírgula 7 2 2 12 2 2" xfId="35846" xr:uid="{D2D0AFA1-9A90-4469-B834-EE42953026E4}"/>
    <cellStyle name="Vírgula 7 2 2 12 3" xfId="28800" xr:uid="{B399BFCE-3930-4678-BB05-C2517B90A5EF}"/>
    <cellStyle name="Vírgula 7 2 2 13" xfId="18420" xr:uid="{79B4CBAA-0C0C-45C1-8524-E899AFC8AF50}"/>
    <cellStyle name="Vírgula 7 2 2 13 2" xfId="38760" xr:uid="{0AE5A280-B1B4-431C-9923-ACEC0D70EF0D}"/>
    <cellStyle name="Vírgula 7 2 2 14" xfId="19008" xr:uid="{E2CFA4A6-28C1-4C54-B163-34D6594C5CD7}"/>
    <cellStyle name="Vírgula 7 2 2 14 2" xfId="39347" xr:uid="{9F7D0549-F66B-448C-B58A-C24BB5066A10}"/>
    <cellStyle name="Vírgula 7 2 2 15" xfId="22263" xr:uid="{42130741-8DA8-49B6-BDBF-F81542F46231}"/>
    <cellStyle name="Vírgula 7 2 2 15 2" xfId="42598" xr:uid="{252F9073-AF92-43BA-95B4-2F4EFF271B6A}"/>
    <cellStyle name="Vírgula 7 2 2 16" xfId="11980" xr:uid="{D6E0E539-0D1D-4889-8FBA-73166C39034A}"/>
    <cellStyle name="Vírgula 7 2 2 16 2" xfId="32321" xr:uid="{FC9F9A51-9788-4D50-B70C-D921D7D05C0F}"/>
    <cellStyle name="Vírgula 7 2 2 17" xfId="8719" xr:uid="{63926CB1-584A-4E15-BA1C-7DA997FFB278}"/>
    <cellStyle name="Vírgula 7 2 2 17 2" xfId="29062" xr:uid="{F0FD83B0-8EE4-4F27-9D2F-21739D7CE290}"/>
    <cellStyle name="Vírgula 7 2 2 18" xfId="25564" xr:uid="{40580586-E44F-4AA6-BBCA-C111D51FA08E}"/>
    <cellStyle name="Vírgula 7 2 2 19" xfId="45832" xr:uid="{FB1078E7-CDB6-4B69-8B83-2459BCC53952}"/>
    <cellStyle name="Vírgula 7 2 2 2" xfId="1161" xr:uid="{8EB2750D-9E17-452B-8A1D-370AB9039F1B}"/>
    <cellStyle name="Vírgula 7 2 2 2 10" xfId="8341" xr:uid="{BC2E09EE-F8F4-42AA-980A-604B20990B5D}"/>
    <cellStyle name="Vírgula 7 2 2 2 10 2" xfId="22128" xr:uid="{A794D288-103D-4B67-A033-0EE5B0D73F34}"/>
    <cellStyle name="Vírgula 7 2 2 2 10 2 2" xfId="42464" xr:uid="{E2FF1CBF-855D-4406-BF48-F84A7659CB71}"/>
    <cellStyle name="Vírgula 7 2 2 2 10 3" xfId="25380" xr:uid="{CA3DFD6D-8C2C-4DF8-B20A-FCDBC06EE618}"/>
    <cellStyle name="Vírgula 7 2 2 2 10 3 2" xfId="45715" xr:uid="{25332179-A9C3-4EE3-965F-DD3DAE462DC3}"/>
    <cellStyle name="Vírgula 7 2 2 2 10 4" xfId="12639" xr:uid="{2B6512F8-D190-42E6-97A2-2AB32FE147BA}"/>
    <cellStyle name="Vírgula 7 2 2 2 10 4 2" xfId="32980" xr:uid="{C388C133-AEDA-486B-B578-FE997208888D}"/>
    <cellStyle name="Vírgula 7 2 2 2 10 5" xfId="11837" xr:uid="{1765951A-BA35-413D-A6EA-44DDAF7A0F69}"/>
    <cellStyle name="Vírgula 7 2 2 2 10 5 2" xfId="32179" xr:uid="{89E6B881-3C90-4CCE-B3F6-C98CA4D33D53}"/>
    <cellStyle name="Vírgula 7 2 2 2 10 6" xfId="28685" xr:uid="{C938EF8D-51CC-459D-9C61-57CE38F3138F}"/>
    <cellStyle name="Vírgula 7 2 2 2 11" xfId="8485" xr:uid="{B615CDAC-8EA3-4408-9381-9266CA2E87B2}"/>
    <cellStyle name="Vírgula 7 2 2 2 11 2" xfId="15534" xr:uid="{972661AE-E52A-4BAE-A4BE-9912892ADA1C}"/>
    <cellStyle name="Vírgula 7 2 2 2 11 2 2" xfId="35874" xr:uid="{BD32A335-1BE1-423B-BA5B-A996E96CB2F4}"/>
    <cellStyle name="Vírgula 7 2 2 2 11 3" xfId="28828" xr:uid="{78E89254-BE58-421E-872B-42689301AC5A}"/>
    <cellStyle name="Vírgula 7 2 2 2 12" xfId="18448" xr:uid="{45F7C772-A1E6-4815-BB7D-B221C3F13E86}"/>
    <cellStyle name="Vírgula 7 2 2 2 12 2" xfId="38788" xr:uid="{FA74F654-EEF4-47B7-8CC3-78607CC8B3B6}"/>
    <cellStyle name="Vírgula 7 2 2 2 13" xfId="19036" xr:uid="{5D5DCEAA-9BFE-43DA-BE9D-D937AB2B37F3}"/>
    <cellStyle name="Vírgula 7 2 2 2 13 2" xfId="39375" xr:uid="{F6A8C1D2-8E78-452C-8B62-46E1AF313E2B}"/>
    <cellStyle name="Vírgula 7 2 2 2 14" xfId="22291" xr:uid="{52EA7548-9707-46E6-BE0B-7F2DC2B29BD1}"/>
    <cellStyle name="Vírgula 7 2 2 2 14 2" xfId="42626" xr:uid="{4298D5B8-BF48-41C4-B8B3-E0E3D90897F0}"/>
    <cellStyle name="Vírgula 7 2 2 2 15" xfId="12008" xr:uid="{84186FFF-7DED-4252-8F01-807CEEA85DB5}"/>
    <cellStyle name="Vírgula 7 2 2 2 15 2" xfId="32349" xr:uid="{B56900DB-3897-4CA4-8942-CFB41FF5075C}"/>
    <cellStyle name="Vírgula 7 2 2 2 16" xfId="8747" xr:uid="{1FBB4D42-F1E7-4190-BA5A-1B56EAD5C5B5}"/>
    <cellStyle name="Vírgula 7 2 2 2 16 2" xfId="29090" xr:uid="{69792CB1-EFBD-4456-BD12-E8B7F5EED82F}"/>
    <cellStyle name="Vírgula 7 2 2 2 17" xfId="25592" xr:uid="{A2EB298F-722E-4910-A602-63B8907EA339}"/>
    <cellStyle name="Vírgula 7 2 2 2 18" xfId="45860" xr:uid="{480A17C5-1C55-417F-BABC-D3D3D1CC7244}"/>
    <cellStyle name="Vírgula 7 2 2 2 19" xfId="46346" xr:uid="{47447124-C2B6-492B-BBDB-C3FD896C8A6F}"/>
    <cellStyle name="Vírgula 7 2 2 2 2" xfId="4066" xr:uid="{610F5A86-FC81-41F7-B91B-C464439869A5}"/>
    <cellStyle name="Vírgula 7 2 2 2 2 10" xfId="22406" xr:uid="{D6003541-4231-4635-A1E4-154E6ACD57F3}"/>
    <cellStyle name="Vírgula 7 2 2 2 2 10 2" xfId="42741" xr:uid="{70806C10-A83C-4769-83E1-7B2F21FC1D99}"/>
    <cellStyle name="Vírgula 7 2 2 2 2 11" xfId="12123" xr:uid="{48A8DF93-761D-4AF9-85BC-5779C6918976}"/>
    <cellStyle name="Vírgula 7 2 2 2 2 11 2" xfId="32464" xr:uid="{D287E6A2-DDCD-4D37-A7DB-758541B3F125}"/>
    <cellStyle name="Vírgula 7 2 2 2 2 12" xfId="8862" xr:uid="{ABBAEFAE-F032-4A26-ACEA-E7CBF74876C6}"/>
    <cellStyle name="Vírgula 7 2 2 2 2 12 2" xfId="29205" xr:uid="{F0B0D587-C238-4CE9-BEA2-AA3CBDF270C0}"/>
    <cellStyle name="Vírgula 7 2 2 2 2 13" xfId="25711" xr:uid="{1E304A89-3087-483B-A0C7-8F650C5C7DFF}"/>
    <cellStyle name="Vírgula 7 2 2 2 2 14" xfId="45920" xr:uid="{1D6D76B5-8C33-45ED-871E-CB67890916C6}"/>
    <cellStyle name="Vírgula 7 2 2 2 2 15" xfId="46406" xr:uid="{4FB78799-C07D-4EB8-B0ED-354896F0F060}"/>
    <cellStyle name="Vírgula 7 2 2 2 2 16" xfId="46898" xr:uid="{7537F0C9-49DC-4DCE-ACD9-98B823DF6F72}"/>
    <cellStyle name="Vírgula 7 2 2 2 2 17" xfId="52603" xr:uid="{15819EED-0E6C-47C1-AFDB-8D66BF91A7D3}"/>
    <cellStyle name="Vírgula 7 2 2 2 2 18" xfId="55897" xr:uid="{1054AC8B-05F7-4191-9714-EAF9D180E170}"/>
    <cellStyle name="Vírgula 7 2 2 2 2 19" xfId="5381" xr:uid="{395E4CEF-DF1B-4C3D-A76C-00AB6A9F5FAE}"/>
    <cellStyle name="Vírgula 7 2 2 2 2 2" xfId="5142" xr:uid="{9DDB1CD7-EAD8-497D-BC41-A950349A790B}"/>
    <cellStyle name="Vírgula 7 2 2 2 2 2 10" xfId="12510" xr:uid="{1FB704D6-A4E9-4218-8F05-98F7FA8489AE}"/>
    <cellStyle name="Vírgula 7 2 2 2 2 2 10 2" xfId="32851" xr:uid="{DD966476-CDC1-4DA0-B99B-578DB0A6CD83}"/>
    <cellStyle name="Vírgula 7 2 2 2 2 2 11" xfId="9249" xr:uid="{4E2C8575-6A5F-429A-87EB-D60700322AE8}"/>
    <cellStyle name="Vírgula 7 2 2 2 2 2 11 2" xfId="29592" xr:uid="{799BE68F-47AD-40F3-98C5-E45DA97C7BE2}"/>
    <cellStyle name="Vírgula 7 2 2 2 2 2 12" xfId="26098" xr:uid="{1D22D4A9-4EF1-4523-AA10-8AB3B09548D6}"/>
    <cellStyle name="Vírgula 7 2 2 2 2 2 13" xfId="46024" xr:uid="{70D27760-7E14-4768-8128-E6DCF87267F1}"/>
    <cellStyle name="Vírgula 7 2 2 2 2 2 14" xfId="46510" xr:uid="{56253BE9-B32C-4D75-8B3C-349B1B1FCB6D}"/>
    <cellStyle name="Vírgula 7 2 2 2 2 2 15" xfId="47002" xr:uid="{E620B776-740A-4DF6-9625-43D220AC4DE3}"/>
    <cellStyle name="Vírgula 7 2 2 2 2 2 16" xfId="5752" xr:uid="{0E8DB736-2ADF-4BA7-8D91-F2630CED1993}"/>
    <cellStyle name="Vírgula 7 2 2 2 2 2 2" xfId="6331" xr:uid="{4D66E58F-3F6E-4198-B552-0C222BF4E40D}"/>
    <cellStyle name="Vírgula 7 2 2 2 2 2 2 10" xfId="46753" xr:uid="{D118BDFF-614C-4926-8360-AF1950419794}"/>
    <cellStyle name="Vírgula 7 2 2 2 2 2 2 11" xfId="47245" xr:uid="{CF8E55FF-36D6-453B-9BD7-EA5F89EB5B4E}"/>
    <cellStyle name="Vírgula 7 2 2 2 2 2 2 2" xfId="7489" xr:uid="{0DD4E0EE-6F87-44C8-82C9-79B319B35F9A}"/>
    <cellStyle name="Vírgula 7 2 2 2 2 2 2 2 2" xfId="17775" xr:uid="{242846BC-6977-4A87-9926-5BEA58511982}"/>
    <cellStyle name="Vírgula 7 2 2 2 2 2 2 2 2 2" xfId="38115" xr:uid="{29387C58-4210-48B4-99DC-5AA07AA9C235}"/>
    <cellStyle name="Vírgula 7 2 2 2 2 2 2 2 3" xfId="21277" xr:uid="{DDC94826-5D5B-4BFC-BEE4-EC826D37A112}"/>
    <cellStyle name="Vírgula 7 2 2 2 2 2 2 2 3 2" xfId="41616" xr:uid="{215A24F0-3568-4F83-8599-AF2528635FD2}"/>
    <cellStyle name="Vírgula 7 2 2 2 2 2 2 2 4" xfId="24532" xr:uid="{590AE1D2-526D-47BB-9D54-28EC16C53186}"/>
    <cellStyle name="Vírgula 7 2 2 2 2 2 2 2 4 2" xfId="44867" xr:uid="{2019EE8A-9A42-466C-9950-6D9231DB9C33}"/>
    <cellStyle name="Vírgula 7 2 2 2 2 2 2 2 5" xfId="14866" xr:uid="{7AB65EA4-0A05-4874-9C40-05F8ED197D70}"/>
    <cellStyle name="Vírgula 7 2 2 2 2 2 2 2 5 2" xfId="35207" xr:uid="{1911AAF3-7F5C-4680-9730-27DD616087FC}"/>
    <cellStyle name="Vírgula 7 2 2 2 2 2 2 2 6" xfId="10988" xr:uid="{5329756A-4302-4555-BC60-DA91EEA23B04}"/>
    <cellStyle name="Vírgula 7 2 2 2 2 2 2 2 6 2" xfId="31331" xr:uid="{154ABA3F-7621-40F2-9C63-BDD22DF8FDD3}"/>
    <cellStyle name="Vírgula 7 2 2 2 2 2 2 2 7" xfId="27837" xr:uid="{B605DB79-B24D-49AE-9241-F12DB8A0FD75}"/>
    <cellStyle name="Vírgula 7 2 2 2 2 2 2 3" xfId="16617" xr:uid="{575A22A7-6CEF-451D-AE3B-75BA2FA115A4}"/>
    <cellStyle name="Vírgula 7 2 2 2 2 2 2 3 2" xfId="36957" xr:uid="{3EC9C0D3-EAEF-495D-97D0-FC11CCB9CDE1}"/>
    <cellStyle name="Vírgula 7 2 2 2 2 2 2 4" xfId="20119" xr:uid="{D287BBE4-6944-4ECD-9A0D-D0D1912B48DC}"/>
    <cellStyle name="Vírgula 7 2 2 2 2 2 2 4 2" xfId="40458" xr:uid="{8A54ACF9-81E0-42A0-A785-AC761738889E}"/>
    <cellStyle name="Vírgula 7 2 2 2 2 2 2 5" xfId="23374" xr:uid="{A21DFD93-14EE-4D40-8C15-E793D4E53722}"/>
    <cellStyle name="Vírgula 7 2 2 2 2 2 2 5 2" xfId="43709" xr:uid="{998D3B19-3A5D-48D0-A454-5D8C5C718331}"/>
    <cellStyle name="Vírgula 7 2 2 2 2 2 2 6" xfId="13708" xr:uid="{CC68E7D4-0E97-4DE1-834B-D60EA2385669}"/>
    <cellStyle name="Vírgula 7 2 2 2 2 2 2 6 2" xfId="34049" xr:uid="{EDEE6039-E057-4A73-B711-149A397AE546}"/>
    <cellStyle name="Vírgula 7 2 2 2 2 2 2 7" xfId="9830" xr:uid="{14F9FD4D-9419-41C7-AAB5-EAB141E5F6BD}"/>
    <cellStyle name="Vírgula 7 2 2 2 2 2 2 7 2" xfId="30173" xr:uid="{880468CE-8247-4F50-A681-5307F037E1B1}"/>
    <cellStyle name="Vírgula 7 2 2 2 2 2 2 8" xfId="26679" xr:uid="{812FA77E-1C27-4F18-A3FC-07C1577A1A3F}"/>
    <cellStyle name="Vírgula 7 2 2 2 2 2 2 9" xfId="46267" xr:uid="{41A66721-821C-42B2-B505-F9F1B845872E}"/>
    <cellStyle name="Vírgula 7 2 2 2 2 2 3" xfId="6908" xr:uid="{F017BA03-6B28-4C12-B64E-00A240E7B790}"/>
    <cellStyle name="Vírgula 7 2 2 2 2 2 3 2" xfId="17194" xr:uid="{665B4489-1C34-4B4A-9D1C-74281FE27CEA}"/>
    <cellStyle name="Vírgula 7 2 2 2 2 2 3 2 2" xfId="37534" xr:uid="{B9BC2630-A037-4FD4-B1FE-A42A6CCB7C29}"/>
    <cellStyle name="Vírgula 7 2 2 2 2 2 3 3" xfId="20696" xr:uid="{F7DD6945-205F-4F81-A9CB-EA711AAEC9F8}"/>
    <cellStyle name="Vírgula 7 2 2 2 2 2 3 3 2" xfId="41035" xr:uid="{6AEF6288-C0AB-4704-966D-BBE8BC5BF779}"/>
    <cellStyle name="Vírgula 7 2 2 2 2 2 3 4" xfId="23951" xr:uid="{C852C957-3646-4C72-839D-871F5F3EFF30}"/>
    <cellStyle name="Vírgula 7 2 2 2 2 2 3 4 2" xfId="44286" xr:uid="{0952BDF5-CE75-43D6-99EA-9FBA7FA22513}"/>
    <cellStyle name="Vírgula 7 2 2 2 2 2 3 5" xfId="14285" xr:uid="{BE109680-AAAF-412B-8681-31DCD03E5639}"/>
    <cellStyle name="Vírgula 7 2 2 2 2 2 3 5 2" xfId="34626" xr:uid="{9DA2CCC2-D91D-44B1-9F4C-7D56D1ABF118}"/>
    <cellStyle name="Vírgula 7 2 2 2 2 2 3 6" xfId="10407" xr:uid="{D2CDE307-DB6A-417D-9F71-7A2B01C83E4C}"/>
    <cellStyle name="Vírgula 7 2 2 2 2 2 3 6 2" xfId="30750" xr:uid="{57F34AAA-82AD-4062-BD6D-9385CD62E090}"/>
    <cellStyle name="Vírgula 7 2 2 2 2 2 3 7" xfId="27256" xr:uid="{4E2EEA3A-CCCE-424F-B399-418F976A9614}"/>
    <cellStyle name="Vírgula 7 2 2 2 2 2 4" xfId="8072" xr:uid="{2AA1E407-C75F-439F-BEC3-2CAC44B44F3B}"/>
    <cellStyle name="Vírgula 7 2 2 2 2 2 4 2" xfId="18357" xr:uid="{5C12BF5B-A164-4011-BF79-FB5FD56333B7}"/>
    <cellStyle name="Vírgula 7 2 2 2 2 2 4 2 2" xfId="38697" xr:uid="{7B26F0C7-AB04-4BF6-8E32-AFB100B33641}"/>
    <cellStyle name="Vírgula 7 2 2 2 2 2 4 3" xfId="21859" xr:uid="{730E102E-F83A-473F-8C6F-B939A2B8DE31}"/>
    <cellStyle name="Vírgula 7 2 2 2 2 2 4 3 2" xfId="42198" xr:uid="{BA70CAAD-28DB-4897-8A46-0FE25FE8347B}"/>
    <cellStyle name="Vírgula 7 2 2 2 2 2 4 4" xfId="25114" xr:uid="{A67252EE-CBD2-45D6-BFA7-A9296B81E6F2}"/>
    <cellStyle name="Vírgula 7 2 2 2 2 2 4 4 2" xfId="45449" xr:uid="{9307F444-0DA9-4683-9302-5880584366F8}"/>
    <cellStyle name="Vírgula 7 2 2 2 2 2 4 5" xfId="15449" xr:uid="{9C535094-F16F-45DC-896D-1A6B1DC7A766}"/>
    <cellStyle name="Vírgula 7 2 2 2 2 2 4 5 2" xfId="35789" xr:uid="{296BDC42-98EB-4E29-9ADD-C3D24B43D0AF}"/>
    <cellStyle name="Vírgula 7 2 2 2 2 2 4 6" xfId="11570" xr:uid="{6F7164A3-F275-46A4-898B-3C4F642F0129}"/>
    <cellStyle name="Vírgula 7 2 2 2 2 2 4 6 2" xfId="31913" xr:uid="{9B75148D-807C-4D0C-9EBB-816DFE8A41B3}"/>
    <cellStyle name="Vírgula 7 2 2 2 2 2 4 7" xfId="28419" xr:uid="{2C5E1F65-EC7C-445D-A8BA-20F5781671CD}"/>
    <cellStyle name="Vírgula 7 2 2 2 2 2 5" xfId="8343" xr:uid="{18917A83-34DF-4F86-8D5D-0C8573B45CF0}"/>
    <cellStyle name="Vírgula 7 2 2 2 2 2 5 2" xfId="22130" xr:uid="{B17D9AAD-1038-40F3-B76E-75BAE41DF1E7}"/>
    <cellStyle name="Vírgula 7 2 2 2 2 2 5 2 2" xfId="42466" xr:uid="{595E71CA-5554-4A40-93CE-7767DE512C24}"/>
    <cellStyle name="Vírgula 7 2 2 2 2 2 5 3" xfId="25382" xr:uid="{D8B5ABEE-EADA-4410-855D-C429384522CE}"/>
    <cellStyle name="Vírgula 7 2 2 2 2 2 5 3 2" xfId="45717" xr:uid="{DB5E67D6-8926-49AB-854E-1AA524C2D17F}"/>
    <cellStyle name="Vírgula 7 2 2 2 2 2 5 4" xfId="13139" xr:uid="{72C66A36-6BC9-487B-AD02-F3348757A6C7}"/>
    <cellStyle name="Vírgula 7 2 2 2 2 2 5 4 2" xfId="33480" xr:uid="{4764BAA4-5867-497C-AFF1-D65083ED7567}"/>
    <cellStyle name="Vírgula 7 2 2 2 2 2 5 5" xfId="11839" xr:uid="{73294592-4506-4EE4-8ACD-3DC78FFD9166}"/>
    <cellStyle name="Vírgula 7 2 2 2 2 2 5 5 2" xfId="32181" xr:uid="{4F1FAB62-1927-4FBE-8A0C-E20C4D341DD4}"/>
    <cellStyle name="Vírgula 7 2 2 2 2 2 5 6" xfId="28687" xr:uid="{1557B612-9F3B-41EE-AEDC-E9BD027327D5}"/>
    <cellStyle name="Vírgula 7 2 2 2 2 2 6" xfId="8649" xr:uid="{02D98C1D-54A4-4EF0-AD3B-0F75BF2718CE}"/>
    <cellStyle name="Vírgula 7 2 2 2 2 2 6 2" xfId="16036" xr:uid="{B55DE00D-01D2-4DEE-9567-61501E04D764}"/>
    <cellStyle name="Vírgula 7 2 2 2 2 2 6 2 2" xfId="36376" xr:uid="{F0C31399-C097-4F1F-B7A6-01EECDA7C94C}"/>
    <cellStyle name="Vírgula 7 2 2 2 2 2 6 3" xfId="28992" xr:uid="{2724A98F-7F80-4A35-951E-42EB6312236D}"/>
    <cellStyle name="Vírgula 7 2 2 2 2 2 7" xfId="18950" xr:uid="{ABA7321C-A0A8-46D1-8134-5DAE857FB41A}"/>
    <cellStyle name="Vírgula 7 2 2 2 2 2 7 2" xfId="39290" xr:uid="{E547D17A-5CFD-4472-95A0-E98244D14FAB}"/>
    <cellStyle name="Vírgula 7 2 2 2 2 2 8" xfId="19538" xr:uid="{E10D4CEB-3B32-4391-8DF1-59242B47B3D7}"/>
    <cellStyle name="Vírgula 7 2 2 2 2 2 8 2" xfId="39877" xr:uid="{3A671F70-55D7-4D96-92D6-311FBADD7CC1}"/>
    <cellStyle name="Vírgula 7 2 2 2 2 2 9" xfId="22793" xr:uid="{170A40AA-3B1C-4C79-AF0C-5C71403510FD}"/>
    <cellStyle name="Vírgula 7 2 2 2 2 2 9 2" xfId="43128" xr:uid="{CE0E4607-275F-4725-BDD8-1D21137918F5}"/>
    <cellStyle name="Vírgula 7 2 2 2 2 20" xfId="4923" xr:uid="{8D42A277-AD63-4670-9760-AB1211F4F86E}"/>
    <cellStyle name="Vírgula 7 2 2 2 2 3" xfId="5039" xr:uid="{ABDA0E6E-7B38-40C1-9723-EB1D0C68C414}"/>
    <cellStyle name="Vírgula 7 2 2 2 2 3 10" xfId="46649" xr:uid="{D6EF12AE-DDFE-40EF-A40A-F603AA1BABC2}"/>
    <cellStyle name="Vírgula 7 2 2 2 2 3 11" xfId="47141" xr:uid="{17CBE295-9061-482A-A16A-C408572F0BC6}"/>
    <cellStyle name="Vírgula 7 2 2 2 2 3 12" xfId="5944" xr:uid="{20942337-75BD-4373-9677-81AED3F2424E}"/>
    <cellStyle name="Vírgula 7 2 2 2 2 3 2" xfId="7102" xr:uid="{573501D1-2986-42DB-9C9D-33D048BE12FE}"/>
    <cellStyle name="Vírgula 7 2 2 2 2 3 2 2" xfId="17388" xr:uid="{BD9559D7-E7CC-464C-9EF0-CC7055F52BE1}"/>
    <cellStyle name="Vírgula 7 2 2 2 2 3 2 2 2" xfId="37728" xr:uid="{67D4891C-99CE-4567-B586-DF881089EC2C}"/>
    <cellStyle name="Vírgula 7 2 2 2 2 3 2 3" xfId="20890" xr:uid="{B7FCE67C-7B29-4CCE-924F-B6ED59EE41A2}"/>
    <cellStyle name="Vírgula 7 2 2 2 2 3 2 3 2" xfId="41229" xr:uid="{17B643D0-6836-44EC-B56D-F91BAEF744A7}"/>
    <cellStyle name="Vírgula 7 2 2 2 2 3 2 4" xfId="24145" xr:uid="{2AECABDC-DD00-43BB-864E-5305A1C142E0}"/>
    <cellStyle name="Vírgula 7 2 2 2 2 3 2 4 2" xfId="44480" xr:uid="{38B0C0FD-63FD-40F8-9696-D98EEAA73A68}"/>
    <cellStyle name="Vírgula 7 2 2 2 2 3 2 5" xfId="14479" xr:uid="{5B617F8D-3A5F-4951-820B-305E31CB52A1}"/>
    <cellStyle name="Vírgula 7 2 2 2 2 3 2 5 2" xfId="34820" xr:uid="{4FD654E3-0094-4D21-8258-C2F9B9A8308B}"/>
    <cellStyle name="Vírgula 7 2 2 2 2 3 2 6" xfId="10601" xr:uid="{0BE71C6D-F4AF-4EBD-88E6-60C708228799}"/>
    <cellStyle name="Vírgula 7 2 2 2 2 3 2 6 2" xfId="30944" xr:uid="{277C1D1E-9D3E-49AA-8B55-C85F03A2E38B}"/>
    <cellStyle name="Vírgula 7 2 2 2 2 3 2 7" xfId="27450" xr:uid="{F4729FA6-9150-4E01-B121-00393234C1B0}"/>
    <cellStyle name="Vírgula 7 2 2 2 2 3 3" xfId="8344" xr:uid="{264F89A1-0794-4A37-8F71-7BD1043A2E0C}"/>
    <cellStyle name="Vírgula 7 2 2 2 2 3 3 2" xfId="22131" xr:uid="{E83662F4-D22A-4B3A-B664-2571E75E0184}"/>
    <cellStyle name="Vírgula 7 2 2 2 2 3 3 2 2" xfId="42467" xr:uid="{BD4089CD-E4A4-453A-874A-F9817DF2EEC0}"/>
    <cellStyle name="Vírgula 7 2 2 2 2 3 3 3" xfId="25383" xr:uid="{1E3DB872-86FA-40D6-9564-AF0B92E5DC7C}"/>
    <cellStyle name="Vírgula 7 2 2 2 2 3 3 3 2" xfId="45718" xr:uid="{D9526824-9C84-4370-BDE8-01A834620186}"/>
    <cellStyle name="Vírgula 7 2 2 2 2 3 3 4" xfId="16230" xr:uid="{9F7642EF-549F-4720-876B-33110339301D}"/>
    <cellStyle name="Vírgula 7 2 2 2 2 3 3 4 2" xfId="36570" xr:uid="{1E305C14-89CB-45F9-A796-0619CC0061DB}"/>
    <cellStyle name="Vírgula 7 2 2 2 2 3 3 5" xfId="11840" xr:uid="{AE79A3A0-0A32-478C-BF8B-E5B4B442610F}"/>
    <cellStyle name="Vírgula 7 2 2 2 2 3 3 5 2" xfId="32182" xr:uid="{3B38605A-DA45-44B6-94A0-65B0EFB3007E}"/>
    <cellStyle name="Vírgula 7 2 2 2 2 3 3 6" xfId="28688" xr:uid="{F8563B08-3955-4167-9A6F-630657D955BE}"/>
    <cellStyle name="Vírgula 7 2 2 2 2 3 4" xfId="19732" xr:uid="{F88CB6E0-EFDA-43F6-B3B6-C342009E796F}"/>
    <cellStyle name="Vírgula 7 2 2 2 2 3 4 2" xfId="40071" xr:uid="{BBCC9418-708D-43BE-82C5-D5AA7D30BD80}"/>
    <cellStyle name="Vírgula 7 2 2 2 2 3 5" xfId="22987" xr:uid="{405D7953-A555-4B9D-8E3D-06A99ED18A2C}"/>
    <cellStyle name="Vírgula 7 2 2 2 2 3 5 2" xfId="43322" xr:uid="{331D97C5-574D-4A21-91F9-E9F34661E88A}"/>
    <cellStyle name="Vírgula 7 2 2 2 2 3 6" xfId="13321" xr:uid="{C015EBC3-0740-445C-AFE4-4B21915C73B4}"/>
    <cellStyle name="Vírgula 7 2 2 2 2 3 6 2" xfId="33662" xr:uid="{D73EC3CA-175C-4406-8952-20C6789642FD}"/>
    <cellStyle name="Vírgula 7 2 2 2 2 3 7" xfId="9443" xr:uid="{92FBC70D-2869-419D-BA81-13BC43FE02BA}"/>
    <cellStyle name="Vírgula 7 2 2 2 2 3 7 2" xfId="29786" xr:uid="{58BDCCC9-233A-4F91-BE10-D18430E18F20}"/>
    <cellStyle name="Vírgula 7 2 2 2 2 3 8" xfId="26292" xr:uid="{79656160-84B7-4BD8-A5C1-C3ECB8AD092C}"/>
    <cellStyle name="Vírgula 7 2 2 2 2 3 9" xfId="46163" xr:uid="{D1A8D007-788D-4036-95CE-5555DB988A71}"/>
    <cellStyle name="Vírgula 7 2 2 2 2 4" xfId="6521" xr:uid="{D8EF6C96-B6C3-471A-B027-29A09D7AF355}"/>
    <cellStyle name="Vírgula 7 2 2 2 2 4 2" xfId="16807" xr:uid="{B2D6D2F8-A35D-4B91-A667-C688D78448FD}"/>
    <cellStyle name="Vírgula 7 2 2 2 2 4 2 2" xfId="37147" xr:uid="{71B0F147-D022-493C-8238-E03631399360}"/>
    <cellStyle name="Vírgula 7 2 2 2 2 4 3" xfId="20309" xr:uid="{63B6600C-C8D4-4924-A6FE-DE4BCECAD4D7}"/>
    <cellStyle name="Vírgula 7 2 2 2 2 4 3 2" xfId="40648" xr:uid="{5302F17E-76D2-40E7-8F59-1884D15615DC}"/>
    <cellStyle name="Vírgula 7 2 2 2 2 4 4" xfId="23564" xr:uid="{F39EF897-F33E-4DD6-B23F-C5835B89AA1C}"/>
    <cellStyle name="Vírgula 7 2 2 2 2 4 4 2" xfId="43899" xr:uid="{FB1E69C1-C7DF-42D0-B009-6D221EC73998}"/>
    <cellStyle name="Vírgula 7 2 2 2 2 4 5" xfId="13898" xr:uid="{BFEF7291-68C8-413B-8AD7-1E3940F53A34}"/>
    <cellStyle name="Vírgula 7 2 2 2 2 4 5 2" xfId="34239" xr:uid="{22D0AAD5-2BCD-490A-9CDC-1B02A8974832}"/>
    <cellStyle name="Vírgula 7 2 2 2 2 4 6" xfId="10020" xr:uid="{D89AD980-4C73-46D4-9988-356D1BB315CA}"/>
    <cellStyle name="Vírgula 7 2 2 2 2 4 6 2" xfId="30363" xr:uid="{CC769C3B-77F1-437D-AD6C-F4E54F8694FB}"/>
    <cellStyle name="Vírgula 7 2 2 2 2 4 7" xfId="26869" xr:uid="{92A830CE-4D73-4AFA-BD2F-E6DEA863FAF7}"/>
    <cellStyle name="Vírgula 7 2 2 2 2 5" xfId="7685" xr:uid="{359FB4DA-E298-4EF2-9FBD-98E318F771D9}"/>
    <cellStyle name="Vírgula 7 2 2 2 2 5 2" xfId="17970" xr:uid="{6B56FADF-C058-4899-BDF2-945989212CFC}"/>
    <cellStyle name="Vírgula 7 2 2 2 2 5 2 2" xfId="38310" xr:uid="{26D92C7F-FFC5-4E9A-9326-D23316BC7ED3}"/>
    <cellStyle name="Vírgula 7 2 2 2 2 5 3" xfId="21472" xr:uid="{F3FB0536-7E0A-4EE1-9BF6-B74B95377B9D}"/>
    <cellStyle name="Vírgula 7 2 2 2 2 5 3 2" xfId="41811" xr:uid="{34401FE4-94D0-442E-A656-AADDA3B576A4}"/>
    <cellStyle name="Vírgula 7 2 2 2 2 5 4" xfId="24727" xr:uid="{C6F674B1-B4FE-4F47-9D5E-6968A3404943}"/>
    <cellStyle name="Vírgula 7 2 2 2 2 5 4 2" xfId="45062" xr:uid="{5070C62A-3A22-441C-B4F3-32DB1ED30B59}"/>
    <cellStyle name="Vírgula 7 2 2 2 2 5 5" xfId="15062" xr:uid="{C9EE3E41-18F1-4B87-B85B-1B5D9D15E45C}"/>
    <cellStyle name="Vírgula 7 2 2 2 2 5 5 2" xfId="35402" xr:uid="{355BE00C-3188-4456-8452-43B2F62D78D8}"/>
    <cellStyle name="Vírgula 7 2 2 2 2 5 6" xfId="11183" xr:uid="{F78537CC-6146-4BB7-845C-B510618A7EBF}"/>
    <cellStyle name="Vírgula 7 2 2 2 2 5 6 2" xfId="31526" xr:uid="{3594F168-4377-4DD5-8C85-0145C82AAD07}"/>
    <cellStyle name="Vírgula 7 2 2 2 2 5 7" xfId="28032" xr:uid="{49B9D2BB-BA66-484D-AFFE-5B47E8F8A11B}"/>
    <cellStyle name="Vírgula 7 2 2 2 2 6" xfId="8342" xr:uid="{D11F8BA1-3AC1-4406-A1C6-DF8ED4F2C372}"/>
    <cellStyle name="Vírgula 7 2 2 2 2 6 2" xfId="22129" xr:uid="{ECD9C856-08FB-4DBA-8AB2-9F13CBB0ABDA}"/>
    <cellStyle name="Vírgula 7 2 2 2 2 6 2 2" xfId="42465" xr:uid="{E576FF6D-21D0-486A-8E19-5163FDA2E2B3}"/>
    <cellStyle name="Vírgula 7 2 2 2 2 6 3" xfId="25381" xr:uid="{AEE4602C-2F48-4AED-9940-A0C9717FF1B8}"/>
    <cellStyle name="Vírgula 7 2 2 2 2 6 3 2" xfId="45716" xr:uid="{4F265F71-8350-48B3-AB18-2AF45E91D705}"/>
    <cellStyle name="Vírgula 7 2 2 2 2 6 4" xfId="12752" xr:uid="{98728BA6-FB4F-477A-B0C0-FF56B5521609}"/>
    <cellStyle name="Vírgula 7 2 2 2 2 6 4 2" xfId="33093" xr:uid="{A824E261-D6D7-465B-B26F-AE4747E076E2}"/>
    <cellStyle name="Vírgula 7 2 2 2 2 6 5" xfId="11838" xr:uid="{20EE8BC4-1BE7-457F-B68B-545049F8388E}"/>
    <cellStyle name="Vírgula 7 2 2 2 2 6 5 2" xfId="32180" xr:uid="{E2755846-FEC9-4683-886B-585763DD04B1}"/>
    <cellStyle name="Vírgula 7 2 2 2 2 6 6" xfId="28686" xr:uid="{740DE40A-E340-4EBB-971D-B532EB688175}"/>
    <cellStyle name="Vírgula 7 2 2 2 2 7" xfId="8545" xr:uid="{A8AE23B4-2F7F-4234-ADD5-B9BD328CFF7A}"/>
    <cellStyle name="Vírgula 7 2 2 2 2 7 2" xfId="15649" xr:uid="{54DA1056-538A-451E-A886-9701C8282DAE}"/>
    <cellStyle name="Vírgula 7 2 2 2 2 7 2 2" xfId="35989" xr:uid="{66757E5E-ABBF-446B-8292-F23DD6AF8748}"/>
    <cellStyle name="Vírgula 7 2 2 2 2 7 3" xfId="28888" xr:uid="{F72FCCD4-9B16-4AE5-8CDB-DB825C785BC7}"/>
    <cellStyle name="Vírgula 7 2 2 2 2 8" xfId="18563" xr:uid="{40197FF8-0051-41E5-99AE-AF79710F37F1}"/>
    <cellStyle name="Vírgula 7 2 2 2 2 8 2" xfId="38903" xr:uid="{55D90759-78FF-432A-B849-04451DA8C057}"/>
    <cellStyle name="Vírgula 7 2 2 2 2 9" xfId="19151" xr:uid="{64AE5EBC-C288-406C-A66D-5733C42F085D}"/>
    <cellStyle name="Vírgula 7 2 2 2 2 9 2" xfId="39490" xr:uid="{3AC0BA6D-9399-4476-8E97-E204DF45885B}"/>
    <cellStyle name="Vírgula 7 2 2 2 20" xfId="46838" xr:uid="{2B882B54-0ED5-42E0-BE9D-A59A81309B6C}"/>
    <cellStyle name="Vírgula 7 2 2 2 21" xfId="49301" xr:uid="{427A93EF-3FA2-42D4-8F31-51A1581BC3D8}"/>
    <cellStyle name="Vírgula 7 2 2 2 22" xfId="50971" xr:uid="{67527E0F-DFFE-468D-A84F-68911AB387D5}"/>
    <cellStyle name="Vírgula 7 2 2 2 23" xfId="54266" xr:uid="{5353EFAB-B3ED-4C81-A51A-C43467125CE6}"/>
    <cellStyle name="Vírgula 7 2 2 2 24" xfId="5258" xr:uid="{788F1139-544F-43D1-B75E-034673C0CEAF}"/>
    <cellStyle name="Vírgula 7 2 2 2 25" xfId="4832" xr:uid="{2EA17047-45FA-4CA0-85F2-445741700E4A}"/>
    <cellStyle name="Vírgula 7 2 2 2 3" xfId="2822" xr:uid="{ACFF03DB-7B27-47E8-80DB-A59708EE9E0E}"/>
    <cellStyle name="Vírgula 7 2 2 2 3 10" xfId="12219" xr:uid="{DE739BEC-6FE3-4E92-AAAA-7058412ADF16}"/>
    <cellStyle name="Vírgula 7 2 2 2 3 10 2" xfId="32560" xr:uid="{B03466D0-5A70-443B-BB08-C1EE216AF0BE}"/>
    <cellStyle name="Vírgula 7 2 2 2 3 11" xfId="8958" xr:uid="{5B8ACBDD-18F5-46B8-AC8A-57EA9B42DFAD}"/>
    <cellStyle name="Vírgula 7 2 2 2 3 11 2" xfId="29301" xr:uid="{2B6F56FC-BC02-4550-A37C-EE7971DE6E60}"/>
    <cellStyle name="Vírgula 7 2 2 2 3 12" xfId="25807" xr:uid="{9E5A5807-F6AD-457E-B058-BFAE14DC7750}"/>
    <cellStyle name="Vírgula 7 2 2 2 3 13" xfId="46023" xr:uid="{941E66C0-2C92-4DA4-AC75-8EB67ECFD7A3}"/>
    <cellStyle name="Vírgula 7 2 2 2 3 14" xfId="46509" xr:uid="{8891CD7A-E818-4E04-8B9C-589A706F4327}"/>
    <cellStyle name="Vírgula 7 2 2 2 3 15" xfId="47001" xr:uid="{242A45B6-A0C3-4BBA-BB8C-6A8C2593A985}"/>
    <cellStyle name="Vírgula 7 2 2 2 3 16" xfId="57032" xr:uid="{CCA94277-8E48-4D3F-B4B3-E5ECAD4220E7}"/>
    <cellStyle name="Vírgula 7 2 2 2 3 17" xfId="5469" xr:uid="{8D14CF0B-C564-4D4B-B99E-64ACC871CE64}"/>
    <cellStyle name="Vírgula 7 2 2 2 3 18" xfId="4922" xr:uid="{8D082B19-51D4-49E7-ADFA-6B4E7DEC9BB9}"/>
    <cellStyle name="Vírgula 7 2 2 2 3 2" xfId="5141" xr:uid="{0FF0023D-B2C0-4F1E-9905-E1A031DE372B}"/>
    <cellStyle name="Vírgula 7 2 2 2 3 2 10" xfId="46752" xr:uid="{A912B083-D519-429D-8F1D-05AC844F8044}"/>
    <cellStyle name="Vírgula 7 2 2 2 3 2 11" xfId="47244" xr:uid="{59598AA6-213C-4F52-A756-E67E2DC8E451}"/>
    <cellStyle name="Vírgula 7 2 2 2 3 2 12" xfId="6040" xr:uid="{6A070655-C83E-4BF6-AAC2-1899E9E3791D}"/>
    <cellStyle name="Vírgula 7 2 2 2 3 2 2" xfId="7198" xr:uid="{D2ABD52B-E251-41DE-AC9B-1F0B2ED7F101}"/>
    <cellStyle name="Vírgula 7 2 2 2 3 2 2 2" xfId="17484" xr:uid="{5A460AA9-1E7F-4D49-A6F8-A5BC1B83E0DB}"/>
    <cellStyle name="Vírgula 7 2 2 2 3 2 2 2 2" xfId="37824" xr:uid="{9C3B9733-E4C5-4D41-A21A-CF8DB15AA6FD}"/>
    <cellStyle name="Vírgula 7 2 2 2 3 2 2 3" xfId="20986" xr:uid="{0ACC88FE-D464-48E9-A711-75FE0AE411A7}"/>
    <cellStyle name="Vírgula 7 2 2 2 3 2 2 3 2" xfId="41325" xr:uid="{908A05E6-EBD4-42F8-9041-BB74F62B2ED6}"/>
    <cellStyle name="Vírgula 7 2 2 2 3 2 2 4" xfId="24241" xr:uid="{E5071B47-E19F-4104-B179-0CCF2E0632A4}"/>
    <cellStyle name="Vírgula 7 2 2 2 3 2 2 4 2" xfId="44576" xr:uid="{0B022D65-FDBA-47AF-9267-D2117B5CA169}"/>
    <cellStyle name="Vírgula 7 2 2 2 3 2 2 5" xfId="14575" xr:uid="{B50EED04-3FB2-47A3-AD87-6C4E05BD8968}"/>
    <cellStyle name="Vírgula 7 2 2 2 3 2 2 5 2" xfId="34916" xr:uid="{F80A94F5-F1E0-4807-8162-8601D5319F85}"/>
    <cellStyle name="Vírgula 7 2 2 2 3 2 2 6" xfId="10697" xr:uid="{17FD35BB-B635-46AA-ABEA-0E3B8A310B91}"/>
    <cellStyle name="Vírgula 7 2 2 2 3 2 2 6 2" xfId="31040" xr:uid="{406CA404-BD6C-456A-9AAD-4721C47CCE40}"/>
    <cellStyle name="Vírgula 7 2 2 2 3 2 2 7" xfId="27546" xr:uid="{5EF91067-09E9-4DC3-BFBC-CBF2CFD4BB35}"/>
    <cellStyle name="Vírgula 7 2 2 2 3 2 3" xfId="16326" xr:uid="{588F8B31-B02F-461A-96F7-4DEC7FA8AEDB}"/>
    <cellStyle name="Vírgula 7 2 2 2 3 2 3 2" xfId="36666" xr:uid="{7B8EBCAE-EB73-4C95-8160-23240B5C05B2}"/>
    <cellStyle name="Vírgula 7 2 2 2 3 2 4" xfId="19828" xr:uid="{A5EBA691-5ED8-4860-B93B-3C61ECF50A3E}"/>
    <cellStyle name="Vírgula 7 2 2 2 3 2 4 2" xfId="40167" xr:uid="{14110912-6052-4A33-821D-8B3B1DC996A4}"/>
    <cellStyle name="Vírgula 7 2 2 2 3 2 5" xfId="23083" xr:uid="{9F0AE4C9-D8F3-434D-875F-DBEA031A61C4}"/>
    <cellStyle name="Vírgula 7 2 2 2 3 2 5 2" xfId="43418" xr:uid="{4B2129A6-E414-404C-95B0-DBA36A102322}"/>
    <cellStyle name="Vírgula 7 2 2 2 3 2 6" xfId="13417" xr:uid="{65C07AB8-3CFE-4BB5-A326-7A5FDEA14B46}"/>
    <cellStyle name="Vírgula 7 2 2 2 3 2 6 2" xfId="33758" xr:uid="{A828B7C3-7802-4347-9B8A-22CF5ABB2E9F}"/>
    <cellStyle name="Vírgula 7 2 2 2 3 2 7" xfId="9539" xr:uid="{5EC6EDCF-73AD-42C2-98A6-4EA1288F760D}"/>
    <cellStyle name="Vírgula 7 2 2 2 3 2 7 2" xfId="29882" xr:uid="{74895DD9-133A-4F8C-884E-671E32A0227C}"/>
    <cellStyle name="Vírgula 7 2 2 2 3 2 8" xfId="26388" xr:uid="{AEE19492-59B2-434C-96CB-D172A7DC9240}"/>
    <cellStyle name="Vírgula 7 2 2 2 3 2 9" xfId="46266" xr:uid="{E88DB47F-19BE-4ECD-AF83-151B7D9AE1C8}"/>
    <cellStyle name="Vírgula 7 2 2 2 3 3" xfId="6617" xr:uid="{D2E0945D-A1AE-4C6B-8607-5E0B893EBDA0}"/>
    <cellStyle name="Vírgula 7 2 2 2 3 3 2" xfId="16903" xr:uid="{55A2CC2C-112D-4122-8C13-BF4CAC495E24}"/>
    <cellStyle name="Vírgula 7 2 2 2 3 3 2 2" xfId="37243" xr:uid="{A60575AC-F891-4CEB-9AFC-9BAB0AEC830D}"/>
    <cellStyle name="Vírgula 7 2 2 2 3 3 3" xfId="20405" xr:uid="{CA7222E7-2C66-4D95-B032-03D624075848}"/>
    <cellStyle name="Vírgula 7 2 2 2 3 3 3 2" xfId="40744" xr:uid="{5405EE4B-C795-47EA-B45C-812D43262A3D}"/>
    <cellStyle name="Vírgula 7 2 2 2 3 3 4" xfId="23660" xr:uid="{81CBD250-166A-4127-A78C-923934F9CB1C}"/>
    <cellStyle name="Vírgula 7 2 2 2 3 3 4 2" xfId="43995" xr:uid="{B9C6824C-E54D-4F09-BC52-5804B74FB31F}"/>
    <cellStyle name="Vírgula 7 2 2 2 3 3 5" xfId="13994" xr:uid="{667427F8-AD16-43F1-8C35-0EE75D349CE8}"/>
    <cellStyle name="Vírgula 7 2 2 2 3 3 5 2" xfId="34335" xr:uid="{0C389F2A-61C0-4A79-88AA-19690197F77A}"/>
    <cellStyle name="Vírgula 7 2 2 2 3 3 6" xfId="10116" xr:uid="{FE0DD8EC-046C-4672-97F4-55BD75C6E7DB}"/>
    <cellStyle name="Vírgula 7 2 2 2 3 3 6 2" xfId="30459" xr:uid="{56D7F0FA-A811-465A-8BE4-79B2337A813A}"/>
    <cellStyle name="Vírgula 7 2 2 2 3 3 7" xfId="26965" xr:uid="{5066A5A1-C1AA-4FB1-B140-757B71D352AF}"/>
    <cellStyle name="Vírgula 7 2 2 2 3 4" xfId="7781" xr:uid="{0AA81B61-DA2C-40F5-91BA-9CD83F51A85A}"/>
    <cellStyle name="Vírgula 7 2 2 2 3 4 2" xfId="18066" xr:uid="{445E8C9A-8D54-4416-9764-D8016D9309D4}"/>
    <cellStyle name="Vírgula 7 2 2 2 3 4 2 2" xfId="38406" xr:uid="{5A1AB1D6-DF0B-4E65-AB28-ED00B73A0538}"/>
    <cellStyle name="Vírgula 7 2 2 2 3 4 3" xfId="21568" xr:uid="{8496F535-2B06-47CF-B338-AD645625CAAA}"/>
    <cellStyle name="Vírgula 7 2 2 2 3 4 3 2" xfId="41907" xr:uid="{D55AFA13-2D8A-46C5-A474-11F6520967E5}"/>
    <cellStyle name="Vírgula 7 2 2 2 3 4 4" xfId="24823" xr:uid="{C23F08FB-3DEC-4729-88E3-9E38130EE39E}"/>
    <cellStyle name="Vírgula 7 2 2 2 3 4 4 2" xfId="45158" xr:uid="{B692DAB5-2211-49D4-903E-F216A59700B0}"/>
    <cellStyle name="Vírgula 7 2 2 2 3 4 5" xfId="15158" xr:uid="{B198BC5F-882E-4528-8A2B-D43DC758E081}"/>
    <cellStyle name="Vírgula 7 2 2 2 3 4 5 2" xfId="35498" xr:uid="{B36E2DDC-30FF-4A8B-86ED-4DB89F7B1240}"/>
    <cellStyle name="Vírgula 7 2 2 2 3 4 6" xfId="11279" xr:uid="{22F930B6-BB61-4C20-AAE7-CD3D2E54A0B7}"/>
    <cellStyle name="Vírgula 7 2 2 2 3 4 6 2" xfId="31622" xr:uid="{7BC509A9-5BD0-4F44-A2BF-49A3E38D8A18}"/>
    <cellStyle name="Vírgula 7 2 2 2 3 4 7" xfId="28128" xr:uid="{21568253-ACA5-49D2-B763-75A2F6F5A611}"/>
    <cellStyle name="Vírgula 7 2 2 2 3 5" xfId="8345" xr:uid="{B26BEC67-C847-4CF2-A8A0-AD716962F998}"/>
    <cellStyle name="Vírgula 7 2 2 2 3 5 2" xfId="22132" xr:uid="{2F7FB476-745D-43E6-ADA8-CEB03552BE38}"/>
    <cellStyle name="Vírgula 7 2 2 2 3 5 2 2" xfId="42468" xr:uid="{F58FBE15-B630-4CE5-A73F-FC7A57CB7EC6}"/>
    <cellStyle name="Vírgula 7 2 2 2 3 5 3" xfId="25384" xr:uid="{DB7CC7A1-58C7-432F-A49D-4D5F7D1B24DF}"/>
    <cellStyle name="Vírgula 7 2 2 2 3 5 3 2" xfId="45719" xr:uid="{00EE1918-6FCE-47DC-A633-99A32CECF207}"/>
    <cellStyle name="Vírgula 7 2 2 2 3 5 4" xfId="12848" xr:uid="{090A74F3-CECF-4502-A3E3-831A8C20F8EB}"/>
    <cellStyle name="Vírgula 7 2 2 2 3 5 4 2" xfId="33189" xr:uid="{F74FAA52-2344-48CB-9884-7CB2181EABB4}"/>
    <cellStyle name="Vírgula 7 2 2 2 3 5 5" xfId="11841" xr:uid="{620C29F6-6A3F-42DC-8AEE-36A516965F76}"/>
    <cellStyle name="Vírgula 7 2 2 2 3 5 5 2" xfId="32183" xr:uid="{79A175E9-F981-4300-8ED9-E0E813796938}"/>
    <cellStyle name="Vírgula 7 2 2 2 3 5 6" xfId="28689" xr:uid="{2B5AD329-B571-489F-9084-D481CBA1595D}"/>
    <cellStyle name="Vírgula 7 2 2 2 3 6" xfId="8648" xr:uid="{7A224AC0-3B4C-495F-A026-838317B19401}"/>
    <cellStyle name="Vírgula 7 2 2 2 3 6 2" xfId="15745" xr:uid="{0BFF251A-86D1-45C5-8367-7A8D2D0B8B44}"/>
    <cellStyle name="Vírgula 7 2 2 2 3 6 2 2" xfId="36085" xr:uid="{B168DFEA-7536-482D-9860-CFB22EB57FD7}"/>
    <cellStyle name="Vírgula 7 2 2 2 3 6 3" xfId="28991" xr:uid="{DE8E0CB6-64D9-4365-BD58-DE3E7ED28B36}"/>
    <cellStyle name="Vírgula 7 2 2 2 3 7" xfId="18659" xr:uid="{2F4E9949-AB77-466B-8EAF-9A76092535F3}"/>
    <cellStyle name="Vírgula 7 2 2 2 3 7 2" xfId="38999" xr:uid="{7187A9DB-B013-445B-9D98-5CE20F6A9555}"/>
    <cellStyle name="Vírgula 7 2 2 2 3 8" xfId="19247" xr:uid="{A1B740C0-C515-48F4-B639-BB919DAA637D}"/>
    <cellStyle name="Vírgula 7 2 2 2 3 8 2" xfId="39586" xr:uid="{92D0E70C-CD7E-408D-B221-62180E6A1BB9}"/>
    <cellStyle name="Vírgula 7 2 2 2 3 9" xfId="22502" xr:uid="{D5C71A24-5B7E-4C86-9046-2872C79286CB}"/>
    <cellStyle name="Vírgula 7 2 2 2 3 9 2" xfId="42837" xr:uid="{2BD76471-1026-48EB-9EFD-A4CAC20F4E31}"/>
    <cellStyle name="Vírgula 7 2 2 2 4" xfId="4994" xr:uid="{37F2DF85-9462-44C2-9FAC-2E1FA4BEB381}"/>
    <cellStyle name="Vírgula 7 2 2 2 4 10" xfId="12277" xr:uid="{D5A5C687-15C9-49A6-9FE7-43E06062B974}"/>
    <cellStyle name="Vírgula 7 2 2 2 4 10 2" xfId="32618" xr:uid="{605E32EF-48F8-469B-99ED-3F810518D15C}"/>
    <cellStyle name="Vírgula 7 2 2 2 4 11" xfId="9016" xr:uid="{41909E7D-B81D-450F-96C7-1F120738EE91}"/>
    <cellStyle name="Vírgula 7 2 2 2 4 11 2" xfId="29359" xr:uid="{CFFB865D-0993-452D-A098-96185CA7FF83}"/>
    <cellStyle name="Vírgula 7 2 2 2 4 12" xfId="25865" xr:uid="{EA109E5D-3DCE-46F3-A125-5D26B6B90ABD}"/>
    <cellStyle name="Vírgula 7 2 2 2 4 13" xfId="46103" xr:uid="{0AF3B8F1-40D9-469A-953B-DAB9B04C99E0}"/>
    <cellStyle name="Vírgula 7 2 2 2 4 14" xfId="46589" xr:uid="{FB2DB70E-9D00-479A-A95B-2BF23C7E17EB}"/>
    <cellStyle name="Vírgula 7 2 2 2 4 15" xfId="47081" xr:uid="{E439D7F2-CDAA-4292-85D3-6571A475D972}"/>
    <cellStyle name="Vírgula 7 2 2 2 4 16" xfId="5526" xr:uid="{E57896AC-D606-487B-8EA4-CC87C424E62C}"/>
    <cellStyle name="Vírgula 7 2 2 2 4 2" xfId="6098" xr:uid="{C050A904-7A10-440B-862B-F908FAEDCBFE}"/>
    <cellStyle name="Vírgula 7 2 2 2 4 2 2" xfId="7256" xr:uid="{94856C90-1E46-4ED3-A189-623EBE6D8669}"/>
    <cellStyle name="Vírgula 7 2 2 2 4 2 2 2" xfId="17542" xr:uid="{D24FF797-E431-4267-90E2-794268FC647A}"/>
    <cellStyle name="Vírgula 7 2 2 2 4 2 2 2 2" xfId="37882" xr:uid="{04961EAE-56E8-4D88-B91C-F5F21B9A6C19}"/>
    <cellStyle name="Vírgula 7 2 2 2 4 2 2 3" xfId="21044" xr:uid="{25A41553-F996-4AB7-96B2-AFFE397BA320}"/>
    <cellStyle name="Vírgula 7 2 2 2 4 2 2 3 2" xfId="41383" xr:uid="{51B9A0AF-DE96-4572-8FF1-3483BCC3F0C3}"/>
    <cellStyle name="Vírgula 7 2 2 2 4 2 2 4" xfId="24299" xr:uid="{D6F42A4D-C871-42F7-8162-7BF78448D0FA}"/>
    <cellStyle name="Vírgula 7 2 2 2 4 2 2 4 2" xfId="44634" xr:uid="{D1AEA8B1-AAE1-4065-BFD7-69D596811C2A}"/>
    <cellStyle name="Vírgula 7 2 2 2 4 2 2 5" xfId="14633" xr:uid="{593A914E-6154-4675-89DE-6D5B03FB3640}"/>
    <cellStyle name="Vírgula 7 2 2 2 4 2 2 5 2" xfId="34974" xr:uid="{04EFB446-36CC-49F7-92B4-1910AD972379}"/>
    <cellStyle name="Vírgula 7 2 2 2 4 2 2 6" xfId="10755" xr:uid="{718BB7C2-C93B-43E5-99C3-E0ADEA4814B9}"/>
    <cellStyle name="Vírgula 7 2 2 2 4 2 2 6 2" xfId="31098" xr:uid="{235F653C-E141-481D-BA05-02560B562D58}"/>
    <cellStyle name="Vírgula 7 2 2 2 4 2 2 7" xfId="27604" xr:uid="{E7D6D8A0-F99A-4CDF-B4A4-EE48A274299F}"/>
    <cellStyle name="Vírgula 7 2 2 2 4 2 3" xfId="16384" xr:uid="{C02CB3EA-739E-4176-98B5-8323C19253CC}"/>
    <cellStyle name="Vírgula 7 2 2 2 4 2 3 2" xfId="36724" xr:uid="{66360D51-B904-47AA-A2B7-58CF729B08CB}"/>
    <cellStyle name="Vírgula 7 2 2 2 4 2 4" xfId="19886" xr:uid="{D0A0C5DA-63D0-4468-823C-4767EBFBE42C}"/>
    <cellStyle name="Vírgula 7 2 2 2 4 2 4 2" xfId="40225" xr:uid="{73166785-A34C-49C2-80F2-286780A036D8}"/>
    <cellStyle name="Vírgula 7 2 2 2 4 2 5" xfId="23141" xr:uid="{26DFA428-57D6-47BD-8376-5B98C5E28158}"/>
    <cellStyle name="Vírgula 7 2 2 2 4 2 5 2" xfId="43476" xr:uid="{B77A5C29-EB6B-43A4-A3D2-34BE7264416F}"/>
    <cellStyle name="Vírgula 7 2 2 2 4 2 6" xfId="13475" xr:uid="{56ECB7EA-96B1-4121-8F46-88F40BFE5136}"/>
    <cellStyle name="Vírgula 7 2 2 2 4 2 6 2" xfId="33816" xr:uid="{958EF146-2FE1-4C21-8A81-17AD822FB036}"/>
    <cellStyle name="Vírgula 7 2 2 2 4 2 7" xfId="9597" xr:uid="{2D7850EF-728C-4F2F-BC55-92D5455CC4C4}"/>
    <cellStyle name="Vírgula 7 2 2 2 4 2 7 2" xfId="29940" xr:uid="{F1B46661-C1DE-49B3-A1C6-BAC76E8B6BB6}"/>
    <cellStyle name="Vírgula 7 2 2 2 4 2 8" xfId="26446" xr:uid="{8C5D7DC0-75B8-4330-9835-303B678B2E28}"/>
    <cellStyle name="Vírgula 7 2 2 2 4 3" xfId="6675" xr:uid="{C8CA59DE-BE30-4534-818B-A86293F98006}"/>
    <cellStyle name="Vírgula 7 2 2 2 4 3 2" xfId="16961" xr:uid="{9AE88698-BCD8-4C08-8C5B-5A153B023E34}"/>
    <cellStyle name="Vírgula 7 2 2 2 4 3 2 2" xfId="37301" xr:uid="{C47AFA72-9D9E-49E5-915C-902EB63F85F7}"/>
    <cellStyle name="Vírgula 7 2 2 2 4 3 3" xfId="20463" xr:uid="{0C444077-9B90-4BE4-97D2-09D552DC4191}"/>
    <cellStyle name="Vírgula 7 2 2 2 4 3 3 2" xfId="40802" xr:uid="{11ADD4C8-041C-41DB-8040-C0CB55D8E10D}"/>
    <cellStyle name="Vírgula 7 2 2 2 4 3 4" xfId="23718" xr:uid="{2B17AEF2-8EBB-4852-98E8-B65194889CD8}"/>
    <cellStyle name="Vírgula 7 2 2 2 4 3 4 2" xfId="44053" xr:uid="{BB62EC12-C01E-43F5-8963-072BBE166EA6}"/>
    <cellStyle name="Vírgula 7 2 2 2 4 3 5" xfId="14052" xr:uid="{BF8539DE-9741-4BB9-8DF3-77001B8FB9C6}"/>
    <cellStyle name="Vírgula 7 2 2 2 4 3 5 2" xfId="34393" xr:uid="{BAFCA82B-B442-419D-AA15-E649ACA78837}"/>
    <cellStyle name="Vírgula 7 2 2 2 4 3 6" xfId="10174" xr:uid="{EC3C6296-C962-4D61-9900-0CFCAF32B2A4}"/>
    <cellStyle name="Vírgula 7 2 2 2 4 3 6 2" xfId="30517" xr:uid="{0ABCC4F0-747C-4057-8B32-C50A29F9E836}"/>
    <cellStyle name="Vírgula 7 2 2 2 4 3 7" xfId="27023" xr:uid="{41F3E696-4782-4DF9-84B6-4F374D347E47}"/>
    <cellStyle name="Vírgula 7 2 2 2 4 4" xfId="7839" xr:uid="{993CAE12-E193-4CF3-98D2-26A6413506F0}"/>
    <cellStyle name="Vírgula 7 2 2 2 4 4 2" xfId="18124" xr:uid="{D0E358DF-5E93-43CB-BBE0-0F215FE269A2}"/>
    <cellStyle name="Vírgula 7 2 2 2 4 4 2 2" xfId="38464" xr:uid="{CA3CF8AB-BD61-4552-A942-7B28B0CC124E}"/>
    <cellStyle name="Vírgula 7 2 2 2 4 4 3" xfId="21626" xr:uid="{744187AE-DBA6-4445-8F60-C5629C93A7B2}"/>
    <cellStyle name="Vírgula 7 2 2 2 4 4 3 2" xfId="41965" xr:uid="{764393CD-7590-4DD4-83D8-D078430AEF6D}"/>
    <cellStyle name="Vírgula 7 2 2 2 4 4 4" xfId="24881" xr:uid="{4C9BD8F9-7530-493B-AD7F-5BC455E4BA10}"/>
    <cellStyle name="Vírgula 7 2 2 2 4 4 4 2" xfId="45216" xr:uid="{B2B8C4D9-2022-4316-BEF4-4BFF26B171F3}"/>
    <cellStyle name="Vírgula 7 2 2 2 4 4 5" xfId="15216" xr:uid="{B6C33CBA-E410-4B11-844E-CDFCBE080B86}"/>
    <cellStyle name="Vírgula 7 2 2 2 4 4 5 2" xfId="35556" xr:uid="{C9070A09-DE15-43FF-83EC-1DE000588CFE}"/>
    <cellStyle name="Vírgula 7 2 2 2 4 4 6" xfId="11337" xr:uid="{948AB06F-CFAB-4201-850E-C38ED707C984}"/>
    <cellStyle name="Vírgula 7 2 2 2 4 4 6 2" xfId="31680" xr:uid="{3E08865C-EED5-4FA4-B5CE-4A5098739E98}"/>
    <cellStyle name="Vírgula 7 2 2 2 4 4 7" xfId="28186" xr:uid="{E3C9A367-3AEA-41FE-8353-8F6D36AA6DC4}"/>
    <cellStyle name="Vírgula 7 2 2 2 4 5" xfId="8346" xr:uid="{33D30B85-E4A4-4BF7-B1C3-F82F87C6D41B}"/>
    <cellStyle name="Vírgula 7 2 2 2 4 5 2" xfId="22133" xr:uid="{E0AD8285-8BFE-4A43-8332-B9F31EC82E50}"/>
    <cellStyle name="Vírgula 7 2 2 2 4 5 2 2" xfId="42469" xr:uid="{35ED384E-D1F1-4252-B82B-026B7CF035CE}"/>
    <cellStyle name="Vírgula 7 2 2 2 4 5 3" xfId="25385" xr:uid="{F9EF8189-4C12-41FD-A2DE-F9B7B301DAC7}"/>
    <cellStyle name="Vírgula 7 2 2 2 4 5 3 2" xfId="45720" xr:uid="{7139AFFF-A267-4F1C-8CDE-45D06F6927C5}"/>
    <cellStyle name="Vírgula 7 2 2 2 4 5 4" xfId="12906" xr:uid="{966D8EAD-D9DB-40BB-8CAE-EF957650A2E5}"/>
    <cellStyle name="Vírgula 7 2 2 2 4 5 4 2" xfId="33247" xr:uid="{77C4B111-47A2-4BE4-AC1C-244A76232E3D}"/>
    <cellStyle name="Vírgula 7 2 2 2 4 5 5" xfId="11842" xr:uid="{11D2D29F-86D1-435F-ACF8-FD57E902C117}"/>
    <cellStyle name="Vírgula 7 2 2 2 4 5 5 2" xfId="32184" xr:uid="{3F434E35-4CC6-4F1B-BA3B-19E397A123DB}"/>
    <cellStyle name="Vírgula 7 2 2 2 4 5 6" xfId="28690" xr:uid="{773D3759-2F1C-4EA0-940E-21409418A853}"/>
    <cellStyle name="Vírgula 7 2 2 2 4 6" xfId="15803" xr:uid="{6B795999-D7E1-45F1-BED3-94222E9731A6}"/>
    <cellStyle name="Vírgula 7 2 2 2 4 6 2" xfId="36143" xr:uid="{5C71032F-0DEC-4117-83CF-F375D3906EE5}"/>
    <cellStyle name="Vírgula 7 2 2 2 4 7" xfId="18717" xr:uid="{2BCBAA01-3197-4B9D-A6BA-95241BBCEAFE}"/>
    <cellStyle name="Vírgula 7 2 2 2 4 7 2" xfId="39057" xr:uid="{11274209-BEA8-4276-9C32-18B0DED701A2}"/>
    <cellStyle name="Vírgula 7 2 2 2 4 8" xfId="19305" xr:uid="{A4A4B228-54C5-4456-822C-5D3A5490BFED}"/>
    <cellStyle name="Vírgula 7 2 2 2 4 8 2" xfId="39644" xr:uid="{265D8A71-967D-420D-A859-4CCC96AD493E}"/>
    <cellStyle name="Vírgula 7 2 2 2 4 9" xfId="22560" xr:uid="{E0F174CB-9F40-41C9-8168-7283CFD618D2}"/>
    <cellStyle name="Vírgula 7 2 2 2 4 9 2" xfId="42895" xr:uid="{BBFC06C1-4585-461F-8780-D1AE75901D1B}"/>
    <cellStyle name="Vírgula 7 2 2 2 5" xfId="5601" xr:uid="{D06029F9-5457-4426-9CD2-5D255F35FF9C}"/>
    <cellStyle name="Vírgula 7 2 2 2 5 10" xfId="12352" xr:uid="{600B44B6-1184-45E6-AE9D-B71FFD3BDA2E}"/>
    <cellStyle name="Vírgula 7 2 2 2 5 10 2" xfId="32693" xr:uid="{17BFE510-EBC7-442C-B448-D55575DB6215}"/>
    <cellStyle name="Vírgula 7 2 2 2 5 11" xfId="9091" xr:uid="{1261B8F5-76AA-4E0C-9C01-2DBCC1CE5CD6}"/>
    <cellStyle name="Vírgula 7 2 2 2 5 11 2" xfId="29434" xr:uid="{F45AF524-F5E1-4E35-896F-69DDE43207D4}"/>
    <cellStyle name="Vírgula 7 2 2 2 5 12" xfId="25940" xr:uid="{251C8B60-3908-4319-871F-9E2AAC4BD8A7}"/>
    <cellStyle name="Vírgula 7 2 2 2 5 2" xfId="6173" xr:uid="{1C938C19-BE28-4827-90BA-43A5D7CF5844}"/>
    <cellStyle name="Vírgula 7 2 2 2 5 2 2" xfId="7331" xr:uid="{CA7E5BFC-4435-4CE4-BAAE-BAEC310D2A91}"/>
    <cellStyle name="Vírgula 7 2 2 2 5 2 2 2" xfId="17617" xr:uid="{87919219-EFE2-494C-8B8E-22CA221AAF79}"/>
    <cellStyle name="Vírgula 7 2 2 2 5 2 2 2 2" xfId="37957" xr:uid="{28FACE80-6197-478F-90FD-A59240A260E1}"/>
    <cellStyle name="Vírgula 7 2 2 2 5 2 2 3" xfId="21119" xr:uid="{813DFD53-32B9-49D1-B447-CD43CA7281C9}"/>
    <cellStyle name="Vírgula 7 2 2 2 5 2 2 3 2" xfId="41458" xr:uid="{8E68FDF9-B89A-4994-B56B-901974D857C1}"/>
    <cellStyle name="Vírgula 7 2 2 2 5 2 2 4" xfId="24374" xr:uid="{374CF6C7-FED7-43D4-A7DE-CC30C8077DD4}"/>
    <cellStyle name="Vírgula 7 2 2 2 5 2 2 4 2" xfId="44709" xr:uid="{9FDA2D17-04A3-4C94-82BC-3B781B1A7155}"/>
    <cellStyle name="Vírgula 7 2 2 2 5 2 2 5" xfId="14708" xr:uid="{E369A682-8598-47E8-BE67-E1ABD9811CFB}"/>
    <cellStyle name="Vírgula 7 2 2 2 5 2 2 5 2" xfId="35049" xr:uid="{464B8BCA-0776-4058-A784-4AC3884C7AE0}"/>
    <cellStyle name="Vírgula 7 2 2 2 5 2 2 6" xfId="10830" xr:uid="{8239C2B7-3DB2-475E-85B9-EF2947A7D8E2}"/>
    <cellStyle name="Vírgula 7 2 2 2 5 2 2 6 2" xfId="31173" xr:uid="{A892B59A-7A11-4AC0-B7E2-1401718A4B9B}"/>
    <cellStyle name="Vírgula 7 2 2 2 5 2 2 7" xfId="27679" xr:uid="{D2432D74-FA8D-423A-9C5A-6F1B8FB19FDE}"/>
    <cellStyle name="Vírgula 7 2 2 2 5 2 3" xfId="16459" xr:uid="{212E664E-49EE-4AC7-9A51-0810ED070EAF}"/>
    <cellStyle name="Vírgula 7 2 2 2 5 2 3 2" xfId="36799" xr:uid="{05D869BF-6DC8-4AE3-AC73-FBFC97AA90DE}"/>
    <cellStyle name="Vírgula 7 2 2 2 5 2 4" xfId="19961" xr:uid="{105FD0A6-95D3-4823-87E2-1C1236F27E0D}"/>
    <cellStyle name="Vírgula 7 2 2 2 5 2 4 2" xfId="40300" xr:uid="{04DE0E5E-961B-4072-BF72-29C07BA989A1}"/>
    <cellStyle name="Vírgula 7 2 2 2 5 2 5" xfId="23216" xr:uid="{C66A7912-CE50-41EA-89DE-1DD200153661}"/>
    <cellStyle name="Vírgula 7 2 2 2 5 2 5 2" xfId="43551" xr:uid="{A6C0F3D7-4B05-40F7-B3C5-8F6D09BB3168}"/>
    <cellStyle name="Vírgula 7 2 2 2 5 2 6" xfId="13550" xr:uid="{1EE8238F-252F-4748-BEA3-1C1C656343BA}"/>
    <cellStyle name="Vírgula 7 2 2 2 5 2 6 2" xfId="33891" xr:uid="{1AF6355B-DD3E-4A06-A4B7-410FE13C74A9}"/>
    <cellStyle name="Vírgula 7 2 2 2 5 2 7" xfId="9672" xr:uid="{0046F42C-1500-4B02-91EB-134CD01957F3}"/>
    <cellStyle name="Vírgula 7 2 2 2 5 2 7 2" xfId="30015" xr:uid="{DCBDFA2D-5A63-475C-B347-E5FFEB57CC9A}"/>
    <cellStyle name="Vírgula 7 2 2 2 5 2 8" xfId="26521" xr:uid="{A15CE13F-ADA2-4538-BE29-C023038A3508}"/>
    <cellStyle name="Vírgula 7 2 2 2 5 3" xfId="6750" xr:uid="{40089988-5A90-4F48-894D-611F55E3CEC5}"/>
    <cellStyle name="Vírgula 7 2 2 2 5 3 2" xfId="17036" xr:uid="{C644BA69-1DB2-4B4B-BEE1-E61FC458FA9C}"/>
    <cellStyle name="Vírgula 7 2 2 2 5 3 2 2" xfId="37376" xr:uid="{B5A306AB-F30C-4727-AF0E-AF0E4F468E65}"/>
    <cellStyle name="Vírgula 7 2 2 2 5 3 3" xfId="20538" xr:uid="{006F6FF2-011A-4AE1-B604-C65B38A6A963}"/>
    <cellStyle name="Vírgula 7 2 2 2 5 3 3 2" xfId="40877" xr:uid="{25909B22-3C19-456E-99CE-BABF8D093C34}"/>
    <cellStyle name="Vírgula 7 2 2 2 5 3 4" xfId="23793" xr:uid="{D4A2148C-B410-44B4-847E-36985CDC79B6}"/>
    <cellStyle name="Vírgula 7 2 2 2 5 3 4 2" xfId="44128" xr:uid="{5E16CAB8-A3BB-45F0-B6A1-6141AD02E633}"/>
    <cellStyle name="Vírgula 7 2 2 2 5 3 5" xfId="14127" xr:uid="{EC0B6FD1-05AA-4ACA-9336-F559D98998E5}"/>
    <cellStyle name="Vírgula 7 2 2 2 5 3 5 2" xfId="34468" xr:uid="{E4079491-310D-48E0-98D9-C6066D9CA2AD}"/>
    <cellStyle name="Vírgula 7 2 2 2 5 3 6" xfId="10249" xr:uid="{11E18FF9-D791-4BF1-8937-EC58BD321D2F}"/>
    <cellStyle name="Vírgula 7 2 2 2 5 3 6 2" xfId="30592" xr:uid="{F5970F3B-BCE6-4525-B36F-203C970E1625}"/>
    <cellStyle name="Vírgula 7 2 2 2 5 3 7" xfId="27098" xr:uid="{8CE49B0B-ADDF-420F-A87F-71E13AC03B97}"/>
    <cellStyle name="Vírgula 7 2 2 2 5 4" xfId="7914" xr:uid="{F17C48EA-87EB-4A93-BD42-666D6AA1A06D}"/>
    <cellStyle name="Vírgula 7 2 2 2 5 4 2" xfId="18199" xr:uid="{1D29EDA5-C6C8-4E46-8F6A-F2D0602F0B09}"/>
    <cellStyle name="Vírgula 7 2 2 2 5 4 2 2" xfId="38539" xr:uid="{F3345C08-C26A-4126-9D52-0FAFC18C72CC}"/>
    <cellStyle name="Vírgula 7 2 2 2 5 4 3" xfId="21701" xr:uid="{081DFFAD-BB13-4342-B9D4-9A4D72B1ED00}"/>
    <cellStyle name="Vírgula 7 2 2 2 5 4 3 2" xfId="42040" xr:uid="{5F2DA9A5-0EBF-4B0E-ACA9-3FEAF9493AEB}"/>
    <cellStyle name="Vírgula 7 2 2 2 5 4 4" xfId="24956" xr:uid="{55D49BF6-7294-4268-8D44-F038F62D4513}"/>
    <cellStyle name="Vírgula 7 2 2 2 5 4 4 2" xfId="45291" xr:uid="{A8FDEBAD-A359-4596-819A-C0DE5E870456}"/>
    <cellStyle name="Vírgula 7 2 2 2 5 4 5" xfId="15291" xr:uid="{A878B712-1042-45EC-87E0-7523E7F338F1}"/>
    <cellStyle name="Vírgula 7 2 2 2 5 4 5 2" xfId="35631" xr:uid="{FD5C2BF2-3EB2-47B2-A1E8-61A3F8B33DA7}"/>
    <cellStyle name="Vírgula 7 2 2 2 5 4 6" xfId="11412" xr:uid="{709018EB-FB2A-454D-B3A5-F48411EECABB}"/>
    <cellStyle name="Vírgula 7 2 2 2 5 4 6 2" xfId="31755" xr:uid="{CC25FAEE-76D5-4486-B8A0-4EDB82D9D859}"/>
    <cellStyle name="Vírgula 7 2 2 2 5 4 7" xfId="28261" xr:uid="{EB84EB43-A678-4F7A-B563-F383D4C02FA6}"/>
    <cellStyle name="Vírgula 7 2 2 2 5 5" xfId="12981" xr:uid="{B4066474-3C7A-4CF4-8489-F4D0CDC1F429}"/>
    <cellStyle name="Vírgula 7 2 2 2 5 5 2" xfId="33322" xr:uid="{7C718E19-568A-4256-9BC2-892352E53239}"/>
    <cellStyle name="Vírgula 7 2 2 2 5 6" xfId="15878" xr:uid="{4102788F-6371-463D-BDFC-5B836814BBA1}"/>
    <cellStyle name="Vírgula 7 2 2 2 5 6 2" xfId="36218" xr:uid="{02882AB9-1960-43A0-984D-8C87B04B77F3}"/>
    <cellStyle name="Vírgula 7 2 2 2 5 7" xfId="18792" xr:uid="{3924C812-33DF-40E5-BE2F-C6E592148E18}"/>
    <cellStyle name="Vírgula 7 2 2 2 5 7 2" xfId="39132" xr:uid="{3657F230-4768-4F4B-8C3A-81BAD26162FB}"/>
    <cellStyle name="Vírgula 7 2 2 2 5 8" xfId="19380" xr:uid="{FECBAD08-DF24-4E5D-8626-F3EDE6D054B4}"/>
    <cellStyle name="Vírgula 7 2 2 2 5 8 2" xfId="39719" xr:uid="{E161F179-2876-4274-B353-163A67778D95}"/>
    <cellStyle name="Vírgula 7 2 2 2 5 9" xfId="22635" xr:uid="{C3EB2EC7-C722-42C5-82C1-AEC8FD02DB3D}"/>
    <cellStyle name="Vírgula 7 2 2 2 5 9 2" xfId="42970" xr:uid="{4B25C654-EDE3-446E-A46C-F2843FA8A587}"/>
    <cellStyle name="Vírgula 7 2 2 2 6" xfId="5699" xr:uid="{2D1BAA5C-0FFB-4C76-9285-E38A7B79A984}"/>
    <cellStyle name="Vírgula 7 2 2 2 6 10" xfId="12450" xr:uid="{AF103B0F-4C2B-411E-92DB-CC39E8E5ED7F}"/>
    <cellStyle name="Vírgula 7 2 2 2 6 10 2" xfId="32791" xr:uid="{0114882F-360C-42DE-9955-E1E5B04839CB}"/>
    <cellStyle name="Vírgula 7 2 2 2 6 11" xfId="9189" xr:uid="{D16AE7EB-DB30-41A4-8259-10FF9E7829DA}"/>
    <cellStyle name="Vírgula 7 2 2 2 6 11 2" xfId="29532" xr:uid="{4DF4C09B-C717-4A04-B120-563B5C678283}"/>
    <cellStyle name="Vírgula 7 2 2 2 6 12" xfId="26038" xr:uid="{10541582-9856-44BA-85E7-B6B73CE44845}"/>
    <cellStyle name="Vírgula 7 2 2 2 6 2" xfId="6271" xr:uid="{44CCB88C-EE12-4390-8CE2-DBC8AEE3E29B}"/>
    <cellStyle name="Vírgula 7 2 2 2 6 2 2" xfId="7429" xr:uid="{F0B5CCC4-DEF7-4F41-941F-125A1165DCE3}"/>
    <cellStyle name="Vírgula 7 2 2 2 6 2 2 2" xfId="17715" xr:uid="{FC70829A-714F-401E-8D7B-1FC071B49636}"/>
    <cellStyle name="Vírgula 7 2 2 2 6 2 2 2 2" xfId="38055" xr:uid="{8B6883E6-04BF-4BAC-8AD8-5A980E637B3C}"/>
    <cellStyle name="Vírgula 7 2 2 2 6 2 2 3" xfId="21217" xr:uid="{82AEE5AA-9DBF-40AF-83F4-BF44EB837DD4}"/>
    <cellStyle name="Vírgula 7 2 2 2 6 2 2 3 2" xfId="41556" xr:uid="{7C298490-C78F-49AE-865B-F5E9637BBCF3}"/>
    <cellStyle name="Vírgula 7 2 2 2 6 2 2 4" xfId="24472" xr:uid="{88BCE250-213A-4D8E-8F40-304A86B30672}"/>
    <cellStyle name="Vírgula 7 2 2 2 6 2 2 4 2" xfId="44807" xr:uid="{6CA346DA-DBFC-4F82-900E-B31CBB35AF87}"/>
    <cellStyle name="Vírgula 7 2 2 2 6 2 2 5" xfId="14806" xr:uid="{88424E9D-6E00-4BC9-B27B-082C923F0116}"/>
    <cellStyle name="Vírgula 7 2 2 2 6 2 2 5 2" xfId="35147" xr:uid="{EF6D7894-2A35-4E81-9D5C-76F18A01ADFB}"/>
    <cellStyle name="Vírgula 7 2 2 2 6 2 2 6" xfId="10928" xr:uid="{01B90AFA-C798-4505-8826-D37D4DF7D982}"/>
    <cellStyle name="Vírgula 7 2 2 2 6 2 2 6 2" xfId="31271" xr:uid="{5EEDC97A-E11E-47EF-AF37-43DFE923FAD8}"/>
    <cellStyle name="Vírgula 7 2 2 2 6 2 2 7" xfId="27777" xr:uid="{8F32B1C9-D882-4716-BFD0-7B056487F481}"/>
    <cellStyle name="Vírgula 7 2 2 2 6 2 3" xfId="16557" xr:uid="{3533C1C5-0CCF-4F84-95CA-F714641C6CE3}"/>
    <cellStyle name="Vírgula 7 2 2 2 6 2 3 2" xfId="36897" xr:uid="{99B5A0BA-B3F2-4FCA-9229-1ED27EA0A74A}"/>
    <cellStyle name="Vírgula 7 2 2 2 6 2 4" xfId="20059" xr:uid="{081A1ACC-B62F-439F-B395-E59D74D7945C}"/>
    <cellStyle name="Vírgula 7 2 2 2 6 2 4 2" xfId="40398" xr:uid="{F04D501B-5CC7-422C-8046-5A8D5A965AF2}"/>
    <cellStyle name="Vírgula 7 2 2 2 6 2 5" xfId="23314" xr:uid="{442F3D66-4926-4BA7-BF6C-8D7B4E49993E}"/>
    <cellStyle name="Vírgula 7 2 2 2 6 2 5 2" xfId="43649" xr:uid="{1BFC52DE-04EC-42FB-82A9-4E31E7E718E3}"/>
    <cellStyle name="Vírgula 7 2 2 2 6 2 6" xfId="13648" xr:uid="{7120FD3E-31E6-4781-AC67-E73E3668D641}"/>
    <cellStyle name="Vírgula 7 2 2 2 6 2 6 2" xfId="33989" xr:uid="{E2D36BCA-E211-4DA6-B68B-725E709E9E47}"/>
    <cellStyle name="Vírgula 7 2 2 2 6 2 7" xfId="9770" xr:uid="{1C73AD7D-310F-4575-9482-97DBE79F1D4C}"/>
    <cellStyle name="Vírgula 7 2 2 2 6 2 7 2" xfId="30113" xr:uid="{9667F2F9-AFC7-41AF-9B98-2EFA6FA73BEB}"/>
    <cellStyle name="Vírgula 7 2 2 2 6 2 8" xfId="26619" xr:uid="{54ABD779-BF0D-432C-9CB5-B04AAA5675BB}"/>
    <cellStyle name="Vírgula 7 2 2 2 6 3" xfId="6848" xr:uid="{B12B0C2B-5624-4AB4-A6DE-56AC65D7E512}"/>
    <cellStyle name="Vírgula 7 2 2 2 6 3 2" xfId="17134" xr:uid="{D9B60E96-7878-46BC-A1D7-0C7318426196}"/>
    <cellStyle name="Vírgula 7 2 2 2 6 3 2 2" xfId="37474" xr:uid="{B24CE77F-EFBC-4738-AEA7-E0019BF3032D}"/>
    <cellStyle name="Vírgula 7 2 2 2 6 3 3" xfId="20636" xr:uid="{7947CF0C-27BE-405D-8192-7B20C4101F29}"/>
    <cellStyle name="Vírgula 7 2 2 2 6 3 3 2" xfId="40975" xr:uid="{F19329E3-338A-4033-9366-688155078622}"/>
    <cellStyle name="Vírgula 7 2 2 2 6 3 4" xfId="23891" xr:uid="{A63FCAB1-46C8-4526-8BA0-17C97D2592E1}"/>
    <cellStyle name="Vírgula 7 2 2 2 6 3 4 2" xfId="44226" xr:uid="{E83794BA-4267-493C-8175-E59819273CEB}"/>
    <cellStyle name="Vírgula 7 2 2 2 6 3 5" xfId="14225" xr:uid="{9013302B-6380-4200-A3F9-066443EE0A29}"/>
    <cellStyle name="Vírgula 7 2 2 2 6 3 5 2" xfId="34566" xr:uid="{506E5E54-5E84-4F54-91F5-D874278FCAEC}"/>
    <cellStyle name="Vírgula 7 2 2 2 6 3 6" xfId="10347" xr:uid="{F533603E-96C9-443A-A516-E356699BB35A}"/>
    <cellStyle name="Vírgula 7 2 2 2 6 3 6 2" xfId="30690" xr:uid="{0BB462EB-9696-42F4-B92C-529FDCE4B54A}"/>
    <cellStyle name="Vírgula 7 2 2 2 6 3 7" xfId="27196" xr:uid="{63711022-EBB5-4AFE-95C1-1DF77A2C9E3F}"/>
    <cellStyle name="Vírgula 7 2 2 2 6 4" xfId="8012" xr:uid="{FFC39D52-510C-4A33-BA0F-46DDF34EA948}"/>
    <cellStyle name="Vírgula 7 2 2 2 6 4 2" xfId="18297" xr:uid="{C7CF842D-9FB3-4CA5-81EA-29CBB561F08B}"/>
    <cellStyle name="Vírgula 7 2 2 2 6 4 2 2" xfId="38637" xr:uid="{5658869C-84C8-4233-88C4-08BA747E4A12}"/>
    <cellStyle name="Vírgula 7 2 2 2 6 4 3" xfId="21799" xr:uid="{C383BF05-1EBB-4570-9573-64344FA3C6DE}"/>
    <cellStyle name="Vírgula 7 2 2 2 6 4 3 2" xfId="42138" xr:uid="{2C594E00-0CC2-4A0D-A0E9-936DD68FF51D}"/>
    <cellStyle name="Vírgula 7 2 2 2 6 4 4" xfId="25054" xr:uid="{F5766292-C716-4AAB-BD29-35786DED6BAE}"/>
    <cellStyle name="Vírgula 7 2 2 2 6 4 4 2" xfId="45389" xr:uid="{86DD349E-D493-47AF-9B07-1544CFA4705C}"/>
    <cellStyle name="Vírgula 7 2 2 2 6 4 5" xfId="15389" xr:uid="{F1876D4C-0EA3-4549-9284-87CBEC6A26AC}"/>
    <cellStyle name="Vírgula 7 2 2 2 6 4 5 2" xfId="35729" xr:uid="{CDF8BDF7-EC27-4FC6-8457-B839FD9DF3DB}"/>
    <cellStyle name="Vírgula 7 2 2 2 6 4 6" xfId="11510" xr:uid="{558B25B1-F5F3-4C0F-9051-1827EA50BEED}"/>
    <cellStyle name="Vírgula 7 2 2 2 6 4 6 2" xfId="31853" xr:uid="{56437677-CC38-4278-86B3-8D632C9EEBB9}"/>
    <cellStyle name="Vírgula 7 2 2 2 6 4 7" xfId="28359" xr:uid="{A1F4EECF-36BB-458C-BD44-29B3DA5B03CA}"/>
    <cellStyle name="Vírgula 7 2 2 2 6 5" xfId="13079" xr:uid="{42A9CC8C-8F42-456B-9605-F010C438ED9B}"/>
    <cellStyle name="Vírgula 7 2 2 2 6 5 2" xfId="33420" xr:uid="{F6726A85-7C60-4684-99D8-2362AE49060A}"/>
    <cellStyle name="Vírgula 7 2 2 2 6 6" xfId="15976" xr:uid="{27710E06-9DE1-4432-B4DE-E2400B00EE3C}"/>
    <cellStyle name="Vírgula 7 2 2 2 6 6 2" xfId="36316" xr:uid="{F3CC03FD-ED20-4969-A9AF-12E61508C0DC}"/>
    <cellStyle name="Vírgula 7 2 2 2 6 7" xfId="18890" xr:uid="{632B0BFD-5F00-40DE-AE39-85FE82491EC7}"/>
    <cellStyle name="Vírgula 7 2 2 2 6 7 2" xfId="39230" xr:uid="{53EC1ABD-DCFB-49FB-9968-69B1878896E8}"/>
    <cellStyle name="Vírgula 7 2 2 2 6 8" xfId="19478" xr:uid="{C28DB729-6602-4CCE-A813-57CF125A8A60}"/>
    <cellStyle name="Vírgula 7 2 2 2 6 8 2" xfId="39817" xr:uid="{3CD1993C-4661-4EDE-AA97-F48324BE3601}"/>
    <cellStyle name="Vírgula 7 2 2 2 6 9" xfId="22733" xr:uid="{479BF6BB-DDE4-4691-B8F4-BCB3F29F3BE2}"/>
    <cellStyle name="Vírgula 7 2 2 2 6 9 2" xfId="43068" xr:uid="{CC8C83E6-C124-4413-8F3D-2EF0E1DFCA81}"/>
    <cellStyle name="Vírgula 7 2 2 2 7" xfId="5829" xr:uid="{DB84AAEC-C1DE-46AC-8349-9772CFDD3B6F}"/>
    <cellStyle name="Vírgula 7 2 2 2 7 2" xfId="6987" xr:uid="{F0EC8D5C-773F-4356-BBC8-EFD8814BF3DC}"/>
    <cellStyle name="Vírgula 7 2 2 2 7 2 2" xfId="17273" xr:uid="{6D8CB72A-7114-4B8A-A5AB-A51654BBF409}"/>
    <cellStyle name="Vírgula 7 2 2 2 7 2 2 2" xfId="37613" xr:uid="{EE633056-0F6F-4FD2-ABBE-D481CE523587}"/>
    <cellStyle name="Vírgula 7 2 2 2 7 2 3" xfId="20775" xr:uid="{1EC0D404-ED4A-4805-AEEC-01E551DE93D4}"/>
    <cellStyle name="Vírgula 7 2 2 2 7 2 3 2" xfId="41114" xr:uid="{2582BA2F-4B51-4787-BDD9-19AA77186C4E}"/>
    <cellStyle name="Vírgula 7 2 2 2 7 2 4" xfId="24030" xr:uid="{B9BCEB71-9D75-4B0F-934E-ABB9C5CA8B8B}"/>
    <cellStyle name="Vírgula 7 2 2 2 7 2 4 2" xfId="44365" xr:uid="{7EDBBE46-6D94-48E6-BC67-B156D65B488D}"/>
    <cellStyle name="Vírgula 7 2 2 2 7 2 5" xfId="14364" xr:uid="{DFCED95F-EEA4-4FB0-8C8B-0166C752BDFD}"/>
    <cellStyle name="Vírgula 7 2 2 2 7 2 5 2" xfId="34705" xr:uid="{44F1AAF5-5FE1-47B1-8B25-4900E84EF9DD}"/>
    <cellStyle name="Vírgula 7 2 2 2 7 2 6" xfId="10486" xr:uid="{5C586050-5FF0-431E-BB9A-5D1269E1F2AA}"/>
    <cellStyle name="Vírgula 7 2 2 2 7 2 6 2" xfId="30829" xr:uid="{0D838411-B5BD-4F0E-B110-3601499A96EE}"/>
    <cellStyle name="Vírgula 7 2 2 2 7 2 7" xfId="27335" xr:uid="{DB32F02D-6F82-44E7-8702-01282417FF5C}"/>
    <cellStyle name="Vírgula 7 2 2 2 7 3" xfId="16115" xr:uid="{6359A328-3004-4660-B391-8964035B92D4}"/>
    <cellStyle name="Vírgula 7 2 2 2 7 3 2" xfId="36455" xr:uid="{AF8D2156-DEDB-4174-9229-CC175107624F}"/>
    <cellStyle name="Vírgula 7 2 2 2 7 4" xfId="19617" xr:uid="{2F0BCE78-6498-4DBC-A7ED-856E4E31D336}"/>
    <cellStyle name="Vírgula 7 2 2 2 7 4 2" xfId="39956" xr:uid="{59A1BBD2-2BEE-48A1-9161-B7F4C6732A0B}"/>
    <cellStyle name="Vírgula 7 2 2 2 7 5" xfId="22872" xr:uid="{91A99350-771B-4EC4-8A71-EC87619D6004}"/>
    <cellStyle name="Vírgula 7 2 2 2 7 5 2" xfId="43207" xr:uid="{3FB7B881-C611-4BF4-8A14-87282D5504AF}"/>
    <cellStyle name="Vírgula 7 2 2 2 7 6" xfId="13208" xr:uid="{96E7C6D0-AD02-4476-BF58-0B76F2E3FABF}"/>
    <cellStyle name="Vírgula 7 2 2 2 7 6 2" xfId="33549" xr:uid="{8420609E-4A52-473B-8F24-161358E58463}"/>
    <cellStyle name="Vírgula 7 2 2 2 7 7" xfId="9328" xr:uid="{D393D948-E581-4DB4-9093-733F67CAD13C}"/>
    <cellStyle name="Vírgula 7 2 2 2 7 7 2" xfId="29671" xr:uid="{B7503ED9-15E0-49E1-BE48-2B4A2F1AA61C}"/>
    <cellStyle name="Vírgula 7 2 2 2 7 8" xfId="26177" xr:uid="{71CD6473-802F-4818-B370-9E409995E3B4}"/>
    <cellStyle name="Vírgula 7 2 2 2 8" xfId="6406" xr:uid="{22BAD543-B8C6-4982-8596-BA4A51C58070}"/>
    <cellStyle name="Vírgula 7 2 2 2 8 2" xfId="16692" xr:uid="{CFDD9CA3-D8D2-4854-832C-F40D7FF4D671}"/>
    <cellStyle name="Vírgula 7 2 2 2 8 2 2" xfId="37032" xr:uid="{95BDC681-C125-45EC-AE3C-A27CF768ED22}"/>
    <cellStyle name="Vírgula 7 2 2 2 8 3" xfId="20194" xr:uid="{2FBCE7D9-63A6-4D47-A43D-A024961C1247}"/>
    <cellStyle name="Vírgula 7 2 2 2 8 3 2" xfId="40533" xr:uid="{F27C3F73-6DAF-4244-95C2-E0D33E6EA8EC}"/>
    <cellStyle name="Vírgula 7 2 2 2 8 4" xfId="23449" xr:uid="{FD7F0FF9-24F7-4B93-A384-7D6222FDC69F}"/>
    <cellStyle name="Vírgula 7 2 2 2 8 4 2" xfId="43784" xr:uid="{77A4FA6C-B4A1-4E61-9112-6AF22E4250FB}"/>
    <cellStyle name="Vírgula 7 2 2 2 8 5" xfId="13783" xr:uid="{020F85D4-2008-4864-B15B-D584CD567C19}"/>
    <cellStyle name="Vírgula 7 2 2 2 8 5 2" xfId="34124" xr:uid="{09960B43-2EBD-400B-BFA5-E2883F695250}"/>
    <cellStyle name="Vírgula 7 2 2 2 8 6" xfId="9905" xr:uid="{70C01D4A-2C46-4352-99D6-DEA75AF25305}"/>
    <cellStyle name="Vírgula 7 2 2 2 8 6 2" xfId="30248" xr:uid="{5722516F-FF38-40A1-9A56-7613B38EE830}"/>
    <cellStyle name="Vírgula 7 2 2 2 8 7" xfId="26754" xr:uid="{0D8D3406-CADF-4867-91BE-A8D5EB313368}"/>
    <cellStyle name="Vírgula 7 2 2 2 9" xfId="7570" xr:uid="{B8AC6B94-E7AD-4FE8-99F7-B4BAA0A89EAF}"/>
    <cellStyle name="Vírgula 7 2 2 2 9 2" xfId="17855" xr:uid="{8198D01A-C4F7-411F-90FA-6101568E36F8}"/>
    <cellStyle name="Vírgula 7 2 2 2 9 2 2" xfId="38195" xr:uid="{66A4A708-3027-43AA-AF2F-7590C9723F3C}"/>
    <cellStyle name="Vírgula 7 2 2 2 9 3" xfId="21357" xr:uid="{3367C5FE-5A3D-42FF-A2B8-8E0A72DCE7A1}"/>
    <cellStyle name="Vírgula 7 2 2 2 9 3 2" xfId="41696" xr:uid="{CD796407-9FB4-44BD-BF61-8B14A352F244}"/>
    <cellStyle name="Vírgula 7 2 2 2 9 4" xfId="24612" xr:uid="{1F72F6B7-9B99-42C3-B4FD-896A0DE93FC2}"/>
    <cellStyle name="Vírgula 7 2 2 2 9 4 2" xfId="44947" xr:uid="{5A88726A-8A8D-465F-B2D2-E0BC429DD211}"/>
    <cellStyle name="Vírgula 7 2 2 2 9 5" xfId="14947" xr:uid="{97C9E649-98DB-40E2-8939-BF67AF7409D6}"/>
    <cellStyle name="Vírgula 7 2 2 2 9 5 2" xfId="35287" xr:uid="{50108979-5AF4-474F-8F40-F3B2F1DB3A6B}"/>
    <cellStyle name="Vírgula 7 2 2 2 9 6" xfId="11068" xr:uid="{789A9B6F-D7CA-434C-BC4B-E662AB7B37E1}"/>
    <cellStyle name="Vírgula 7 2 2 2 9 6 2" xfId="31411" xr:uid="{978CF878-C47B-4966-9ED1-D16A5447DBA0}"/>
    <cellStyle name="Vírgula 7 2 2 2 9 7" xfId="27917" xr:uid="{601CA7E1-31AE-4E19-ADAF-442452837C0D}"/>
    <cellStyle name="Vírgula 7 2 2 20" xfId="46318" xr:uid="{4C1D328B-2CDD-462D-82A8-59AEED318771}"/>
    <cellStyle name="Vírgula 7 2 2 21" xfId="46810" xr:uid="{D8640090-82DE-4F00-9B81-0AD93AD17456}"/>
    <cellStyle name="Vírgula 7 2 2 22" xfId="49300" xr:uid="{54A0A0C8-5A48-4C44-B7DC-5C8B82EAB333}"/>
    <cellStyle name="Vírgula 7 2 2 23" xfId="50970" xr:uid="{970B473D-56F7-41C0-9475-6DAFC44DF50E}"/>
    <cellStyle name="Vírgula 7 2 2 24" xfId="54265" xr:uid="{A3695CCD-89B6-4981-A08A-BC6A9EDE4984}"/>
    <cellStyle name="Vírgula 7 2 2 25" xfId="5237" xr:uid="{140593AD-FFBF-4EDE-92ED-E6C3F0BE937D}"/>
    <cellStyle name="Vírgula 7 2 2 26" xfId="4626" xr:uid="{CB64CE47-B65B-401D-8397-50E26B2B080C}"/>
    <cellStyle name="Vírgula 7 2 2 3" xfId="1567" xr:uid="{72943047-CA38-470E-9650-782D78ED26DB}"/>
    <cellStyle name="Vírgula 7 2 2 3 10" xfId="22378" xr:uid="{B2372024-C89F-4380-BD72-883714AA4B10}"/>
    <cellStyle name="Vírgula 7 2 2 3 10 2" xfId="42713" xr:uid="{C0B4D7AD-1AD9-4C7F-B742-A7488FAEBE8A}"/>
    <cellStyle name="Vírgula 7 2 2 3 11" xfId="12095" xr:uid="{89175472-8F99-414D-8843-CA036B31EE00}"/>
    <cellStyle name="Vírgula 7 2 2 3 11 2" xfId="32436" xr:uid="{AB02D7E8-1B5F-4E5E-AF73-05BB809322C0}"/>
    <cellStyle name="Vírgula 7 2 2 3 12" xfId="8834" xr:uid="{02F1A75A-23E4-4CEB-8A5F-742D83665D3E}"/>
    <cellStyle name="Vírgula 7 2 2 3 12 2" xfId="29177" xr:uid="{9A151E5E-370E-4D77-B2F9-12C7987A73B3}"/>
    <cellStyle name="Vírgula 7 2 2 3 13" xfId="25683" xr:uid="{03DB2EFA-E0CE-435F-99A9-10BDB2D8F57D}"/>
    <cellStyle name="Vírgula 7 2 2 3 14" xfId="45892" xr:uid="{BC1F673E-6E7D-4450-B2B3-16A062AE350A}"/>
    <cellStyle name="Vírgula 7 2 2 3 15" xfId="46378" xr:uid="{2F3C264C-29B5-49C0-BC69-640C32DF4F7D}"/>
    <cellStyle name="Vírgula 7 2 2 3 16" xfId="46870" xr:uid="{BD93CAF7-102B-4010-AB0D-6D30F99AB68B}"/>
    <cellStyle name="Vírgula 7 2 2 3 17" xfId="49302" xr:uid="{2CBEFAEB-AC6B-490C-AAE0-B111B6977792}"/>
    <cellStyle name="Vírgula 7 2 2 3 18" xfId="50972" xr:uid="{8B95EA60-D77A-4416-A332-D5886DFAF9D9}"/>
    <cellStyle name="Vírgula 7 2 2 3 19" xfId="54267" xr:uid="{F4B49346-CBAF-4875-AD8C-60995159A53A}"/>
    <cellStyle name="Vírgula 7 2 2 3 2" xfId="4238" xr:uid="{C3B9C82A-FCAB-44BF-B94A-27DB4F6E4F0B}"/>
    <cellStyle name="Vírgula 7 2 2 3 2 10" xfId="12482" xr:uid="{956B2EE2-AD5A-450D-963C-0B2D66B80B5C}"/>
    <cellStyle name="Vírgula 7 2 2 3 2 10 2" xfId="32823" xr:uid="{89355A82-B0B7-4E0B-B04B-1A54F94C3AD1}"/>
    <cellStyle name="Vírgula 7 2 2 3 2 11" xfId="9221" xr:uid="{3A10FB9C-7014-4C62-B735-A54199196E1F}"/>
    <cellStyle name="Vírgula 7 2 2 3 2 11 2" xfId="29564" xr:uid="{13181F15-8429-4FB9-93F7-7A78CBFC79BE}"/>
    <cellStyle name="Vírgula 7 2 2 3 2 12" xfId="26070" xr:uid="{19DAA57E-9FC9-4C3D-8B5D-436DB6EC41BE}"/>
    <cellStyle name="Vírgula 7 2 2 3 2 13" xfId="46025" xr:uid="{F61CCBDC-E874-448A-A878-75DBC71A64B2}"/>
    <cellStyle name="Vírgula 7 2 2 3 2 14" xfId="46511" xr:uid="{727C9D82-1331-4A60-9448-840E51F438E3}"/>
    <cellStyle name="Vírgula 7 2 2 3 2 15" xfId="47003" xr:uid="{32A44BFF-FC2C-498E-9921-B7A9042D1FF9}"/>
    <cellStyle name="Vírgula 7 2 2 3 2 16" xfId="52604" xr:uid="{358C8A5F-5A0A-4950-8460-D3876CD9DDF7}"/>
    <cellStyle name="Vírgula 7 2 2 3 2 17" xfId="55898" xr:uid="{8B243368-C968-417A-B1F1-501B66D18542}"/>
    <cellStyle name="Vírgula 7 2 2 3 2 18" xfId="5729" xr:uid="{C8960AE8-FFBD-426D-A896-682A87C07325}"/>
    <cellStyle name="Vírgula 7 2 2 3 2 19" xfId="5143" xr:uid="{48B920C3-0A38-4228-A6E0-C73DBBF2A21C}"/>
    <cellStyle name="Vírgula 7 2 2 3 2 2" xfId="6303" xr:uid="{EE02FC91-8A61-4C47-A6B8-4BDFC7EF7B56}"/>
    <cellStyle name="Vírgula 7 2 2 3 2 2 10" xfId="46754" xr:uid="{EFD1894B-2DEB-4763-8C06-16CDCFB294A0}"/>
    <cellStyle name="Vírgula 7 2 2 3 2 2 11" xfId="47246" xr:uid="{02EEDD95-B429-415D-A3C3-A057227CBD91}"/>
    <cellStyle name="Vírgula 7 2 2 3 2 2 2" xfId="7461" xr:uid="{A84FC3E6-5B87-4CC6-84B1-DD9C40CDBD73}"/>
    <cellStyle name="Vírgula 7 2 2 3 2 2 2 2" xfId="17747" xr:uid="{124B5D77-295A-40D4-84F9-72B6C48F5A71}"/>
    <cellStyle name="Vírgula 7 2 2 3 2 2 2 2 2" xfId="38087" xr:uid="{90C749B1-159A-4071-B97A-92F46AE7E6FB}"/>
    <cellStyle name="Vírgula 7 2 2 3 2 2 2 3" xfId="21249" xr:uid="{F6880B34-BFCD-41AF-A8C4-FD4BA6B0EC6D}"/>
    <cellStyle name="Vírgula 7 2 2 3 2 2 2 3 2" xfId="41588" xr:uid="{D9E3A644-D14B-462E-8A5A-8C3858FEAB8E}"/>
    <cellStyle name="Vírgula 7 2 2 3 2 2 2 4" xfId="24504" xr:uid="{66202AD8-4C53-4B13-9CE9-47FDB8BD9A0D}"/>
    <cellStyle name="Vírgula 7 2 2 3 2 2 2 4 2" xfId="44839" xr:uid="{334FF6E0-E05C-465C-B8F0-FD6027EB80C6}"/>
    <cellStyle name="Vírgula 7 2 2 3 2 2 2 5" xfId="14838" xr:uid="{ACBCB47E-2698-493A-9FDF-A62642762F8E}"/>
    <cellStyle name="Vírgula 7 2 2 3 2 2 2 5 2" xfId="35179" xr:uid="{C90F4211-E8DF-4B66-8C0F-F4AF8B83706B}"/>
    <cellStyle name="Vírgula 7 2 2 3 2 2 2 6" xfId="10960" xr:uid="{2719D138-D4EB-45E0-960B-406ED69DE67F}"/>
    <cellStyle name="Vírgula 7 2 2 3 2 2 2 6 2" xfId="31303" xr:uid="{C2A669E6-F9DC-469B-BD30-DE2B2AA9B941}"/>
    <cellStyle name="Vírgula 7 2 2 3 2 2 2 7" xfId="27809" xr:uid="{9C5440A2-3A66-48C9-A8FF-4667A04B3847}"/>
    <cellStyle name="Vírgula 7 2 2 3 2 2 3" xfId="16589" xr:uid="{4E28068C-5A40-4E4A-893C-4D7DB608B294}"/>
    <cellStyle name="Vírgula 7 2 2 3 2 2 3 2" xfId="36929" xr:uid="{F4B32D21-EEAA-42AD-A804-E23D33C7996A}"/>
    <cellStyle name="Vírgula 7 2 2 3 2 2 4" xfId="20091" xr:uid="{152B79F4-2664-432F-A323-1192CEFFEB4D}"/>
    <cellStyle name="Vírgula 7 2 2 3 2 2 4 2" xfId="40430" xr:uid="{4057FCC4-CF96-415C-B975-53BF9A383255}"/>
    <cellStyle name="Vírgula 7 2 2 3 2 2 5" xfId="23346" xr:uid="{41B3B7DD-0A54-43BF-952A-5752CBF06149}"/>
    <cellStyle name="Vírgula 7 2 2 3 2 2 5 2" xfId="43681" xr:uid="{6822BBDA-862F-45C7-88A5-0483002E393F}"/>
    <cellStyle name="Vírgula 7 2 2 3 2 2 6" xfId="13680" xr:uid="{6911945A-2078-4747-8BEA-67CF995C16EA}"/>
    <cellStyle name="Vírgula 7 2 2 3 2 2 6 2" xfId="34021" xr:uid="{32CA616C-077A-4663-8A3E-132DAF426CD1}"/>
    <cellStyle name="Vírgula 7 2 2 3 2 2 7" xfId="9802" xr:uid="{B6F7E9FD-FF4F-4392-8EAA-BE7B511C09E5}"/>
    <cellStyle name="Vírgula 7 2 2 3 2 2 7 2" xfId="30145" xr:uid="{9ABEE719-3726-4D1D-991C-4DD3B954DC15}"/>
    <cellStyle name="Vírgula 7 2 2 3 2 2 8" xfId="26651" xr:uid="{E89F412B-D463-4321-9DEE-B88DFB4BCE7E}"/>
    <cellStyle name="Vírgula 7 2 2 3 2 2 9" xfId="46268" xr:uid="{66CC7934-5FF2-4145-A297-AE1B57CED57D}"/>
    <cellStyle name="Vírgula 7 2 2 3 2 3" xfId="6880" xr:uid="{3E9388D5-58F9-4A4A-B26E-40F20CAA0C22}"/>
    <cellStyle name="Vírgula 7 2 2 3 2 3 2" xfId="17166" xr:uid="{16070BFF-AF68-4FE9-AA88-5EF0AF0D1FFE}"/>
    <cellStyle name="Vírgula 7 2 2 3 2 3 2 2" xfId="37506" xr:uid="{0725D68A-D618-4D00-A747-69277EF06B3E}"/>
    <cellStyle name="Vírgula 7 2 2 3 2 3 3" xfId="20668" xr:uid="{9C9FE632-6880-4F02-972B-E8D324623B23}"/>
    <cellStyle name="Vírgula 7 2 2 3 2 3 3 2" xfId="41007" xr:uid="{2CB5E159-F129-46C3-8C73-6431E32D846B}"/>
    <cellStyle name="Vírgula 7 2 2 3 2 3 4" xfId="23923" xr:uid="{5795EE49-DE3E-4ECC-A814-8D74BA0F3503}"/>
    <cellStyle name="Vírgula 7 2 2 3 2 3 4 2" xfId="44258" xr:uid="{5CE78371-DCA3-4DB5-826C-925975F74FE6}"/>
    <cellStyle name="Vírgula 7 2 2 3 2 3 5" xfId="14257" xr:uid="{9E995F0A-592E-43AD-8423-8AC5B490CEE5}"/>
    <cellStyle name="Vírgula 7 2 2 3 2 3 5 2" xfId="34598" xr:uid="{AACD5839-7EF6-4222-9EF0-F90D714B47E5}"/>
    <cellStyle name="Vírgula 7 2 2 3 2 3 6" xfId="10379" xr:uid="{68663CD7-5205-4E38-AC2A-0B4B75AAF6F6}"/>
    <cellStyle name="Vírgula 7 2 2 3 2 3 6 2" xfId="30722" xr:uid="{0B07284D-4648-4EDC-9907-1FC8E8F980E0}"/>
    <cellStyle name="Vírgula 7 2 2 3 2 3 7" xfId="27228" xr:uid="{E8015C1E-0533-409E-9FDC-97F4ADAB8ADE}"/>
    <cellStyle name="Vírgula 7 2 2 3 2 4" xfId="8044" xr:uid="{7F4C3E79-B58B-417E-B409-D304A1C1AF25}"/>
    <cellStyle name="Vírgula 7 2 2 3 2 4 2" xfId="18329" xr:uid="{896C85EB-893E-4412-8C93-B3867FE39705}"/>
    <cellStyle name="Vírgula 7 2 2 3 2 4 2 2" xfId="38669" xr:uid="{46A8C2F4-4948-4CF4-9896-EF10363BC442}"/>
    <cellStyle name="Vírgula 7 2 2 3 2 4 3" xfId="21831" xr:uid="{6C159C34-9E97-4210-8E22-F8EC2BE05E77}"/>
    <cellStyle name="Vírgula 7 2 2 3 2 4 3 2" xfId="42170" xr:uid="{E1779B74-284F-4EEF-9089-6856DE503900}"/>
    <cellStyle name="Vírgula 7 2 2 3 2 4 4" xfId="25086" xr:uid="{A842C4F2-F0AD-4FC7-AED5-1E89B15490AF}"/>
    <cellStyle name="Vírgula 7 2 2 3 2 4 4 2" xfId="45421" xr:uid="{D63876EA-C7F5-43E0-8CCC-AED33DE4BEF7}"/>
    <cellStyle name="Vírgula 7 2 2 3 2 4 5" xfId="15421" xr:uid="{CAB4D9F5-E680-474A-830D-C1F3BBEB08FC}"/>
    <cellStyle name="Vírgula 7 2 2 3 2 4 5 2" xfId="35761" xr:uid="{40683201-2F75-415F-9C53-CEC9EABE7B85}"/>
    <cellStyle name="Vírgula 7 2 2 3 2 4 6" xfId="11542" xr:uid="{12841BB1-7FAF-494E-8048-065220268734}"/>
    <cellStyle name="Vírgula 7 2 2 3 2 4 6 2" xfId="31885" xr:uid="{AB681E54-992E-4A91-979B-CAACAF7CB3CB}"/>
    <cellStyle name="Vírgula 7 2 2 3 2 4 7" xfId="28391" xr:uid="{307ABA97-D85C-4004-ABA6-E4BC7B479E27}"/>
    <cellStyle name="Vírgula 7 2 2 3 2 5" xfId="8348" xr:uid="{54263830-8DC8-45D9-885B-30753F30DC6D}"/>
    <cellStyle name="Vírgula 7 2 2 3 2 5 2" xfId="22135" xr:uid="{379A487E-8E2D-47F1-B5AD-06B448B95D85}"/>
    <cellStyle name="Vírgula 7 2 2 3 2 5 2 2" xfId="42471" xr:uid="{E0AB4CB4-1BBF-4E81-8D2F-34739DB0D1FB}"/>
    <cellStyle name="Vírgula 7 2 2 3 2 5 3" xfId="25387" xr:uid="{02289972-5218-42F0-B7C7-6D20069381D2}"/>
    <cellStyle name="Vírgula 7 2 2 3 2 5 3 2" xfId="45722" xr:uid="{7CBE92F6-7712-452A-9A04-A719651B297B}"/>
    <cellStyle name="Vírgula 7 2 2 3 2 5 4" xfId="13111" xr:uid="{E4DD74E9-612B-4B9A-8992-DACF2B629D3D}"/>
    <cellStyle name="Vírgula 7 2 2 3 2 5 4 2" xfId="33452" xr:uid="{13F68B1E-403D-4F2D-B036-F6D1F7159ED4}"/>
    <cellStyle name="Vírgula 7 2 2 3 2 5 5" xfId="11844" xr:uid="{CEA845C6-9F8C-4523-B76E-770C1CE98B11}"/>
    <cellStyle name="Vírgula 7 2 2 3 2 5 5 2" xfId="32186" xr:uid="{2300BFF7-2216-424A-A396-E4AD5742D3F5}"/>
    <cellStyle name="Vírgula 7 2 2 3 2 5 6" xfId="28692" xr:uid="{1BDF660B-7658-475C-83DE-545610546EA8}"/>
    <cellStyle name="Vírgula 7 2 2 3 2 6" xfId="8650" xr:uid="{DB1C23AA-8DE3-4103-8737-D5D509CC5AF4}"/>
    <cellStyle name="Vírgula 7 2 2 3 2 6 2" xfId="16008" xr:uid="{DE2730A0-9C25-4D45-8327-26A1C4D6D836}"/>
    <cellStyle name="Vírgula 7 2 2 3 2 6 2 2" xfId="36348" xr:uid="{952ED34C-AA94-40D2-A874-04822DE07744}"/>
    <cellStyle name="Vírgula 7 2 2 3 2 6 3" xfId="28993" xr:uid="{2DEC3422-1181-4EC0-BDBC-65F6FF2545EF}"/>
    <cellStyle name="Vírgula 7 2 2 3 2 7" xfId="18922" xr:uid="{E0D7B806-68BF-4E63-A29A-A3F81D54BA51}"/>
    <cellStyle name="Vírgula 7 2 2 3 2 7 2" xfId="39262" xr:uid="{CE3E344B-4C3C-453D-91EC-0C2A83120812}"/>
    <cellStyle name="Vírgula 7 2 2 3 2 8" xfId="19510" xr:uid="{9E638F98-B2C9-4FBA-AADE-F6CD36698235}"/>
    <cellStyle name="Vírgula 7 2 2 3 2 8 2" xfId="39849" xr:uid="{466EE83A-9723-4645-AB55-52AF4726A72A}"/>
    <cellStyle name="Vírgula 7 2 2 3 2 9" xfId="22765" xr:uid="{3C647AE7-0CDE-4B23-B6AC-3AD089B356F6}"/>
    <cellStyle name="Vírgula 7 2 2 3 2 9 2" xfId="43100" xr:uid="{6A8465D8-A86E-4ABF-8F1B-17FB40A0BC5D}"/>
    <cellStyle name="Vírgula 7 2 2 3 20" xfId="5359" xr:uid="{FA3DC2C5-1538-463C-8775-5B899F8009D0}"/>
    <cellStyle name="Vírgula 7 2 2 3 21" xfId="4924" xr:uid="{0CE12D7E-5A30-4ABD-82CD-8888B4A69731}"/>
    <cellStyle name="Vírgula 7 2 2 3 3" xfId="3227" xr:uid="{6CA1469B-3463-4FD7-AE0B-6A5FE4A19017}"/>
    <cellStyle name="Vírgula 7 2 2 3 3 10" xfId="46621" xr:uid="{71FABCFD-F0DB-4ABB-ABD2-D3FCC4465C5A}"/>
    <cellStyle name="Vírgula 7 2 2 3 3 11" xfId="47113" xr:uid="{692FCDD1-B2A2-4407-998F-CE7BBB469625}"/>
    <cellStyle name="Vírgula 7 2 2 3 3 12" xfId="57438" xr:uid="{927C7C01-B71D-4AEF-95E9-822BB7A78232}"/>
    <cellStyle name="Vírgula 7 2 2 3 3 13" xfId="5916" xr:uid="{A9A11BA0-017D-4C1A-A6E7-5122AEC3A9FB}"/>
    <cellStyle name="Vírgula 7 2 2 3 3 14" xfId="5018" xr:uid="{2B2AF174-CE5F-4165-A48B-750649EA250B}"/>
    <cellStyle name="Vírgula 7 2 2 3 3 2" xfId="7074" xr:uid="{61DDF019-59E4-459A-B417-3AD3910018DE}"/>
    <cellStyle name="Vírgula 7 2 2 3 3 2 2" xfId="17360" xr:uid="{20243C62-00FC-4822-BB43-62B92D5D5B3E}"/>
    <cellStyle name="Vírgula 7 2 2 3 3 2 2 2" xfId="37700" xr:uid="{A78782D0-AD3F-487F-BD50-6E48D088A5C5}"/>
    <cellStyle name="Vírgula 7 2 2 3 3 2 3" xfId="20862" xr:uid="{B2D40C74-2756-4380-A77D-61FA1EE95415}"/>
    <cellStyle name="Vírgula 7 2 2 3 3 2 3 2" xfId="41201" xr:uid="{7E18AE5E-7CA0-4AFD-97CC-2C5DE09B1545}"/>
    <cellStyle name="Vírgula 7 2 2 3 3 2 4" xfId="24117" xr:uid="{C9A548BC-55A4-4E61-9B22-9576DB82148B}"/>
    <cellStyle name="Vírgula 7 2 2 3 3 2 4 2" xfId="44452" xr:uid="{6CE439AF-5F2E-4BAD-A44D-221A48DED7AE}"/>
    <cellStyle name="Vírgula 7 2 2 3 3 2 5" xfId="14451" xr:uid="{D945BD36-E76E-48CB-BFA2-8E2909CB2D60}"/>
    <cellStyle name="Vírgula 7 2 2 3 3 2 5 2" xfId="34792" xr:uid="{3F868F6F-4392-4E3D-A373-FA608FFDB52F}"/>
    <cellStyle name="Vírgula 7 2 2 3 3 2 6" xfId="10573" xr:uid="{7FB3F1E2-812C-46A6-9857-31493315F998}"/>
    <cellStyle name="Vírgula 7 2 2 3 3 2 6 2" xfId="30916" xr:uid="{E2EF7C4B-AB86-480C-B7DF-A99C30EBF4C0}"/>
    <cellStyle name="Vírgula 7 2 2 3 3 2 7" xfId="27422" xr:uid="{6C5A6639-2040-4451-9989-CF51E5356D9C}"/>
    <cellStyle name="Vírgula 7 2 2 3 3 3" xfId="8349" xr:uid="{D8648197-70FD-4C6D-8B83-2B0DAFFE2FA4}"/>
    <cellStyle name="Vírgula 7 2 2 3 3 3 2" xfId="22136" xr:uid="{0B26AE29-8FB3-4F07-BB41-49B7E384D2D7}"/>
    <cellStyle name="Vírgula 7 2 2 3 3 3 2 2" xfId="42472" xr:uid="{A0C73338-6881-4339-947E-199D07F1DD7D}"/>
    <cellStyle name="Vírgula 7 2 2 3 3 3 3" xfId="25388" xr:uid="{EDCABD73-4F86-4EFA-B877-6B7F4D255030}"/>
    <cellStyle name="Vírgula 7 2 2 3 3 3 3 2" xfId="45723" xr:uid="{909DABAA-0677-4A54-91D3-7DE38CECF09A}"/>
    <cellStyle name="Vírgula 7 2 2 3 3 3 4" xfId="16202" xr:uid="{30EF048C-04F1-4CCE-A445-7B9414B11B74}"/>
    <cellStyle name="Vírgula 7 2 2 3 3 3 4 2" xfId="36542" xr:uid="{C456F500-1B20-412C-B979-B967FBD164F2}"/>
    <cellStyle name="Vírgula 7 2 2 3 3 3 5" xfId="11845" xr:uid="{EB0BFA8F-D673-465B-AFB2-37813D8995A3}"/>
    <cellStyle name="Vírgula 7 2 2 3 3 3 5 2" xfId="32187" xr:uid="{5471D433-0B53-4FE7-9E00-004EBA19754A}"/>
    <cellStyle name="Vírgula 7 2 2 3 3 3 6" xfId="28693" xr:uid="{B8288612-8D0F-4421-9373-5E42B40402CA}"/>
    <cellStyle name="Vírgula 7 2 2 3 3 4" xfId="19704" xr:uid="{5740A254-6E18-4C91-9E26-0D07D783B4D9}"/>
    <cellStyle name="Vírgula 7 2 2 3 3 4 2" xfId="40043" xr:uid="{DC1667EB-E130-4B14-91C5-76A3A2A98354}"/>
    <cellStyle name="Vírgula 7 2 2 3 3 5" xfId="22959" xr:uid="{600DFDD9-FC71-4E34-92C5-1545F323F05E}"/>
    <cellStyle name="Vírgula 7 2 2 3 3 5 2" xfId="43294" xr:uid="{AE513CA5-2015-486A-8F04-CC5C8809B002}"/>
    <cellStyle name="Vírgula 7 2 2 3 3 6" xfId="13295" xr:uid="{A28EA598-E059-45B2-AA69-3A9B0FC1127B}"/>
    <cellStyle name="Vírgula 7 2 2 3 3 6 2" xfId="33636" xr:uid="{01A13F2F-B5B8-4EC1-8080-819738808972}"/>
    <cellStyle name="Vírgula 7 2 2 3 3 7" xfId="9415" xr:uid="{BB6174B3-0B97-4CD3-894E-910F27F4CACC}"/>
    <cellStyle name="Vírgula 7 2 2 3 3 7 2" xfId="29758" xr:uid="{B0E48A65-36FF-4866-B09A-4BFE35BB0C0D}"/>
    <cellStyle name="Vírgula 7 2 2 3 3 8" xfId="26264" xr:uid="{8EF7C676-2175-443B-AFD5-80EE727799DE}"/>
    <cellStyle name="Vírgula 7 2 2 3 3 9" xfId="46135" xr:uid="{BA332EE8-834F-4067-9DD9-265EE4841951}"/>
    <cellStyle name="Vírgula 7 2 2 3 4" xfId="6493" xr:uid="{FFAB806C-32F4-4636-B48C-EA098D5C940D}"/>
    <cellStyle name="Vírgula 7 2 2 3 4 2" xfId="16779" xr:uid="{4C46D60E-0F35-4689-88A2-E587D2A1254D}"/>
    <cellStyle name="Vírgula 7 2 2 3 4 2 2" xfId="37119" xr:uid="{E5FCA96A-23C8-4B29-99F5-92BFCD9E336C}"/>
    <cellStyle name="Vírgula 7 2 2 3 4 3" xfId="20281" xr:uid="{454C278B-F966-43BE-B7CE-60BAD32D6C73}"/>
    <cellStyle name="Vírgula 7 2 2 3 4 3 2" xfId="40620" xr:uid="{CB5B6397-D651-423A-B297-5FF86B022309}"/>
    <cellStyle name="Vírgula 7 2 2 3 4 4" xfId="23536" xr:uid="{F5CEB329-DD18-429F-82A3-841324A94A57}"/>
    <cellStyle name="Vírgula 7 2 2 3 4 4 2" xfId="43871" xr:uid="{547CF824-BF14-462A-B5D4-DE922A39D848}"/>
    <cellStyle name="Vírgula 7 2 2 3 4 5" xfId="13870" xr:uid="{F33C46AD-72AC-4100-AE07-F40C6946AAE4}"/>
    <cellStyle name="Vírgula 7 2 2 3 4 5 2" xfId="34211" xr:uid="{01EE4EEC-16B1-4CDE-84F8-AAB6D17A2881}"/>
    <cellStyle name="Vírgula 7 2 2 3 4 6" xfId="9992" xr:uid="{4BDE82A0-EB8C-4494-A28B-DC7A4A75E4AB}"/>
    <cellStyle name="Vírgula 7 2 2 3 4 6 2" xfId="30335" xr:uid="{0836809C-2E63-40C7-B076-4C5E2E7E0128}"/>
    <cellStyle name="Vírgula 7 2 2 3 4 7" xfId="26841" xr:uid="{8369DC4F-32AB-4280-9AA2-56FDDCA5F3BA}"/>
    <cellStyle name="Vírgula 7 2 2 3 5" xfId="7657" xr:uid="{62EE0A33-18C4-40A5-9F84-9956CDF5CB96}"/>
    <cellStyle name="Vírgula 7 2 2 3 5 2" xfId="17942" xr:uid="{7E1F0F4F-A51B-47FF-A928-3E55DD71F19F}"/>
    <cellStyle name="Vírgula 7 2 2 3 5 2 2" xfId="38282" xr:uid="{D29E8EC2-182E-4E39-88A3-AD01C5B15471}"/>
    <cellStyle name="Vírgula 7 2 2 3 5 3" xfId="21444" xr:uid="{D6B719FC-E13A-4447-A93B-07710F923BF1}"/>
    <cellStyle name="Vírgula 7 2 2 3 5 3 2" xfId="41783" xr:uid="{2AE5882C-AAE9-4542-AF4B-3D48B2E20F5D}"/>
    <cellStyle name="Vírgula 7 2 2 3 5 4" xfId="24699" xr:uid="{88B2D4DD-02E3-4EDA-A637-79BCC6206365}"/>
    <cellStyle name="Vírgula 7 2 2 3 5 4 2" xfId="45034" xr:uid="{FA2BB1A3-E014-484D-8EA7-2B2D83F42B7F}"/>
    <cellStyle name="Vírgula 7 2 2 3 5 5" xfId="15034" xr:uid="{480E6889-9209-43F2-BE38-1F42A6F4F9AE}"/>
    <cellStyle name="Vírgula 7 2 2 3 5 5 2" xfId="35374" xr:uid="{87673AAE-2D03-43F4-9924-44BDCB99199A}"/>
    <cellStyle name="Vírgula 7 2 2 3 5 6" xfId="11155" xr:uid="{4CE58C6B-8592-463A-99E5-A66233323F70}"/>
    <cellStyle name="Vírgula 7 2 2 3 5 6 2" xfId="31498" xr:uid="{BBCBF10F-4587-44FA-923D-739058CE32B8}"/>
    <cellStyle name="Vírgula 7 2 2 3 5 7" xfId="28004" xr:uid="{028B3C0F-C8C3-4D54-915A-9B2CBE762F80}"/>
    <cellStyle name="Vírgula 7 2 2 3 6" xfId="8347" xr:uid="{A84C0C8E-201D-42E1-8164-994BC6783876}"/>
    <cellStyle name="Vírgula 7 2 2 3 6 2" xfId="22134" xr:uid="{F7503B59-76CA-413D-8AC7-F86A56289205}"/>
    <cellStyle name="Vírgula 7 2 2 3 6 2 2" xfId="42470" xr:uid="{EA7B3EF2-78AF-4083-BB0E-7DCDD0C98003}"/>
    <cellStyle name="Vírgula 7 2 2 3 6 3" xfId="25386" xr:uid="{F1015C59-94F6-47AC-9C70-7B2D36C3702B}"/>
    <cellStyle name="Vírgula 7 2 2 3 6 3 2" xfId="45721" xr:uid="{C32373DA-E68C-4AB2-BC81-5445510C3F50}"/>
    <cellStyle name="Vírgula 7 2 2 3 6 4" xfId="12726" xr:uid="{83E5C130-DB97-4212-B531-82FEE1729282}"/>
    <cellStyle name="Vírgula 7 2 2 3 6 4 2" xfId="33067" xr:uid="{B2AA0DCA-BD54-4031-8B20-D23A40E8EC7F}"/>
    <cellStyle name="Vírgula 7 2 2 3 6 5" xfId="11843" xr:uid="{DE0EDE69-0EDF-474E-B9A4-D48D2565BF73}"/>
    <cellStyle name="Vírgula 7 2 2 3 6 5 2" xfId="32185" xr:uid="{C096C376-167D-4436-A642-EF8D82A57A19}"/>
    <cellStyle name="Vírgula 7 2 2 3 6 6" xfId="28691" xr:uid="{A2972E67-606C-436E-BA11-DD154F58E0A7}"/>
    <cellStyle name="Vírgula 7 2 2 3 7" xfId="8517" xr:uid="{8E9FC043-8462-4858-BFB2-120D1D3E2202}"/>
    <cellStyle name="Vírgula 7 2 2 3 7 2" xfId="15621" xr:uid="{6AB6E86A-DFA1-4A48-A7D5-DEE87FA105EC}"/>
    <cellStyle name="Vírgula 7 2 2 3 7 2 2" xfId="35961" xr:uid="{F25316B0-5160-45C4-85A0-CAFE38E49090}"/>
    <cellStyle name="Vírgula 7 2 2 3 7 3" xfId="28860" xr:uid="{4194A54C-4A06-41DF-9902-28CB486D5BC0}"/>
    <cellStyle name="Vírgula 7 2 2 3 8" xfId="18535" xr:uid="{A13880D4-261A-4F64-9FD0-5AA88EA43C6C}"/>
    <cellStyle name="Vírgula 7 2 2 3 8 2" xfId="38875" xr:uid="{CB2681FE-7522-4159-88CD-6D86115F1869}"/>
    <cellStyle name="Vírgula 7 2 2 3 9" xfId="19123" xr:uid="{61EC550F-7B54-46A0-906F-45CC5FB522E6}"/>
    <cellStyle name="Vírgula 7 2 2 3 9 2" xfId="39462" xr:uid="{44617B12-401A-4BC4-87CD-ADE7F7986DF2}"/>
    <cellStyle name="Vírgula 7 2 2 4" xfId="754" xr:uid="{FA6A312C-B1D2-4280-9C67-EB653A798AA8}"/>
    <cellStyle name="Vírgula 7 2 2 4 10" xfId="12191" xr:uid="{47C3C392-0D81-4AA1-8DE4-CFB90FBFF3AB}"/>
    <cellStyle name="Vírgula 7 2 2 4 10 2" xfId="32532" xr:uid="{BD525D2E-14E7-4053-AB88-9F2CFD1A49C2}"/>
    <cellStyle name="Vírgula 7 2 2 4 11" xfId="8930" xr:uid="{7D9F3149-1EAF-4C7A-9D2B-12D9B797F78D}"/>
    <cellStyle name="Vírgula 7 2 2 4 11 2" xfId="29273" xr:uid="{9FC4E41B-2828-4726-9AFF-AAA924039FB6}"/>
    <cellStyle name="Vírgula 7 2 2 4 12" xfId="25779" xr:uid="{5A173A4E-ADE7-4670-9EF1-92CF5F498D86}"/>
    <cellStyle name="Vírgula 7 2 2 4 13" xfId="46022" xr:uid="{F4D9D65B-091F-424B-AB96-FACE25B2DC77}"/>
    <cellStyle name="Vírgula 7 2 2 4 14" xfId="46508" xr:uid="{4CDE7F2C-668B-435A-BCE3-219225E85E1E}"/>
    <cellStyle name="Vírgula 7 2 2 4 15" xfId="47000" xr:uid="{1332BBC2-D68D-417F-9130-1B766D6D3B63}"/>
    <cellStyle name="Vírgula 7 2 2 4 16" xfId="49303" xr:uid="{65FCE51E-8C36-4C92-BE41-6E4CFD91A04B}"/>
    <cellStyle name="Vírgula 7 2 2 4 17" xfId="50973" xr:uid="{7C99CBB1-C534-486E-B289-F7F577117B29}"/>
    <cellStyle name="Vírgula 7 2 2 4 18" xfId="54268" xr:uid="{24316129-A422-480B-B396-DDBE9C7F02F4}"/>
    <cellStyle name="Vírgula 7 2 2 4 19" xfId="5446" xr:uid="{081D7028-ED10-4F80-9F9B-9F5136613C63}"/>
    <cellStyle name="Vírgula 7 2 2 4 2" xfId="2470" xr:uid="{FFD33219-A7CB-4F4D-BD5F-DC7B5EA59E03}"/>
    <cellStyle name="Vírgula 7 2 2 4 2 10" xfId="46751" xr:uid="{0A955DC8-3FE6-4312-A361-8B51E9052D74}"/>
    <cellStyle name="Vírgula 7 2 2 4 2 11" xfId="47243" xr:uid="{DDA8CCF9-DFEF-4C4B-BD89-E161D144E363}"/>
    <cellStyle name="Vírgula 7 2 2 4 2 12" xfId="52605" xr:uid="{7DB06049-D1E7-464C-B18D-B7033CCC3208}"/>
    <cellStyle name="Vírgula 7 2 2 4 2 13" xfId="55899" xr:uid="{E11E5ED4-0940-4B82-8C32-AE72A308B9B7}"/>
    <cellStyle name="Vírgula 7 2 2 4 2 14" xfId="6012" xr:uid="{E9737518-0BF3-4F8D-9C92-421D7D8C7E4B}"/>
    <cellStyle name="Vírgula 7 2 2 4 2 15" xfId="5140" xr:uid="{A91739E5-1C17-4175-BB6A-167D7ED382C1}"/>
    <cellStyle name="Vírgula 7 2 2 4 2 2" xfId="7170" xr:uid="{950BB646-CE6C-4FF3-BFA4-D83C20AD61F8}"/>
    <cellStyle name="Vírgula 7 2 2 4 2 2 2" xfId="17456" xr:uid="{60740B49-81E7-4A39-A428-7803AFB25740}"/>
    <cellStyle name="Vírgula 7 2 2 4 2 2 2 2" xfId="37796" xr:uid="{28F05BB5-01E4-4F21-86D1-E85F762E17D1}"/>
    <cellStyle name="Vírgula 7 2 2 4 2 2 3" xfId="20958" xr:uid="{DA42CE49-808D-4317-8538-D6105145BF2A}"/>
    <cellStyle name="Vírgula 7 2 2 4 2 2 3 2" xfId="41297" xr:uid="{CDD8FF8C-B48F-4340-8223-08C98A1EFD7D}"/>
    <cellStyle name="Vírgula 7 2 2 4 2 2 4" xfId="24213" xr:uid="{6CFCACEA-43F6-476D-BD1C-62F7F47C92AD}"/>
    <cellStyle name="Vírgula 7 2 2 4 2 2 4 2" xfId="44548" xr:uid="{563CB8FE-B676-48D2-A556-0FC6AF0A0AEB}"/>
    <cellStyle name="Vírgula 7 2 2 4 2 2 5" xfId="14547" xr:uid="{FC4D2503-6A6E-4448-99CE-C0C4CA9C8241}"/>
    <cellStyle name="Vírgula 7 2 2 4 2 2 5 2" xfId="34888" xr:uid="{A93E6F5A-201E-4D54-93A9-D7A4BA65F212}"/>
    <cellStyle name="Vírgula 7 2 2 4 2 2 6" xfId="10669" xr:uid="{AADD258F-EF8E-4CD4-A48A-F007DF0A336E}"/>
    <cellStyle name="Vírgula 7 2 2 4 2 2 6 2" xfId="31012" xr:uid="{B8A08A7D-A7A8-49B3-80BB-A618EE528940}"/>
    <cellStyle name="Vírgula 7 2 2 4 2 2 7" xfId="27518" xr:uid="{33C0DB36-8623-4CA4-BD75-CB4DA2F51407}"/>
    <cellStyle name="Vírgula 7 2 2 4 2 3" xfId="16298" xr:uid="{7FBDA3AF-94F3-4F5B-ACBA-598365667C0A}"/>
    <cellStyle name="Vírgula 7 2 2 4 2 3 2" xfId="36638" xr:uid="{71BE0BB8-4416-4574-9E1B-7E5088848366}"/>
    <cellStyle name="Vírgula 7 2 2 4 2 4" xfId="19800" xr:uid="{8C2D8060-7EB2-4B20-9D2C-222469E63A2E}"/>
    <cellStyle name="Vírgula 7 2 2 4 2 4 2" xfId="40139" xr:uid="{39D182CA-EC87-42D8-B290-1FCC788D5A9B}"/>
    <cellStyle name="Vírgula 7 2 2 4 2 5" xfId="23055" xr:uid="{48AF8915-F585-49F5-8227-5938964FF9FC}"/>
    <cellStyle name="Vírgula 7 2 2 4 2 5 2" xfId="43390" xr:uid="{88F639C1-B528-461F-BB3D-63274734A7C6}"/>
    <cellStyle name="Vírgula 7 2 2 4 2 6" xfId="13389" xr:uid="{664C88AC-3FB8-4F2B-A6E2-4288EE693D54}"/>
    <cellStyle name="Vírgula 7 2 2 4 2 6 2" xfId="33730" xr:uid="{415A4432-FDC6-4379-BFEA-358A8C9588BD}"/>
    <cellStyle name="Vírgula 7 2 2 4 2 7" xfId="9511" xr:uid="{9DB15CBB-FD8E-431F-82D8-E635DE8E0B07}"/>
    <cellStyle name="Vírgula 7 2 2 4 2 7 2" xfId="29854" xr:uid="{FAEF3B76-DA55-4789-94F6-2E6DB3A8EEF0}"/>
    <cellStyle name="Vírgula 7 2 2 4 2 8" xfId="26360" xr:uid="{AE658924-F561-4566-9721-3706D24B9E2B}"/>
    <cellStyle name="Vírgula 7 2 2 4 2 9" xfId="46265" xr:uid="{DC6FB46F-5546-498B-8001-AF89BB90EA8F}"/>
    <cellStyle name="Vírgula 7 2 2 4 20" xfId="4921" xr:uid="{A13CC1AA-9530-4345-9D49-07D9D6FE421D}"/>
    <cellStyle name="Vírgula 7 2 2 4 3" xfId="6589" xr:uid="{D8214653-AC8E-41CA-B7CD-D7BD56FCE148}"/>
    <cellStyle name="Vírgula 7 2 2 4 3 2" xfId="16875" xr:uid="{168205A5-0ADE-48FA-BE0F-09A408C7C7A7}"/>
    <cellStyle name="Vírgula 7 2 2 4 3 2 2" xfId="37215" xr:uid="{ED8E0189-5BAA-467C-87FF-358C91EA4C6C}"/>
    <cellStyle name="Vírgula 7 2 2 4 3 3" xfId="20377" xr:uid="{6F87CA3A-4DC3-4C5F-B5D8-6C8D8119C29F}"/>
    <cellStyle name="Vírgula 7 2 2 4 3 3 2" xfId="40716" xr:uid="{B264672A-FAE1-4343-97AE-FBFACBC841D9}"/>
    <cellStyle name="Vírgula 7 2 2 4 3 4" xfId="23632" xr:uid="{D847D78B-4618-4C4A-9249-6B3E4C4B66A3}"/>
    <cellStyle name="Vírgula 7 2 2 4 3 4 2" xfId="43967" xr:uid="{B91D0F65-1459-4AC9-8331-D0D475C76D9D}"/>
    <cellStyle name="Vírgula 7 2 2 4 3 5" xfId="13966" xr:uid="{2590ECCE-2C4F-4320-823B-64C8221A5647}"/>
    <cellStyle name="Vírgula 7 2 2 4 3 5 2" xfId="34307" xr:uid="{06BE3233-C2D9-4D91-9CEA-DCDE372E3CCA}"/>
    <cellStyle name="Vírgula 7 2 2 4 3 6" xfId="10088" xr:uid="{3FC0ED53-5F6C-426F-9E4C-10353C59138D}"/>
    <cellStyle name="Vírgula 7 2 2 4 3 6 2" xfId="30431" xr:uid="{08C3129C-EB9F-48F9-B06D-97D7AF823B64}"/>
    <cellStyle name="Vírgula 7 2 2 4 3 7" xfId="26937" xr:uid="{C768108E-C6FA-40BA-BCB8-33CEBB84C30A}"/>
    <cellStyle name="Vírgula 7 2 2 4 3 8" xfId="56625" xr:uid="{0F1E0CB5-023E-42F7-810E-7228CDE6C024}"/>
    <cellStyle name="Vírgula 7 2 2 4 4" xfId="7753" xr:uid="{39F164CB-CBA0-4903-BE82-5B6BEBC24AA3}"/>
    <cellStyle name="Vírgula 7 2 2 4 4 2" xfId="18038" xr:uid="{75E07A81-62EA-4E68-85A1-ABA87309C5C7}"/>
    <cellStyle name="Vírgula 7 2 2 4 4 2 2" xfId="38378" xr:uid="{6EB27563-F17A-461B-83DD-D22AB18EAFDC}"/>
    <cellStyle name="Vírgula 7 2 2 4 4 3" xfId="21540" xr:uid="{892B21FF-61BA-4407-95FF-6776E297FDA4}"/>
    <cellStyle name="Vírgula 7 2 2 4 4 3 2" xfId="41879" xr:uid="{20525CF7-623D-40A4-8451-2547AD422480}"/>
    <cellStyle name="Vírgula 7 2 2 4 4 4" xfId="24795" xr:uid="{5F38D329-9A7B-4A27-92F6-98303110B8A1}"/>
    <cellStyle name="Vírgula 7 2 2 4 4 4 2" xfId="45130" xr:uid="{FE0E85C9-A2EC-4959-B63C-AE9249420D19}"/>
    <cellStyle name="Vírgula 7 2 2 4 4 5" xfId="15130" xr:uid="{DFF1D9C6-53DE-4335-8C41-485428F8C617}"/>
    <cellStyle name="Vírgula 7 2 2 4 4 5 2" xfId="35470" xr:uid="{EB83F0C4-26CE-4DE4-8627-F4A9EAB33A7D}"/>
    <cellStyle name="Vírgula 7 2 2 4 4 6" xfId="11251" xr:uid="{1564733F-0637-4BA7-8B64-30AA53D6470F}"/>
    <cellStyle name="Vírgula 7 2 2 4 4 6 2" xfId="31594" xr:uid="{8990F437-6CEA-4311-B862-A43F4BCD92D8}"/>
    <cellStyle name="Vírgula 7 2 2 4 4 7" xfId="28100" xr:uid="{D7799274-28D6-4D7E-AEAC-DCF261130334}"/>
    <cellStyle name="Vírgula 7 2 2 4 5" xfId="8350" xr:uid="{CCD08C53-5F1F-4A29-8C90-3D3C06D8C654}"/>
    <cellStyle name="Vírgula 7 2 2 4 5 2" xfId="22137" xr:uid="{ECAECAE8-A546-4BF4-BF54-FF2548DB977B}"/>
    <cellStyle name="Vírgula 7 2 2 4 5 2 2" xfId="42473" xr:uid="{99E0F15A-0658-4565-9738-B500F9CE6AED}"/>
    <cellStyle name="Vírgula 7 2 2 4 5 3" xfId="25389" xr:uid="{DE9208E4-9BFB-40A6-A3EB-BE01E8543FB5}"/>
    <cellStyle name="Vírgula 7 2 2 4 5 3 2" xfId="45724" xr:uid="{5234D5C5-B836-47E7-AB84-98B7E5FD21EC}"/>
    <cellStyle name="Vírgula 7 2 2 4 5 4" xfId="12820" xr:uid="{7301F549-7498-402C-845A-355E7965603D}"/>
    <cellStyle name="Vírgula 7 2 2 4 5 4 2" xfId="33161" xr:uid="{053FFE07-E8B4-49B6-B23B-C93AFABF41FC}"/>
    <cellStyle name="Vírgula 7 2 2 4 5 5" xfId="11846" xr:uid="{4DDA3BB5-5414-4F26-B74D-E663001F1ECA}"/>
    <cellStyle name="Vírgula 7 2 2 4 5 5 2" xfId="32188" xr:uid="{D40F8B74-65B7-4355-860C-84BE122AF44A}"/>
    <cellStyle name="Vírgula 7 2 2 4 5 6" xfId="28694" xr:uid="{9D364981-80C6-4C29-AEAA-3F75493F4557}"/>
    <cellStyle name="Vírgula 7 2 2 4 6" xfId="8647" xr:uid="{88558269-3637-442A-AA45-B04EAA106A87}"/>
    <cellStyle name="Vírgula 7 2 2 4 6 2" xfId="15717" xr:uid="{285EFAAA-2B82-4F64-9114-17B34F161471}"/>
    <cellStyle name="Vírgula 7 2 2 4 6 2 2" xfId="36057" xr:uid="{8CD11957-FE51-4E10-A598-212F76AF3854}"/>
    <cellStyle name="Vírgula 7 2 2 4 6 3" xfId="28990" xr:uid="{3600021D-785D-4AB3-9CB6-67973411E3EA}"/>
    <cellStyle name="Vírgula 7 2 2 4 7" xfId="18631" xr:uid="{2CE74773-3C77-4465-9435-61E4CA56F9E6}"/>
    <cellStyle name="Vírgula 7 2 2 4 7 2" xfId="38971" xr:uid="{3FFE5BCF-485F-47CB-AFF3-CD4F2FDD3D78}"/>
    <cellStyle name="Vírgula 7 2 2 4 8" xfId="19219" xr:uid="{0D907547-739B-46FD-90DF-C6ACCB2995BD}"/>
    <cellStyle name="Vírgula 7 2 2 4 8 2" xfId="39558" xr:uid="{DB103371-DB46-4EA9-BF88-9D1616BDE98F}"/>
    <cellStyle name="Vírgula 7 2 2 4 9" xfId="22474" xr:uid="{FC1D0642-82BB-4192-9EC3-F0887A468434}"/>
    <cellStyle name="Vírgula 7 2 2 4 9 2" xfId="42809" xr:uid="{4C4BFFF4-F650-43A3-BC35-24755B408BF1}"/>
    <cellStyle name="Vírgula 7 2 2 5" xfId="3673" xr:uid="{E617E5A4-6479-40A6-8812-ACE57B7F0D39}"/>
    <cellStyle name="Vírgula 7 2 2 5 10" xfId="12249" xr:uid="{D3D4CC06-75FA-44AE-A822-972CFD6DDE0F}"/>
    <cellStyle name="Vírgula 7 2 2 5 10 2" xfId="32590" xr:uid="{73345BEE-58A3-4B77-8B22-9873B6EB12D9}"/>
    <cellStyle name="Vírgula 7 2 2 5 11" xfId="8988" xr:uid="{DDF9A6A9-E920-45A7-8EF4-5DC878A0D4FB}"/>
    <cellStyle name="Vírgula 7 2 2 5 11 2" xfId="29331" xr:uid="{42958D10-DE49-4A57-9CCB-BEA448155846}"/>
    <cellStyle name="Vírgula 7 2 2 5 12" xfId="25837" xr:uid="{1AB86833-17C4-442A-BF8F-BA2F3C02EAE3}"/>
    <cellStyle name="Vírgula 7 2 2 5 13" xfId="46075" xr:uid="{22B761CD-B3D5-4867-91C4-2BF090F55E6B}"/>
    <cellStyle name="Vírgula 7 2 2 5 14" xfId="46561" xr:uid="{7854A7F4-262F-489C-AF2B-63D236AB8DC7}"/>
    <cellStyle name="Vírgula 7 2 2 5 15" xfId="47053" xr:uid="{3C5C1672-74C2-43E9-AE8B-A27268BC845F}"/>
    <cellStyle name="Vírgula 7 2 2 5 16" xfId="52602" xr:uid="{447C42B1-7187-4D3B-9C5E-96B7073BD2EB}"/>
    <cellStyle name="Vírgula 7 2 2 5 17" xfId="55896" xr:uid="{E9B4F268-F0AF-4A2F-A586-56720CDE3734}"/>
    <cellStyle name="Vírgula 7 2 2 5 18" xfId="5498" xr:uid="{0981C0A9-33C8-4F2C-9C5B-6250169B3476}"/>
    <cellStyle name="Vírgula 7 2 2 5 19" xfId="4973" xr:uid="{A9C0FB9A-CEC6-4B9A-9032-42E631A6BF48}"/>
    <cellStyle name="Vírgula 7 2 2 5 2" xfId="6070" xr:uid="{F7C63C04-5971-4235-A916-512ED1C517A2}"/>
    <cellStyle name="Vírgula 7 2 2 5 2 2" xfId="7228" xr:uid="{7C654275-8E72-4337-B29C-AAA4611F64D9}"/>
    <cellStyle name="Vírgula 7 2 2 5 2 2 2" xfId="17514" xr:uid="{4126B7EA-5096-4987-A712-BC60412B2AC4}"/>
    <cellStyle name="Vírgula 7 2 2 5 2 2 2 2" xfId="37854" xr:uid="{48300CE5-7550-42F4-BABF-C5CA989ED311}"/>
    <cellStyle name="Vírgula 7 2 2 5 2 2 3" xfId="21016" xr:uid="{7A960290-9C98-419D-B3A2-354B398CE396}"/>
    <cellStyle name="Vírgula 7 2 2 5 2 2 3 2" xfId="41355" xr:uid="{96909D57-A3D8-4A98-9789-92EDA78705D8}"/>
    <cellStyle name="Vírgula 7 2 2 5 2 2 4" xfId="24271" xr:uid="{CF5A6744-DB0E-4E7E-95D3-048F9B5EE7A7}"/>
    <cellStyle name="Vírgula 7 2 2 5 2 2 4 2" xfId="44606" xr:uid="{66CC4B8A-E7B1-42E5-B0DF-006316D8EEDB}"/>
    <cellStyle name="Vírgula 7 2 2 5 2 2 5" xfId="14605" xr:uid="{F2D0370E-8C25-4089-AE31-2DC05F0CF592}"/>
    <cellStyle name="Vírgula 7 2 2 5 2 2 5 2" xfId="34946" xr:uid="{17DB17E8-B6BE-4236-AA42-77B3968C1B57}"/>
    <cellStyle name="Vírgula 7 2 2 5 2 2 6" xfId="10727" xr:uid="{70D036A2-B2CA-48B3-9E64-DA473BDABCEC}"/>
    <cellStyle name="Vírgula 7 2 2 5 2 2 6 2" xfId="31070" xr:uid="{2DBFC943-C3FD-485E-9B9B-121025E2026B}"/>
    <cellStyle name="Vírgula 7 2 2 5 2 2 7" xfId="27576" xr:uid="{79102EB4-5973-4D1F-B4AB-03F683BAEA8F}"/>
    <cellStyle name="Vírgula 7 2 2 5 2 3" xfId="16356" xr:uid="{7F3D4585-5513-40C1-8834-DC84D7C50DEB}"/>
    <cellStyle name="Vírgula 7 2 2 5 2 3 2" xfId="36696" xr:uid="{3E0BFFEB-3B00-4F2D-B5FD-77A1B9DC674C}"/>
    <cellStyle name="Vírgula 7 2 2 5 2 4" xfId="19858" xr:uid="{31D42376-EAB1-4DF9-A2CC-310481512658}"/>
    <cellStyle name="Vírgula 7 2 2 5 2 4 2" xfId="40197" xr:uid="{37B08380-E227-41A2-9AA9-E802CE5CD893}"/>
    <cellStyle name="Vírgula 7 2 2 5 2 5" xfId="23113" xr:uid="{BF634575-C54C-42E6-86F8-56B16717B4C6}"/>
    <cellStyle name="Vírgula 7 2 2 5 2 5 2" xfId="43448" xr:uid="{FC56C763-9053-41F5-A89A-3D87C9274105}"/>
    <cellStyle name="Vírgula 7 2 2 5 2 6" xfId="13447" xr:uid="{76340ECD-1FC6-40ED-BD18-6B470511F4A6}"/>
    <cellStyle name="Vírgula 7 2 2 5 2 6 2" xfId="33788" xr:uid="{4D817757-3EE9-4405-9CA1-CCB7F2E13841}"/>
    <cellStyle name="Vírgula 7 2 2 5 2 7" xfId="9569" xr:uid="{FF7F8AC2-96E2-4420-AFBE-D9B6694DA3E0}"/>
    <cellStyle name="Vírgula 7 2 2 5 2 7 2" xfId="29912" xr:uid="{D85B5FDB-D3D3-4C54-A655-412CD4916BDC}"/>
    <cellStyle name="Vírgula 7 2 2 5 2 8" xfId="26418" xr:uid="{72FC6042-750E-4AC0-90E0-790BA4B0FC3D}"/>
    <cellStyle name="Vírgula 7 2 2 5 3" xfId="6647" xr:uid="{3411D542-3FA0-4C7D-B3BD-80BA771AD662}"/>
    <cellStyle name="Vírgula 7 2 2 5 3 2" xfId="16933" xr:uid="{F6125B8E-D917-4D93-BBD9-91011467ED35}"/>
    <cellStyle name="Vírgula 7 2 2 5 3 2 2" xfId="37273" xr:uid="{D735030F-261A-41B3-AD20-B7C27CCB34DF}"/>
    <cellStyle name="Vírgula 7 2 2 5 3 3" xfId="20435" xr:uid="{1F2AAD0C-540D-4FE8-8A4B-A20BAF73F54E}"/>
    <cellStyle name="Vírgula 7 2 2 5 3 3 2" xfId="40774" xr:uid="{A5E6B617-BC59-4220-AE9C-08F58EEAB1B6}"/>
    <cellStyle name="Vírgula 7 2 2 5 3 4" xfId="23690" xr:uid="{E31095B1-6C4A-41B0-B9FE-34F4AD1B21F0}"/>
    <cellStyle name="Vírgula 7 2 2 5 3 4 2" xfId="44025" xr:uid="{5E15867B-906B-4AA2-AC4E-E533E29C81C1}"/>
    <cellStyle name="Vírgula 7 2 2 5 3 5" xfId="14024" xr:uid="{41414402-AE71-42C7-8C57-12D8AAC76890}"/>
    <cellStyle name="Vírgula 7 2 2 5 3 5 2" xfId="34365" xr:uid="{F778173A-6C34-4D6E-A8EC-7F2225CBE059}"/>
    <cellStyle name="Vírgula 7 2 2 5 3 6" xfId="10146" xr:uid="{F62AFDE1-3F83-4426-9BBA-477D9B322D40}"/>
    <cellStyle name="Vírgula 7 2 2 5 3 6 2" xfId="30489" xr:uid="{062A0D7A-FEF6-4B4F-9908-9425D9B0EEC9}"/>
    <cellStyle name="Vírgula 7 2 2 5 3 7" xfId="26995" xr:uid="{63DE931E-3C89-4878-93A4-F52705F8B14F}"/>
    <cellStyle name="Vírgula 7 2 2 5 4" xfId="7811" xr:uid="{DB36AFDC-DA4F-4EB4-9809-399936AFD454}"/>
    <cellStyle name="Vírgula 7 2 2 5 4 2" xfId="18096" xr:uid="{5B59C353-FE2A-4834-808E-6D16DDA2FE54}"/>
    <cellStyle name="Vírgula 7 2 2 5 4 2 2" xfId="38436" xr:uid="{C280C363-9536-4540-96C5-3F58AD73FD8A}"/>
    <cellStyle name="Vírgula 7 2 2 5 4 3" xfId="21598" xr:uid="{005BE078-D362-452A-B73A-4D05369BABFC}"/>
    <cellStyle name="Vírgula 7 2 2 5 4 3 2" xfId="41937" xr:uid="{789F6068-B48C-4F7B-B926-E36846599E91}"/>
    <cellStyle name="Vírgula 7 2 2 5 4 4" xfId="24853" xr:uid="{7B0FFF6D-E3ED-401C-B286-4635F516658C}"/>
    <cellStyle name="Vírgula 7 2 2 5 4 4 2" xfId="45188" xr:uid="{885575C3-60F4-4DA9-8549-C79E9B6DAA2B}"/>
    <cellStyle name="Vírgula 7 2 2 5 4 5" xfId="15188" xr:uid="{4E920F0F-7ED7-4CBC-90BB-775DA5B7AFF3}"/>
    <cellStyle name="Vírgula 7 2 2 5 4 5 2" xfId="35528" xr:uid="{521CCF35-98C9-4F05-A519-65548E459119}"/>
    <cellStyle name="Vírgula 7 2 2 5 4 6" xfId="11309" xr:uid="{B6B9BA99-CF07-496D-B758-1C8EC75369FA}"/>
    <cellStyle name="Vírgula 7 2 2 5 4 6 2" xfId="31652" xr:uid="{3F75BDD7-E413-4A29-8B22-3420A550CAA1}"/>
    <cellStyle name="Vírgula 7 2 2 5 4 7" xfId="28158" xr:uid="{05409F61-F2C5-47EE-891C-E42203664730}"/>
    <cellStyle name="Vírgula 7 2 2 5 5" xfId="8351" xr:uid="{52F2E7FB-1C4D-4D52-9DAE-BD0A02EDD6BD}"/>
    <cellStyle name="Vírgula 7 2 2 5 5 2" xfId="22138" xr:uid="{6728AFAE-30D6-489F-A065-D7E5CD167C05}"/>
    <cellStyle name="Vírgula 7 2 2 5 5 2 2" xfId="42474" xr:uid="{9385C666-B4E0-4B84-8B89-F4F0C468C7E7}"/>
    <cellStyle name="Vírgula 7 2 2 5 5 3" xfId="25390" xr:uid="{EFF4BB44-494A-4A37-868A-FE588E63648E}"/>
    <cellStyle name="Vírgula 7 2 2 5 5 3 2" xfId="45725" xr:uid="{A3EE16C4-D734-4F84-B19A-AB2A2823D7A2}"/>
    <cellStyle name="Vírgula 7 2 2 5 5 4" xfId="12878" xr:uid="{FF6D494E-75C8-406E-AEEB-3C29EA504E60}"/>
    <cellStyle name="Vírgula 7 2 2 5 5 4 2" xfId="33219" xr:uid="{42FE2736-B1F0-4D2B-8923-3094315353C2}"/>
    <cellStyle name="Vírgula 7 2 2 5 5 5" xfId="11847" xr:uid="{FE5FF27F-01B9-4D69-A384-995CE2F30882}"/>
    <cellStyle name="Vírgula 7 2 2 5 5 5 2" xfId="32189" xr:uid="{A606739A-1F38-499D-BD1D-DAF3C84E1622}"/>
    <cellStyle name="Vírgula 7 2 2 5 5 6" xfId="28695" xr:uid="{2A8761AE-1E01-4F69-BB92-6FAD05D4BC62}"/>
    <cellStyle name="Vírgula 7 2 2 5 6" xfId="15775" xr:uid="{058567DC-AE4D-4CC0-A665-9331234A4E43}"/>
    <cellStyle name="Vírgula 7 2 2 5 6 2" xfId="36115" xr:uid="{46833260-2B31-45EE-BD63-C90EB7822F79}"/>
    <cellStyle name="Vírgula 7 2 2 5 7" xfId="18689" xr:uid="{4C058EFB-3A6E-43D1-A8CB-92B66B312AEC}"/>
    <cellStyle name="Vírgula 7 2 2 5 7 2" xfId="39029" xr:uid="{A96A0589-25AC-4BFE-B1E4-971CCF15DF81}"/>
    <cellStyle name="Vírgula 7 2 2 5 8" xfId="19277" xr:uid="{24E6350B-E78B-486D-9DF9-AA74D0A10364}"/>
    <cellStyle name="Vírgula 7 2 2 5 8 2" xfId="39616" xr:uid="{F0D2EFB7-44DD-4065-B49D-458A39DBB9EE}"/>
    <cellStyle name="Vírgula 7 2 2 5 9" xfId="22532" xr:uid="{C0499B5F-2C48-4ABD-A5AF-F3C9C1F9FA91}"/>
    <cellStyle name="Vírgula 7 2 2 5 9 2" xfId="42867" xr:uid="{C5E6532B-74C4-41BE-94C1-48BB2D0ECE4B}"/>
    <cellStyle name="Vírgula 7 2 2 6" xfId="3895" xr:uid="{D7CAF3CE-4D95-48E5-B129-8AA68AC25020}"/>
    <cellStyle name="Vírgula 7 2 2 6 10" xfId="12324" xr:uid="{5FE50F16-75F1-4147-A477-A1BC28DA15F5}"/>
    <cellStyle name="Vírgula 7 2 2 6 10 2" xfId="32665" xr:uid="{AE37E46E-2F38-494A-AC4E-8C9C632BAC28}"/>
    <cellStyle name="Vírgula 7 2 2 6 11" xfId="9063" xr:uid="{D8025FB1-1D59-4466-AB3A-928E6BBB929A}"/>
    <cellStyle name="Vírgula 7 2 2 6 11 2" xfId="29406" xr:uid="{54BE56D9-04C7-4A19-8CE6-21135C45006B}"/>
    <cellStyle name="Vírgula 7 2 2 6 12" xfId="25912" xr:uid="{2D76CA5C-6F19-47C4-AD0E-DBBCCE01B261}"/>
    <cellStyle name="Vírgula 7 2 2 6 13" xfId="56216" xr:uid="{E46DC8A5-DF10-4137-9802-DA028801041E}"/>
    <cellStyle name="Vírgula 7 2 2 6 14" xfId="5573" xr:uid="{13D339E6-EFD6-4008-B37C-ED9739F2D7D4}"/>
    <cellStyle name="Vírgula 7 2 2 6 15" xfId="4805" xr:uid="{2ECC8CC5-D98F-4E0A-89B9-CEF4A4E2CC98}"/>
    <cellStyle name="Vírgula 7 2 2 6 2" xfId="6145" xr:uid="{F276E78E-8357-4706-AF14-A74277F0D069}"/>
    <cellStyle name="Vírgula 7 2 2 6 2 2" xfId="7303" xr:uid="{591E3203-D1A9-473C-A8F8-85AD390C8314}"/>
    <cellStyle name="Vírgula 7 2 2 6 2 2 2" xfId="17589" xr:uid="{E2C6CB69-2592-4D2A-BB4A-60F2955D4FC8}"/>
    <cellStyle name="Vírgula 7 2 2 6 2 2 2 2" xfId="37929" xr:uid="{A403A9A1-C7BF-4FCB-A202-F2329664E052}"/>
    <cellStyle name="Vírgula 7 2 2 6 2 2 3" xfId="21091" xr:uid="{7BB16626-7ADE-47C6-BB39-1F430C6D4B07}"/>
    <cellStyle name="Vírgula 7 2 2 6 2 2 3 2" xfId="41430" xr:uid="{FC490418-A305-4AE5-9590-1EFDE1FABDD8}"/>
    <cellStyle name="Vírgula 7 2 2 6 2 2 4" xfId="24346" xr:uid="{8013E6E3-0955-4190-8ADB-1AE117DBF062}"/>
    <cellStyle name="Vírgula 7 2 2 6 2 2 4 2" xfId="44681" xr:uid="{D622A9B5-41DD-4077-AAE7-5DC0A980638F}"/>
    <cellStyle name="Vírgula 7 2 2 6 2 2 5" xfId="14680" xr:uid="{FC6C9603-F756-4B7E-BC33-48099902D097}"/>
    <cellStyle name="Vírgula 7 2 2 6 2 2 5 2" xfId="35021" xr:uid="{ED244A59-FA4E-4392-ACB1-C8EA2B83D181}"/>
    <cellStyle name="Vírgula 7 2 2 6 2 2 6" xfId="10802" xr:uid="{005835BB-1D21-4FFA-AAD6-CC3BBFFC06F7}"/>
    <cellStyle name="Vírgula 7 2 2 6 2 2 6 2" xfId="31145" xr:uid="{86DF4E6C-CD89-48C2-94FB-360EDC2E8C60}"/>
    <cellStyle name="Vírgula 7 2 2 6 2 2 7" xfId="27651" xr:uid="{4EB087C7-33BF-4659-B228-EB5161210B67}"/>
    <cellStyle name="Vírgula 7 2 2 6 2 3" xfId="16431" xr:uid="{0B728537-3F5D-4C91-A435-8436BA6B5A18}"/>
    <cellStyle name="Vírgula 7 2 2 6 2 3 2" xfId="36771" xr:uid="{D835227E-C590-44EF-B605-4563C9541B7F}"/>
    <cellStyle name="Vírgula 7 2 2 6 2 4" xfId="19933" xr:uid="{67B20F7F-2041-42B5-A073-FE58322F40D3}"/>
    <cellStyle name="Vírgula 7 2 2 6 2 4 2" xfId="40272" xr:uid="{E96CA2E2-B52A-48FD-A496-42A1C51A4908}"/>
    <cellStyle name="Vírgula 7 2 2 6 2 5" xfId="23188" xr:uid="{01F649AA-D2ED-4B04-BBA3-875800B8EDD9}"/>
    <cellStyle name="Vírgula 7 2 2 6 2 5 2" xfId="43523" xr:uid="{1232B4F0-D9CB-4605-AA37-D409CF9FBE6C}"/>
    <cellStyle name="Vírgula 7 2 2 6 2 6" xfId="13522" xr:uid="{934322A0-424B-4CD0-92AF-58BC2B3330B9}"/>
    <cellStyle name="Vírgula 7 2 2 6 2 6 2" xfId="33863" xr:uid="{7F6DD871-ABA6-457D-AC5B-C74E57906F85}"/>
    <cellStyle name="Vírgula 7 2 2 6 2 7" xfId="9644" xr:uid="{0EC885F3-00ED-4B6C-A204-DF685BED08C4}"/>
    <cellStyle name="Vírgula 7 2 2 6 2 7 2" xfId="29987" xr:uid="{DABAEC31-2D72-416A-9A05-3D945C0397DC}"/>
    <cellStyle name="Vírgula 7 2 2 6 2 8" xfId="26493" xr:uid="{65C6A809-6484-4851-9E5C-BAACA73B06D0}"/>
    <cellStyle name="Vírgula 7 2 2 6 3" xfId="6722" xr:uid="{62BE6E92-8031-4116-BD09-74DAA0B37F26}"/>
    <cellStyle name="Vírgula 7 2 2 6 3 2" xfId="17008" xr:uid="{27C109B5-9B07-4577-8311-504591E766C8}"/>
    <cellStyle name="Vírgula 7 2 2 6 3 2 2" xfId="37348" xr:uid="{990866D1-FE61-40EB-BF61-DEBB9D5F1227}"/>
    <cellStyle name="Vírgula 7 2 2 6 3 3" xfId="20510" xr:uid="{395747ED-1FED-4F47-B345-4286DADB15C2}"/>
    <cellStyle name="Vírgula 7 2 2 6 3 3 2" xfId="40849" xr:uid="{18D4F524-30D9-499A-BFF0-CF059A683C64}"/>
    <cellStyle name="Vírgula 7 2 2 6 3 4" xfId="23765" xr:uid="{61039249-B637-4EDA-9E62-16F9B171BC1A}"/>
    <cellStyle name="Vírgula 7 2 2 6 3 4 2" xfId="44100" xr:uid="{FCC15F2D-3145-4F1E-A4E2-06773EABF6F7}"/>
    <cellStyle name="Vírgula 7 2 2 6 3 5" xfId="14099" xr:uid="{16E1E35F-BBB4-4567-860A-9382B12ECF8C}"/>
    <cellStyle name="Vírgula 7 2 2 6 3 5 2" xfId="34440" xr:uid="{3E2EBA8B-4C88-48E0-B3DD-A26BC798CBE6}"/>
    <cellStyle name="Vírgula 7 2 2 6 3 6" xfId="10221" xr:uid="{CCB2C8A5-E543-493F-B957-BAB5853E52B3}"/>
    <cellStyle name="Vírgula 7 2 2 6 3 6 2" xfId="30564" xr:uid="{049C95EB-C2F4-4351-9788-2DDD71269E05}"/>
    <cellStyle name="Vírgula 7 2 2 6 3 7" xfId="27070" xr:uid="{9F98F819-6660-46A6-8AC7-1696F3240924}"/>
    <cellStyle name="Vírgula 7 2 2 6 4" xfId="7886" xr:uid="{D7AD7012-B678-4A69-8EE7-A53FC5F2C037}"/>
    <cellStyle name="Vírgula 7 2 2 6 4 2" xfId="18171" xr:uid="{D4ABA461-ADF6-417F-8877-8BB756A8AD9C}"/>
    <cellStyle name="Vírgula 7 2 2 6 4 2 2" xfId="38511" xr:uid="{C519D4DF-8B05-47B1-B2AB-AC12483A349B}"/>
    <cellStyle name="Vírgula 7 2 2 6 4 3" xfId="21673" xr:uid="{6B19E1BF-6AB1-48B7-A579-A9C4D7DBD98A}"/>
    <cellStyle name="Vírgula 7 2 2 6 4 3 2" xfId="42012" xr:uid="{E2ECFE7A-E28E-43EC-9C62-47DD4996A9BC}"/>
    <cellStyle name="Vírgula 7 2 2 6 4 4" xfId="24928" xr:uid="{0DC10A6C-B97B-418A-B200-C2D790F701B4}"/>
    <cellStyle name="Vírgula 7 2 2 6 4 4 2" xfId="45263" xr:uid="{BF6B16CC-DECB-4D49-8B55-2F2A36358BF0}"/>
    <cellStyle name="Vírgula 7 2 2 6 4 5" xfId="15263" xr:uid="{1040425C-7962-4B54-991A-F0108A5F6BCE}"/>
    <cellStyle name="Vírgula 7 2 2 6 4 5 2" xfId="35603" xr:uid="{4D183A9D-3D7B-41FA-8B22-7792953EA960}"/>
    <cellStyle name="Vírgula 7 2 2 6 4 6" xfId="11384" xr:uid="{F79393BC-52F1-4707-885A-1339EAF32861}"/>
    <cellStyle name="Vírgula 7 2 2 6 4 6 2" xfId="31727" xr:uid="{411F4869-A2E3-440F-B16E-17FC994C8AC1}"/>
    <cellStyle name="Vírgula 7 2 2 6 4 7" xfId="28233" xr:uid="{2322A041-DC2C-4E93-A75D-0DB4B322DEF3}"/>
    <cellStyle name="Vírgula 7 2 2 6 5" xfId="12953" xr:uid="{022AAB8A-A7AF-4BE4-AF3E-19F3F34E533B}"/>
    <cellStyle name="Vírgula 7 2 2 6 5 2" xfId="33294" xr:uid="{A4A7E607-CA6F-4EA5-97FD-B29DF6BF80D7}"/>
    <cellStyle name="Vírgula 7 2 2 6 6" xfId="15850" xr:uid="{517B62B6-BE32-4E8D-954D-5F6559A77B41}"/>
    <cellStyle name="Vírgula 7 2 2 6 6 2" xfId="36190" xr:uid="{BA52F7E2-DC27-4586-BB2A-CF7BE52A267E}"/>
    <cellStyle name="Vírgula 7 2 2 6 7" xfId="18764" xr:uid="{7AA640CB-A951-4FA2-BEA2-1477CB87D620}"/>
    <cellStyle name="Vírgula 7 2 2 6 7 2" xfId="39104" xr:uid="{9A868624-697C-46A0-ADE5-0C5039F366CD}"/>
    <cellStyle name="Vírgula 7 2 2 6 8" xfId="19352" xr:uid="{BAB40F46-BA7F-46CE-8170-8CDACAF04C6C}"/>
    <cellStyle name="Vírgula 7 2 2 6 8 2" xfId="39691" xr:uid="{AE69EACC-0DC0-4D6B-BDAB-E7849686842F}"/>
    <cellStyle name="Vírgula 7 2 2 6 9" xfId="22607" xr:uid="{185B841C-B972-4A66-BA3D-ABC762877AB5}"/>
    <cellStyle name="Vírgula 7 2 2 6 9 2" xfId="42942" xr:uid="{4655C2B9-07A5-48CC-91BB-C7C584E4497B}"/>
    <cellStyle name="Vírgula 7 2 2 7" xfId="2022" xr:uid="{A57CAA1C-F30C-4D18-B6FB-A845D366D65D}"/>
    <cellStyle name="Vírgula 7 2 2 7 10" xfId="12422" xr:uid="{DE29E4D0-DDEE-4D2F-A70D-52015DFC7DE1}"/>
    <cellStyle name="Vírgula 7 2 2 7 10 2" xfId="32763" xr:uid="{2F4797EF-1A3F-4B31-84E7-0ACE6E34CF81}"/>
    <cellStyle name="Vírgula 7 2 2 7 11" xfId="9161" xr:uid="{A3049DA8-5230-4012-8FD5-21D56435E02F}"/>
    <cellStyle name="Vírgula 7 2 2 7 11 2" xfId="29504" xr:uid="{7254ECFC-75E2-4917-A92F-AC8879D8A2B6}"/>
    <cellStyle name="Vírgula 7 2 2 7 12" xfId="26010" xr:uid="{F071DDF4-31E8-43A1-90DE-7CF5D89FE296}"/>
    <cellStyle name="Vírgula 7 2 2 7 13" xfId="5671" xr:uid="{32313B3A-1DE6-43F0-806F-7293C73FF0FE}"/>
    <cellStyle name="Vírgula 7 2 2 7 2" xfId="6243" xr:uid="{9A8F3BD2-9D07-4D74-915C-F6B407CC7A79}"/>
    <cellStyle name="Vírgula 7 2 2 7 2 2" xfId="7401" xr:uid="{23C825D4-09E7-423D-A042-458A5677A6F2}"/>
    <cellStyle name="Vírgula 7 2 2 7 2 2 2" xfId="17687" xr:uid="{6B8B70FA-4DBD-4324-AF67-35BC98E8BAEE}"/>
    <cellStyle name="Vírgula 7 2 2 7 2 2 2 2" xfId="38027" xr:uid="{6F2CB636-7234-4872-A387-B178CE47E417}"/>
    <cellStyle name="Vírgula 7 2 2 7 2 2 3" xfId="21189" xr:uid="{E883F592-8D19-4113-8A2D-06BD3189257B}"/>
    <cellStyle name="Vírgula 7 2 2 7 2 2 3 2" xfId="41528" xr:uid="{6B0DFEB5-FE38-4E70-BEDF-A1ECA827FEF8}"/>
    <cellStyle name="Vírgula 7 2 2 7 2 2 4" xfId="24444" xr:uid="{B5F9073A-BB03-49D9-BE39-90FF70E0AEC5}"/>
    <cellStyle name="Vírgula 7 2 2 7 2 2 4 2" xfId="44779" xr:uid="{9493F559-CDAF-431A-AB6D-BFFE8F588513}"/>
    <cellStyle name="Vírgula 7 2 2 7 2 2 5" xfId="14778" xr:uid="{BC3DCA93-5162-4A9D-8450-A1A8F9AE6E5F}"/>
    <cellStyle name="Vírgula 7 2 2 7 2 2 5 2" xfId="35119" xr:uid="{20984078-AA9F-456B-8E10-0D5D3D9D0FCE}"/>
    <cellStyle name="Vírgula 7 2 2 7 2 2 6" xfId="10900" xr:uid="{70392F60-3AA8-4475-88E9-4D7CFD4C6855}"/>
    <cellStyle name="Vírgula 7 2 2 7 2 2 6 2" xfId="31243" xr:uid="{C5B7BF1B-52FC-41E1-93E6-0408DB731AA7}"/>
    <cellStyle name="Vírgula 7 2 2 7 2 2 7" xfId="27749" xr:uid="{DF4BAB67-3CB1-418B-A329-3F2EAD16A3F9}"/>
    <cellStyle name="Vírgula 7 2 2 7 2 3" xfId="16529" xr:uid="{D0DCD2F6-5CBF-42C9-A318-58D30AF2C78C}"/>
    <cellStyle name="Vírgula 7 2 2 7 2 3 2" xfId="36869" xr:uid="{851CF76D-AE2E-4004-9731-361270C8272C}"/>
    <cellStyle name="Vírgula 7 2 2 7 2 4" xfId="20031" xr:uid="{72F03F34-519F-4D5A-99DB-598832BEEC97}"/>
    <cellStyle name="Vírgula 7 2 2 7 2 4 2" xfId="40370" xr:uid="{0D39F21A-025E-4AD3-A987-F535DA1E513A}"/>
    <cellStyle name="Vírgula 7 2 2 7 2 5" xfId="23286" xr:uid="{B116C718-4AE0-4D43-9B39-37E1158BBD54}"/>
    <cellStyle name="Vírgula 7 2 2 7 2 5 2" xfId="43621" xr:uid="{92D65597-5893-4593-A34F-2B4CBBA3260A}"/>
    <cellStyle name="Vírgula 7 2 2 7 2 6" xfId="13620" xr:uid="{AC3371E1-2E7E-4943-B775-F6425636275F}"/>
    <cellStyle name="Vírgula 7 2 2 7 2 6 2" xfId="33961" xr:uid="{4C6B490D-0963-4BD6-80E9-BE36933D2958}"/>
    <cellStyle name="Vírgula 7 2 2 7 2 7" xfId="9742" xr:uid="{B5E8A0A2-DB25-4C02-A8E5-A5BC73C82DF5}"/>
    <cellStyle name="Vírgula 7 2 2 7 2 7 2" xfId="30085" xr:uid="{C205A6F5-2D19-4F65-BFA4-6C1DF9219AF0}"/>
    <cellStyle name="Vírgula 7 2 2 7 2 8" xfId="26591" xr:uid="{C34CEC54-D011-4B95-B006-4455A246DF2A}"/>
    <cellStyle name="Vírgula 7 2 2 7 3" xfId="6820" xr:uid="{2C7C54FB-712F-4813-A538-74374976C41A}"/>
    <cellStyle name="Vírgula 7 2 2 7 3 2" xfId="17106" xr:uid="{919DD9CB-C9A9-4E8B-9B1E-B9F6B551C798}"/>
    <cellStyle name="Vírgula 7 2 2 7 3 2 2" xfId="37446" xr:uid="{DCD10FEE-AE65-4FA3-BD39-77E7881FA4F0}"/>
    <cellStyle name="Vírgula 7 2 2 7 3 3" xfId="20608" xr:uid="{CFCDF5B0-EB0D-45E3-8C6D-C6654039C860}"/>
    <cellStyle name="Vírgula 7 2 2 7 3 3 2" xfId="40947" xr:uid="{9A7D6D2A-C528-4B9B-99F5-718B87A2635A}"/>
    <cellStyle name="Vírgula 7 2 2 7 3 4" xfId="23863" xr:uid="{67F9ED4A-8226-4CDC-A9D0-0B28C2B59B7B}"/>
    <cellStyle name="Vírgula 7 2 2 7 3 4 2" xfId="44198" xr:uid="{71E96E62-B793-47A6-A820-C14CC885F0EF}"/>
    <cellStyle name="Vírgula 7 2 2 7 3 5" xfId="14197" xr:uid="{8BF32729-EF2F-4CCF-BCC6-C5EE5F344873}"/>
    <cellStyle name="Vírgula 7 2 2 7 3 5 2" xfId="34538" xr:uid="{770EB4F9-4804-49BC-AF0A-151C1FB7AA66}"/>
    <cellStyle name="Vírgula 7 2 2 7 3 6" xfId="10319" xr:uid="{B2B4B068-0998-4803-A56D-85F34B67B680}"/>
    <cellStyle name="Vírgula 7 2 2 7 3 6 2" xfId="30662" xr:uid="{7E0307D1-2903-40AC-8ED8-6CDF2759B837}"/>
    <cellStyle name="Vírgula 7 2 2 7 3 7" xfId="27168" xr:uid="{92BB3658-F2A5-4089-8F4E-EFF064C99E92}"/>
    <cellStyle name="Vírgula 7 2 2 7 4" xfId="7984" xr:uid="{66649B96-0C82-41D9-B3C6-F25BAEC7397D}"/>
    <cellStyle name="Vírgula 7 2 2 7 4 2" xfId="18269" xr:uid="{7F5A731D-6F51-45E3-A450-D05C730C35E3}"/>
    <cellStyle name="Vírgula 7 2 2 7 4 2 2" xfId="38609" xr:uid="{ABDC42E4-4EDE-44C2-8580-D361C8E06E21}"/>
    <cellStyle name="Vírgula 7 2 2 7 4 3" xfId="21771" xr:uid="{B81FC9C2-4A38-482A-8419-8C711D2F02E7}"/>
    <cellStyle name="Vírgula 7 2 2 7 4 3 2" xfId="42110" xr:uid="{975908A6-7758-4F1A-9681-F53B7CCE3B18}"/>
    <cellStyle name="Vírgula 7 2 2 7 4 4" xfId="25026" xr:uid="{2EE58925-F912-4DDD-8A65-72A599B2FB83}"/>
    <cellStyle name="Vírgula 7 2 2 7 4 4 2" xfId="45361" xr:uid="{C228B643-2A6F-4E28-BA6E-68704E1111D2}"/>
    <cellStyle name="Vírgula 7 2 2 7 4 5" xfId="15361" xr:uid="{B4352F11-F71E-458B-8CE9-4A4E32D9C670}"/>
    <cellStyle name="Vírgula 7 2 2 7 4 5 2" xfId="35701" xr:uid="{297E4600-D850-4B72-9D55-D6A1B72EF851}"/>
    <cellStyle name="Vírgula 7 2 2 7 4 6" xfId="11482" xr:uid="{8E8FD1C1-F5B5-43ED-A9AE-B68E10E6CD90}"/>
    <cellStyle name="Vírgula 7 2 2 7 4 6 2" xfId="31825" xr:uid="{3AE8DB83-18D7-4A08-988C-92F7C3D1DCD2}"/>
    <cellStyle name="Vírgula 7 2 2 7 4 7" xfId="28331" xr:uid="{41B36C10-68E3-406B-BA7F-3CE11666B469}"/>
    <cellStyle name="Vírgula 7 2 2 7 5" xfId="13051" xr:uid="{5C2E8AA6-7CCA-4836-91B0-CD5E0B1D85A1}"/>
    <cellStyle name="Vírgula 7 2 2 7 5 2" xfId="33392" xr:uid="{DF0E639F-A976-434A-9380-5C547D0368DE}"/>
    <cellStyle name="Vírgula 7 2 2 7 6" xfId="15948" xr:uid="{F037BDE5-4244-470F-A0A8-4D200E590983}"/>
    <cellStyle name="Vírgula 7 2 2 7 6 2" xfId="36288" xr:uid="{B8386B9F-6DDE-4D97-9B11-C837AEB3AF0A}"/>
    <cellStyle name="Vírgula 7 2 2 7 7" xfId="18862" xr:uid="{FC80BE60-5DCD-475F-AD69-2ADE3C75997A}"/>
    <cellStyle name="Vírgula 7 2 2 7 7 2" xfId="39202" xr:uid="{6D3CE2E5-1AFA-4159-ADDF-58FAE1E4F39B}"/>
    <cellStyle name="Vírgula 7 2 2 7 8" xfId="19450" xr:uid="{042F3B32-440F-4558-99F3-FF90B0132776}"/>
    <cellStyle name="Vírgula 7 2 2 7 8 2" xfId="39789" xr:uid="{4C2460CE-8CFC-482D-B435-CDB969FBB618}"/>
    <cellStyle name="Vírgula 7 2 2 7 9" xfId="22705" xr:uid="{C807EF10-69A4-438F-B81B-07176342BC69}"/>
    <cellStyle name="Vírgula 7 2 2 7 9 2" xfId="43040" xr:uid="{0B75B1C0-E231-49B4-A1D2-12B1DF877F05}"/>
    <cellStyle name="Vírgula 7 2 2 8" xfId="5801" xr:uid="{D0AA6883-56BF-4358-92A2-65F06D4BAEC5}"/>
    <cellStyle name="Vírgula 7 2 2 8 2" xfId="6959" xr:uid="{440536B7-1AA7-4557-BE8B-D8F4914C2BAE}"/>
    <cellStyle name="Vírgula 7 2 2 8 2 2" xfId="17245" xr:uid="{EF7630BF-6BFF-4270-A718-922BE9B56393}"/>
    <cellStyle name="Vírgula 7 2 2 8 2 2 2" xfId="37585" xr:uid="{8A8034D7-09DF-4334-8895-A045688AEC46}"/>
    <cellStyle name="Vírgula 7 2 2 8 2 3" xfId="20747" xr:uid="{3CF9DA80-C9FD-444E-8260-DEA33E3B1FE5}"/>
    <cellStyle name="Vírgula 7 2 2 8 2 3 2" xfId="41086" xr:uid="{BD0C8C5D-638A-4303-85BE-72A25A985C47}"/>
    <cellStyle name="Vírgula 7 2 2 8 2 4" xfId="24002" xr:uid="{6E761662-6C0E-4CBB-A247-FE3B192D88F7}"/>
    <cellStyle name="Vírgula 7 2 2 8 2 4 2" xfId="44337" xr:uid="{ADFB892B-8C06-4C94-838F-846AEA074B04}"/>
    <cellStyle name="Vírgula 7 2 2 8 2 5" xfId="14336" xr:uid="{9A505F78-AED9-446E-8ED4-2099DB309E31}"/>
    <cellStyle name="Vírgula 7 2 2 8 2 5 2" xfId="34677" xr:uid="{107AB4C7-B187-49ED-88C8-DA4186131D08}"/>
    <cellStyle name="Vírgula 7 2 2 8 2 6" xfId="10458" xr:uid="{4E0FD137-231B-4A48-85A9-6F8797EEF974}"/>
    <cellStyle name="Vírgula 7 2 2 8 2 6 2" xfId="30801" xr:uid="{5B1DAA16-F472-4C63-886E-ED678A848E0B}"/>
    <cellStyle name="Vírgula 7 2 2 8 2 7" xfId="27307" xr:uid="{D3F2510A-A7B4-4B79-A1D1-4558E347B7F8}"/>
    <cellStyle name="Vírgula 7 2 2 8 3" xfId="16087" xr:uid="{06187760-0260-4B07-A4EF-637BEEAE8CE3}"/>
    <cellStyle name="Vírgula 7 2 2 8 3 2" xfId="36427" xr:uid="{509EC944-F7D3-4DD4-AC20-7A2B6F8DD176}"/>
    <cellStyle name="Vírgula 7 2 2 8 4" xfId="19589" xr:uid="{18423552-25D5-475D-9C36-C0BD2347D18E}"/>
    <cellStyle name="Vírgula 7 2 2 8 4 2" xfId="39928" xr:uid="{7984628B-533B-4E04-848B-90705BBF8458}"/>
    <cellStyle name="Vírgula 7 2 2 8 5" xfId="22844" xr:uid="{DDF0FAB4-AB3C-4875-A11A-187ABED44A7C}"/>
    <cellStyle name="Vírgula 7 2 2 8 5 2" xfId="43179" xr:uid="{FB58108E-FFDA-4A37-8D9F-9B93D3DDEF6B}"/>
    <cellStyle name="Vírgula 7 2 2 8 6" xfId="13185" xr:uid="{82CE540F-74DE-4B2D-8221-3172C381BEB8}"/>
    <cellStyle name="Vírgula 7 2 2 8 6 2" xfId="33526" xr:uid="{231C101D-7FF4-4451-B814-51BA3E4DC30B}"/>
    <cellStyle name="Vírgula 7 2 2 8 7" xfId="9300" xr:uid="{C0A68753-FD4D-4F09-A1D6-84232153B35B}"/>
    <cellStyle name="Vírgula 7 2 2 8 7 2" xfId="29643" xr:uid="{318365C2-5BAE-4168-B7D3-10B0EE2D927C}"/>
    <cellStyle name="Vírgula 7 2 2 8 8" xfId="26149" xr:uid="{E3A9C305-4B97-4419-8AE0-9DBE69C309F7}"/>
    <cellStyle name="Vírgula 7 2 2 9" xfId="6378" xr:uid="{E3108AAB-D8EE-417E-9651-4B9BC62D8AF2}"/>
    <cellStyle name="Vírgula 7 2 2 9 2" xfId="16664" xr:uid="{BC627903-3795-448F-99C0-E3A14DD19AFA}"/>
    <cellStyle name="Vírgula 7 2 2 9 2 2" xfId="37004" xr:uid="{169A0733-3769-4C78-B105-6841E3695B35}"/>
    <cellStyle name="Vírgula 7 2 2 9 3" xfId="20166" xr:uid="{8316B7AE-86CB-47A5-86B3-7E7858F70883}"/>
    <cellStyle name="Vírgula 7 2 2 9 3 2" xfId="40505" xr:uid="{0DDC3F2A-3D50-477A-9D64-64288B63E9B7}"/>
    <cellStyle name="Vírgula 7 2 2 9 4" xfId="23421" xr:uid="{74F774AE-5749-4B3D-8DB3-1BC5BCF977B4}"/>
    <cellStyle name="Vírgula 7 2 2 9 4 2" xfId="43756" xr:uid="{6FD06700-CC5B-4398-9D64-B7985320310B}"/>
    <cellStyle name="Vírgula 7 2 2 9 5" xfId="13755" xr:uid="{1B20FFCA-08FF-4966-AF1F-EB2560928922}"/>
    <cellStyle name="Vírgula 7 2 2 9 5 2" xfId="34096" xr:uid="{2FEB1330-97D4-4FC5-B2BA-C3AA8E52CDDA}"/>
    <cellStyle name="Vírgula 7 2 2 9 6" xfId="9877" xr:uid="{7190AD34-4F00-4D62-9260-4AB857492311}"/>
    <cellStyle name="Vírgula 7 2 2 9 6 2" xfId="30220" xr:uid="{19E48F6F-6EC3-4CCE-87EC-F958D7D9EEE2}"/>
    <cellStyle name="Vírgula 7 2 2 9 7" xfId="26726" xr:uid="{5D4E704A-FCBB-436F-88E1-237D90A0E180}"/>
    <cellStyle name="Vírgula 7 2 20" xfId="45819" xr:uid="{ADFE1CE0-2BCA-4666-B112-A3C2F0CE0857}"/>
    <cellStyle name="Vírgula 7 2 21" xfId="46305" xr:uid="{4F35EC5F-89C9-4671-94C7-720756C71B04}"/>
    <cellStyle name="Vírgula 7 2 22" xfId="46797" xr:uid="{83CEEE2C-0791-4F3B-9342-A7E34D748340}"/>
    <cellStyle name="Vírgula 7 2 23" xfId="47387" xr:uid="{67235D88-A126-42E6-918A-AC104F9F3BE6}"/>
    <cellStyle name="Vírgula 7 2 24" xfId="47513" xr:uid="{B6B3FD37-910D-42D3-B66F-56B254D6D8B9}"/>
    <cellStyle name="Vírgula 7 2 25" xfId="47639" xr:uid="{628BBC1A-B28C-4B61-A782-737BD4A28BA6}"/>
    <cellStyle name="Vírgula 7 2 26" xfId="49299" xr:uid="{EC8564A2-D4AA-4CE3-A59E-ADBFD334780C}"/>
    <cellStyle name="Vírgula 7 2 27" xfId="50969" xr:uid="{21D17CAF-4B3A-42BD-8C51-1F08686775A8}"/>
    <cellStyle name="Vírgula 7 2 28" xfId="54264" xr:uid="{34D0B70C-9792-4823-A90B-7E35BF066042}"/>
    <cellStyle name="Vírgula 7 2 29" xfId="5227" xr:uid="{15375425-E68F-4728-B5E1-6997AF2DB1F6}"/>
    <cellStyle name="Vírgula 7 2 3" xfId="972" xr:uid="{4F543B54-17B4-43AA-91A5-0219BCAF4228}"/>
    <cellStyle name="Vírgula 7 2 3 10" xfId="8352" xr:uid="{5F3A1F5F-E1BF-452B-B3BD-1E45793DB420}"/>
    <cellStyle name="Vírgula 7 2 3 10 2" xfId="22139" xr:uid="{CFF95F2E-CB20-4E00-B13A-87A3637C67EE}"/>
    <cellStyle name="Vírgula 7 2 3 10 2 2" xfId="42475" xr:uid="{C2858576-3A1A-4752-B410-14C2C3CC4B91}"/>
    <cellStyle name="Vírgula 7 2 3 10 3" xfId="25391" xr:uid="{9EFD4896-BDAB-4F89-9C74-27D5CC096E78}"/>
    <cellStyle name="Vírgula 7 2 3 10 3 2" xfId="45726" xr:uid="{EE9C45D4-9C05-4C5F-91F9-332352752FBD}"/>
    <cellStyle name="Vírgula 7 2 3 10 4" xfId="12628" xr:uid="{D89AAD88-CCE2-40CE-AF94-686E16130D4B}"/>
    <cellStyle name="Vírgula 7 2 3 10 4 2" xfId="32969" xr:uid="{15E13562-9CA6-4EB3-900A-387BBB08C61C}"/>
    <cellStyle name="Vírgula 7 2 3 10 5" xfId="11848" xr:uid="{673DBB75-1E19-4815-A37C-C0E5E145E053}"/>
    <cellStyle name="Vírgula 7 2 3 10 5 2" xfId="32190" xr:uid="{F525F561-657A-46FA-A517-052DD44ADDEA}"/>
    <cellStyle name="Vírgula 7 2 3 10 6" xfId="28696" xr:uid="{81EB0ADF-68B1-435C-B9F1-51790DFABCB9}"/>
    <cellStyle name="Vírgula 7 2 3 11" xfId="8472" xr:uid="{44453D51-49F8-49C1-84D0-43BC4FF34860}"/>
    <cellStyle name="Vírgula 7 2 3 11 2" xfId="15521" xr:uid="{E17F6C9D-BEB0-494B-A3ED-4876F14B00B0}"/>
    <cellStyle name="Vírgula 7 2 3 11 2 2" xfId="35861" xr:uid="{D6A97430-6EA9-4DB9-BEDF-E49AE5114F4D}"/>
    <cellStyle name="Vírgula 7 2 3 11 3" xfId="28815" xr:uid="{58DFEA8F-0700-45ED-A296-375288C45CEE}"/>
    <cellStyle name="Vírgula 7 2 3 12" xfId="18435" xr:uid="{09B87995-59A9-4FA0-B36E-2CEF845E3BE1}"/>
    <cellStyle name="Vírgula 7 2 3 12 2" xfId="38775" xr:uid="{A714ECED-DFEB-4549-A714-D1E2777710E4}"/>
    <cellStyle name="Vírgula 7 2 3 13" xfId="19023" xr:uid="{08CC7AF7-4724-4A22-8CEF-7FF89825C7C0}"/>
    <cellStyle name="Vírgula 7 2 3 13 2" xfId="39362" xr:uid="{79B78B96-34AB-4D04-950A-3E7FD6075F8A}"/>
    <cellStyle name="Vírgula 7 2 3 14" xfId="22278" xr:uid="{A7BDBF27-50AD-45AF-9A5D-B57F7DC2CF1E}"/>
    <cellStyle name="Vírgula 7 2 3 14 2" xfId="42613" xr:uid="{773E7AEE-8FB8-4E3A-AEE3-A8E3787E85D5}"/>
    <cellStyle name="Vírgula 7 2 3 15" xfId="11995" xr:uid="{E1468F9B-ED91-460B-B264-3C5930E5105E}"/>
    <cellStyle name="Vírgula 7 2 3 15 2" xfId="32336" xr:uid="{D378CFA0-0EF3-47FF-82F1-A97A6704E42A}"/>
    <cellStyle name="Vírgula 7 2 3 16" xfId="8734" xr:uid="{E53DBCBB-80DB-4A3C-B5AF-3B75436AD860}"/>
    <cellStyle name="Vírgula 7 2 3 16 2" xfId="29077" xr:uid="{33BB7EE4-B62E-44A4-B284-6A32EA3ECBD5}"/>
    <cellStyle name="Vírgula 7 2 3 17" xfId="25579" xr:uid="{79062D5A-ACE2-4D22-BFD8-94F6AD113B75}"/>
    <cellStyle name="Vírgula 7 2 3 18" xfId="45847" xr:uid="{4C4F09A3-C9E0-427E-A474-3B6DDAC860CB}"/>
    <cellStyle name="Vírgula 7 2 3 19" xfId="46333" xr:uid="{C8387E4C-B16F-4228-B875-2C2E9578A003}"/>
    <cellStyle name="Vírgula 7 2 3 2" xfId="3564" xr:uid="{49A7F1D6-F97A-42EE-9947-234A885A718C}"/>
    <cellStyle name="Vírgula 7 2 3 2 10" xfId="22393" xr:uid="{C346EEF0-302C-4074-A787-3DF52F4DE666}"/>
    <cellStyle name="Vírgula 7 2 3 2 10 2" xfId="42728" xr:uid="{7AEBA5BD-7B42-401D-8CC7-BD6EB7C370AD}"/>
    <cellStyle name="Vírgula 7 2 3 2 11" xfId="12110" xr:uid="{063C6065-877C-4559-A751-B13663749EC7}"/>
    <cellStyle name="Vírgula 7 2 3 2 11 2" xfId="32451" xr:uid="{A525F0BB-618E-425D-B7A9-EDA32DCF86DE}"/>
    <cellStyle name="Vírgula 7 2 3 2 12" xfId="8849" xr:uid="{68EB7BA2-72F0-45E1-A0EC-5E1D6197DA8E}"/>
    <cellStyle name="Vírgula 7 2 3 2 12 2" xfId="29192" xr:uid="{4374B40B-D925-4E7E-85EA-70939FCC32B3}"/>
    <cellStyle name="Vírgula 7 2 3 2 13" xfId="25698" xr:uid="{C9E043F2-8BFF-4ED8-B9D6-97914979AB58}"/>
    <cellStyle name="Vírgula 7 2 3 2 14" xfId="45907" xr:uid="{15790B04-0AE2-4028-B033-E9F95F635998}"/>
    <cellStyle name="Vírgula 7 2 3 2 15" xfId="46393" xr:uid="{D8A04291-03EC-4F91-BB06-E2D182372211}"/>
    <cellStyle name="Vírgula 7 2 3 2 16" xfId="46885" xr:uid="{A6F85FE2-EC91-4562-BC12-F8D24742B133}"/>
    <cellStyle name="Vírgula 7 2 3 2 17" xfId="52606" xr:uid="{1C68FC3E-5F8B-4F1B-9C05-80AC394B0422}"/>
    <cellStyle name="Vírgula 7 2 3 2 18" xfId="55900" xr:uid="{20148EEE-40B7-4F11-85D7-69A25E1D3C88}"/>
    <cellStyle name="Vírgula 7 2 3 2 19" xfId="5371" xr:uid="{FABF9603-9615-42FA-9377-B22346104FA4}"/>
    <cellStyle name="Vírgula 7 2 3 2 2" xfId="4139" xr:uid="{1E7F0307-2949-4901-9DB2-302C30ECD319}"/>
    <cellStyle name="Vírgula 7 2 3 2 2 10" xfId="12497" xr:uid="{81D03967-99CF-4036-A953-BEA534A7B151}"/>
    <cellStyle name="Vírgula 7 2 3 2 2 10 2" xfId="32838" xr:uid="{89C251A8-45BE-4B87-B082-B98F74B228F5}"/>
    <cellStyle name="Vírgula 7 2 3 2 2 11" xfId="9236" xr:uid="{5CF44775-29AC-41F1-8384-BA2E591CE4C5}"/>
    <cellStyle name="Vírgula 7 2 3 2 2 11 2" xfId="29579" xr:uid="{973DCF50-F875-4359-85F6-0D49F08A9D42}"/>
    <cellStyle name="Vírgula 7 2 3 2 2 12" xfId="26085" xr:uid="{B6C11330-2635-4AD5-9913-8A8942E8C0AA}"/>
    <cellStyle name="Vírgula 7 2 3 2 2 13" xfId="46027" xr:uid="{C0A51329-7871-4986-9EDB-091D8EE54CCD}"/>
    <cellStyle name="Vírgula 7 2 3 2 2 14" xfId="46513" xr:uid="{D7575976-E5E4-4153-ACDC-9A3B83230CDA}"/>
    <cellStyle name="Vírgula 7 2 3 2 2 15" xfId="47005" xr:uid="{BED6AA19-BA0B-4B7D-8E80-2ABA40DFA0A2}"/>
    <cellStyle name="Vírgula 7 2 3 2 2 16" xfId="5742" xr:uid="{6514AC11-8C8E-4975-8889-A228EE17FF7E}"/>
    <cellStyle name="Vírgula 7 2 3 2 2 17" xfId="5145" xr:uid="{F8471208-343F-472A-B4A9-EBBE9A4B8FBF}"/>
    <cellStyle name="Vírgula 7 2 3 2 2 2" xfId="6318" xr:uid="{CB999C4B-50E1-4BD1-B666-41FD98C84E51}"/>
    <cellStyle name="Vírgula 7 2 3 2 2 2 10" xfId="46756" xr:uid="{9B5D2405-407D-4555-A0EA-C9A9EA88EA22}"/>
    <cellStyle name="Vírgula 7 2 3 2 2 2 11" xfId="47248" xr:uid="{9A6B551B-3C6D-4C3B-9289-82CD52F62441}"/>
    <cellStyle name="Vírgula 7 2 3 2 2 2 2" xfId="7476" xr:uid="{5784BFB5-481B-4E5D-9926-EBF2690DC571}"/>
    <cellStyle name="Vírgula 7 2 3 2 2 2 2 2" xfId="17762" xr:uid="{C2F74E2C-1C39-4BFB-8C91-5218256A692E}"/>
    <cellStyle name="Vírgula 7 2 3 2 2 2 2 2 2" xfId="38102" xr:uid="{C2E1798D-A26A-4998-806A-37DD0C1B0A50}"/>
    <cellStyle name="Vírgula 7 2 3 2 2 2 2 3" xfId="21264" xr:uid="{EF232F01-ECF1-4264-95F3-B0764EF261AF}"/>
    <cellStyle name="Vírgula 7 2 3 2 2 2 2 3 2" xfId="41603" xr:uid="{AA22D8CD-9439-477D-AD9C-E7E87EF2772F}"/>
    <cellStyle name="Vírgula 7 2 3 2 2 2 2 4" xfId="24519" xr:uid="{C918830D-49FB-4153-8F3F-A5B9992191DE}"/>
    <cellStyle name="Vírgula 7 2 3 2 2 2 2 4 2" xfId="44854" xr:uid="{8960932D-2D65-4458-9B61-0E217D18CFCF}"/>
    <cellStyle name="Vírgula 7 2 3 2 2 2 2 5" xfId="14853" xr:uid="{BA5CA1F9-8101-4F95-BE6D-D6948CE38908}"/>
    <cellStyle name="Vírgula 7 2 3 2 2 2 2 5 2" xfId="35194" xr:uid="{2DC0A6DF-130D-418A-A2BA-465D0655FDA1}"/>
    <cellStyle name="Vírgula 7 2 3 2 2 2 2 6" xfId="10975" xr:uid="{77CFF1B3-D39C-4218-B655-F0123B47C565}"/>
    <cellStyle name="Vírgula 7 2 3 2 2 2 2 6 2" xfId="31318" xr:uid="{5891DA99-0A5E-49A4-8226-67591FD161E3}"/>
    <cellStyle name="Vírgula 7 2 3 2 2 2 2 7" xfId="27824" xr:uid="{97BAFA84-3AD0-4C95-9E71-731C19D47B59}"/>
    <cellStyle name="Vírgula 7 2 3 2 2 2 3" xfId="16604" xr:uid="{A0B2F80B-6878-46D1-AF13-766461C5E84F}"/>
    <cellStyle name="Vírgula 7 2 3 2 2 2 3 2" xfId="36944" xr:uid="{3500DF98-5786-4255-86D8-F5B66A769B93}"/>
    <cellStyle name="Vírgula 7 2 3 2 2 2 4" xfId="20106" xr:uid="{CC7EE741-F865-4A1D-9341-7A269A4CFA37}"/>
    <cellStyle name="Vírgula 7 2 3 2 2 2 4 2" xfId="40445" xr:uid="{4376D265-4D78-4FFD-8762-A4A5FDF2A3CE}"/>
    <cellStyle name="Vírgula 7 2 3 2 2 2 5" xfId="23361" xr:uid="{3623AF48-E9C5-41F8-9F18-D99D540E1FFE}"/>
    <cellStyle name="Vírgula 7 2 3 2 2 2 5 2" xfId="43696" xr:uid="{BA02EE56-7A43-4A3C-8824-A9D0D897E47E}"/>
    <cellStyle name="Vírgula 7 2 3 2 2 2 6" xfId="13695" xr:uid="{19811264-48BD-4176-AF6D-B8BE5102825C}"/>
    <cellStyle name="Vírgula 7 2 3 2 2 2 6 2" xfId="34036" xr:uid="{144502C3-B602-4EAD-9692-084C47A2114C}"/>
    <cellStyle name="Vírgula 7 2 3 2 2 2 7" xfId="9817" xr:uid="{E55F6C74-3DBB-4AA7-8701-142CD5ABC814}"/>
    <cellStyle name="Vírgula 7 2 3 2 2 2 7 2" xfId="30160" xr:uid="{7B710F56-70BA-4A1E-8119-88AD6B3528F5}"/>
    <cellStyle name="Vírgula 7 2 3 2 2 2 8" xfId="26666" xr:uid="{8F6B716F-6D93-4096-AD3E-4024EE3335D3}"/>
    <cellStyle name="Vírgula 7 2 3 2 2 2 9" xfId="46270" xr:uid="{B85FF4C5-9D1B-4EAD-BE2E-105824015187}"/>
    <cellStyle name="Vírgula 7 2 3 2 2 3" xfId="6895" xr:uid="{98C8D2B0-0617-45A0-9409-3CC6D8AE8EFC}"/>
    <cellStyle name="Vírgula 7 2 3 2 2 3 2" xfId="17181" xr:uid="{1D7F04BC-BA71-46B2-93B9-E3DF7EE0BF14}"/>
    <cellStyle name="Vírgula 7 2 3 2 2 3 2 2" xfId="37521" xr:uid="{4C448A2A-1120-49DF-A390-9EBCE23B50BC}"/>
    <cellStyle name="Vírgula 7 2 3 2 2 3 3" xfId="20683" xr:uid="{4500FD8B-0E08-4AD9-B428-2A2207B5B6EC}"/>
    <cellStyle name="Vírgula 7 2 3 2 2 3 3 2" xfId="41022" xr:uid="{EE6E3A7B-3F88-4FD4-8E26-686784D84E2C}"/>
    <cellStyle name="Vírgula 7 2 3 2 2 3 4" xfId="23938" xr:uid="{108182EB-0CA3-4DAC-B898-29FE7E030FBD}"/>
    <cellStyle name="Vírgula 7 2 3 2 2 3 4 2" xfId="44273" xr:uid="{EA151353-0924-4676-98AD-4E6BB7363C82}"/>
    <cellStyle name="Vírgula 7 2 3 2 2 3 5" xfId="14272" xr:uid="{3ED38EC2-B8D3-4B20-A62A-F00EAF2EA94B}"/>
    <cellStyle name="Vírgula 7 2 3 2 2 3 5 2" xfId="34613" xr:uid="{46A88E15-267D-4FC7-8742-889695599BC5}"/>
    <cellStyle name="Vírgula 7 2 3 2 2 3 6" xfId="10394" xr:uid="{4A45AA14-66B1-43D3-87A4-1933F56D6AAB}"/>
    <cellStyle name="Vírgula 7 2 3 2 2 3 6 2" xfId="30737" xr:uid="{36367A8C-6EAE-4C49-9FB2-2423CF31A113}"/>
    <cellStyle name="Vírgula 7 2 3 2 2 3 7" xfId="27243" xr:uid="{5B9A6CE1-5B44-41A1-8F67-2ADF3931499D}"/>
    <cellStyle name="Vírgula 7 2 3 2 2 4" xfId="8059" xr:uid="{7818BD6B-DD77-43E6-B594-A5B0E1121FDA}"/>
    <cellStyle name="Vírgula 7 2 3 2 2 4 2" xfId="18344" xr:uid="{0143D767-3F5C-4122-B4E6-CD53690EAB90}"/>
    <cellStyle name="Vírgula 7 2 3 2 2 4 2 2" xfId="38684" xr:uid="{19C6F9B5-6576-4E32-8361-3CC3260A0053}"/>
    <cellStyle name="Vírgula 7 2 3 2 2 4 3" xfId="21846" xr:uid="{232F2FCC-F353-4B25-A064-A20D200309D9}"/>
    <cellStyle name="Vírgula 7 2 3 2 2 4 3 2" xfId="42185" xr:uid="{5040AE70-52FC-4EAE-8FC8-875725D33656}"/>
    <cellStyle name="Vírgula 7 2 3 2 2 4 4" xfId="25101" xr:uid="{6F3AB42C-8780-41C3-AE4E-30216678EF17}"/>
    <cellStyle name="Vírgula 7 2 3 2 2 4 4 2" xfId="45436" xr:uid="{B2017FFC-6140-408C-9623-07B90FB98926}"/>
    <cellStyle name="Vírgula 7 2 3 2 2 4 5" xfId="15436" xr:uid="{E19280AA-4EDD-45EE-AE0A-64483904D463}"/>
    <cellStyle name="Vírgula 7 2 3 2 2 4 5 2" xfId="35776" xr:uid="{C595C445-8607-41E8-B850-10702443C4BD}"/>
    <cellStyle name="Vírgula 7 2 3 2 2 4 6" xfId="11557" xr:uid="{40AFBD1B-BDBC-43EB-AE19-CAB4410631D8}"/>
    <cellStyle name="Vírgula 7 2 3 2 2 4 6 2" xfId="31900" xr:uid="{96727A57-A018-4056-8F4C-DD55FF97AC3F}"/>
    <cellStyle name="Vírgula 7 2 3 2 2 4 7" xfId="28406" xr:uid="{B0EE139B-DED9-485E-9453-65FEC16FFFA1}"/>
    <cellStyle name="Vírgula 7 2 3 2 2 5" xfId="8354" xr:uid="{4C58B200-5B7E-4890-BD60-19B188905F69}"/>
    <cellStyle name="Vírgula 7 2 3 2 2 5 2" xfId="22141" xr:uid="{3D639D2E-87E7-45EE-A0C3-7D60DCB2AEAB}"/>
    <cellStyle name="Vírgula 7 2 3 2 2 5 2 2" xfId="42477" xr:uid="{EB774008-07DD-458C-B98C-83944AF2DC46}"/>
    <cellStyle name="Vírgula 7 2 3 2 2 5 3" xfId="25393" xr:uid="{7F2929D0-D3D4-459B-8104-25588E669B70}"/>
    <cellStyle name="Vírgula 7 2 3 2 2 5 3 2" xfId="45728" xr:uid="{36794B96-ECF8-4DBB-9339-D09BC7EDDEB9}"/>
    <cellStyle name="Vírgula 7 2 3 2 2 5 4" xfId="13126" xr:uid="{B80FA788-557F-4699-B7FA-C82E498E0650}"/>
    <cellStyle name="Vírgula 7 2 3 2 2 5 4 2" xfId="33467" xr:uid="{CAEAA7E3-458D-4B2D-A5F6-1AC4060CAC9C}"/>
    <cellStyle name="Vírgula 7 2 3 2 2 5 5" xfId="11850" xr:uid="{570BB1E9-733C-4EF8-8B2A-00E4EF1771D0}"/>
    <cellStyle name="Vírgula 7 2 3 2 2 5 5 2" xfId="32192" xr:uid="{36E30E71-B5FF-4856-A1A4-5AA8DCE802E3}"/>
    <cellStyle name="Vírgula 7 2 3 2 2 5 6" xfId="28698" xr:uid="{A8A54E37-1613-4F04-8785-A8CB04AA6C5D}"/>
    <cellStyle name="Vírgula 7 2 3 2 2 6" xfId="8652" xr:uid="{B95F5341-ABEA-4349-B2E1-BC515D9ACC01}"/>
    <cellStyle name="Vírgula 7 2 3 2 2 6 2" xfId="16023" xr:uid="{3B723FD6-ED10-4C66-8B11-09DB8328EA51}"/>
    <cellStyle name="Vírgula 7 2 3 2 2 6 2 2" xfId="36363" xr:uid="{9DB17AFC-291A-4D0C-9A54-605E6FA36DF5}"/>
    <cellStyle name="Vírgula 7 2 3 2 2 6 3" xfId="28995" xr:uid="{CF96E39F-81D5-4193-A0F5-9BD03BC09331}"/>
    <cellStyle name="Vírgula 7 2 3 2 2 7" xfId="18937" xr:uid="{EDEA1B42-5A51-4262-BF62-6E3D4D8FB858}"/>
    <cellStyle name="Vírgula 7 2 3 2 2 7 2" xfId="39277" xr:uid="{6B2C7D4F-B98D-4B97-BD58-FDA54C1AA210}"/>
    <cellStyle name="Vírgula 7 2 3 2 2 8" xfId="19525" xr:uid="{A2507ABD-3A4D-44FF-A877-B7CD7BCD54A5}"/>
    <cellStyle name="Vírgula 7 2 3 2 2 8 2" xfId="39864" xr:uid="{13854686-5DEC-49AD-B910-AC279066DDAE}"/>
    <cellStyle name="Vírgula 7 2 3 2 2 9" xfId="22780" xr:uid="{4BC5B529-0936-4245-B80B-728936539464}"/>
    <cellStyle name="Vírgula 7 2 3 2 2 9 2" xfId="43115" xr:uid="{F688C3A2-1FF5-443D-A36B-94CE77ADB188}"/>
    <cellStyle name="Vírgula 7 2 3 2 20" xfId="4926" xr:uid="{F928D7D0-76B2-411A-B88F-E81364FCEE4B}"/>
    <cellStyle name="Vírgula 7 2 3 2 3" xfId="5029" xr:uid="{EFD4E69B-D405-494E-A04B-8289FBE2B736}"/>
    <cellStyle name="Vírgula 7 2 3 2 3 10" xfId="46636" xr:uid="{538528F6-7053-460F-8DD0-7F53124EBD48}"/>
    <cellStyle name="Vírgula 7 2 3 2 3 11" xfId="47128" xr:uid="{1875C64A-C99C-49DA-B19B-D1DC0CE8BF4B}"/>
    <cellStyle name="Vírgula 7 2 3 2 3 12" xfId="5931" xr:uid="{098141F8-4728-429B-B01F-71ED8CDAA4B6}"/>
    <cellStyle name="Vírgula 7 2 3 2 3 2" xfId="7089" xr:uid="{3AEFB202-3724-4BF9-8B0A-D46A1D0F0A48}"/>
    <cellStyle name="Vírgula 7 2 3 2 3 2 2" xfId="17375" xr:uid="{A67CA24B-3DFA-471B-9608-AC6C6E95C257}"/>
    <cellStyle name="Vírgula 7 2 3 2 3 2 2 2" xfId="37715" xr:uid="{87A704B4-606A-4577-83A0-9E43841770CA}"/>
    <cellStyle name="Vírgula 7 2 3 2 3 2 3" xfId="20877" xr:uid="{24D9B715-2A3D-4EDC-9C2D-3BABF00D9ED2}"/>
    <cellStyle name="Vírgula 7 2 3 2 3 2 3 2" xfId="41216" xr:uid="{B546AA85-AEB2-41FE-B761-9EA607F0CD61}"/>
    <cellStyle name="Vírgula 7 2 3 2 3 2 4" xfId="24132" xr:uid="{FB6ECD10-4DE5-4F7B-99A5-7BCB741C56F8}"/>
    <cellStyle name="Vírgula 7 2 3 2 3 2 4 2" xfId="44467" xr:uid="{693FF8CF-0E64-4B68-855B-EA5EA50AF5D4}"/>
    <cellStyle name="Vírgula 7 2 3 2 3 2 5" xfId="14466" xr:uid="{A2DAE2A4-BA30-4E0E-92C2-17D06FC0B4DA}"/>
    <cellStyle name="Vírgula 7 2 3 2 3 2 5 2" xfId="34807" xr:uid="{940BC9F7-7E75-40F1-8E54-F22666FA8B45}"/>
    <cellStyle name="Vírgula 7 2 3 2 3 2 6" xfId="10588" xr:uid="{D4466D96-3816-47E8-B997-35C9368F8623}"/>
    <cellStyle name="Vírgula 7 2 3 2 3 2 6 2" xfId="30931" xr:uid="{01F52EEA-C7A7-401A-9EE7-55E0BBC66513}"/>
    <cellStyle name="Vírgula 7 2 3 2 3 2 7" xfId="27437" xr:uid="{4FAF867E-C6B6-4011-B0BF-A597ED250824}"/>
    <cellStyle name="Vírgula 7 2 3 2 3 3" xfId="8355" xr:uid="{9A2FDEC2-DF4C-4A7C-B175-30FF7AA66BF2}"/>
    <cellStyle name="Vírgula 7 2 3 2 3 3 2" xfId="22142" xr:uid="{A24F8D63-0CC1-40CD-8192-4C5A301B69C5}"/>
    <cellStyle name="Vírgula 7 2 3 2 3 3 2 2" xfId="42478" xr:uid="{08840577-83A5-408A-BE01-7E0846A89EE9}"/>
    <cellStyle name="Vírgula 7 2 3 2 3 3 3" xfId="25394" xr:uid="{0F6A4470-10DE-4944-BCBC-D65D546DB2BC}"/>
    <cellStyle name="Vírgula 7 2 3 2 3 3 3 2" xfId="45729" xr:uid="{F651E43D-093D-4C3A-8B12-9E961876DEA6}"/>
    <cellStyle name="Vírgula 7 2 3 2 3 3 4" xfId="16217" xr:uid="{769AEE7E-0998-44C1-8647-D6A17DEB446E}"/>
    <cellStyle name="Vírgula 7 2 3 2 3 3 4 2" xfId="36557" xr:uid="{4636BACC-B335-40F9-80E1-9E1D1589FD91}"/>
    <cellStyle name="Vírgula 7 2 3 2 3 3 5" xfId="11851" xr:uid="{C14EA956-C181-40B0-B721-9E41C23486BE}"/>
    <cellStyle name="Vírgula 7 2 3 2 3 3 5 2" xfId="32193" xr:uid="{4CBEE071-20C8-4B0D-BF99-F248D761EE32}"/>
    <cellStyle name="Vírgula 7 2 3 2 3 3 6" xfId="28699" xr:uid="{AAC490AB-FA42-466D-A442-3B8D6601FA97}"/>
    <cellStyle name="Vírgula 7 2 3 2 3 4" xfId="19719" xr:uid="{83D387DE-A2EC-4738-A8EF-F38E218C8A1F}"/>
    <cellStyle name="Vírgula 7 2 3 2 3 4 2" xfId="40058" xr:uid="{D1D2C4AE-C756-4B20-860E-8D8D00AEA297}"/>
    <cellStyle name="Vírgula 7 2 3 2 3 5" xfId="22974" xr:uid="{303BDE4B-0EAC-40F6-B995-302EEDBFE1FD}"/>
    <cellStyle name="Vírgula 7 2 3 2 3 5 2" xfId="43309" xr:uid="{F5288C0D-238C-4197-BDD3-AFD3C01A601D}"/>
    <cellStyle name="Vírgula 7 2 3 2 3 6" xfId="13309" xr:uid="{CB9D391E-CE8A-4EF6-B359-DFD001CA5329}"/>
    <cellStyle name="Vírgula 7 2 3 2 3 6 2" xfId="33650" xr:uid="{DB615064-410F-4D24-BE2E-388EE3E97142}"/>
    <cellStyle name="Vírgula 7 2 3 2 3 7" xfId="9430" xr:uid="{FBBC3356-B6DB-4FD7-A9D9-7213D7F2F7D3}"/>
    <cellStyle name="Vírgula 7 2 3 2 3 7 2" xfId="29773" xr:uid="{183E979D-9774-4B0F-B716-E1899B0168A7}"/>
    <cellStyle name="Vírgula 7 2 3 2 3 8" xfId="26279" xr:uid="{148A3280-2513-42C8-A41E-C034B4A33CC8}"/>
    <cellStyle name="Vírgula 7 2 3 2 3 9" xfId="46150" xr:uid="{937DB0AE-DE4E-4820-9AE7-F7B52FCD164F}"/>
    <cellStyle name="Vírgula 7 2 3 2 4" xfId="6508" xr:uid="{916D7471-554E-45FA-B109-0919AC41BC0A}"/>
    <cellStyle name="Vírgula 7 2 3 2 4 2" xfId="16794" xr:uid="{B6762326-A32C-4DC4-849A-49F5FC2C13FE}"/>
    <cellStyle name="Vírgula 7 2 3 2 4 2 2" xfId="37134" xr:uid="{CAD8F75A-8D8A-4E75-B379-91EA7DDFB705}"/>
    <cellStyle name="Vírgula 7 2 3 2 4 3" xfId="20296" xr:uid="{3E699FFC-76BE-4EB5-A272-35920D94E05B}"/>
    <cellStyle name="Vírgula 7 2 3 2 4 3 2" xfId="40635" xr:uid="{49E2081E-3B26-418B-B93F-7495FF87181A}"/>
    <cellStyle name="Vírgula 7 2 3 2 4 4" xfId="23551" xr:uid="{72F6F412-F99E-45E0-AC83-0D93B9C6C865}"/>
    <cellStyle name="Vírgula 7 2 3 2 4 4 2" xfId="43886" xr:uid="{B6521B01-0A21-470D-8636-FF203ED8D9F9}"/>
    <cellStyle name="Vírgula 7 2 3 2 4 5" xfId="13885" xr:uid="{2625CA93-5056-4F29-92C0-453D394B09AF}"/>
    <cellStyle name="Vírgula 7 2 3 2 4 5 2" xfId="34226" xr:uid="{F1927513-8F51-42DC-ADB4-523F29B94985}"/>
    <cellStyle name="Vírgula 7 2 3 2 4 6" xfId="10007" xr:uid="{0B4F2E78-9A46-401A-8CC3-D750A55B59C0}"/>
    <cellStyle name="Vírgula 7 2 3 2 4 6 2" xfId="30350" xr:uid="{28B98B7D-D6A0-44BD-B2E5-03B2A8D1A460}"/>
    <cellStyle name="Vírgula 7 2 3 2 4 7" xfId="26856" xr:uid="{65A04197-09CC-4C24-BF46-C0EABD1AEEBD}"/>
    <cellStyle name="Vírgula 7 2 3 2 5" xfId="7672" xr:uid="{F3D84FF4-FB12-4EAC-B9D1-7942D42BAA0B}"/>
    <cellStyle name="Vírgula 7 2 3 2 5 2" xfId="17957" xr:uid="{FB848C48-4CA6-4353-8545-262120491D53}"/>
    <cellStyle name="Vírgula 7 2 3 2 5 2 2" xfId="38297" xr:uid="{17C59BBA-BA0F-4103-852C-BE5FA363B82C}"/>
    <cellStyle name="Vírgula 7 2 3 2 5 3" xfId="21459" xr:uid="{07EFC9D2-00C6-46CE-B85D-84E4FE9720D4}"/>
    <cellStyle name="Vírgula 7 2 3 2 5 3 2" xfId="41798" xr:uid="{5D946AAA-8CAC-4547-8FE8-1EDFEEDB76F4}"/>
    <cellStyle name="Vírgula 7 2 3 2 5 4" xfId="24714" xr:uid="{3AF2B513-312C-49B8-9914-42D2FB54FAC0}"/>
    <cellStyle name="Vírgula 7 2 3 2 5 4 2" xfId="45049" xr:uid="{C13C4932-B44B-4BB6-92C5-C559392F85BC}"/>
    <cellStyle name="Vírgula 7 2 3 2 5 5" xfId="15049" xr:uid="{BB7C7001-E838-45E5-8AA2-2E5E6BDC836D}"/>
    <cellStyle name="Vírgula 7 2 3 2 5 5 2" xfId="35389" xr:uid="{D5E2AF04-6CC3-47E2-8454-DEE1A933C618}"/>
    <cellStyle name="Vírgula 7 2 3 2 5 6" xfId="11170" xr:uid="{3F222346-5D98-4CB3-9E60-7C0D4C2F43B7}"/>
    <cellStyle name="Vírgula 7 2 3 2 5 6 2" xfId="31513" xr:uid="{9EBE1291-5F46-45CF-8E71-719DE29C85CD}"/>
    <cellStyle name="Vírgula 7 2 3 2 5 7" xfId="28019" xr:uid="{09FCBB59-16F2-4267-ABCB-EA0DCFDA9C2B}"/>
    <cellStyle name="Vírgula 7 2 3 2 6" xfId="8353" xr:uid="{8593C4B3-DD30-41C2-A3E5-C7B7F70BAA6B}"/>
    <cellStyle name="Vírgula 7 2 3 2 6 2" xfId="22140" xr:uid="{2BD854D3-2009-4978-9879-A979A25DB48C}"/>
    <cellStyle name="Vírgula 7 2 3 2 6 2 2" xfId="42476" xr:uid="{C00EAD65-A2FE-46A1-881D-27959ABCA57A}"/>
    <cellStyle name="Vírgula 7 2 3 2 6 3" xfId="25392" xr:uid="{2E1F81EA-E610-4700-B433-41DD1D7251B4}"/>
    <cellStyle name="Vírgula 7 2 3 2 6 3 2" xfId="45727" xr:uid="{191B92FD-2266-4E05-8EB7-38008862443A}"/>
    <cellStyle name="Vírgula 7 2 3 2 6 4" xfId="12740" xr:uid="{95216674-2142-4CBC-A083-468BA3715E45}"/>
    <cellStyle name="Vírgula 7 2 3 2 6 4 2" xfId="33081" xr:uid="{9EF9C395-43DF-48CC-90FF-DD9979BD85A3}"/>
    <cellStyle name="Vírgula 7 2 3 2 6 5" xfId="11849" xr:uid="{A597F236-1257-403C-92E2-CC9AF2ABE148}"/>
    <cellStyle name="Vírgula 7 2 3 2 6 5 2" xfId="32191" xr:uid="{5BCA5667-3E3F-405E-B9D7-176B25166371}"/>
    <cellStyle name="Vírgula 7 2 3 2 6 6" xfId="28697" xr:uid="{41DAE7DF-FA99-4D09-AB65-888FFE972B9C}"/>
    <cellStyle name="Vírgula 7 2 3 2 7" xfId="8532" xr:uid="{94ACA9CB-2815-4382-B5BD-01177BD567B1}"/>
    <cellStyle name="Vírgula 7 2 3 2 7 2" xfId="15636" xr:uid="{EAE29C10-B87B-46BB-B053-36A7B100BB90}"/>
    <cellStyle name="Vírgula 7 2 3 2 7 2 2" xfId="35976" xr:uid="{6C5C94DA-0111-4B30-B5A9-841F6B55913D}"/>
    <cellStyle name="Vírgula 7 2 3 2 7 3" xfId="28875" xr:uid="{7ECFE2DB-9623-4F90-978C-C9949A092645}"/>
    <cellStyle name="Vírgula 7 2 3 2 8" xfId="18550" xr:uid="{EF2E5918-832D-4401-8801-A5162D69D924}"/>
    <cellStyle name="Vírgula 7 2 3 2 8 2" xfId="38890" xr:uid="{7771F959-6952-460C-A9A8-03278E166034}"/>
    <cellStyle name="Vírgula 7 2 3 2 9" xfId="19138" xr:uid="{AA89514C-9DE0-4B55-AFE8-A40A647344E2}"/>
    <cellStyle name="Vírgula 7 2 3 2 9 2" xfId="39477" xr:uid="{ADF927D2-4C05-40F9-9AF4-84F4E8F62B6D}"/>
    <cellStyle name="Vírgula 7 2 3 20" xfId="46825" xr:uid="{5BAE93D3-11D0-4A13-8997-C27BF88F1473}"/>
    <cellStyle name="Vírgula 7 2 3 21" xfId="49304" xr:uid="{635A5A79-5482-416A-BD62-EE7BBF6AE352}"/>
    <cellStyle name="Vírgula 7 2 3 22" xfId="50974" xr:uid="{6975A885-B497-4A7B-BE30-F43621D05B62}"/>
    <cellStyle name="Vírgula 7 2 3 23" xfId="54269" xr:uid="{01C02676-2571-44D8-8276-06EC16F3F18C}"/>
    <cellStyle name="Vírgula 7 2 3 24" xfId="5248" xr:uid="{A016C2F5-2426-4262-96BD-F63EA1F5B7B4}"/>
    <cellStyle name="Vírgula 7 2 3 25" xfId="4819" xr:uid="{1F9F4200-DB95-4A09-A39B-6FD89F02222E}"/>
    <cellStyle name="Vírgula 7 2 3 3" xfId="4311" xr:uid="{1CEA8C23-5F4E-42AB-B393-1E9D90D172A3}"/>
    <cellStyle name="Vírgula 7 2 3 3 10" xfId="12206" xr:uid="{F98A2D6E-6EC4-4C2D-94E5-21A8995EF7AC}"/>
    <cellStyle name="Vírgula 7 2 3 3 10 2" xfId="32547" xr:uid="{2A260ADA-DC03-4FBB-A152-7D88B70F9566}"/>
    <cellStyle name="Vírgula 7 2 3 3 11" xfId="8945" xr:uid="{B6A67BA3-76A8-4903-ABE9-F3D57BE31386}"/>
    <cellStyle name="Vírgula 7 2 3 3 11 2" xfId="29288" xr:uid="{E1110A46-7812-4C03-B3BB-F17BC016FE1E}"/>
    <cellStyle name="Vírgula 7 2 3 3 12" xfId="25794" xr:uid="{98014DF6-712E-4703-A2BF-F04344A31212}"/>
    <cellStyle name="Vírgula 7 2 3 3 13" xfId="46026" xr:uid="{42E76446-4A37-4205-BAE0-48027AF96B0C}"/>
    <cellStyle name="Vírgula 7 2 3 3 14" xfId="46512" xr:uid="{A99352F3-37B5-40C0-8819-910E133C97AB}"/>
    <cellStyle name="Vírgula 7 2 3 3 15" xfId="47004" xr:uid="{C402AD76-DB3C-40F9-AAC1-883D2319CFC3}"/>
    <cellStyle name="Vírgula 7 2 3 3 16" xfId="56843" xr:uid="{F24C9AE6-25D1-4DFD-B8C4-AF4179A8F215}"/>
    <cellStyle name="Vírgula 7 2 3 3 17" xfId="5459" xr:uid="{D9100BF9-72E6-494B-9B25-D17A0724AB7A}"/>
    <cellStyle name="Vírgula 7 2 3 3 18" xfId="4925" xr:uid="{83346A46-FDF7-4308-ABB8-82F18A52C06D}"/>
    <cellStyle name="Vírgula 7 2 3 3 2" xfId="5144" xr:uid="{3F3E6B6C-C073-4297-BC24-D9B0F2758932}"/>
    <cellStyle name="Vírgula 7 2 3 3 2 10" xfId="46755" xr:uid="{654E9717-00DA-4825-99A3-9D6E936660A7}"/>
    <cellStyle name="Vírgula 7 2 3 3 2 11" xfId="47247" xr:uid="{DDFF5A56-543B-4245-8668-D5900AF093D1}"/>
    <cellStyle name="Vírgula 7 2 3 3 2 12" xfId="6027" xr:uid="{80533B84-914F-4C50-904D-0C782D0E7CE5}"/>
    <cellStyle name="Vírgula 7 2 3 3 2 2" xfId="7185" xr:uid="{9E9BE932-E261-428B-B018-2373BE2BCD5E}"/>
    <cellStyle name="Vírgula 7 2 3 3 2 2 2" xfId="17471" xr:uid="{ADEF481F-5E8C-4180-B99C-1EB7CDAB4BE8}"/>
    <cellStyle name="Vírgula 7 2 3 3 2 2 2 2" xfId="37811" xr:uid="{B76417AE-8074-4C35-9B1C-04ADB5D2794F}"/>
    <cellStyle name="Vírgula 7 2 3 3 2 2 3" xfId="20973" xr:uid="{4A431438-823C-4520-B626-1C70AC1CEA1D}"/>
    <cellStyle name="Vírgula 7 2 3 3 2 2 3 2" xfId="41312" xr:uid="{FFFB033C-2638-4965-BDC7-73DC8B4175CB}"/>
    <cellStyle name="Vírgula 7 2 3 3 2 2 4" xfId="24228" xr:uid="{8DE28172-3180-4C56-9E0D-63FF3A543886}"/>
    <cellStyle name="Vírgula 7 2 3 3 2 2 4 2" xfId="44563" xr:uid="{68385436-4446-44D8-9969-218B80E8B0BB}"/>
    <cellStyle name="Vírgula 7 2 3 3 2 2 5" xfId="14562" xr:uid="{FB49D215-E052-409E-85C3-A428A264C07E}"/>
    <cellStyle name="Vírgula 7 2 3 3 2 2 5 2" xfId="34903" xr:uid="{CFD21C7E-BE0E-40C2-85FC-B0DCA42D5AF9}"/>
    <cellStyle name="Vírgula 7 2 3 3 2 2 6" xfId="10684" xr:uid="{DDCBD646-9709-4401-AE65-1F7C8C56DE70}"/>
    <cellStyle name="Vírgula 7 2 3 3 2 2 6 2" xfId="31027" xr:uid="{0DC23D75-84D9-402D-96BF-95825E1DBE4D}"/>
    <cellStyle name="Vírgula 7 2 3 3 2 2 7" xfId="27533" xr:uid="{1D3DA4BE-7A95-4316-B005-9154680AAEB6}"/>
    <cellStyle name="Vírgula 7 2 3 3 2 3" xfId="16313" xr:uid="{8FFEBEFA-35ED-4D6D-B705-F6735AF23B93}"/>
    <cellStyle name="Vírgula 7 2 3 3 2 3 2" xfId="36653" xr:uid="{6E0565E6-7564-4B68-A987-EBC653CBC5CD}"/>
    <cellStyle name="Vírgula 7 2 3 3 2 4" xfId="19815" xr:uid="{F9B3A78A-3741-44CA-BFC4-664B260495DE}"/>
    <cellStyle name="Vírgula 7 2 3 3 2 4 2" xfId="40154" xr:uid="{811F60C1-0EE8-4BCA-8F85-A98AD058C9D1}"/>
    <cellStyle name="Vírgula 7 2 3 3 2 5" xfId="23070" xr:uid="{A7B737CE-9F5C-4FF9-9E70-AF44033E62C9}"/>
    <cellStyle name="Vírgula 7 2 3 3 2 5 2" xfId="43405" xr:uid="{861739B5-F312-4BAA-936B-FA8C05C957FF}"/>
    <cellStyle name="Vírgula 7 2 3 3 2 6" xfId="13404" xr:uid="{D5B457A4-B94D-40EA-BD1C-2C63A3C544FC}"/>
    <cellStyle name="Vírgula 7 2 3 3 2 6 2" xfId="33745" xr:uid="{F2FA2B9A-2B25-429A-8F87-FFC62FC1C240}"/>
    <cellStyle name="Vírgula 7 2 3 3 2 7" xfId="9526" xr:uid="{D62642B1-D704-49C7-8B1D-B25490BF504E}"/>
    <cellStyle name="Vírgula 7 2 3 3 2 7 2" xfId="29869" xr:uid="{C546AF91-E78D-48AD-9D6E-5EFA8D5A1848}"/>
    <cellStyle name="Vírgula 7 2 3 3 2 8" xfId="26375" xr:uid="{B9324A8B-FBED-4907-A525-EA1561BD8C28}"/>
    <cellStyle name="Vírgula 7 2 3 3 2 9" xfId="46269" xr:uid="{5BD5195C-DB1F-4650-A5A0-7872EE599FAE}"/>
    <cellStyle name="Vírgula 7 2 3 3 3" xfId="6604" xr:uid="{CBBCF393-6463-48CD-A7F8-1F44607DE73A}"/>
    <cellStyle name="Vírgula 7 2 3 3 3 2" xfId="16890" xr:uid="{C0995731-0744-4032-B236-D479A2939761}"/>
    <cellStyle name="Vírgula 7 2 3 3 3 2 2" xfId="37230" xr:uid="{27B9E6BF-95F5-448A-B7AF-8C16E64B9323}"/>
    <cellStyle name="Vírgula 7 2 3 3 3 3" xfId="20392" xr:uid="{C9F85991-7A2D-4166-BE7A-E3B25FD593BC}"/>
    <cellStyle name="Vírgula 7 2 3 3 3 3 2" xfId="40731" xr:uid="{4D555B44-98EC-4049-9340-4F2728ADE4C1}"/>
    <cellStyle name="Vírgula 7 2 3 3 3 4" xfId="23647" xr:uid="{E79268FE-1FB9-4EE2-BA8A-B6FCDC4E833C}"/>
    <cellStyle name="Vírgula 7 2 3 3 3 4 2" xfId="43982" xr:uid="{FD6F6A1E-EBE0-4D6B-BBB4-23C0D2AD8CBA}"/>
    <cellStyle name="Vírgula 7 2 3 3 3 5" xfId="13981" xr:uid="{F3D0DBC5-6CBA-4463-A4E0-70852D65610D}"/>
    <cellStyle name="Vírgula 7 2 3 3 3 5 2" xfId="34322" xr:uid="{6B0012DC-4CCE-4B9E-AD99-D314A8821643}"/>
    <cellStyle name="Vírgula 7 2 3 3 3 6" xfId="10103" xr:uid="{AFFC7E5F-2DB7-470F-86D3-74D8F15451E3}"/>
    <cellStyle name="Vírgula 7 2 3 3 3 6 2" xfId="30446" xr:uid="{5DA0ECC2-D573-4FA7-B4F1-F99EABECF016}"/>
    <cellStyle name="Vírgula 7 2 3 3 3 7" xfId="26952" xr:uid="{9590741C-4386-4683-8B7B-5E56B71BC313}"/>
    <cellStyle name="Vírgula 7 2 3 3 4" xfId="7768" xr:uid="{6E7DFE7F-D770-418A-8F23-DEF5DF9FB483}"/>
    <cellStyle name="Vírgula 7 2 3 3 4 2" xfId="18053" xr:uid="{F451E2A6-709E-48AB-9275-E4AF08CCAF00}"/>
    <cellStyle name="Vírgula 7 2 3 3 4 2 2" xfId="38393" xr:uid="{E8173AB2-4940-440D-B6EC-4FB29C5DBF17}"/>
    <cellStyle name="Vírgula 7 2 3 3 4 3" xfId="21555" xr:uid="{5E57E20B-D10F-42EF-AE15-015D8319F2D1}"/>
    <cellStyle name="Vírgula 7 2 3 3 4 3 2" xfId="41894" xr:uid="{771D5B84-5A1D-4A03-9C79-040E3340ADC8}"/>
    <cellStyle name="Vírgula 7 2 3 3 4 4" xfId="24810" xr:uid="{AC51AD0E-2A9F-4ABA-AB37-5BB0A5A6C0EC}"/>
    <cellStyle name="Vírgula 7 2 3 3 4 4 2" xfId="45145" xr:uid="{2B85D4E8-6095-4CEA-A242-71FC0906A4B7}"/>
    <cellStyle name="Vírgula 7 2 3 3 4 5" xfId="15145" xr:uid="{67167B1E-397C-4F21-8A31-19FD1AAEA813}"/>
    <cellStyle name="Vírgula 7 2 3 3 4 5 2" xfId="35485" xr:uid="{E444162B-5362-4182-8E65-76FB03FF597F}"/>
    <cellStyle name="Vírgula 7 2 3 3 4 6" xfId="11266" xr:uid="{044C61AA-75EF-4AB9-94A8-583727B16287}"/>
    <cellStyle name="Vírgula 7 2 3 3 4 6 2" xfId="31609" xr:uid="{A32961C5-6B79-47FF-A75B-7B2BFFEC912F}"/>
    <cellStyle name="Vírgula 7 2 3 3 4 7" xfId="28115" xr:uid="{409DDA6B-6318-4D83-8EBD-E2404A2AE04B}"/>
    <cellStyle name="Vírgula 7 2 3 3 5" xfId="8356" xr:uid="{C4B978E4-6F80-4755-8C05-80D3AAC74855}"/>
    <cellStyle name="Vírgula 7 2 3 3 5 2" xfId="22143" xr:uid="{1798ECA5-40A1-4299-A2E3-74361B29E972}"/>
    <cellStyle name="Vírgula 7 2 3 3 5 2 2" xfId="42479" xr:uid="{41881E42-9C0B-4A84-9371-CA12FF021BE6}"/>
    <cellStyle name="Vírgula 7 2 3 3 5 3" xfId="25395" xr:uid="{82A329A2-BDEF-4CFB-A28F-709FF0B4799E}"/>
    <cellStyle name="Vírgula 7 2 3 3 5 3 2" xfId="45730" xr:uid="{602281FD-760E-4B95-B6D1-8E2977AE26C5}"/>
    <cellStyle name="Vírgula 7 2 3 3 5 4" xfId="12835" xr:uid="{7EFDEA9D-1D65-4EF8-AA72-BCA7F1870787}"/>
    <cellStyle name="Vírgula 7 2 3 3 5 4 2" xfId="33176" xr:uid="{78DFEB91-F572-4498-82CB-C7103ACFB6B0}"/>
    <cellStyle name="Vírgula 7 2 3 3 5 5" xfId="11852" xr:uid="{6DC7F72B-22DB-4BB4-9EC5-CFB1C81D0E53}"/>
    <cellStyle name="Vírgula 7 2 3 3 5 5 2" xfId="32194" xr:uid="{0E9BF3AC-BA8B-4074-B476-C5433006B2DC}"/>
    <cellStyle name="Vírgula 7 2 3 3 5 6" xfId="28700" xr:uid="{501F4EF1-5A02-4CA3-A2B7-53812F256757}"/>
    <cellStyle name="Vírgula 7 2 3 3 6" xfId="8651" xr:uid="{CA89A236-097B-49AE-956C-01DE95A72CED}"/>
    <cellStyle name="Vírgula 7 2 3 3 6 2" xfId="15732" xr:uid="{D42B2082-6DC0-42C1-9478-751BAA6DB393}"/>
    <cellStyle name="Vírgula 7 2 3 3 6 2 2" xfId="36072" xr:uid="{CC7F10EE-BABD-465D-8BEC-1DF66F49980E}"/>
    <cellStyle name="Vírgula 7 2 3 3 6 3" xfId="28994" xr:uid="{28EBA4BC-E609-480D-A230-8543410E22C8}"/>
    <cellStyle name="Vírgula 7 2 3 3 7" xfId="18646" xr:uid="{5BE09D0E-EF46-4B1B-8DDE-59C16A296AC9}"/>
    <cellStyle name="Vírgula 7 2 3 3 7 2" xfId="38986" xr:uid="{6CE472F3-73BA-48E7-9368-2B0D63AC9CC0}"/>
    <cellStyle name="Vírgula 7 2 3 3 8" xfId="19234" xr:uid="{B0D325A9-A8AE-46A3-A85A-5CCFAB44D34F}"/>
    <cellStyle name="Vírgula 7 2 3 3 8 2" xfId="39573" xr:uid="{BA153C04-D71F-4CA0-A2F0-4DA367BA6E3A}"/>
    <cellStyle name="Vírgula 7 2 3 3 9" xfId="22489" xr:uid="{56F978C4-303C-480F-84B9-9C1F66D837FB}"/>
    <cellStyle name="Vírgula 7 2 3 3 9 2" xfId="42824" xr:uid="{D20833A0-5DA7-46E9-B497-A8B8D38BA16D}"/>
    <cellStyle name="Vírgula 7 2 3 4" xfId="3967" xr:uid="{CD73F132-C53F-42C6-A5BC-AFB8559211C5}"/>
    <cellStyle name="Vírgula 7 2 3 4 10" xfId="12264" xr:uid="{62C2951C-8069-4DBE-B537-ACF62033802C}"/>
    <cellStyle name="Vírgula 7 2 3 4 10 2" xfId="32605" xr:uid="{BB7DB57B-BD87-4B5F-ABC7-E6B5DD2054F8}"/>
    <cellStyle name="Vírgula 7 2 3 4 11" xfId="9003" xr:uid="{392447EE-F29C-43DE-864B-5B2CC3914B81}"/>
    <cellStyle name="Vírgula 7 2 3 4 11 2" xfId="29346" xr:uid="{F5E4C28F-1C75-40A0-B9E1-4A4DBC3B6D12}"/>
    <cellStyle name="Vírgula 7 2 3 4 12" xfId="25852" xr:uid="{A21C8CEC-35C6-496C-9AA7-5962BDE9B2AE}"/>
    <cellStyle name="Vírgula 7 2 3 4 13" xfId="46090" xr:uid="{1B0B0B9B-4C54-45E1-906A-7DB026CE7C9D}"/>
    <cellStyle name="Vírgula 7 2 3 4 14" xfId="46576" xr:uid="{8CCAD083-848F-4DC6-B08C-E0A49E6BFAAF}"/>
    <cellStyle name="Vírgula 7 2 3 4 15" xfId="47068" xr:uid="{D2CF49A5-7BA0-47D6-856E-0070761E19DE}"/>
    <cellStyle name="Vírgula 7 2 3 4 16" xfId="5513" xr:uid="{AA936412-2E70-48A8-92F0-C1E70A7F39DA}"/>
    <cellStyle name="Vírgula 7 2 3 4 17" xfId="4984" xr:uid="{374EBF1B-B44B-49BE-A8B2-9407749EA64C}"/>
    <cellStyle name="Vírgula 7 2 3 4 2" xfId="6085" xr:uid="{A8EAA264-6D39-4D92-BA06-7B5D8E99635F}"/>
    <cellStyle name="Vírgula 7 2 3 4 2 2" xfId="7243" xr:uid="{2C25C25B-224C-486D-A589-D9349A61CEE4}"/>
    <cellStyle name="Vírgula 7 2 3 4 2 2 2" xfId="17529" xr:uid="{2B7E1160-9B64-4997-98FE-B65CFAB4F256}"/>
    <cellStyle name="Vírgula 7 2 3 4 2 2 2 2" xfId="37869" xr:uid="{206F482C-4C6A-49B1-9681-C864162AD706}"/>
    <cellStyle name="Vírgula 7 2 3 4 2 2 3" xfId="21031" xr:uid="{0C276EF0-18EF-428B-B527-5C7ED6B676F8}"/>
    <cellStyle name="Vírgula 7 2 3 4 2 2 3 2" xfId="41370" xr:uid="{1BEA0E2E-D193-4F2A-88C4-0B65E3D3F529}"/>
    <cellStyle name="Vírgula 7 2 3 4 2 2 4" xfId="24286" xr:uid="{08AECC61-22DC-47AC-93A0-FA95B39254FE}"/>
    <cellStyle name="Vírgula 7 2 3 4 2 2 4 2" xfId="44621" xr:uid="{508C1F74-4F92-4970-96C9-404B37DEE8DA}"/>
    <cellStyle name="Vírgula 7 2 3 4 2 2 5" xfId="14620" xr:uid="{10F47AD2-8D29-49DB-B98A-DB2B5E7E42F9}"/>
    <cellStyle name="Vírgula 7 2 3 4 2 2 5 2" xfId="34961" xr:uid="{E95EEFAE-6E77-4EB1-BE1F-B37C586834BC}"/>
    <cellStyle name="Vírgula 7 2 3 4 2 2 6" xfId="10742" xr:uid="{D50532D4-9DA6-4366-A034-BA9A97BEF26E}"/>
    <cellStyle name="Vírgula 7 2 3 4 2 2 6 2" xfId="31085" xr:uid="{25B7EC9E-0786-488A-A11C-17C081DF64EE}"/>
    <cellStyle name="Vírgula 7 2 3 4 2 2 7" xfId="27591" xr:uid="{F56FCC86-F624-4E6B-8723-4DD91DC8C7D4}"/>
    <cellStyle name="Vírgula 7 2 3 4 2 3" xfId="16371" xr:uid="{FED1993D-370E-453E-9A46-B7DDF961DD76}"/>
    <cellStyle name="Vírgula 7 2 3 4 2 3 2" xfId="36711" xr:uid="{8B8D4D8D-B873-4911-9B7A-85E100453A94}"/>
    <cellStyle name="Vírgula 7 2 3 4 2 4" xfId="19873" xr:uid="{3D8FCA87-0964-46BA-8C50-FBD5F8383843}"/>
    <cellStyle name="Vírgula 7 2 3 4 2 4 2" xfId="40212" xr:uid="{886BA320-FB40-468D-8AC2-180150283A4D}"/>
    <cellStyle name="Vírgula 7 2 3 4 2 5" xfId="23128" xr:uid="{0CE6F919-C8F4-409F-A75C-456828D2BDA0}"/>
    <cellStyle name="Vírgula 7 2 3 4 2 5 2" xfId="43463" xr:uid="{CAF79840-053B-4B7A-9D5F-0576DBF4A245}"/>
    <cellStyle name="Vírgula 7 2 3 4 2 6" xfId="13462" xr:uid="{D95FE4FB-85D5-4780-A8BC-13D90D2A3570}"/>
    <cellStyle name="Vírgula 7 2 3 4 2 6 2" xfId="33803" xr:uid="{B4F3943B-E0DB-4321-B721-28C849FD24B4}"/>
    <cellStyle name="Vírgula 7 2 3 4 2 7" xfId="9584" xr:uid="{DDC9D3CC-889A-44AD-A4E5-089C2699564D}"/>
    <cellStyle name="Vírgula 7 2 3 4 2 7 2" xfId="29927" xr:uid="{9D6B8DFB-538D-4391-8919-40DEBDADDC5B}"/>
    <cellStyle name="Vírgula 7 2 3 4 2 8" xfId="26433" xr:uid="{199826A3-1FE6-4AA5-8842-9C8DDACC4DE7}"/>
    <cellStyle name="Vírgula 7 2 3 4 3" xfId="6662" xr:uid="{4BB99AE2-7DA2-40BB-8F0A-B6E58714F7E1}"/>
    <cellStyle name="Vírgula 7 2 3 4 3 2" xfId="16948" xr:uid="{FD416118-93AD-4696-A0FB-D2CC4B98A5B7}"/>
    <cellStyle name="Vírgula 7 2 3 4 3 2 2" xfId="37288" xr:uid="{F6A4AD9E-10B6-4391-8602-EAD3E1DAAD82}"/>
    <cellStyle name="Vírgula 7 2 3 4 3 3" xfId="20450" xr:uid="{72ACE1ED-138D-4D95-8090-1F4B6D9A777D}"/>
    <cellStyle name="Vírgula 7 2 3 4 3 3 2" xfId="40789" xr:uid="{0DE84105-C793-4710-939A-0519CB58F37F}"/>
    <cellStyle name="Vírgula 7 2 3 4 3 4" xfId="23705" xr:uid="{72F2613D-1203-48B0-A1E4-43F8E7F4D07A}"/>
    <cellStyle name="Vírgula 7 2 3 4 3 4 2" xfId="44040" xr:uid="{D8B98C96-9D94-4498-A859-6BE298709749}"/>
    <cellStyle name="Vírgula 7 2 3 4 3 5" xfId="14039" xr:uid="{3DA78610-EA78-4465-BEA3-861B26910C17}"/>
    <cellStyle name="Vírgula 7 2 3 4 3 5 2" xfId="34380" xr:uid="{52F64052-50F8-4655-B141-84F3C64E9BB9}"/>
    <cellStyle name="Vírgula 7 2 3 4 3 6" xfId="10161" xr:uid="{990A32A2-0DA2-42A9-B6AB-7B043A67BBC7}"/>
    <cellStyle name="Vírgula 7 2 3 4 3 6 2" xfId="30504" xr:uid="{3EB38843-4D70-4423-945E-309E2A1E9B6D}"/>
    <cellStyle name="Vírgula 7 2 3 4 3 7" xfId="27010" xr:uid="{4B328EA7-A8E1-4431-86E0-0326215B7D2F}"/>
    <cellStyle name="Vírgula 7 2 3 4 4" xfId="7826" xr:uid="{57F645A2-3CE1-478D-9359-AA07DCE9BDF3}"/>
    <cellStyle name="Vírgula 7 2 3 4 4 2" xfId="18111" xr:uid="{295D7649-8F21-4638-A040-A918CEACD4F5}"/>
    <cellStyle name="Vírgula 7 2 3 4 4 2 2" xfId="38451" xr:uid="{81F22D2A-A7E8-4FDF-ABF0-7D05EC9A3CD5}"/>
    <cellStyle name="Vírgula 7 2 3 4 4 3" xfId="21613" xr:uid="{527C40FF-3743-4FA7-95DE-7BC260DBE562}"/>
    <cellStyle name="Vírgula 7 2 3 4 4 3 2" xfId="41952" xr:uid="{5A1B2A0A-A7A9-4B33-82C9-570B57EA2C4C}"/>
    <cellStyle name="Vírgula 7 2 3 4 4 4" xfId="24868" xr:uid="{896674C7-693C-46C8-8001-A4E49764565E}"/>
    <cellStyle name="Vírgula 7 2 3 4 4 4 2" xfId="45203" xr:uid="{F2370175-C771-4AB6-B17F-3D5A977F2E9C}"/>
    <cellStyle name="Vírgula 7 2 3 4 4 5" xfId="15203" xr:uid="{950A8657-201B-4AB0-8900-DF26FA88EA1A}"/>
    <cellStyle name="Vírgula 7 2 3 4 4 5 2" xfId="35543" xr:uid="{5EE92871-E909-48B1-A9B5-DA2F490154C3}"/>
    <cellStyle name="Vírgula 7 2 3 4 4 6" xfId="11324" xr:uid="{6852DDA6-A36B-4D05-A34F-924431210343}"/>
    <cellStyle name="Vírgula 7 2 3 4 4 6 2" xfId="31667" xr:uid="{AE171037-691C-47D3-8B84-2ED6776813AA}"/>
    <cellStyle name="Vírgula 7 2 3 4 4 7" xfId="28173" xr:uid="{97B6420D-5A56-4E83-B72E-2A69931FE130}"/>
    <cellStyle name="Vírgula 7 2 3 4 5" xfId="8357" xr:uid="{6634DB09-9C80-44A9-A0C7-3B433C35A847}"/>
    <cellStyle name="Vírgula 7 2 3 4 5 2" xfId="22144" xr:uid="{6C973F86-D257-4DB9-BBF1-919D3988A4E0}"/>
    <cellStyle name="Vírgula 7 2 3 4 5 2 2" xfId="42480" xr:uid="{47CCAF17-203E-4D41-93F1-82CDB08C8142}"/>
    <cellStyle name="Vírgula 7 2 3 4 5 3" xfId="25396" xr:uid="{3FE77727-DEBF-45EB-8F45-AFC9F8FFAF53}"/>
    <cellStyle name="Vírgula 7 2 3 4 5 3 2" xfId="45731" xr:uid="{D9B6E816-24A3-49AB-B9EB-57BA815EF253}"/>
    <cellStyle name="Vírgula 7 2 3 4 5 4" xfId="12893" xr:uid="{EF24E008-EF00-4082-B5BE-B732485584B8}"/>
    <cellStyle name="Vírgula 7 2 3 4 5 4 2" xfId="33234" xr:uid="{FA93B882-248F-4DC6-A2FF-782410B458F1}"/>
    <cellStyle name="Vírgula 7 2 3 4 5 5" xfId="11853" xr:uid="{904A6BFD-2FA2-44C3-8F17-357F289E98E3}"/>
    <cellStyle name="Vírgula 7 2 3 4 5 5 2" xfId="32195" xr:uid="{33142325-2885-48D6-B865-5963A75F3CDF}"/>
    <cellStyle name="Vírgula 7 2 3 4 5 6" xfId="28701" xr:uid="{5CF6D69D-9E71-49F9-8F61-60CEC0EE36AF}"/>
    <cellStyle name="Vírgula 7 2 3 4 6" xfId="15790" xr:uid="{F5818358-0591-4C47-B959-84B17ED240D5}"/>
    <cellStyle name="Vírgula 7 2 3 4 6 2" xfId="36130" xr:uid="{D1E22D2B-ECBF-4746-9E3E-2095E666DAEC}"/>
    <cellStyle name="Vírgula 7 2 3 4 7" xfId="18704" xr:uid="{DC44B89C-BC2A-4BF2-B7A6-97E3AB6703CF}"/>
    <cellStyle name="Vírgula 7 2 3 4 7 2" xfId="39044" xr:uid="{84E8114A-AF08-4939-BCA9-99A78CCF1109}"/>
    <cellStyle name="Vírgula 7 2 3 4 8" xfId="19292" xr:uid="{46D44589-7D71-450A-B8A4-E54F36219FAE}"/>
    <cellStyle name="Vírgula 7 2 3 4 8 2" xfId="39631" xr:uid="{86FBB74B-1FAE-4CED-A8DD-351375958EAB}"/>
    <cellStyle name="Vírgula 7 2 3 4 9" xfId="22547" xr:uid="{4681EDB8-C347-45F6-90B9-0DD088330D5E}"/>
    <cellStyle name="Vírgula 7 2 3 4 9 2" xfId="42882" xr:uid="{B4345D73-F21A-4DBB-89C0-F5B5AF50A1CB}"/>
    <cellStyle name="Vírgula 7 2 3 5" xfId="1913" xr:uid="{DA0D97FD-8E86-468D-954F-42D18CC42BA7}"/>
    <cellStyle name="Vírgula 7 2 3 5 10" xfId="12339" xr:uid="{6A42BC4A-AF9E-4818-81C2-CEBEAE7DB3B4}"/>
    <cellStyle name="Vírgula 7 2 3 5 10 2" xfId="32680" xr:uid="{6A09F54C-6080-4E23-9AC3-CA16782024A4}"/>
    <cellStyle name="Vírgula 7 2 3 5 11" xfId="9078" xr:uid="{2E2FA2C8-5A9A-4910-A07A-1C5498C46C14}"/>
    <cellStyle name="Vírgula 7 2 3 5 11 2" xfId="29421" xr:uid="{C5447194-FD2C-4DE9-BEF2-8A8468BB15DA}"/>
    <cellStyle name="Vírgula 7 2 3 5 12" xfId="25927" xr:uid="{EBB95E93-6BC7-4A2C-8686-97680A324EB0}"/>
    <cellStyle name="Vírgula 7 2 3 5 13" xfId="5588" xr:uid="{7DF3FA65-1BA4-4A1A-A857-11ED0D1574B0}"/>
    <cellStyle name="Vírgula 7 2 3 5 2" xfId="6160" xr:uid="{6312157C-CC2C-4274-99E6-24ACE44D1ACE}"/>
    <cellStyle name="Vírgula 7 2 3 5 2 2" xfId="7318" xr:uid="{D230AEEE-4F93-4BF4-A423-4931A8B079A0}"/>
    <cellStyle name="Vírgula 7 2 3 5 2 2 2" xfId="17604" xr:uid="{A1420210-4EAD-45BB-8AD9-391CD8BA4267}"/>
    <cellStyle name="Vírgula 7 2 3 5 2 2 2 2" xfId="37944" xr:uid="{CE741862-3BDE-442C-945B-D961FD69C5A1}"/>
    <cellStyle name="Vírgula 7 2 3 5 2 2 3" xfId="21106" xr:uid="{1C73E9E9-550E-49E5-8EBD-CF4FA4149DB6}"/>
    <cellStyle name="Vírgula 7 2 3 5 2 2 3 2" xfId="41445" xr:uid="{CCA86FD0-F437-4248-9A48-AED7A7C1BA05}"/>
    <cellStyle name="Vírgula 7 2 3 5 2 2 4" xfId="24361" xr:uid="{4147993E-20E3-4B22-B417-5EFE8FF09FFF}"/>
    <cellStyle name="Vírgula 7 2 3 5 2 2 4 2" xfId="44696" xr:uid="{DF09F959-1A75-4D9B-8A56-40C73702EC61}"/>
    <cellStyle name="Vírgula 7 2 3 5 2 2 5" xfId="14695" xr:uid="{217DEA26-D41D-411D-9548-FF3835DFFE8B}"/>
    <cellStyle name="Vírgula 7 2 3 5 2 2 5 2" xfId="35036" xr:uid="{07EBFB4C-A5D4-4034-962D-817EFA388BCE}"/>
    <cellStyle name="Vírgula 7 2 3 5 2 2 6" xfId="10817" xr:uid="{8A8E0370-48E8-45E4-B575-E85260DDB918}"/>
    <cellStyle name="Vírgula 7 2 3 5 2 2 6 2" xfId="31160" xr:uid="{2F7AF76B-1C55-41DB-8D79-EC5B1AE9E01E}"/>
    <cellStyle name="Vírgula 7 2 3 5 2 2 7" xfId="27666" xr:uid="{944877AD-E7FC-4EBB-8242-5002F432FC82}"/>
    <cellStyle name="Vírgula 7 2 3 5 2 3" xfId="16446" xr:uid="{1624C8DD-669E-4AEF-9727-40DCB7297AD6}"/>
    <cellStyle name="Vírgula 7 2 3 5 2 3 2" xfId="36786" xr:uid="{EA4737EA-4105-4ECD-B256-6322A669A462}"/>
    <cellStyle name="Vírgula 7 2 3 5 2 4" xfId="19948" xr:uid="{F169B899-9628-4C6F-834A-9DDFF407D3B6}"/>
    <cellStyle name="Vírgula 7 2 3 5 2 4 2" xfId="40287" xr:uid="{A9C31D32-6424-45E9-9BEB-1792CCEE7F35}"/>
    <cellStyle name="Vírgula 7 2 3 5 2 5" xfId="23203" xr:uid="{D989B9C5-BAB7-458D-A578-E09C9A3C6764}"/>
    <cellStyle name="Vírgula 7 2 3 5 2 5 2" xfId="43538" xr:uid="{313DA864-F2D7-4F61-8FFD-3A074C9045FF}"/>
    <cellStyle name="Vírgula 7 2 3 5 2 6" xfId="13537" xr:uid="{CB068402-934E-4B71-A3BC-3365754EFF11}"/>
    <cellStyle name="Vírgula 7 2 3 5 2 6 2" xfId="33878" xr:uid="{8CB1C406-9766-47BF-95D5-4319D9923FE5}"/>
    <cellStyle name="Vírgula 7 2 3 5 2 7" xfId="9659" xr:uid="{F0D50257-06A2-4539-BC24-053D61BABD77}"/>
    <cellStyle name="Vírgula 7 2 3 5 2 7 2" xfId="30002" xr:uid="{46FEC8E1-4BEF-42C0-9F3E-3D15920CA90F}"/>
    <cellStyle name="Vírgula 7 2 3 5 2 8" xfId="26508" xr:uid="{3E420CE6-9BE3-4E7B-861D-12913C621511}"/>
    <cellStyle name="Vírgula 7 2 3 5 3" xfId="6737" xr:uid="{D161DBB2-59EC-4116-86E2-F5590CC5A44A}"/>
    <cellStyle name="Vírgula 7 2 3 5 3 2" xfId="17023" xr:uid="{644E41EE-F09E-420E-BE5E-2A46200458FF}"/>
    <cellStyle name="Vírgula 7 2 3 5 3 2 2" xfId="37363" xr:uid="{26E4A6DC-26D9-4F4E-B249-213616903E9C}"/>
    <cellStyle name="Vírgula 7 2 3 5 3 3" xfId="20525" xr:uid="{424EABC8-D40E-4E49-83F6-75FB9BB247BD}"/>
    <cellStyle name="Vírgula 7 2 3 5 3 3 2" xfId="40864" xr:uid="{C02776D9-A0FC-440D-960C-0E7F7E146EA7}"/>
    <cellStyle name="Vírgula 7 2 3 5 3 4" xfId="23780" xr:uid="{2F36FA34-7590-47B0-88B4-1F94A2CC00C9}"/>
    <cellStyle name="Vírgula 7 2 3 5 3 4 2" xfId="44115" xr:uid="{6317C1E9-5E03-4C9F-A791-B4692F5C02D3}"/>
    <cellStyle name="Vírgula 7 2 3 5 3 5" xfId="14114" xr:uid="{3F8F4637-189E-4FAC-916C-A176FAAA716F}"/>
    <cellStyle name="Vírgula 7 2 3 5 3 5 2" xfId="34455" xr:uid="{CD83729D-86E0-4D0A-BE02-665CA1BE92C1}"/>
    <cellStyle name="Vírgula 7 2 3 5 3 6" xfId="10236" xr:uid="{BA810FBD-78C8-4D27-9428-8FCEAB5201A0}"/>
    <cellStyle name="Vírgula 7 2 3 5 3 6 2" xfId="30579" xr:uid="{A776C55B-430D-4759-819A-6D8DA345FDF1}"/>
    <cellStyle name="Vírgula 7 2 3 5 3 7" xfId="27085" xr:uid="{C7D5BD0D-A948-403D-8C8B-B729E5DDEA0E}"/>
    <cellStyle name="Vírgula 7 2 3 5 4" xfId="7901" xr:uid="{1D4F8286-A157-4A9E-B1BC-DC5AD5577971}"/>
    <cellStyle name="Vírgula 7 2 3 5 4 2" xfId="18186" xr:uid="{888A22A6-44FD-4B1C-A013-FE8E7AB99C19}"/>
    <cellStyle name="Vírgula 7 2 3 5 4 2 2" xfId="38526" xr:uid="{13DBD215-BF72-4A31-8FBB-B1477460B8BE}"/>
    <cellStyle name="Vírgula 7 2 3 5 4 3" xfId="21688" xr:uid="{F3EE5BEC-689D-4632-A9D3-72060D0E8E56}"/>
    <cellStyle name="Vírgula 7 2 3 5 4 3 2" xfId="42027" xr:uid="{5ADE3FB4-1031-4C86-B87B-A50F25C3B03F}"/>
    <cellStyle name="Vírgula 7 2 3 5 4 4" xfId="24943" xr:uid="{55408401-484B-4235-A5C2-219DB6B46259}"/>
    <cellStyle name="Vírgula 7 2 3 5 4 4 2" xfId="45278" xr:uid="{3209D0A7-B46C-48CA-9649-1872CD40C2AA}"/>
    <cellStyle name="Vírgula 7 2 3 5 4 5" xfId="15278" xr:uid="{7778CCCA-11E3-41FD-A329-C80D5959E19F}"/>
    <cellStyle name="Vírgula 7 2 3 5 4 5 2" xfId="35618" xr:uid="{FCDCAF13-36CB-4C35-B9DA-6406A66990D6}"/>
    <cellStyle name="Vírgula 7 2 3 5 4 6" xfId="11399" xr:uid="{3B19CB47-272C-45D6-A802-42ABA1204972}"/>
    <cellStyle name="Vírgula 7 2 3 5 4 6 2" xfId="31742" xr:uid="{742995CB-3B32-4CCC-A10B-9D280C2F75FC}"/>
    <cellStyle name="Vírgula 7 2 3 5 4 7" xfId="28248" xr:uid="{1813DB5F-E83F-410F-BBBE-9B8D2554EA1F}"/>
    <cellStyle name="Vírgula 7 2 3 5 5" xfId="12968" xr:uid="{FE707AE1-2239-447D-A311-DD6C64F1DE01}"/>
    <cellStyle name="Vírgula 7 2 3 5 5 2" xfId="33309" xr:uid="{B535CEEF-9902-4331-985D-3B0E0C168C93}"/>
    <cellStyle name="Vírgula 7 2 3 5 6" xfId="15865" xr:uid="{3311A8E0-57F6-41E7-A705-3E364EBCCDD8}"/>
    <cellStyle name="Vírgula 7 2 3 5 6 2" xfId="36205" xr:uid="{23C492D7-E7D8-43BF-9AFA-4DE8877F8B7A}"/>
    <cellStyle name="Vírgula 7 2 3 5 7" xfId="18779" xr:uid="{9363EF09-C80E-4D23-9ACC-412BF11058CE}"/>
    <cellStyle name="Vírgula 7 2 3 5 7 2" xfId="39119" xr:uid="{678B3492-9084-4616-B276-1C53ABCD6C94}"/>
    <cellStyle name="Vírgula 7 2 3 5 8" xfId="19367" xr:uid="{6FB5ECBD-51AF-4634-81A9-55C7B831AC0A}"/>
    <cellStyle name="Vírgula 7 2 3 5 8 2" xfId="39706" xr:uid="{2BBA0333-D3F5-471B-8311-006C3A63E534}"/>
    <cellStyle name="Vírgula 7 2 3 5 9" xfId="22622" xr:uid="{50E3E0F8-3982-4DA5-8F8B-B4D9E590DF68}"/>
    <cellStyle name="Vírgula 7 2 3 5 9 2" xfId="42957" xr:uid="{A94149D7-82F3-4386-9245-2DC9C68E719F}"/>
    <cellStyle name="Vírgula 7 2 3 6" xfId="5686" xr:uid="{BCB87F41-8E99-4AEB-95F6-15C5FFE10FC3}"/>
    <cellStyle name="Vírgula 7 2 3 6 10" xfId="12437" xr:uid="{3A2A05F1-3F8B-44C1-850F-A6B7A2478C45}"/>
    <cellStyle name="Vírgula 7 2 3 6 10 2" xfId="32778" xr:uid="{2D991443-6790-4D7F-B8C0-C63ABBC63FEF}"/>
    <cellStyle name="Vírgula 7 2 3 6 11" xfId="9176" xr:uid="{0C7F1E85-633E-4692-9796-4298C913BF40}"/>
    <cellStyle name="Vírgula 7 2 3 6 11 2" xfId="29519" xr:uid="{4CFE17E8-71CF-4025-AF30-DD3B3767E027}"/>
    <cellStyle name="Vírgula 7 2 3 6 12" xfId="26025" xr:uid="{9844001A-AD49-4233-BB62-2925309B5449}"/>
    <cellStyle name="Vírgula 7 2 3 6 2" xfId="6258" xr:uid="{05841FEB-030C-415C-834D-E2ED91F712FF}"/>
    <cellStyle name="Vírgula 7 2 3 6 2 2" xfId="7416" xr:uid="{E2F5598F-B49D-411E-B497-C8BD69577F58}"/>
    <cellStyle name="Vírgula 7 2 3 6 2 2 2" xfId="17702" xr:uid="{C2876B5D-5BBB-4F81-A56E-FCA7D179F266}"/>
    <cellStyle name="Vírgula 7 2 3 6 2 2 2 2" xfId="38042" xr:uid="{612B00F5-C3D1-4B43-A726-D3605D45208A}"/>
    <cellStyle name="Vírgula 7 2 3 6 2 2 3" xfId="21204" xr:uid="{E92B32D7-61FE-4B39-BFD1-52B9EB3AC79A}"/>
    <cellStyle name="Vírgula 7 2 3 6 2 2 3 2" xfId="41543" xr:uid="{F7E7114A-8A63-4A63-ADB9-A3C9D4C35B5A}"/>
    <cellStyle name="Vírgula 7 2 3 6 2 2 4" xfId="24459" xr:uid="{7CA25C99-EC69-41A7-B960-E652DAA90772}"/>
    <cellStyle name="Vírgula 7 2 3 6 2 2 4 2" xfId="44794" xr:uid="{BB102FA6-F713-48A0-972A-592C74788947}"/>
    <cellStyle name="Vírgula 7 2 3 6 2 2 5" xfId="14793" xr:uid="{4AE9F10B-7EDA-4D8B-B76E-EDBB315C89EF}"/>
    <cellStyle name="Vírgula 7 2 3 6 2 2 5 2" xfId="35134" xr:uid="{B590E73A-9EEB-408C-97AF-3ED2C7A703EC}"/>
    <cellStyle name="Vírgula 7 2 3 6 2 2 6" xfId="10915" xr:uid="{41AE382D-E107-47AA-9BB7-F32BE244A417}"/>
    <cellStyle name="Vírgula 7 2 3 6 2 2 6 2" xfId="31258" xr:uid="{6BF8427F-5831-4301-BC60-E402F7A50E95}"/>
    <cellStyle name="Vírgula 7 2 3 6 2 2 7" xfId="27764" xr:uid="{ABF0E376-FC01-493D-9AA7-02CE7EE4F21E}"/>
    <cellStyle name="Vírgula 7 2 3 6 2 3" xfId="16544" xr:uid="{3BC8067F-2D47-438F-8EF1-EAA18C5C197F}"/>
    <cellStyle name="Vírgula 7 2 3 6 2 3 2" xfId="36884" xr:uid="{4C92B421-F08C-478E-BABF-79568F5C218B}"/>
    <cellStyle name="Vírgula 7 2 3 6 2 4" xfId="20046" xr:uid="{86313875-16FE-4B7B-A375-ECB3F5A7CAB1}"/>
    <cellStyle name="Vírgula 7 2 3 6 2 4 2" xfId="40385" xr:uid="{46DD27F7-6BB4-4BAD-8EFD-AA1D65D012C1}"/>
    <cellStyle name="Vírgula 7 2 3 6 2 5" xfId="23301" xr:uid="{83D02A51-2BE5-4595-B707-0832D22779B9}"/>
    <cellStyle name="Vírgula 7 2 3 6 2 5 2" xfId="43636" xr:uid="{681FB1A8-0B67-4F93-BDDB-430C6426BA6E}"/>
    <cellStyle name="Vírgula 7 2 3 6 2 6" xfId="13635" xr:uid="{3CADDEDC-79E7-4B4B-9DF7-F964780916F2}"/>
    <cellStyle name="Vírgula 7 2 3 6 2 6 2" xfId="33976" xr:uid="{5F28CF95-1858-403B-821A-32DE2F251101}"/>
    <cellStyle name="Vírgula 7 2 3 6 2 7" xfId="9757" xr:uid="{007306D7-10F5-41BB-8F0B-707CCD538998}"/>
    <cellStyle name="Vírgula 7 2 3 6 2 7 2" xfId="30100" xr:uid="{C99D76A2-A14F-4866-BE97-EF87B2330623}"/>
    <cellStyle name="Vírgula 7 2 3 6 2 8" xfId="26606" xr:uid="{C8AD024F-C745-48E3-A524-F00895D3BA6A}"/>
    <cellStyle name="Vírgula 7 2 3 6 3" xfId="6835" xr:uid="{AB7B9824-AF40-416A-B5B5-FCB4170A8FC0}"/>
    <cellStyle name="Vírgula 7 2 3 6 3 2" xfId="17121" xr:uid="{4F6FBCEA-77A1-45C4-ACDA-DBDCBF197DF7}"/>
    <cellStyle name="Vírgula 7 2 3 6 3 2 2" xfId="37461" xr:uid="{7C566DAE-CBC6-4F5B-A25D-EDC97DA74E21}"/>
    <cellStyle name="Vírgula 7 2 3 6 3 3" xfId="20623" xr:uid="{125743B0-AD60-4A3B-8EFA-EEBF900B9F77}"/>
    <cellStyle name="Vírgula 7 2 3 6 3 3 2" xfId="40962" xr:uid="{3263B3F8-5ACC-4EB9-93EF-9B5FA3A854B6}"/>
    <cellStyle name="Vírgula 7 2 3 6 3 4" xfId="23878" xr:uid="{31F938F0-BB01-4AD2-8AFF-F171B24DBFD7}"/>
    <cellStyle name="Vírgula 7 2 3 6 3 4 2" xfId="44213" xr:uid="{425C6036-DC84-4576-A940-541587F2160D}"/>
    <cellStyle name="Vírgula 7 2 3 6 3 5" xfId="14212" xr:uid="{3C92B9C9-C8DB-4E5A-9802-193ECFE8EFB2}"/>
    <cellStyle name="Vírgula 7 2 3 6 3 5 2" xfId="34553" xr:uid="{F6E28492-D5FF-48A0-9E89-3F78C50905D9}"/>
    <cellStyle name="Vírgula 7 2 3 6 3 6" xfId="10334" xr:uid="{A1F53548-C1BC-4C6F-B7FD-5C68913BC17B}"/>
    <cellStyle name="Vírgula 7 2 3 6 3 6 2" xfId="30677" xr:uid="{B9853E24-8E23-47B3-A414-D419110711AC}"/>
    <cellStyle name="Vírgula 7 2 3 6 3 7" xfId="27183" xr:uid="{73079178-6C39-4C3F-83AA-124D9AA2CFBC}"/>
    <cellStyle name="Vírgula 7 2 3 6 4" xfId="7999" xr:uid="{33A60CEC-725A-4292-8BA9-17FC4E9FA4F2}"/>
    <cellStyle name="Vírgula 7 2 3 6 4 2" xfId="18284" xr:uid="{38EC4AA0-932A-4FE3-A290-0C29B520578F}"/>
    <cellStyle name="Vírgula 7 2 3 6 4 2 2" xfId="38624" xr:uid="{1DD51094-E912-496E-92C5-037EC55BAE18}"/>
    <cellStyle name="Vírgula 7 2 3 6 4 3" xfId="21786" xr:uid="{D602E7B3-1378-4ED8-96FC-71205BC8E6A2}"/>
    <cellStyle name="Vírgula 7 2 3 6 4 3 2" xfId="42125" xr:uid="{962D9EDB-1BBC-487C-A3F3-0C97816BBDF7}"/>
    <cellStyle name="Vírgula 7 2 3 6 4 4" xfId="25041" xr:uid="{92AB4D3B-FF4D-43F0-B162-77EDD0FD6ED8}"/>
    <cellStyle name="Vírgula 7 2 3 6 4 4 2" xfId="45376" xr:uid="{37863911-1FB1-4282-8C57-A4D683D91BA5}"/>
    <cellStyle name="Vírgula 7 2 3 6 4 5" xfId="15376" xr:uid="{48277E51-4BF8-423E-8D3E-003B37E265F9}"/>
    <cellStyle name="Vírgula 7 2 3 6 4 5 2" xfId="35716" xr:uid="{ABA12083-FD6B-4683-A25F-4BC5C76F6611}"/>
    <cellStyle name="Vírgula 7 2 3 6 4 6" xfId="11497" xr:uid="{69B17677-402B-46D7-90E4-54BB6269927B}"/>
    <cellStyle name="Vírgula 7 2 3 6 4 6 2" xfId="31840" xr:uid="{8A267BE7-40F7-427D-AB78-A5A509C80E5B}"/>
    <cellStyle name="Vírgula 7 2 3 6 4 7" xfId="28346" xr:uid="{D6F34956-FC70-4927-8795-708DE6B1FD62}"/>
    <cellStyle name="Vírgula 7 2 3 6 5" xfId="13066" xr:uid="{4B77AD46-6D42-427D-BCD8-5B0332FD8964}"/>
    <cellStyle name="Vírgula 7 2 3 6 5 2" xfId="33407" xr:uid="{D57F14BB-547A-4962-B3F9-79E28EDC0F53}"/>
    <cellStyle name="Vírgula 7 2 3 6 6" xfId="15963" xr:uid="{C4BC0EBE-E51B-43B2-A9DD-08AA967553D1}"/>
    <cellStyle name="Vírgula 7 2 3 6 6 2" xfId="36303" xr:uid="{FBA374F8-DA7E-438F-B09B-A82362F3B1BF}"/>
    <cellStyle name="Vírgula 7 2 3 6 7" xfId="18877" xr:uid="{756D4CF9-5237-43D4-B288-D4C1E588EAB2}"/>
    <cellStyle name="Vírgula 7 2 3 6 7 2" xfId="39217" xr:uid="{AE0DFFA6-E001-4F15-ADCA-36C7BCECF2C2}"/>
    <cellStyle name="Vírgula 7 2 3 6 8" xfId="19465" xr:uid="{F0B30E92-3EFF-4C11-9586-F29B88B4C0FF}"/>
    <cellStyle name="Vírgula 7 2 3 6 8 2" xfId="39804" xr:uid="{092CC0D6-0205-49DA-AE2B-AC3F3A5B5286}"/>
    <cellStyle name="Vírgula 7 2 3 6 9" xfId="22720" xr:uid="{176774D3-FE9C-48D3-80EC-3C84F2A8EAAE}"/>
    <cellStyle name="Vírgula 7 2 3 6 9 2" xfId="43055" xr:uid="{D461B906-E74C-472B-9F65-8D634A709723}"/>
    <cellStyle name="Vírgula 7 2 3 7" xfId="5816" xr:uid="{626B57A3-D285-41C7-B1BE-3DAB1764533B}"/>
    <cellStyle name="Vírgula 7 2 3 7 2" xfId="6974" xr:uid="{A79F7F7B-A7F1-4A51-9192-30E0675496C5}"/>
    <cellStyle name="Vírgula 7 2 3 7 2 2" xfId="17260" xr:uid="{79F7EA03-468D-4B75-89D3-D84B41D51549}"/>
    <cellStyle name="Vírgula 7 2 3 7 2 2 2" xfId="37600" xr:uid="{32E7591D-B7BF-4CBD-AD51-50E8FAA94E33}"/>
    <cellStyle name="Vírgula 7 2 3 7 2 3" xfId="20762" xr:uid="{4EFD63B5-0870-4677-841D-34F2D3A84191}"/>
    <cellStyle name="Vírgula 7 2 3 7 2 3 2" xfId="41101" xr:uid="{680F6D67-444A-41E3-B178-9F1E2542CE6B}"/>
    <cellStyle name="Vírgula 7 2 3 7 2 4" xfId="24017" xr:uid="{562DF757-E185-4EEE-98B2-C98CE80D3C2B}"/>
    <cellStyle name="Vírgula 7 2 3 7 2 4 2" xfId="44352" xr:uid="{6A484E5C-9AFD-48AE-BB11-20F60BB48C9C}"/>
    <cellStyle name="Vírgula 7 2 3 7 2 5" xfId="14351" xr:uid="{9FEF5370-491D-4D0D-8142-B02CD70827BA}"/>
    <cellStyle name="Vírgula 7 2 3 7 2 5 2" xfId="34692" xr:uid="{28772D9D-FC0F-4CCA-A604-C5E0F35A603A}"/>
    <cellStyle name="Vírgula 7 2 3 7 2 6" xfId="10473" xr:uid="{E2A20B02-9328-4F2D-A369-8E3FF7DB0AA7}"/>
    <cellStyle name="Vírgula 7 2 3 7 2 6 2" xfId="30816" xr:uid="{8B3DAE83-0E25-403F-B18D-DE28B6A6D592}"/>
    <cellStyle name="Vírgula 7 2 3 7 2 7" xfId="27322" xr:uid="{D9CFA2AC-47DC-4826-8C79-221FE7F9F8EB}"/>
    <cellStyle name="Vírgula 7 2 3 7 3" xfId="16102" xr:uid="{9947F8DD-107E-44B6-8623-17ABAE5514B7}"/>
    <cellStyle name="Vírgula 7 2 3 7 3 2" xfId="36442" xr:uid="{E40A56C3-CB19-42EC-9D1F-4FFD71C8D6CA}"/>
    <cellStyle name="Vírgula 7 2 3 7 4" xfId="19604" xr:uid="{5AC2738D-0A75-43A0-8BB5-E05354C05A00}"/>
    <cellStyle name="Vírgula 7 2 3 7 4 2" xfId="39943" xr:uid="{AA27F512-B503-459A-8AF1-C6138D8E33EC}"/>
    <cellStyle name="Vírgula 7 2 3 7 5" xfId="22859" xr:uid="{F210C624-9086-4835-8D4D-EA39D1FAA32C}"/>
    <cellStyle name="Vírgula 7 2 3 7 5 2" xfId="43194" xr:uid="{4B4B8E43-D943-436B-81BA-7D3CAC1E901A}"/>
    <cellStyle name="Vírgula 7 2 3 7 6" xfId="13197" xr:uid="{F1717F42-2964-40A1-859F-2B46B65755E0}"/>
    <cellStyle name="Vírgula 7 2 3 7 6 2" xfId="33538" xr:uid="{C12A66CE-BD79-48BB-8BA1-8F2DCEC2614E}"/>
    <cellStyle name="Vírgula 7 2 3 7 7" xfId="9315" xr:uid="{922AD8B9-9E09-4AAC-A557-3937DA6A5421}"/>
    <cellStyle name="Vírgula 7 2 3 7 7 2" xfId="29658" xr:uid="{D0DCC7C8-3D60-45E7-B5B6-59EFE096AB90}"/>
    <cellStyle name="Vírgula 7 2 3 7 8" xfId="26164" xr:uid="{40D42DAE-4A8C-4D02-8568-5CBEFBDCEF5E}"/>
    <cellStyle name="Vírgula 7 2 3 8" xfId="6393" xr:uid="{EF4ABB10-7AD4-4391-84FC-8FDD5AFDCF39}"/>
    <cellStyle name="Vírgula 7 2 3 8 2" xfId="16679" xr:uid="{B255B16A-3F03-47D2-80C5-7A1927B8C7CF}"/>
    <cellStyle name="Vírgula 7 2 3 8 2 2" xfId="37019" xr:uid="{DBAF7F86-4EB5-4801-BE81-07D23645033B}"/>
    <cellStyle name="Vírgula 7 2 3 8 3" xfId="20181" xr:uid="{74B9DD3E-0DAA-4793-AC0E-0770A5286CF0}"/>
    <cellStyle name="Vírgula 7 2 3 8 3 2" xfId="40520" xr:uid="{B26588C1-D633-493B-9F0C-C5B4CBB69011}"/>
    <cellStyle name="Vírgula 7 2 3 8 4" xfId="23436" xr:uid="{E2523170-30C0-4EDB-B508-77B1DB4B78D6}"/>
    <cellStyle name="Vírgula 7 2 3 8 4 2" xfId="43771" xr:uid="{46736409-4101-4046-BC8D-7A3FB69E357E}"/>
    <cellStyle name="Vírgula 7 2 3 8 5" xfId="13770" xr:uid="{83634E75-42E1-4EA1-81B2-87DA593219AE}"/>
    <cellStyle name="Vírgula 7 2 3 8 5 2" xfId="34111" xr:uid="{1B931CE7-6A42-4AAA-BE87-944E359B41C7}"/>
    <cellStyle name="Vírgula 7 2 3 8 6" xfId="9892" xr:uid="{C818B5FE-3850-4CF0-9D3C-0F5A1181829F}"/>
    <cellStyle name="Vírgula 7 2 3 8 6 2" xfId="30235" xr:uid="{AED39DAE-E0C3-4C51-A38C-5BB52EF5EC70}"/>
    <cellStyle name="Vírgula 7 2 3 8 7" xfId="26741" xr:uid="{D3A85BA1-8378-458B-A56B-04E88EDDEFD4}"/>
    <cellStyle name="Vírgula 7 2 3 9" xfId="7557" xr:uid="{37F5CB31-9474-4DE2-A0B1-44837924FA1F}"/>
    <cellStyle name="Vírgula 7 2 3 9 2" xfId="17842" xr:uid="{819EADF9-D954-481C-A8CA-F270332C5770}"/>
    <cellStyle name="Vírgula 7 2 3 9 2 2" xfId="38182" xr:uid="{00A4B092-3853-4790-B8BA-D3271C535FFD}"/>
    <cellStyle name="Vírgula 7 2 3 9 3" xfId="21344" xr:uid="{41BF6B74-FCEA-4280-9C22-8FAE086E543E}"/>
    <cellStyle name="Vírgula 7 2 3 9 3 2" xfId="41683" xr:uid="{9C550E61-3DA1-4302-A386-0F2A649EC14E}"/>
    <cellStyle name="Vírgula 7 2 3 9 4" xfId="24599" xr:uid="{9692B73E-3EEC-425A-A599-94114F11B113}"/>
    <cellStyle name="Vírgula 7 2 3 9 4 2" xfId="44934" xr:uid="{B667E84C-21D0-4B08-B51B-9543F55C7CED}"/>
    <cellStyle name="Vírgula 7 2 3 9 5" xfId="14934" xr:uid="{025070C1-5ECB-4B8B-B3FA-A19D174D9F28}"/>
    <cellStyle name="Vírgula 7 2 3 9 5 2" xfId="35274" xr:uid="{E31BFF39-0614-4007-B97A-EC1657886AF8}"/>
    <cellStyle name="Vírgula 7 2 3 9 6" xfId="11055" xr:uid="{4301B841-2513-4104-9259-68FE60B5E36A}"/>
    <cellStyle name="Vírgula 7 2 3 9 6 2" xfId="31398" xr:uid="{F0F7126F-F6C0-4246-91B3-4361081DD3E8}"/>
    <cellStyle name="Vírgula 7 2 3 9 7" xfId="27904" xr:uid="{436E0F05-70C7-4F61-BF42-27627F5077B8}"/>
    <cellStyle name="Vírgula 7 2 30" xfId="4437" xr:uid="{7680FCC0-C447-4E37-8CE5-FCDAF8EF8A4E}"/>
    <cellStyle name="Vírgula 7 2 4" xfId="1378" xr:uid="{16F038F4-6FEA-4F20-8BF5-466260DD6356}"/>
    <cellStyle name="Vírgula 7 2 4 10" xfId="22365" xr:uid="{3EAF162D-6DCC-4720-A55D-C94C3B235944}"/>
    <cellStyle name="Vírgula 7 2 4 10 2" xfId="42700" xr:uid="{1C1CE0CE-329A-4A4F-9BA9-991F8B32BC6F}"/>
    <cellStyle name="Vírgula 7 2 4 11" xfId="12082" xr:uid="{8FF02437-6745-4900-A3E4-65D09B79F059}"/>
    <cellStyle name="Vírgula 7 2 4 11 2" xfId="32423" xr:uid="{021194A4-C2EA-4C56-80D1-4E25C859F5FD}"/>
    <cellStyle name="Vírgula 7 2 4 12" xfId="8821" xr:uid="{F99EEAB4-3A9D-47F4-9DBC-10ADCC83EEC2}"/>
    <cellStyle name="Vírgula 7 2 4 12 2" xfId="29164" xr:uid="{0B4B3F7F-9F2F-4A18-9200-368054D5B935}"/>
    <cellStyle name="Vírgula 7 2 4 13" xfId="25670" xr:uid="{64643D87-7159-4982-91B1-7304C4A3BC3C}"/>
    <cellStyle name="Vírgula 7 2 4 14" xfId="45879" xr:uid="{436396FA-B83C-495E-8727-AD30E1557C31}"/>
    <cellStyle name="Vírgula 7 2 4 15" xfId="46365" xr:uid="{D30FCB23-940B-4827-943B-120F9864A3F4}"/>
    <cellStyle name="Vírgula 7 2 4 16" xfId="46857" xr:uid="{ABB85620-6AA4-4BA9-AF18-6958DAF6586B}"/>
    <cellStyle name="Vírgula 7 2 4 17" xfId="49305" xr:uid="{1420EA39-6809-4F98-8484-863285A4962A}"/>
    <cellStyle name="Vírgula 7 2 4 18" xfId="50975" xr:uid="{B7B07629-03B2-46F8-BE2D-58DF9934CFB8}"/>
    <cellStyle name="Vírgula 7 2 4 19" xfId="54270" xr:uid="{AA85FC87-5F64-4330-AEE5-40D6E94F590C}"/>
    <cellStyle name="Vírgula 7 2 4 2" xfId="3782" xr:uid="{C3F92F61-1FF9-4E84-BCCB-935B431C0742}"/>
    <cellStyle name="Vírgula 7 2 4 2 10" xfId="12469" xr:uid="{F43D52B4-2A4E-4BA1-AF75-C3C034A3C6FD}"/>
    <cellStyle name="Vírgula 7 2 4 2 10 2" xfId="32810" xr:uid="{3998F758-30D6-459D-9B25-0F21263A240C}"/>
    <cellStyle name="Vírgula 7 2 4 2 11" xfId="9208" xr:uid="{E91E7064-AAE0-4812-9CD5-8ACB058348D0}"/>
    <cellStyle name="Vírgula 7 2 4 2 11 2" xfId="29551" xr:uid="{0D96F7E5-E3D9-4F48-96DA-BA777FE81619}"/>
    <cellStyle name="Vírgula 7 2 4 2 12" xfId="26057" xr:uid="{CC1ADCCE-84E0-4CD3-9230-1E6ED4A355F2}"/>
    <cellStyle name="Vírgula 7 2 4 2 13" xfId="46028" xr:uid="{E53EB118-9F6D-48BD-AC13-EFBF245176CA}"/>
    <cellStyle name="Vírgula 7 2 4 2 14" xfId="46514" xr:uid="{D8195053-5878-48C8-A548-E5D9CAB8ABF4}"/>
    <cellStyle name="Vírgula 7 2 4 2 15" xfId="47006" xr:uid="{BF11B0A9-41F4-4A05-BF76-A53A3E538ABC}"/>
    <cellStyle name="Vírgula 7 2 4 2 16" xfId="52607" xr:uid="{BDFA87EF-4C87-4362-AB6B-9E8C80448879}"/>
    <cellStyle name="Vírgula 7 2 4 2 17" xfId="55901" xr:uid="{72C8D4F3-B35C-4D59-A580-F2D747E8442C}"/>
    <cellStyle name="Vírgula 7 2 4 2 18" xfId="5718" xr:uid="{DFAF4533-A0D5-449F-90E5-D36F38C80753}"/>
    <cellStyle name="Vírgula 7 2 4 2 19" xfId="5146" xr:uid="{4EAC5ECF-DB59-4C71-B4B5-5E9E888349C9}"/>
    <cellStyle name="Vírgula 7 2 4 2 2" xfId="6290" xr:uid="{C1B8B75E-3167-47EB-90ED-D31FF64F757D}"/>
    <cellStyle name="Vírgula 7 2 4 2 2 10" xfId="46757" xr:uid="{02487FFD-B699-4B1D-9F75-FF1F0EE06EA0}"/>
    <cellStyle name="Vírgula 7 2 4 2 2 11" xfId="47249" xr:uid="{68516586-B666-4AB5-8E39-54E770C9F8E9}"/>
    <cellStyle name="Vírgula 7 2 4 2 2 2" xfId="7448" xr:uid="{6528C3B8-A84C-4D07-869C-7EF0C2D56260}"/>
    <cellStyle name="Vírgula 7 2 4 2 2 2 2" xfId="17734" xr:uid="{F23BDD4B-6AC9-4AFD-B19E-CD8E99D9486B}"/>
    <cellStyle name="Vírgula 7 2 4 2 2 2 2 2" xfId="38074" xr:uid="{9FD68E63-B8C5-4A1F-BB5D-19C931BEF651}"/>
    <cellStyle name="Vírgula 7 2 4 2 2 2 3" xfId="21236" xr:uid="{2051C5BF-B95D-42B3-AF02-C2F5178F713B}"/>
    <cellStyle name="Vírgula 7 2 4 2 2 2 3 2" xfId="41575" xr:uid="{58D5DA69-C72C-4EDE-805F-FAA0C5E1895F}"/>
    <cellStyle name="Vírgula 7 2 4 2 2 2 4" xfId="24491" xr:uid="{2D22CD99-C69D-4EF9-8A8F-103E659B9E37}"/>
    <cellStyle name="Vírgula 7 2 4 2 2 2 4 2" xfId="44826" xr:uid="{20578146-CF7B-4D2F-8933-BA8C8F915AD9}"/>
    <cellStyle name="Vírgula 7 2 4 2 2 2 5" xfId="14825" xr:uid="{4474F657-DAC6-4F52-9623-264F6DAEF73C}"/>
    <cellStyle name="Vírgula 7 2 4 2 2 2 5 2" xfId="35166" xr:uid="{EC65976A-9C9A-4AF5-8F14-B53506B8FA63}"/>
    <cellStyle name="Vírgula 7 2 4 2 2 2 6" xfId="10947" xr:uid="{581841D8-B2CF-4427-AF76-A205CC594727}"/>
    <cellStyle name="Vírgula 7 2 4 2 2 2 6 2" xfId="31290" xr:uid="{59663349-838D-4708-82E0-91F056D61419}"/>
    <cellStyle name="Vírgula 7 2 4 2 2 2 7" xfId="27796" xr:uid="{0CD14841-E4B0-4C9B-95DF-7F7E6BF5216F}"/>
    <cellStyle name="Vírgula 7 2 4 2 2 3" xfId="16576" xr:uid="{1C55AD50-1A4D-405D-9954-93B12BCC70AC}"/>
    <cellStyle name="Vírgula 7 2 4 2 2 3 2" xfId="36916" xr:uid="{0986CBE8-84F0-4280-A43F-5A93888684ED}"/>
    <cellStyle name="Vírgula 7 2 4 2 2 4" xfId="20078" xr:uid="{F34D4A23-4F14-4B4D-B1A7-606DF5CFAAFB}"/>
    <cellStyle name="Vírgula 7 2 4 2 2 4 2" xfId="40417" xr:uid="{0E5CCBF4-E53A-4E6C-AC58-66D68A645CFD}"/>
    <cellStyle name="Vírgula 7 2 4 2 2 5" xfId="23333" xr:uid="{ADC7B5F3-3E7F-45BA-B7D2-527455F1991C}"/>
    <cellStyle name="Vírgula 7 2 4 2 2 5 2" xfId="43668" xr:uid="{F9112417-1F19-4A27-A8C7-601BC18D7662}"/>
    <cellStyle name="Vírgula 7 2 4 2 2 6" xfId="13667" xr:uid="{1B3BBCB1-DD33-4207-990C-90351898CBD6}"/>
    <cellStyle name="Vírgula 7 2 4 2 2 6 2" xfId="34008" xr:uid="{BC667001-3B05-41C3-9F7F-2935F9DB9458}"/>
    <cellStyle name="Vírgula 7 2 4 2 2 7" xfId="9789" xr:uid="{074D7891-6297-4D62-A07F-83C702D259E0}"/>
    <cellStyle name="Vírgula 7 2 4 2 2 7 2" xfId="30132" xr:uid="{3DE57B18-EB23-4CEE-8E27-DFF5206F2C5B}"/>
    <cellStyle name="Vírgula 7 2 4 2 2 8" xfId="26638" xr:uid="{DE3C0C00-E2BC-4A64-9B82-3364E11599BA}"/>
    <cellStyle name="Vírgula 7 2 4 2 2 9" xfId="46271" xr:uid="{39477C12-B9B6-4A4E-89F1-30ED56700FAE}"/>
    <cellStyle name="Vírgula 7 2 4 2 3" xfId="6867" xr:uid="{A096DB7B-5513-4742-A3B9-217EBC4FFBDD}"/>
    <cellStyle name="Vírgula 7 2 4 2 3 2" xfId="17153" xr:uid="{859CD200-CD9D-40E2-B085-8CEB71DEA3B8}"/>
    <cellStyle name="Vírgula 7 2 4 2 3 2 2" xfId="37493" xr:uid="{C35BD8BC-9BF9-4EEB-BD55-F8187EE8473D}"/>
    <cellStyle name="Vírgula 7 2 4 2 3 3" xfId="20655" xr:uid="{6DE3B50B-8DF3-4184-BAD7-96D2E59FBAAD}"/>
    <cellStyle name="Vírgula 7 2 4 2 3 3 2" xfId="40994" xr:uid="{BDA777AE-D2E7-4DBE-B1C2-2D3C46498EC2}"/>
    <cellStyle name="Vírgula 7 2 4 2 3 4" xfId="23910" xr:uid="{015D82F5-7707-4445-84F7-DA0854EC3F45}"/>
    <cellStyle name="Vírgula 7 2 4 2 3 4 2" xfId="44245" xr:uid="{7DD63EEC-CBC8-4593-B2DF-6E54F0C8BEA3}"/>
    <cellStyle name="Vírgula 7 2 4 2 3 5" xfId="14244" xr:uid="{DCCD89E8-B964-4178-BCDE-AC70555A4879}"/>
    <cellStyle name="Vírgula 7 2 4 2 3 5 2" xfId="34585" xr:uid="{EBD3836F-6A90-4D32-8CED-41E93C78D2DA}"/>
    <cellStyle name="Vírgula 7 2 4 2 3 6" xfId="10366" xr:uid="{26557E65-3D0D-4F04-8E7A-C5A706867864}"/>
    <cellStyle name="Vírgula 7 2 4 2 3 6 2" xfId="30709" xr:uid="{6E21EDB5-9E51-4151-8E49-103B1191D06C}"/>
    <cellStyle name="Vírgula 7 2 4 2 3 7" xfId="27215" xr:uid="{16E5193D-B541-4E3D-AF79-F76DF24DD6C9}"/>
    <cellStyle name="Vírgula 7 2 4 2 4" xfId="8031" xr:uid="{B15D240E-C594-42A1-9F93-3F20F4646D50}"/>
    <cellStyle name="Vírgula 7 2 4 2 4 2" xfId="18316" xr:uid="{DFB773AF-86E9-4569-8961-914D9F2AB4C5}"/>
    <cellStyle name="Vírgula 7 2 4 2 4 2 2" xfId="38656" xr:uid="{FB28D0B9-00AA-4CE6-9576-580F5FBBB690}"/>
    <cellStyle name="Vírgula 7 2 4 2 4 3" xfId="21818" xr:uid="{BEC4963A-87CE-43B2-866D-4C7E9678F7A3}"/>
    <cellStyle name="Vírgula 7 2 4 2 4 3 2" xfId="42157" xr:uid="{CA591400-CACA-458B-B55C-6E03C433BD35}"/>
    <cellStyle name="Vírgula 7 2 4 2 4 4" xfId="25073" xr:uid="{CC56733D-B501-48BC-AF54-2D578499E6F2}"/>
    <cellStyle name="Vírgula 7 2 4 2 4 4 2" xfId="45408" xr:uid="{BC4B2F9E-AAC0-457C-A7B1-3D55AC36C316}"/>
    <cellStyle name="Vírgula 7 2 4 2 4 5" xfId="15408" xr:uid="{CD242733-0754-4421-8511-19F321F815FC}"/>
    <cellStyle name="Vírgula 7 2 4 2 4 5 2" xfId="35748" xr:uid="{5F879DC0-6030-4363-9F91-02B3405F135A}"/>
    <cellStyle name="Vírgula 7 2 4 2 4 6" xfId="11529" xr:uid="{D53878B7-038D-46C5-A6EF-B1E489BD4E47}"/>
    <cellStyle name="Vírgula 7 2 4 2 4 6 2" xfId="31872" xr:uid="{BC3261B4-EE98-4B0D-B851-011ED805BFE0}"/>
    <cellStyle name="Vírgula 7 2 4 2 4 7" xfId="28378" xr:uid="{313B5190-688E-4E3E-9E0A-C0324BAD7C62}"/>
    <cellStyle name="Vírgula 7 2 4 2 5" xfId="8359" xr:uid="{8864A5C6-8467-4803-9A47-214CB7775D63}"/>
    <cellStyle name="Vírgula 7 2 4 2 5 2" xfId="22146" xr:uid="{D195C426-7724-4475-A270-DC1ACCCE4A52}"/>
    <cellStyle name="Vírgula 7 2 4 2 5 2 2" xfId="42482" xr:uid="{1C2CFD13-9473-4D56-858D-BA7D48519B96}"/>
    <cellStyle name="Vírgula 7 2 4 2 5 3" xfId="25398" xr:uid="{1B2AF3C1-B678-421D-8A00-034FF5C36B6E}"/>
    <cellStyle name="Vírgula 7 2 4 2 5 3 2" xfId="45733" xr:uid="{22FCE6B7-3548-4C18-AFE5-ADF0376349FA}"/>
    <cellStyle name="Vírgula 7 2 4 2 5 4" xfId="13098" xr:uid="{85CA41AF-7B4F-4C50-B010-D0845B5BAB4A}"/>
    <cellStyle name="Vírgula 7 2 4 2 5 4 2" xfId="33439" xr:uid="{D54C1A0B-68C7-4983-97F7-97B7C137EB0E}"/>
    <cellStyle name="Vírgula 7 2 4 2 5 5" xfId="11855" xr:uid="{277D1DB5-792E-4EC8-B13D-60CFB700C99D}"/>
    <cellStyle name="Vírgula 7 2 4 2 5 5 2" xfId="32197" xr:uid="{2B1159A0-E429-4D2D-A19D-D1454310DA60}"/>
    <cellStyle name="Vírgula 7 2 4 2 5 6" xfId="28703" xr:uid="{D4862A27-8319-417E-B9FF-914E6E6A4FDF}"/>
    <cellStyle name="Vírgula 7 2 4 2 6" xfId="8653" xr:uid="{ED704D49-18A0-4203-A5F1-440F408555EC}"/>
    <cellStyle name="Vírgula 7 2 4 2 6 2" xfId="15995" xr:uid="{B75B8CBB-2FB5-453C-83FA-B3CC84E7BB5C}"/>
    <cellStyle name="Vírgula 7 2 4 2 6 2 2" xfId="36335" xr:uid="{CD0FE3E7-A9E9-412F-8906-B2B126E14EF4}"/>
    <cellStyle name="Vírgula 7 2 4 2 6 3" xfId="28996" xr:uid="{BB73777E-813C-4D73-8C36-43F318D8C9D7}"/>
    <cellStyle name="Vírgula 7 2 4 2 7" xfId="18909" xr:uid="{EB835290-E547-4252-85A1-96BAFCD0F026}"/>
    <cellStyle name="Vírgula 7 2 4 2 7 2" xfId="39249" xr:uid="{09614058-5458-43DF-89CF-4B39F138229A}"/>
    <cellStyle name="Vírgula 7 2 4 2 8" xfId="19497" xr:uid="{9A4E1A2B-6978-4402-99B6-54AE8D716B50}"/>
    <cellStyle name="Vírgula 7 2 4 2 8 2" xfId="39836" xr:uid="{18CA4A85-5DFE-4FE9-915A-1BE31CE117B7}"/>
    <cellStyle name="Vírgula 7 2 4 2 9" xfId="22752" xr:uid="{4149F20D-8A8D-4A67-A72D-9FA99BEA2300}"/>
    <cellStyle name="Vírgula 7 2 4 2 9 2" xfId="43087" xr:uid="{116F9262-E30A-400D-BE4A-8D35E0051F1F}"/>
    <cellStyle name="Vírgula 7 2 4 20" xfId="5349" xr:uid="{238EE95C-5114-4ADA-B74E-D939447194A5}"/>
    <cellStyle name="Vírgula 7 2 4 21" xfId="4927" xr:uid="{B49E3B30-C2FB-4DC6-BB6F-8FF0B5AEE023}"/>
    <cellStyle name="Vírgula 7 2 4 3" xfId="4026" xr:uid="{5DCD7DB5-21E7-48EC-8C92-8129B7DA8A67}"/>
    <cellStyle name="Vírgula 7 2 4 3 10" xfId="46608" xr:uid="{B7B300C6-6F3F-4A01-A15A-32C8308434F7}"/>
    <cellStyle name="Vírgula 7 2 4 3 11" xfId="47100" xr:uid="{593BFE4A-AE19-42E0-85BD-4C11AFDE39A8}"/>
    <cellStyle name="Vírgula 7 2 4 3 12" xfId="57249" xr:uid="{881A1B27-DE19-42C5-977C-4E5DBD2A7318}"/>
    <cellStyle name="Vírgula 7 2 4 3 13" xfId="5903" xr:uid="{1D3F852D-88BA-4D05-892F-0EA24C12764E}"/>
    <cellStyle name="Vírgula 7 2 4 3 14" xfId="5008" xr:uid="{02798A1A-FD6D-4DF7-92EB-0E8BEB837AAD}"/>
    <cellStyle name="Vírgula 7 2 4 3 2" xfId="7061" xr:uid="{950F1570-E435-4ECD-96FC-A3104F187C7E}"/>
    <cellStyle name="Vírgula 7 2 4 3 2 2" xfId="17347" xr:uid="{68C2B857-7E2C-4919-A0FF-56C5754C4A92}"/>
    <cellStyle name="Vírgula 7 2 4 3 2 2 2" xfId="37687" xr:uid="{557397D3-B87D-4D7F-82A4-0F2997C34587}"/>
    <cellStyle name="Vírgula 7 2 4 3 2 3" xfId="20849" xr:uid="{B27626CD-8BC6-4276-ACF1-DD9BD52F8D4D}"/>
    <cellStyle name="Vírgula 7 2 4 3 2 3 2" xfId="41188" xr:uid="{BFA63056-09E2-4222-9C5C-F12E768F99B1}"/>
    <cellStyle name="Vírgula 7 2 4 3 2 4" xfId="24104" xr:uid="{54FFD557-A301-43BA-8FF5-BD0FEDA7A5C5}"/>
    <cellStyle name="Vírgula 7 2 4 3 2 4 2" xfId="44439" xr:uid="{16BE1638-D283-4E36-A4B4-3F3BE3954104}"/>
    <cellStyle name="Vírgula 7 2 4 3 2 5" xfId="14438" xr:uid="{4AA73E8D-C534-4F02-9D96-CCD5186E2EEF}"/>
    <cellStyle name="Vírgula 7 2 4 3 2 5 2" xfId="34779" xr:uid="{4F3A44BF-B868-4C19-83A0-68713444059A}"/>
    <cellStyle name="Vírgula 7 2 4 3 2 6" xfId="10560" xr:uid="{E018B4AF-6772-4D92-B97A-03A50E91680A}"/>
    <cellStyle name="Vírgula 7 2 4 3 2 6 2" xfId="30903" xr:uid="{3283783C-7C75-464B-BC44-3BD967D8BE9D}"/>
    <cellStyle name="Vírgula 7 2 4 3 2 7" xfId="27409" xr:uid="{5C1A1815-B57B-47D7-9343-47A130BE2C62}"/>
    <cellStyle name="Vírgula 7 2 4 3 3" xfId="8360" xr:uid="{3C3F5579-19B7-4619-BD4F-50E73E861B4A}"/>
    <cellStyle name="Vírgula 7 2 4 3 3 2" xfId="22147" xr:uid="{73B09BFC-A6F1-440E-AC9D-00EBE1E4726D}"/>
    <cellStyle name="Vírgula 7 2 4 3 3 2 2" xfId="42483" xr:uid="{A70F7A41-22D4-40A4-98DD-0E49DC0A5926}"/>
    <cellStyle name="Vírgula 7 2 4 3 3 3" xfId="25399" xr:uid="{23B04749-628B-41ED-91FA-E9D4FCDB764D}"/>
    <cellStyle name="Vírgula 7 2 4 3 3 3 2" xfId="45734" xr:uid="{5BEE0645-6CFC-4AFD-89F1-2A583F310AF2}"/>
    <cellStyle name="Vírgula 7 2 4 3 3 4" xfId="16189" xr:uid="{0AF2B533-3281-4EBC-86DE-1CA0B86CA801}"/>
    <cellStyle name="Vírgula 7 2 4 3 3 4 2" xfId="36529" xr:uid="{AE08122B-665A-4699-94B9-88BAF518CCE1}"/>
    <cellStyle name="Vírgula 7 2 4 3 3 5" xfId="11856" xr:uid="{E6D457B0-FCB3-4231-9E4C-6A8963DABAE2}"/>
    <cellStyle name="Vírgula 7 2 4 3 3 5 2" xfId="32198" xr:uid="{762DC791-B55C-40F1-8DA6-C1CE48DF2166}"/>
    <cellStyle name="Vírgula 7 2 4 3 3 6" xfId="28704" xr:uid="{2C51610B-CF71-432C-8C28-CADA3F221235}"/>
    <cellStyle name="Vírgula 7 2 4 3 4" xfId="19691" xr:uid="{39B5A8B9-2340-4EF2-9E8B-A8224F19DCBB}"/>
    <cellStyle name="Vírgula 7 2 4 3 4 2" xfId="40030" xr:uid="{17D7F7C3-855D-42D1-9425-C4D3A44831C2}"/>
    <cellStyle name="Vírgula 7 2 4 3 5" xfId="22946" xr:uid="{702A911B-23ED-4167-BF33-AE49BA313067}"/>
    <cellStyle name="Vírgula 7 2 4 3 5 2" xfId="43281" xr:uid="{3291FC6B-2BCC-4FCF-B9C1-A677B455D59E}"/>
    <cellStyle name="Vírgula 7 2 4 3 6" xfId="13282" xr:uid="{3E2131C4-6E3C-4E04-9217-2C23CB5E5E66}"/>
    <cellStyle name="Vírgula 7 2 4 3 6 2" xfId="33623" xr:uid="{A12EEE77-8E67-407A-8425-787145BCE755}"/>
    <cellStyle name="Vírgula 7 2 4 3 7" xfId="9402" xr:uid="{EB3CDD6C-A660-41D6-BC8C-A6C9CDBA3BD0}"/>
    <cellStyle name="Vírgula 7 2 4 3 7 2" xfId="29745" xr:uid="{1294D34C-F3BE-4864-BE47-B0A270FCA325}"/>
    <cellStyle name="Vírgula 7 2 4 3 8" xfId="26251" xr:uid="{86713A93-119F-453C-B52C-7BD1DE115ADB}"/>
    <cellStyle name="Vírgula 7 2 4 3 9" xfId="46122" xr:uid="{2EAA49DF-DC96-469F-B016-F18582A8EFFF}"/>
    <cellStyle name="Vírgula 7 2 4 4" xfId="3039" xr:uid="{3C3A550D-275B-4021-B032-E09C376BBE2B}"/>
    <cellStyle name="Vírgula 7 2 4 4 2" xfId="16766" xr:uid="{0250B5F5-3D82-4234-92E3-BEE7471FD026}"/>
    <cellStyle name="Vírgula 7 2 4 4 2 2" xfId="37106" xr:uid="{7D377D44-D342-49B1-8588-CE665B194B29}"/>
    <cellStyle name="Vírgula 7 2 4 4 3" xfId="20268" xr:uid="{3B420E7E-770F-4741-BF39-DD9479CDA4AE}"/>
    <cellStyle name="Vírgula 7 2 4 4 3 2" xfId="40607" xr:uid="{70A5B97A-5807-49F1-9F1F-AC2AB4C2F4DD}"/>
    <cellStyle name="Vírgula 7 2 4 4 4" xfId="23523" xr:uid="{425B9EFE-B9F6-4161-AA17-6DF6EBED8AC0}"/>
    <cellStyle name="Vírgula 7 2 4 4 4 2" xfId="43858" xr:uid="{DE1943C5-C50B-40EB-8A46-3A720AB08D47}"/>
    <cellStyle name="Vírgula 7 2 4 4 5" xfId="13857" xr:uid="{AAC509FC-A17E-42A8-A6B9-0F31E63AC97E}"/>
    <cellStyle name="Vírgula 7 2 4 4 5 2" xfId="34198" xr:uid="{74786E99-49BA-4022-BFD7-5DE080D85CF6}"/>
    <cellStyle name="Vírgula 7 2 4 4 6" xfId="9979" xr:uid="{85BE1446-3E5D-44C5-9CA4-47939F28CE72}"/>
    <cellStyle name="Vírgula 7 2 4 4 6 2" xfId="30322" xr:uid="{83E56972-1B6F-4EBA-98A2-047437E13C53}"/>
    <cellStyle name="Vírgula 7 2 4 4 7" xfId="26828" xr:uid="{41EAA394-8E6D-429C-B5E5-9769E64CE183}"/>
    <cellStyle name="Vírgula 7 2 4 4 8" xfId="6480" xr:uid="{45CF764B-3DA5-47C0-8CFE-586062CD397A}"/>
    <cellStyle name="Vírgula 7 2 4 5" xfId="7644" xr:uid="{62015DE3-5D64-48D7-B769-892454F8FA1B}"/>
    <cellStyle name="Vírgula 7 2 4 5 2" xfId="17929" xr:uid="{7404A3B7-17E9-4DDC-A52B-8ACFF55C9A91}"/>
    <cellStyle name="Vírgula 7 2 4 5 2 2" xfId="38269" xr:uid="{2DBB2078-BA2E-4476-8A91-A99D57A74B49}"/>
    <cellStyle name="Vírgula 7 2 4 5 3" xfId="21431" xr:uid="{6BEEBE31-9061-4606-8CEB-506138B88271}"/>
    <cellStyle name="Vírgula 7 2 4 5 3 2" xfId="41770" xr:uid="{4525C4DF-4F47-48F2-8EA6-31AD7A59C333}"/>
    <cellStyle name="Vírgula 7 2 4 5 4" xfId="24686" xr:uid="{0EDC3719-EDCE-4FB5-9CFF-D23975134BDE}"/>
    <cellStyle name="Vírgula 7 2 4 5 4 2" xfId="45021" xr:uid="{2E0E7440-8202-4CC8-9702-0B22AF52E52E}"/>
    <cellStyle name="Vírgula 7 2 4 5 5" xfId="15021" xr:uid="{F3D789F0-833E-4C66-B98B-E7737C250287}"/>
    <cellStyle name="Vírgula 7 2 4 5 5 2" xfId="35361" xr:uid="{9706033A-C93D-4C05-B16C-DE01B56585A3}"/>
    <cellStyle name="Vírgula 7 2 4 5 6" xfId="11142" xr:uid="{EFB22DAD-D669-4C34-83F9-5C004494F6AC}"/>
    <cellStyle name="Vírgula 7 2 4 5 6 2" xfId="31485" xr:uid="{4DD8BB9D-4843-4A3D-8EB1-112DA30DC37B}"/>
    <cellStyle name="Vírgula 7 2 4 5 7" xfId="27991" xr:uid="{6B12C229-25A5-43F4-B111-36B687D74D4C}"/>
    <cellStyle name="Vírgula 7 2 4 6" xfId="8358" xr:uid="{E571F59D-B774-4E73-81C3-3908D52DC780}"/>
    <cellStyle name="Vírgula 7 2 4 6 2" xfId="22145" xr:uid="{BB52E875-C06F-4F19-837F-4A81C1E8DD97}"/>
    <cellStyle name="Vírgula 7 2 4 6 2 2" xfId="42481" xr:uid="{B51D1737-6CE3-48A5-809E-D13C2D20C749}"/>
    <cellStyle name="Vírgula 7 2 4 6 3" xfId="25397" xr:uid="{707D89A8-8C50-49A9-AAFF-8326947EFFE4}"/>
    <cellStyle name="Vírgula 7 2 4 6 3 2" xfId="45732" xr:uid="{3448DE65-1C2B-4EFB-9FF8-63BB2E759B31}"/>
    <cellStyle name="Vírgula 7 2 4 6 4" xfId="12713" xr:uid="{2C919D38-6527-4E31-B2DB-884E48762F35}"/>
    <cellStyle name="Vírgula 7 2 4 6 4 2" xfId="33054" xr:uid="{FDA8F564-B14F-43C9-AECD-618A71820FC6}"/>
    <cellStyle name="Vírgula 7 2 4 6 5" xfId="11854" xr:uid="{125783CD-8CC2-4C35-8328-8E0918C44D73}"/>
    <cellStyle name="Vírgula 7 2 4 6 5 2" xfId="32196" xr:uid="{B029E8BB-DEB7-494A-A2CE-5DF7F51257A2}"/>
    <cellStyle name="Vírgula 7 2 4 6 6" xfId="28702" xr:uid="{287756A1-2E10-4632-AACE-D86D7B349EAF}"/>
    <cellStyle name="Vírgula 7 2 4 7" xfId="8504" xr:uid="{47DD4948-676C-4200-8483-340EA8925633}"/>
    <cellStyle name="Vírgula 7 2 4 7 2" xfId="15608" xr:uid="{A8CCF929-FA2F-4691-863D-63EF545DAA7A}"/>
    <cellStyle name="Vírgula 7 2 4 7 2 2" xfId="35948" xr:uid="{581B74B9-0908-4A99-A491-0468C24A935E}"/>
    <cellStyle name="Vírgula 7 2 4 7 3" xfId="28847" xr:uid="{02261EF7-EC3E-49FF-8AB1-3DAB9CB0A75D}"/>
    <cellStyle name="Vírgula 7 2 4 8" xfId="18522" xr:uid="{34B5FCC0-2CA1-4B31-B0C3-FF0DEC054574}"/>
    <cellStyle name="Vírgula 7 2 4 8 2" xfId="38862" xr:uid="{A59F327B-62F1-48FF-AB06-4D93E2BB7B2F}"/>
    <cellStyle name="Vírgula 7 2 4 9" xfId="19110" xr:uid="{A7356F35-E5EB-4F64-86AA-B12A0C599559}"/>
    <cellStyle name="Vírgula 7 2 4 9 2" xfId="39449" xr:uid="{45D31D13-641D-4C4F-AEBE-7DCE4926FB28}"/>
    <cellStyle name="Vírgula 7 2 5" xfId="565" xr:uid="{B185473A-A7D3-4D16-A3F7-10200FE16788}"/>
    <cellStyle name="Vírgula 7 2 5 10" xfId="12178" xr:uid="{C11EDF84-83A2-4A52-8C34-BA02DFCEBD4F}"/>
    <cellStyle name="Vírgula 7 2 5 10 2" xfId="32519" xr:uid="{8C974135-1F0F-46BF-A7F8-1775D7E7A7F4}"/>
    <cellStyle name="Vírgula 7 2 5 11" xfId="8917" xr:uid="{2DF6D4B8-DFCB-4722-B468-B3CCE6E0A079}"/>
    <cellStyle name="Vírgula 7 2 5 11 2" xfId="29260" xr:uid="{864EA1B8-86DD-4DEE-AF27-B1235284E6B4}"/>
    <cellStyle name="Vírgula 7 2 5 12" xfId="25766" xr:uid="{1CA96EF6-2526-4090-94FA-C6213A201996}"/>
    <cellStyle name="Vírgula 7 2 5 13" xfId="46021" xr:uid="{9F401933-B8B8-4E41-BE23-37BC6A765743}"/>
    <cellStyle name="Vírgula 7 2 5 14" xfId="46507" xr:uid="{FF57E360-A5DC-4DBD-B153-F5D734EDA1EA}"/>
    <cellStyle name="Vírgula 7 2 5 15" xfId="46999" xr:uid="{0C789A8F-18E5-45BB-96EF-D3B2017A4539}"/>
    <cellStyle name="Vírgula 7 2 5 16" xfId="49306" xr:uid="{B5D5BF8C-4C4A-4354-9F83-864B5DCC01A0}"/>
    <cellStyle name="Vírgula 7 2 5 17" xfId="50976" xr:uid="{D0CFC374-1938-4B73-826E-8BF3B8328876}"/>
    <cellStyle name="Vírgula 7 2 5 18" xfId="54271" xr:uid="{6C0A2B0B-B301-4051-B584-65D621548B5E}"/>
    <cellStyle name="Vírgula 7 2 5 19" xfId="5434" xr:uid="{8096FE8D-FCB8-4F4B-93DF-7972074FFEC1}"/>
    <cellStyle name="Vírgula 7 2 5 2" xfId="4198" xr:uid="{FCD3CA40-4F3B-4C9A-8D38-AC1D632D6B6D}"/>
    <cellStyle name="Vírgula 7 2 5 2 10" xfId="46750" xr:uid="{6647B4AF-6341-484A-84DA-47B98C39F185}"/>
    <cellStyle name="Vírgula 7 2 5 2 11" xfId="47242" xr:uid="{A5363E37-850E-4A03-A9CC-DF2AD75BDD92}"/>
    <cellStyle name="Vírgula 7 2 5 2 12" xfId="52608" xr:uid="{67A0AD45-60DB-455A-BF61-2D6E6CD66F87}"/>
    <cellStyle name="Vírgula 7 2 5 2 13" xfId="55902" xr:uid="{32F6DB24-51B6-4517-9939-A312973C31F7}"/>
    <cellStyle name="Vírgula 7 2 5 2 14" xfId="5999" xr:uid="{63F6DAD8-B320-44D1-8758-C558CA523927}"/>
    <cellStyle name="Vírgula 7 2 5 2 15" xfId="5139" xr:uid="{26F282C6-8DEA-4284-BE87-01AC9287EFB7}"/>
    <cellStyle name="Vírgula 7 2 5 2 2" xfId="7157" xr:uid="{5A56991E-A424-4B9C-B43C-69C232AACEF6}"/>
    <cellStyle name="Vírgula 7 2 5 2 2 2" xfId="17443" xr:uid="{92451D41-AF36-481C-A457-144A06285160}"/>
    <cellStyle name="Vírgula 7 2 5 2 2 2 2" xfId="37783" xr:uid="{E5E0205F-652B-48CE-8DFE-90D0B4EBBD43}"/>
    <cellStyle name="Vírgula 7 2 5 2 2 3" xfId="20945" xr:uid="{C7F7DF1D-586C-40BC-9912-50A2D53A75E4}"/>
    <cellStyle name="Vírgula 7 2 5 2 2 3 2" xfId="41284" xr:uid="{2A7E9122-6947-4E41-8703-25AFD652BF2F}"/>
    <cellStyle name="Vírgula 7 2 5 2 2 4" xfId="24200" xr:uid="{97B284A5-7FC7-4857-B296-376EF4BD1D70}"/>
    <cellStyle name="Vírgula 7 2 5 2 2 4 2" xfId="44535" xr:uid="{14206E4B-0EAC-4A3C-AE5F-54852673095E}"/>
    <cellStyle name="Vírgula 7 2 5 2 2 5" xfId="14534" xr:uid="{BF72A7C3-C105-4B91-89A4-C9ACCFAC6FF0}"/>
    <cellStyle name="Vírgula 7 2 5 2 2 5 2" xfId="34875" xr:uid="{8EC0362E-8956-4A3C-8BF1-590B10924BC7}"/>
    <cellStyle name="Vírgula 7 2 5 2 2 6" xfId="10656" xr:uid="{D3152DE0-AC8B-4236-8DD0-7DF2F0FE99B2}"/>
    <cellStyle name="Vírgula 7 2 5 2 2 6 2" xfId="30999" xr:uid="{104DD1DA-5E52-4A96-BDED-2D51A5D9F3D2}"/>
    <cellStyle name="Vírgula 7 2 5 2 2 7" xfId="27505" xr:uid="{1F15BAEC-CDEF-489B-B32B-FC3E15C5C39E}"/>
    <cellStyle name="Vírgula 7 2 5 2 3" xfId="16285" xr:uid="{6C0BE1C6-FDE8-4D70-B22A-55CBD947A03A}"/>
    <cellStyle name="Vírgula 7 2 5 2 3 2" xfId="36625" xr:uid="{7A75943D-1B57-49B0-89AA-CD08CDFE6099}"/>
    <cellStyle name="Vírgula 7 2 5 2 4" xfId="19787" xr:uid="{73EBE20D-8BA9-449D-9FD7-B40FE2531448}"/>
    <cellStyle name="Vírgula 7 2 5 2 4 2" xfId="40126" xr:uid="{8BAC96F2-496F-4134-9486-1A5734926296}"/>
    <cellStyle name="Vírgula 7 2 5 2 5" xfId="23042" xr:uid="{50224410-7583-42EC-8F67-F34B39A3D4FA}"/>
    <cellStyle name="Vírgula 7 2 5 2 5 2" xfId="43377" xr:uid="{BBDE6A89-5DD3-4368-8A48-A90C70B9DFF5}"/>
    <cellStyle name="Vírgula 7 2 5 2 6" xfId="13376" xr:uid="{4E40C863-3BA2-4BBE-9958-22EF0E1A6434}"/>
    <cellStyle name="Vírgula 7 2 5 2 6 2" xfId="33717" xr:uid="{CE29F17C-FB9E-406C-BA44-4E4E998B426B}"/>
    <cellStyle name="Vírgula 7 2 5 2 7" xfId="9498" xr:uid="{79C02A26-78C0-4C13-A29B-0D1C6D5A30AC}"/>
    <cellStyle name="Vírgula 7 2 5 2 7 2" xfId="29841" xr:uid="{EC14E8AA-05C2-436F-B487-3AAC060A384D}"/>
    <cellStyle name="Vírgula 7 2 5 2 8" xfId="26347" xr:uid="{54025B13-DC01-42B1-A960-E05AC87C5EC0}"/>
    <cellStyle name="Vírgula 7 2 5 2 9" xfId="46264" xr:uid="{746EB19A-DD8E-414A-A2DB-2ED6AF6810E0}"/>
    <cellStyle name="Vírgula 7 2 5 20" xfId="4920" xr:uid="{83FC279D-2259-4A6F-BA48-76427951984F}"/>
    <cellStyle name="Vírgula 7 2 5 3" xfId="2281" xr:uid="{831C005C-F29C-4BF0-A74C-38EF9930E9B6}"/>
    <cellStyle name="Vírgula 7 2 5 3 2" xfId="16862" xr:uid="{749CC8A6-3050-442E-8E6E-07A56415456B}"/>
    <cellStyle name="Vírgula 7 2 5 3 2 2" xfId="37202" xr:uid="{850AE0EA-B77C-4B36-9FFE-F93139605F8C}"/>
    <cellStyle name="Vírgula 7 2 5 3 3" xfId="20364" xr:uid="{D90ED73A-F828-41DC-A212-E012FD4C8B50}"/>
    <cellStyle name="Vírgula 7 2 5 3 3 2" xfId="40703" xr:uid="{BFF69E33-227C-4974-B702-7959AAA4391A}"/>
    <cellStyle name="Vírgula 7 2 5 3 4" xfId="23619" xr:uid="{BD3959C4-1DA2-41FD-8476-9AB84566AD00}"/>
    <cellStyle name="Vírgula 7 2 5 3 4 2" xfId="43954" xr:uid="{53CB0DEF-0504-4781-8274-AF141684F375}"/>
    <cellStyle name="Vírgula 7 2 5 3 5" xfId="13953" xr:uid="{FD037795-BEB2-4503-94AE-8F30B63AB943}"/>
    <cellStyle name="Vírgula 7 2 5 3 5 2" xfId="34294" xr:uid="{FD7390AE-DACA-4308-8AB3-71281C091B88}"/>
    <cellStyle name="Vírgula 7 2 5 3 6" xfId="10075" xr:uid="{7D6652A1-D931-4B91-A28D-8989E8589A0D}"/>
    <cellStyle name="Vírgula 7 2 5 3 6 2" xfId="30418" xr:uid="{D2366CB4-B3EA-41FB-B4ED-8F7041678F18}"/>
    <cellStyle name="Vírgula 7 2 5 3 7" xfId="26924" xr:uid="{7148F811-54D5-4A2E-9147-A218476110C7}"/>
    <cellStyle name="Vírgula 7 2 5 3 8" xfId="56436" xr:uid="{8A8ECF34-EFB6-45EF-91D6-2EEBDE2D6E07}"/>
    <cellStyle name="Vírgula 7 2 5 3 9" xfId="6576" xr:uid="{C3AE55BA-A690-42BE-9D5E-5BA76911389C}"/>
    <cellStyle name="Vírgula 7 2 5 4" xfId="7740" xr:uid="{4500559D-9476-4C0C-8555-40AE4C5E906F}"/>
    <cellStyle name="Vírgula 7 2 5 4 2" xfId="18025" xr:uid="{7F3323FB-45DA-488A-B26E-A130F3078D16}"/>
    <cellStyle name="Vírgula 7 2 5 4 2 2" xfId="38365" xr:uid="{C93D63A3-5BF8-4828-B59D-43C71510745F}"/>
    <cellStyle name="Vírgula 7 2 5 4 3" xfId="21527" xr:uid="{B44E0F9A-5BBB-4958-BADB-360A3CC40C7E}"/>
    <cellStyle name="Vírgula 7 2 5 4 3 2" xfId="41866" xr:uid="{BE2B56F4-223A-476F-B3BF-404FDA289140}"/>
    <cellStyle name="Vírgula 7 2 5 4 4" xfId="24782" xr:uid="{97BBBD0D-769F-4B70-9758-91FD2F120E75}"/>
    <cellStyle name="Vírgula 7 2 5 4 4 2" xfId="45117" xr:uid="{FB56D868-1C82-46DC-A667-69488A39F0BF}"/>
    <cellStyle name="Vírgula 7 2 5 4 5" xfId="15117" xr:uid="{609E5A6D-1D69-40B4-BC84-E9E81DF89D38}"/>
    <cellStyle name="Vírgula 7 2 5 4 5 2" xfId="35457" xr:uid="{D5A18AFC-124C-4734-A8FA-E67D1B8249C9}"/>
    <cellStyle name="Vírgula 7 2 5 4 6" xfId="11238" xr:uid="{BA22763C-B606-4B12-A596-B8431F4E0C1C}"/>
    <cellStyle name="Vírgula 7 2 5 4 6 2" xfId="31581" xr:uid="{1291AE26-DA27-4CC9-B05D-F8B649D9DD49}"/>
    <cellStyle name="Vírgula 7 2 5 4 7" xfId="28087" xr:uid="{7D852C9B-9FC1-4E96-B997-678AFF0B6CB8}"/>
    <cellStyle name="Vírgula 7 2 5 5" xfId="8361" xr:uid="{2E1F7D66-FBA7-4186-A0C6-F12C8E588A68}"/>
    <cellStyle name="Vírgula 7 2 5 5 2" xfId="22148" xr:uid="{0B8C90C0-EAB8-442E-AF72-BDC719FD815D}"/>
    <cellStyle name="Vírgula 7 2 5 5 2 2" xfId="42484" xr:uid="{A5657854-C3CC-4A76-9438-131E0B74A48B}"/>
    <cellStyle name="Vírgula 7 2 5 5 3" xfId="25400" xr:uid="{A3E9D9CA-5843-4314-8B22-8AB8AEC38E31}"/>
    <cellStyle name="Vírgula 7 2 5 5 3 2" xfId="45735" xr:uid="{7A197B4E-CC35-417B-9F5A-67973E6C0E89}"/>
    <cellStyle name="Vírgula 7 2 5 5 4" xfId="12807" xr:uid="{9F6A55D8-4470-4A84-BDAF-E19DAF7B27EB}"/>
    <cellStyle name="Vírgula 7 2 5 5 4 2" xfId="33148" xr:uid="{E5C66300-5859-41E1-A2E0-19F0D2D64373}"/>
    <cellStyle name="Vírgula 7 2 5 5 5" xfId="11857" xr:uid="{7C5E78D1-AD6C-4DD7-AAA0-505A0C9B02C0}"/>
    <cellStyle name="Vírgula 7 2 5 5 5 2" xfId="32199" xr:uid="{A753CF76-FDAB-4EC5-92D5-BC97E68E4F38}"/>
    <cellStyle name="Vírgula 7 2 5 5 6" xfId="28705" xr:uid="{79B95562-ED25-4A77-8DEB-ED5B68901511}"/>
    <cellStyle name="Vírgula 7 2 5 6" xfId="8646" xr:uid="{3546418B-76CF-46A4-9923-D732E4213DEE}"/>
    <cellStyle name="Vírgula 7 2 5 6 2" xfId="15704" xr:uid="{C0EBA5A1-7B99-4CB8-A37B-F8C25A4DC176}"/>
    <cellStyle name="Vírgula 7 2 5 6 2 2" xfId="36044" xr:uid="{414EE6DC-5241-47FA-9A85-BE3F6F04C944}"/>
    <cellStyle name="Vírgula 7 2 5 6 3" xfId="28989" xr:uid="{B8707B26-784F-421E-8CC8-CCEBF5F06497}"/>
    <cellStyle name="Vírgula 7 2 5 7" xfId="18618" xr:uid="{C52008B2-E10D-432B-B0CA-A45A1553DCAA}"/>
    <cellStyle name="Vírgula 7 2 5 7 2" xfId="38958" xr:uid="{2B7A1FBE-F29A-4E57-A934-7B54C55C70F6}"/>
    <cellStyle name="Vírgula 7 2 5 8" xfId="19206" xr:uid="{B82695CF-55EC-4E30-B556-99D95AD4823C}"/>
    <cellStyle name="Vírgula 7 2 5 8 2" xfId="39545" xr:uid="{5F045E4F-0169-45BB-A8A0-AB1AEC5A000D}"/>
    <cellStyle name="Vírgula 7 2 5 9" xfId="22461" xr:uid="{DD421BB1-0176-47AF-A81F-743B25A2C882}"/>
    <cellStyle name="Vírgula 7 2 5 9 2" xfId="42796" xr:uid="{1FD5288B-BE2E-483D-A4E3-DA9781669A26}"/>
    <cellStyle name="Vírgula 7 2 6" xfId="3454" xr:uid="{18777145-25B8-4BFD-8D15-1A67E0B7FDF0}"/>
    <cellStyle name="Vírgula 7 2 6 10" xfId="12236" xr:uid="{8702D452-42F9-4BBE-9ED3-6774A313AAB5}"/>
    <cellStyle name="Vírgula 7 2 6 10 2" xfId="32577" xr:uid="{9F41C85C-795D-4D94-92D5-4106B2E15AD8}"/>
    <cellStyle name="Vírgula 7 2 6 11" xfId="8975" xr:uid="{F1C4097A-817A-4193-BEF4-87944E378211}"/>
    <cellStyle name="Vírgula 7 2 6 11 2" xfId="29318" xr:uid="{A9D06775-C526-42EB-AC3F-BCD64737CF9A}"/>
    <cellStyle name="Vírgula 7 2 6 12" xfId="25824" xr:uid="{094730AB-1CEF-4C1B-82E5-349BDCFECF55}"/>
    <cellStyle name="Vírgula 7 2 6 13" xfId="46062" xr:uid="{EC77F63E-BCA6-4096-AE08-29F11BBC2987}"/>
    <cellStyle name="Vírgula 7 2 6 14" xfId="46548" xr:uid="{47333F48-DD64-4888-8F1D-64788546B6DE}"/>
    <cellStyle name="Vírgula 7 2 6 15" xfId="47040" xr:uid="{A9F9A92A-9FD8-4904-A392-90475D2BF801}"/>
    <cellStyle name="Vírgula 7 2 6 16" xfId="52601" xr:uid="{E41CCEF9-208C-4FCA-A639-95B6D0C5B3C7}"/>
    <cellStyle name="Vírgula 7 2 6 17" xfId="55895" xr:uid="{0D9B86B7-8BF7-44C1-8D6F-2B7B4E2AB5A1}"/>
    <cellStyle name="Vírgula 7 2 6 18" xfId="5485" xr:uid="{12439763-1A16-449C-A567-FCF8A776851B}"/>
    <cellStyle name="Vírgula 7 2 6 19" xfId="4963" xr:uid="{5ED3B983-EBD9-4150-91E7-89BD34CB9E60}"/>
    <cellStyle name="Vírgula 7 2 6 2" xfId="6057" xr:uid="{9EF96D2E-7D08-41C4-B3FA-029CCFF7BF77}"/>
    <cellStyle name="Vírgula 7 2 6 2 2" xfId="7215" xr:uid="{CEF4CAFF-78BB-4D9A-9C77-F64373593C41}"/>
    <cellStyle name="Vírgula 7 2 6 2 2 2" xfId="17501" xr:uid="{76AE6171-9A21-4A51-A11C-5B7A348B1718}"/>
    <cellStyle name="Vírgula 7 2 6 2 2 2 2" xfId="37841" xr:uid="{9818A3F9-D03B-4B54-AE04-5C2C9EDBE14A}"/>
    <cellStyle name="Vírgula 7 2 6 2 2 3" xfId="21003" xr:uid="{477294B4-CA60-4914-B015-B0CC6C853C7B}"/>
    <cellStyle name="Vírgula 7 2 6 2 2 3 2" xfId="41342" xr:uid="{7CE84B5B-55DE-422F-B450-7083A46C19AC}"/>
    <cellStyle name="Vírgula 7 2 6 2 2 4" xfId="24258" xr:uid="{CA45A31C-DD05-4E6E-9AEB-CBBB237DBE3E}"/>
    <cellStyle name="Vírgula 7 2 6 2 2 4 2" xfId="44593" xr:uid="{23187C95-AB7A-4153-929F-380EEA2ACF48}"/>
    <cellStyle name="Vírgula 7 2 6 2 2 5" xfId="14592" xr:uid="{1FD89A3C-A977-4C3B-AFBF-1B3C093C140A}"/>
    <cellStyle name="Vírgula 7 2 6 2 2 5 2" xfId="34933" xr:uid="{60E585BA-2186-4EED-AFC0-55B4051B6388}"/>
    <cellStyle name="Vírgula 7 2 6 2 2 6" xfId="10714" xr:uid="{63F39EB0-904B-4522-8AED-F01EEC95D1EE}"/>
    <cellStyle name="Vírgula 7 2 6 2 2 6 2" xfId="31057" xr:uid="{0ACC8B42-926C-4173-8B58-732B89FAE12C}"/>
    <cellStyle name="Vírgula 7 2 6 2 2 7" xfId="27563" xr:uid="{7DC84015-87DA-4A94-BF14-76D568A05360}"/>
    <cellStyle name="Vírgula 7 2 6 2 3" xfId="16343" xr:uid="{D9523AA5-76C2-41BB-855F-5717035871FB}"/>
    <cellStyle name="Vírgula 7 2 6 2 3 2" xfId="36683" xr:uid="{A2E20B8D-2F61-4A6C-BB17-AFB5CAC8F3C2}"/>
    <cellStyle name="Vírgula 7 2 6 2 4" xfId="19845" xr:uid="{F478464A-98E5-4F37-A810-3CB53073403A}"/>
    <cellStyle name="Vírgula 7 2 6 2 4 2" xfId="40184" xr:uid="{0BEEDE4A-6235-4C97-967B-14953C6A0439}"/>
    <cellStyle name="Vírgula 7 2 6 2 5" xfId="23100" xr:uid="{903B4810-A097-4B35-B703-1F51A6E81282}"/>
    <cellStyle name="Vírgula 7 2 6 2 5 2" xfId="43435" xr:uid="{33352460-F860-4864-9A2D-4D75792129E7}"/>
    <cellStyle name="Vírgula 7 2 6 2 6" xfId="13434" xr:uid="{AD65A726-85D5-481F-A551-4939F88E2FAE}"/>
    <cellStyle name="Vírgula 7 2 6 2 6 2" xfId="33775" xr:uid="{BDB7199F-B19D-4AA4-9C0D-82002B79F92C}"/>
    <cellStyle name="Vírgula 7 2 6 2 7" xfId="9556" xr:uid="{FE2466C2-4C64-4D39-B9EE-D7926EEB7597}"/>
    <cellStyle name="Vírgula 7 2 6 2 7 2" xfId="29899" xr:uid="{B8C3441A-5AC9-4B32-9E35-B38A10513E75}"/>
    <cellStyle name="Vírgula 7 2 6 2 8" xfId="26405" xr:uid="{07129839-8550-43ED-BFC0-7DF93F251CC7}"/>
    <cellStyle name="Vírgula 7 2 6 3" xfId="6634" xr:uid="{D54FA3A6-FEC4-4C5B-80BF-86ADC6BBF92C}"/>
    <cellStyle name="Vírgula 7 2 6 3 2" xfId="16920" xr:uid="{9A6E1CEA-5E1F-486B-A5F7-22BD4A8ED803}"/>
    <cellStyle name="Vírgula 7 2 6 3 2 2" xfId="37260" xr:uid="{B744EB7C-90D9-4178-BF9B-94341B864566}"/>
    <cellStyle name="Vírgula 7 2 6 3 3" xfId="20422" xr:uid="{96A9B3DC-67F9-4AA1-9E58-36AD9C283DDD}"/>
    <cellStyle name="Vírgula 7 2 6 3 3 2" xfId="40761" xr:uid="{6CD870EA-92E4-4655-898F-49517ECEEDBD}"/>
    <cellStyle name="Vírgula 7 2 6 3 4" xfId="23677" xr:uid="{5038BE88-70E1-4FCE-9F53-FB96FD5A56FA}"/>
    <cellStyle name="Vírgula 7 2 6 3 4 2" xfId="44012" xr:uid="{34BCC7D3-8EF4-404F-9DCA-71633DD1EA61}"/>
    <cellStyle name="Vírgula 7 2 6 3 5" xfId="14011" xr:uid="{9791185F-36E9-459B-94E0-1D5CE73EF5CA}"/>
    <cellStyle name="Vírgula 7 2 6 3 5 2" xfId="34352" xr:uid="{31118822-5C44-4E20-AA58-DFDC6FD48FD1}"/>
    <cellStyle name="Vírgula 7 2 6 3 6" xfId="10133" xr:uid="{1FA15499-794F-4D22-8992-E5EABE436050}"/>
    <cellStyle name="Vírgula 7 2 6 3 6 2" xfId="30476" xr:uid="{D9CAA345-CD2A-4AD1-8893-8904B0ABE132}"/>
    <cellStyle name="Vírgula 7 2 6 3 7" xfId="26982" xr:uid="{F1FEDF93-5B8B-4F93-AE39-DC174C9D9B40}"/>
    <cellStyle name="Vírgula 7 2 6 4" xfId="7798" xr:uid="{D2A65876-000A-4CC5-B49A-CA5D83835F8C}"/>
    <cellStyle name="Vírgula 7 2 6 4 2" xfId="18083" xr:uid="{16D9305F-3DD4-4103-A47C-C4C8D4823CC6}"/>
    <cellStyle name="Vírgula 7 2 6 4 2 2" xfId="38423" xr:uid="{E5C3241B-720A-4702-8F29-4E0A2E105FE9}"/>
    <cellStyle name="Vírgula 7 2 6 4 3" xfId="21585" xr:uid="{F25B50B8-0A30-4339-9215-5701E94D5DA2}"/>
    <cellStyle name="Vírgula 7 2 6 4 3 2" xfId="41924" xr:uid="{CCAC1AE9-4B47-4291-B5B4-229E331D7AD1}"/>
    <cellStyle name="Vírgula 7 2 6 4 4" xfId="24840" xr:uid="{2AB4C422-9639-4210-AA51-367706305C79}"/>
    <cellStyle name="Vírgula 7 2 6 4 4 2" xfId="45175" xr:uid="{AC62DEBB-FE9B-4AEA-A6CC-FDECE49BCCDD}"/>
    <cellStyle name="Vírgula 7 2 6 4 5" xfId="15175" xr:uid="{1FC97846-57B8-4618-904D-41341E8F7A03}"/>
    <cellStyle name="Vírgula 7 2 6 4 5 2" xfId="35515" xr:uid="{9FE83141-9D4D-4A42-9D07-DE3B5C23567C}"/>
    <cellStyle name="Vírgula 7 2 6 4 6" xfId="11296" xr:uid="{1B111978-E06C-46D3-8418-778EC3C91126}"/>
    <cellStyle name="Vírgula 7 2 6 4 6 2" xfId="31639" xr:uid="{B2BC5B8D-BE99-4677-9D4E-DF6DE9B1C99F}"/>
    <cellStyle name="Vírgula 7 2 6 4 7" xfId="28145" xr:uid="{FDA73CCE-1AA2-418C-BA65-50F8CA6C621F}"/>
    <cellStyle name="Vírgula 7 2 6 5" xfId="8362" xr:uid="{FF337735-A3FA-467F-8C48-856B31EB8E2F}"/>
    <cellStyle name="Vírgula 7 2 6 5 2" xfId="22149" xr:uid="{17538799-734A-4E59-A3D4-944A9255A17B}"/>
    <cellStyle name="Vírgula 7 2 6 5 2 2" xfId="42485" xr:uid="{80FF60A1-25A4-47A6-9E7E-FFAFD75127D4}"/>
    <cellStyle name="Vírgula 7 2 6 5 3" xfId="25401" xr:uid="{1B90FD7F-A0D9-4235-A5E5-79DF0D84A0F4}"/>
    <cellStyle name="Vírgula 7 2 6 5 3 2" xfId="45736" xr:uid="{EEF37EDD-9076-41B3-8403-1D45B5AFC2DE}"/>
    <cellStyle name="Vírgula 7 2 6 5 4" xfId="12865" xr:uid="{630E5EA0-85DA-4381-807C-85E938D88D68}"/>
    <cellStyle name="Vírgula 7 2 6 5 4 2" xfId="33206" xr:uid="{1331DC5D-E5C3-4555-BD34-9B2331C75AD3}"/>
    <cellStyle name="Vírgula 7 2 6 5 5" xfId="11858" xr:uid="{DEAD40A7-5DE6-4D93-8362-1761A704E91D}"/>
    <cellStyle name="Vírgula 7 2 6 5 5 2" xfId="32200" xr:uid="{4BD1525C-3F15-4FB0-89E3-214E77ADB7AA}"/>
    <cellStyle name="Vírgula 7 2 6 5 6" xfId="28706" xr:uid="{E0A20E97-11FF-496B-8CF2-6E84010873C7}"/>
    <cellStyle name="Vírgula 7 2 6 6" xfId="15762" xr:uid="{F249CF6B-D257-4546-BD52-CEE251BBA625}"/>
    <cellStyle name="Vírgula 7 2 6 6 2" xfId="36102" xr:uid="{3917AE3E-1E4F-4849-B039-F871A8A0FA12}"/>
    <cellStyle name="Vírgula 7 2 6 7" xfId="18676" xr:uid="{CC9F668D-25A8-47CE-A331-AE0CE4E212C5}"/>
    <cellStyle name="Vírgula 7 2 6 7 2" xfId="39016" xr:uid="{AA976B64-ECF9-478F-9059-D61B571EB034}"/>
    <cellStyle name="Vírgula 7 2 6 8" xfId="19264" xr:uid="{9794A3CE-28B8-4043-B58D-099D840E8EFA}"/>
    <cellStyle name="Vírgula 7 2 6 8 2" xfId="39603" xr:uid="{A48E06AB-17AC-4091-8D47-96595DEE4E7D}"/>
    <cellStyle name="Vírgula 7 2 6 9" xfId="22519" xr:uid="{1DCB3A42-D142-490A-AFD1-1AF3190DA1F1}"/>
    <cellStyle name="Vírgula 7 2 6 9 2" xfId="42854" xr:uid="{E9465DC5-DEFA-49D1-AA26-DEC36C31BDBE}"/>
    <cellStyle name="Vírgula 7 2 7" xfId="3855" xr:uid="{D907C8D8-C38B-48BB-8D2B-FD741B071591}"/>
    <cellStyle name="Vírgula 7 2 7 10" xfId="12311" xr:uid="{694D8E00-0B14-4A79-BE6D-9B1AB942A5F6}"/>
    <cellStyle name="Vírgula 7 2 7 10 2" xfId="32652" xr:uid="{6E4524B8-9B59-4958-BFA4-1E8660596F2C}"/>
    <cellStyle name="Vírgula 7 2 7 11" xfId="9050" xr:uid="{3D6597D1-D024-478B-9406-13C4D8D164CA}"/>
    <cellStyle name="Vírgula 7 2 7 11 2" xfId="29393" xr:uid="{31178BE2-F42C-4D51-A8E5-186448683374}"/>
    <cellStyle name="Vírgula 7 2 7 12" xfId="25899" xr:uid="{949E57CD-0999-4FFC-AE06-6F8203B8EFC6}"/>
    <cellStyle name="Vírgula 7 2 7 13" xfId="56027" xr:uid="{2F6A99EF-304D-4CB0-A5A5-22FC5B1BCC57}"/>
    <cellStyle name="Vírgula 7 2 7 14" xfId="5560" xr:uid="{A9043BA3-36D7-4A76-8FB6-0DDFD1277D6F}"/>
    <cellStyle name="Vírgula 7 2 7 15" xfId="4793" xr:uid="{7F7C5F12-6DF3-4665-B588-32134D280F2B}"/>
    <cellStyle name="Vírgula 7 2 7 2" xfId="6132" xr:uid="{5DCA2E27-2855-4FF8-A6FA-42C0B35505C9}"/>
    <cellStyle name="Vírgula 7 2 7 2 2" xfId="7290" xr:uid="{F17291F7-9AA2-4712-819E-853A36DA4564}"/>
    <cellStyle name="Vírgula 7 2 7 2 2 2" xfId="17576" xr:uid="{CD9D6F64-622C-4AC4-99DA-475B426F7B9E}"/>
    <cellStyle name="Vírgula 7 2 7 2 2 2 2" xfId="37916" xr:uid="{D48C9395-6B7E-439E-84C7-0FA7B4D1C026}"/>
    <cellStyle name="Vírgula 7 2 7 2 2 3" xfId="21078" xr:uid="{8AD72150-306D-493C-9529-0243BB3E0A6D}"/>
    <cellStyle name="Vírgula 7 2 7 2 2 3 2" xfId="41417" xr:uid="{AE723AA6-EA01-45C9-BB55-C4D0EA1DB95B}"/>
    <cellStyle name="Vírgula 7 2 7 2 2 4" xfId="24333" xr:uid="{3EF2B66D-428F-435C-8CE2-F3A65F4558FD}"/>
    <cellStyle name="Vírgula 7 2 7 2 2 4 2" xfId="44668" xr:uid="{8BE723CD-C99D-465A-BE27-219C2BACA315}"/>
    <cellStyle name="Vírgula 7 2 7 2 2 5" xfId="14667" xr:uid="{1904A365-BEC0-436C-B030-7CEE9BA00169}"/>
    <cellStyle name="Vírgula 7 2 7 2 2 5 2" xfId="35008" xr:uid="{0AFA9ABE-0926-4D46-8271-408572BEA283}"/>
    <cellStyle name="Vírgula 7 2 7 2 2 6" xfId="10789" xr:uid="{77E02381-9999-4448-81FD-5B377B4A0887}"/>
    <cellStyle name="Vírgula 7 2 7 2 2 6 2" xfId="31132" xr:uid="{B8B682CE-99D9-4C03-BBF7-7695413A0C8F}"/>
    <cellStyle name="Vírgula 7 2 7 2 2 7" xfId="27638" xr:uid="{65D7EBA6-D375-4032-AE70-56355232C75C}"/>
    <cellStyle name="Vírgula 7 2 7 2 3" xfId="16418" xr:uid="{05F54242-CB9A-461F-BC27-45293B0F989B}"/>
    <cellStyle name="Vírgula 7 2 7 2 3 2" xfId="36758" xr:uid="{08FFDD72-CC77-469F-A862-C5959FCA4B8F}"/>
    <cellStyle name="Vírgula 7 2 7 2 4" xfId="19920" xr:uid="{7B0DB9FE-C124-41C5-95FE-0DCB39F4526D}"/>
    <cellStyle name="Vírgula 7 2 7 2 4 2" xfId="40259" xr:uid="{61CAEB20-34B3-460D-91AC-A36A6EF2453D}"/>
    <cellStyle name="Vírgula 7 2 7 2 5" xfId="23175" xr:uid="{4D15BE2A-3CD2-44FF-B857-CBD193C07BF8}"/>
    <cellStyle name="Vírgula 7 2 7 2 5 2" xfId="43510" xr:uid="{6805016C-B4EA-48D3-A11E-7B6A1D315175}"/>
    <cellStyle name="Vírgula 7 2 7 2 6" xfId="13509" xr:uid="{49D87936-349F-4F72-8FCC-4BD3B88CB985}"/>
    <cellStyle name="Vírgula 7 2 7 2 6 2" xfId="33850" xr:uid="{036C96E2-4B46-452C-856A-FF3CBFBD5F3A}"/>
    <cellStyle name="Vírgula 7 2 7 2 7" xfId="9631" xr:uid="{B48462C1-D9E4-40AB-BA7F-FC06B1752185}"/>
    <cellStyle name="Vírgula 7 2 7 2 7 2" xfId="29974" xr:uid="{CA13857D-5AE7-4853-8936-4C8D50F26A15}"/>
    <cellStyle name="Vírgula 7 2 7 2 8" xfId="26480" xr:uid="{C2FCA1CF-A11A-4CAC-8289-58AA32331FF0}"/>
    <cellStyle name="Vírgula 7 2 7 3" xfId="6709" xr:uid="{0EC31FBC-4651-42F9-A2E2-F9797EDC80B0}"/>
    <cellStyle name="Vírgula 7 2 7 3 2" xfId="16995" xr:uid="{6F37E0E5-30D7-492A-8D62-5A7FEFF15F4C}"/>
    <cellStyle name="Vírgula 7 2 7 3 2 2" xfId="37335" xr:uid="{648A3015-3C80-4D0A-A063-AAD2AFDF7589}"/>
    <cellStyle name="Vírgula 7 2 7 3 3" xfId="20497" xr:uid="{0E0B4EF3-F5F8-4969-8E2E-0C39F596D0DA}"/>
    <cellStyle name="Vírgula 7 2 7 3 3 2" xfId="40836" xr:uid="{E4E6296B-85BC-4684-A365-8C5880839D73}"/>
    <cellStyle name="Vírgula 7 2 7 3 4" xfId="23752" xr:uid="{041BC77F-8AF9-43CF-BB45-3E1F0F797721}"/>
    <cellStyle name="Vírgula 7 2 7 3 4 2" xfId="44087" xr:uid="{686681DE-FF0B-425C-A327-02EA0830866F}"/>
    <cellStyle name="Vírgula 7 2 7 3 5" xfId="14086" xr:uid="{DB348542-7ED5-40BB-9430-57B166F53760}"/>
    <cellStyle name="Vírgula 7 2 7 3 5 2" xfId="34427" xr:uid="{6A52F946-A586-4DB6-9195-E1763D2273A7}"/>
    <cellStyle name="Vírgula 7 2 7 3 6" xfId="10208" xr:uid="{F36151AA-2AF3-47C4-ACD1-9455B8BD44B0}"/>
    <cellStyle name="Vírgula 7 2 7 3 6 2" xfId="30551" xr:uid="{FB3D1CFC-0D3A-473C-9042-AD100F47A176}"/>
    <cellStyle name="Vírgula 7 2 7 3 7" xfId="27057" xr:uid="{E0064C37-91B5-47AE-A204-783641FBBF84}"/>
    <cellStyle name="Vírgula 7 2 7 4" xfId="7873" xr:uid="{B6AFD209-83E3-4900-90CA-8597C08CBE8A}"/>
    <cellStyle name="Vírgula 7 2 7 4 2" xfId="18158" xr:uid="{13F17884-43A5-4E5E-AB5D-68F209CA10A8}"/>
    <cellStyle name="Vírgula 7 2 7 4 2 2" xfId="38498" xr:uid="{90E06765-6059-4796-82F3-94D25C76FBFE}"/>
    <cellStyle name="Vírgula 7 2 7 4 3" xfId="21660" xr:uid="{D97ECD08-2A91-4A2D-86B0-143B6B1C2A6C}"/>
    <cellStyle name="Vírgula 7 2 7 4 3 2" xfId="41999" xr:uid="{73F2609A-5D63-48A4-9BDF-B940326285CD}"/>
    <cellStyle name="Vírgula 7 2 7 4 4" xfId="24915" xr:uid="{75B6DFA8-F427-44B6-8B2E-25CE18EE9412}"/>
    <cellStyle name="Vírgula 7 2 7 4 4 2" xfId="45250" xr:uid="{FE9551D7-0538-4EEB-B8B6-26CDE73119A4}"/>
    <cellStyle name="Vírgula 7 2 7 4 5" xfId="15250" xr:uid="{8B35F3D1-002B-43D0-BB79-6466EB0E0CFB}"/>
    <cellStyle name="Vírgula 7 2 7 4 5 2" xfId="35590" xr:uid="{D99C321E-E9B1-471D-AAEA-1BB431AC5F2F}"/>
    <cellStyle name="Vírgula 7 2 7 4 6" xfId="11371" xr:uid="{E628D2F8-1E88-472D-B6D2-B6587F9BB44F}"/>
    <cellStyle name="Vírgula 7 2 7 4 6 2" xfId="31714" xr:uid="{1DB604CE-831D-46AB-AA11-99591AF1675A}"/>
    <cellStyle name="Vírgula 7 2 7 4 7" xfId="28220" xr:uid="{453DD727-8D03-43F4-BDB1-85557BCABC26}"/>
    <cellStyle name="Vírgula 7 2 7 5" xfId="12940" xr:uid="{DE308102-1C37-4B57-AA2E-60F0F51C31BA}"/>
    <cellStyle name="Vírgula 7 2 7 5 2" xfId="33281" xr:uid="{5494F1D7-8966-430B-8C23-A84894021B23}"/>
    <cellStyle name="Vírgula 7 2 7 6" xfId="15837" xr:uid="{37550910-3EF5-4127-B577-CA9204F05397}"/>
    <cellStyle name="Vírgula 7 2 7 6 2" xfId="36177" xr:uid="{CB8D1AF1-4551-45A7-82DE-7F69CFAAFA55}"/>
    <cellStyle name="Vírgula 7 2 7 7" xfId="18751" xr:uid="{81BB7C3F-8717-49F6-AF44-03A92736FF4E}"/>
    <cellStyle name="Vírgula 7 2 7 7 2" xfId="39091" xr:uid="{1FD3570E-C646-43F5-BF6C-EC383A3478F1}"/>
    <cellStyle name="Vírgula 7 2 7 8" xfId="19339" xr:uid="{8B7298D3-299E-4BF1-9944-02A8FADADFF3}"/>
    <cellStyle name="Vírgula 7 2 7 8 2" xfId="39678" xr:uid="{B57BA307-EDBA-467C-A3C6-C495AFD2DBA3}"/>
    <cellStyle name="Vírgula 7 2 7 9" xfId="22594" xr:uid="{7C7BF8C5-91F4-4B93-AAFC-F913B0D79209}"/>
    <cellStyle name="Vírgula 7 2 7 9 2" xfId="42929" xr:uid="{1FD4236A-85F3-4260-8F30-C81E8BEE753A}"/>
    <cellStyle name="Vírgula 7 2 8" xfId="1803" xr:uid="{EB1B6DC1-F9A2-49E9-A476-9BD9783D8595}"/>
    <cellStyle name="Vírgula 7 2 8 10" xfId="12409" xr:uid="{F358489E-6A63-4BB8-9E48-1FCA07801753}"/>
    <cellStyle name="Vírgula 7 2 8 10 2" xfId="32750" xr:uid="{2ADC5163-505D-44C4-A6DF-A50C72261ADD}"/>
    <cellStyle name="Vírgula 7 2 8 11" xfId="9148" xr:uid="{D70EDECB-12CC-40BE-98A3-FFFBB8B561A1}"/>
    <cellStyle name="Vírgula 7 2 8 11 2" xfId="29491" xr:uid="{C3C48D0D-F326-4226-A615-28EE70E35407}"/>
    <cellStyle name="Vírgula 7 2 8 12" xfId="25997" xr:uid="{0246A561-C46C-44D5-B863-D0F2B2A04586}"/>
    <cellStyle name="Vírgula 7 2 8 13" xfId="5658" xr:uid="{ECA08225-437E-4B7B-931F-4AD66E40E267}"/>
    <cellStyle name="Vírgula 7 2 8 2" xfId="6230" xr:uid="{11271FB6-FAF4-4E24-BB87-2D32CABCE0ED}"/>
    <cellStyle name="Vírgula 7 2 8 2 2" xfId="7388" xr:uid="{2A017626-D247-489D-973E-BF4F3A6E4F54}"/>
    <cellStyle name="Vírgula 7 2 8 2 2 2" xfId="17674" xr:uid="{53354E24-A17D-4EF8-B0B0-CFF0694FBADA}"/>
    <cellStyle name="Vírgula 7 2 8 2 2 2 2" xfId="38014" xr:uid="{13157CE7-C66B-45EC-9776-E595F8EBE42C}"/>
    <cellStyle name="Vírgula 7 2 8 2 2 3" xfId="21176" xr:uid="{3746925E-C23E-419B-82B2-1E3C849706C4}"/>
    <cellStyle name="Vírgula 7 2 8 2 2 3 2" xfId="41515" xr:uid="{26345390-D432-42D3-9A73-9D054E5C998D}"/>
    <cellStyle name="Vírgula 7 2 8 2 2 4" xfId="24431" xr:uid="{41F4978C-192D-4CCF-87AE-CA0358790A79}"/>
    <cellStyle name="Vírgula 7 2 8 2 2 4 2" xfId="44766" xr:uid="{BD5FB0C0-A786-4B3A-9E44-80BEBCB5BB70}"/>
    <cellStyle name="Vírgula 7 2 8 2 2 5" xfId="14765" xr:uid="{5630C8D4-2DA1-473C-AC1A-A0344894C1C8}"/>
    <cellStyle name="Vírgula 7 2 8 2 2 5 2" xfId="35106" xr:uid="{722C8EA4-0487-4355-8605-9F40E3C4F9A1}"/>
    <cellStyle name="Vírgula 7 2 8 2 2 6" xfId="10887" xr:uid="{84747AF6-7C00-4A07-A73C-897E13BCE5EC}"/>
    <cellStyle name="Vírgula 7 2 8 2 2 6 2" xfId="31230" xr:uid="{10B45A8E-1B48-4B4C-B850-B727E17D9354}"/>
    <cellStyle name="Vírgula 7 2 8 2 2 7" xfId="27736" xr:uid="{8C63D95B-78AA-4F91-AC9A-3EBE81FC0CEB}"/>
    <cellStyle name="Vírgula 7 2 8 2 3" xfId="16516" xr:uid="{7B1CB99F-07CE-45B9-AE25-C0C2C5975EFC}"/>
    <cellStyle name="Vírgula 7 2 8 2 3 2" xfId="36856" xr:uid="{2C45E307-05B3-4B83-BAD2-03A62E5D339E}"/>
    <cellStyle name="Vírgula 7 2 8 2 4" xfId="20018" xr:uid="{6BACACFD-9635-4798-A6DC-AD051097916D}"/>
    <cellStyle name="Vírgula 7 2 8 2 4 2" xfId="40357" xr:uid="{BC880541-0FC8-4B97-AFD0-0548CA145A31}"/>
    <cellStyle name="Vírgula 7 2 8 2 5" xfId="23273" xr:uid="{F78B008A-97BC-47BE-8476-BBAA14FCF3A0}"/>
    <cellStyle name="Vírgula 7 2 8 2 5 2" xfId="43608" xr:uid="{9F83D60C-E9E9-40E3-A51F-188CD5A7DEC8}"/>
    <cellStyle name="Vírgula 7 2 8 2 6" xfId="13607" xr:uid="{06463F98-374E-4868-A77F-644E65D3572A}"/>
    <cellStyle name="Vírgula 7 2 8 2 6 2" xfId="33948" xr:uid="{21F727D6-B6CD-453E-8CDC-2816896AE823}"/>
    <cellStyle name="Vírgula 7 2 8 2 7" xfId="9729" xr:uid="{C51294E0-594E-47D0-AA40-20149DDB7774}"/>
    <cellStyle name="Vírgula 7 2 8 2 7 2" xfId="30072" xr:uid="{69F308F5-8C7B-40D8-934D-6C2192B1502E}"/>
    <cellStyle name="Vírgula 7 2 8 2 8" xfId="26578" xr:uid="{710DEEB3-B667-42E9-8E82-2519D3A3BCEB}"/>
    <cellStyle name="Vírgula 7 2 8 3" xfId="6807" xr:uid="{FAC5FD92-0DC4-45E2-B889-05EC69F3F222}"/>
    <cellStyle name="Vírgula 7 2 8 3 2" xfId="17093" xr:uid="{2C6B80D1-7101-427B-951D-A717C92CF86B}"/>
    <cellStyle name="Vírgula 7 2 8 3 2 2" xfId="37433" xr:uid="{FECEB568-577D-422A-BFB0-E7D43522CF9E}"/>
    <cellStyle name="Vírgula 7 2 8 3 3" xfId="20595" xr:uid="{5A1E3254-064B-402F-A28B-5A905353E198}"/>
    <cellStyle name="Vírgula 7 2 8 3 3 2" xfId="40934" xr:uid="{C04F0E4E-A5A0-4251-9B59-77DF8C17D224}"/>
    <cellStyle name="Vírgula 7 2 8 3 4" xfId="23850" xr:uid="{90D08FD1-6536-45E3-AA17-FD67C1327822}"/>
    <cellStyle name="Vírgula 7 2 8 3 4 2" xfId="44185" xr:uid="{E15D89C9-071A-4642-ADDE-8AA0D1FCFD22}"/>
    <cellStyle name="Vírgula 7 2 8 3 5" xfId="14184" xr:uid="{89C1788D-8865-449C-9CD7-7A2C92D8EC45}"/>
    <cellStyle name="Vírgula 7 2 8 3 5 2" xfId="34525" xr:uid="{9BD7B20A-5D58-45E8-9CB1-56E0DFDB4195}"/>
    <cellStyle name="Vírgula 7 2 8 3 6" xfId="10306" xr:uid="{99AEEA34-2B18-4F2D-A914-CBA122F61AEF}"/>
    <cellStyle name="Vírgula 7 2 8 3 6 2" xfId="30649" xr:uid="{E6D82150-792D-4C19-B611-371AB1502A5A}"/>
    <cellStyle name="Vírgula 7 2 8 3 7" xfId="27155" xr:uid="{18E7A766-8FCE-4F90-B47E-9DC744AD6D75}"/>
    <cellStyle name="Vírgula 7 2 8 4" xfId="7971" xr:uid="{6F31B736-3EB0-429E-8AAE-67BA6B550A6C}"/>
    <cellStyle name="Vírgula 7 2 8 4 2" xfId="18256" xr:uid="{A240669D-17E4-4122-8DB9-BE940D0AE342}"/>
    <cellStyle name="Vírgula 7 2 8 4 2 2" xfId="38596" xr:uid="{B77A422B-06BE-4640-9407-9D7AD1AE4E50}"/>
    <cellStyle name="Vírgula 7 2 8 4 3" xfId="21758" xr:uid="{B2C6658B-C191-4341-A9D0-D3263E742850}"/>
    <cellStyle name="Vírgula 7 2 8 4 3 2" xfId="42097" xr:uid="{AA20E402-3817-4EAC-A875-8401162E77F7}"/>
    <cellStyle name="Vírgula 7 2 8 4 4" xfId="25013" xr:uid="{30D4E389-5E61-4459-8618-1860C18ED68E}"/>
    <cellStyle name="Vírgula 7 2 8 4 4 2" xfId="45348" xr:uid="{FE20F456-5C1D-4923-9F55-5E48136B67F3}"/>
    <cellStyle name="Vírgula 7 2 8 4 5" xfId="15348" xr:uid="{BF855BC8-FA27-4873-B549-0B1D4283B260}"/>
    <cellStyle name="Vírgula 7 2 8 4 5 2" xfId="35688" xr:uid="{1F593994-B1DC-4949-A94C-4C6E2F46369B}"/>
    <cellStyle name="Vírgula 7 2 8 4 6" xfId="11469" xr:uid="{2D01A563-35D2-4B0C-B603-42FAD22B17FD}"/>
    <cellStyle name="Vírgula 7 2 8 4 6 2" xfId="31812" xr:uid="{094606B5-BDC0-4EE7-B4D9-4800440BB29E}"/>
    <cellStyle name="Vírgula 7 2 8 4 7" xfId="28318" xr:uid="{33D48D16-C1D0-445F-B12C-7599DD12D50F}"/>
    <cellStyle name="Vírgula 7 2 8 5" xfId="13038" xr:uid="{A1C59FA3-5BFA-45B9-A418-6B6FD899E89C}"/>
    <cellStyle name="Vírgula 7 2 8 5 2" xfId="33379" xr:uid="{682C385B-D4FE-4144-986E-8CEA7CA73F67}"/>
    <cellStyle name="Vírgula 7 2 8 6" xfId="15935" xr:uid="{789B855F-7571-42E0-8436-AAF85A3BF014}"/>
    <cellStyle name="Vírgula 7 2 8 6 2" xfId="36275" xr:uid="{4CCB39F7-4656-4487-BD92-5A4AC2B58009}"/>
    <cellStyle name="Vírgula 7 2 8 7" xfId="18849" xr:uid="{1EAF0C52-8739-431F-93FA-905C9F996AD7}"/>
    <cellStyle name="Vírgula 7 2 8 7 2" xfId="39189" xr:uid="{44E29B1C-4200-44C5-ADB5-C2D5A943A1DA}"/>
    <cellStyle name="Vírgula 7 2 8 8" xfId="19437" xr:uid="{7E8FF3E0-54D9-4AC2-BBC1-60EBDFF109F9}"/>
    <cellStyle name="Vírgula 7 2 8 8 2" xfId="39776" xr:uid="{7D05A1E2-D0C6-4603-AE5E-486254312FF6}"/>
    <cellStyle name="Vírgula 7 2 8 9" xfId="22692" xr:uid="{B1796528-5B96-491D-B457-0DDF38912661}"/>
    <cellStyle name="Vírgula 7 2 8 9 2" xfId="43027" xr:uid="{17452CDD-C366-4A49-822C-9D33E2E94303}"/>
    <cellStyle name="Vírgula 7 2 9" xfId="5788" xr:uid="{5218BA09-6CB5-406A-9BC8-7599923BAD9D}"/>
    <cellStyle name="Vírgula 7 2 9 2" xfId="6946" xr:uid="{4924EE57-FED2-47A6-B9A8-0E7E3C8DD412}"/>
    <cellStyle name="Vírgula 7 2 9 2 2" xfId="17232" xr:uid="{863CAF24-D1F3-4951-9F74-4BD543E90DCA}"/>
    <cellStyle name="Vírgula 7 2 9 2 2 2" xfId="37572" xr:uid="{1510C707-4258-479E-B416-847AE731B392}"/>
    <cellStyle name="Vírgula 7 2 9 2 3" xfId="20734" xr:uid="{CAE7DB77-45B6-4D42-9FF9-C6484FC69B82}"/>
    <cellStyle name="Vírgula 7 2 9 2 3 2" xfId="41073" xr:uid="{E45622CB-0052-40E1-97E3-2D85A1BF3B3A}"/>
    <cellStyle name="Vírgula 7 2 9 2 4" xfId="23989" xr:uid="{9389702E-8D02-4F92-9158-C0247E1CACC6}"/>
    <cellStyle name="Vírgula 7 2 9 2 4 2" xfId="44324" xr:uid="{0B0A0CF9-18E9-448F-99B4-593D0D6C6191}"/>
    <cellStyle name="Vírgula 7 2 9 2 5" xfId="14323" xr:uid="{440455E6-873F-4C11-BE38-386CD96FBF7B}"/>
    <cellStyle name="Vírgula 7 2 9 2 5 2" xfId="34664" xr:uid="{A4147D4A-E2D7-4547-ABC1-7BCE7AC435BE}"/>
    <cellStyle name="Vírgula 7 2 9 2 6" xfId="10445" xr:uid="{251E7B93-57DA-4345-9C90-42A2D8C2F0B4}"/>
    <cellStyle name="Vírgula 7 2 9 2 6 2" xfId="30788" xr:uid="{8BADF3AF-F4A1-4CF3-BD72-D9020CB14C71}"/>
    <cellStyle name="Vírgula 7 2 9 2 7" xfId="27294" xr:uid="{ED91BE3F-8F2B-4CC3-A6BB-467B0DB3BBDC}"/>
    <cellStyle name="Vírgula 7 2 9 3" xfId="16074" xr:uid="{313011A0-6F27-4269-B07D-4C92BCF47B7E}"/>
    <cellStyle name="Vírgula 7 2 9 3 2" xfId="36414" xr:uid="{DAAC896F-D7C1-4C4E-99D6-4890DBCC4F2C}"/>
    <cellStyle name="Vírgula 7 2 9 4" xfId="19576" xr:uid="{915FEE0A-2E56-46CB-91D1-6A2097388524}"/>
    <cellStyle name="Vírgula 7 2 9 4 2" xfId="39915" xr:uid="{0F4D9F54-0BA9-4639-9946-4C795367F085}"/>
    <cellStyle name="Vírgula 7 2 9 5" xfId="22831" xr:uid="{9E5E5CD2-CDB2-40BA-952A-6EF2E2A89626}"/>
    <cellStyle name="Vírgula 7 2 9 5 2" xfId="43166" xr:uid="{C4D3066D-64CA-4520-8D0E-821734C3304D}"/>
    <cellStyle name="Vírgula 7 2 9 6" xfId="13174" xr:uid="{A1E9A1EF-8A87-4755-865F-BE857961B619}"/>
    <cellStyle name="Vírgula 7 2 9 6 2" xfId="33515" xr:uid="{40E211E9-857D-4B12-B272-7F1D5F2C526F}"/>
    <cellStyle name="Vírgula 7 2 9 7" xfId="9287" xr:uid="{C57ED8FE-C66C-4BED-82FE-F56B82381FBB}"/>
    <cellStyle name="Vírgula 7 2 9 7 2" xfId="29630" xr:uid="{65A3E150-1B13-408D-B6EC-E1BFD3BA80CC}"/>
    <cellStyle name="Vírgula 7 2 9 8" xfId="26136" xr:uid="{44A15421-3889-4B98-A4C2-39247F5D1BD9}"/>
    <cellStyle name="Vírgula 7 20" xfId="49298" xr:uid="{FB2F5696-DAC9-4283-B393-7BE8EACD6CAD}"/>
    <cellStyle name="Vírgula 7 21" xfId="50968" xr:uid="{931BA5FA-9E2E-49BA-B8DC-0EAFB7B1DEF5}"/>
    <cellStyle name="Vírgula 7 22" xfId="54263" xr:uid="{251EB799-8617-468F-8077-271EB07363D0}"/>
    <cellStyle name="Vírgula 7 23" xfId="5219" xr:uid="{AC58C3EE-2C3E-4BDC-8FB1-B823BC05244E}"/>
    <cellStyle name="Vírgula 7 24" xfId="4385" xr:uid="{03E63F42-704A-4138-833E-9B3584C8FF1A}"/>
    <cellStyle name="Vírgula 7 3" xfId="221" xr:uid="{3CCA42A9-17AF-4C56-9BDC-782A8FAE7A46}"/>
    <cellStyle name="Vírgula 7 3 10" xfId="22354" xr:uid="{9271197A-EE65-4C04-BF26-69D5F4920D9A}"/>
    <cellStyle name="Vírgula 7 3 10 2" xfId="42689" xr:uid="{666EDE6D-FE88-451D-978E-544CC23D6AA8}"/>
    <cellStyle name="Vírgula 7 3 11" xfId="12071" xr:uid="{1FD3D228-1D29-4F48-A437-F0D33E92B1BC}"/>
    <cellStyle name="Vírgula 7 3 11 2" xfId="32412" xr:uid="{6C1EF22A-D05B-4A5F-8919-2C7D7D70D6BE}"/>
    <cellStyle name="Vírgula 7 3 12" xfId="8810" xr:uid="{634AB491-4BA5-4F1A-A15E-84C2FFC80708}"/>
    <cellStyle name="Vírgula 7 3 12 2" xfId="29153" xr:uid="{FABDB053-C884-4BC4-B57E-6BEAEB493608}"/>
    <cellStyle name="Vírgula 7 3 13" xfId="25659" xr:uid="{645B7B72-865F-4995-BA49-D613F19B1241}"/>
    <cellStyle name="Vírgula 7 3 14" xfId="45868" xr:uid="{E64A9CA7-FF02-4944-9427-FC82D5C249FE}"/>
    <cellStyle name="Vírgula 7 3 15" xfId="46354" xr:uid="{6B730644-BB68-4B5E-BEE3-894F538587BA}"/>
    <cellStyle name="Vírgula 7 3 16" xfId="46846" xr:uid="{8D41BDC9-7581-4EB6-9E2D-0D19874F0273}"/>
    <cellStyle name="Vírgula 7 3 17" xfId="49307" xr:uid="{D0E012D8-5F88-4162-A6DA-A63C19AA00A0}"/>
    <cellStyle name="Vírgula 7 3 18" xfId="50977" xr:uid="{C0F1D7A9-F8EB-4D9F-9623-994480A33A69}"/>
    <cellStyle name="Vírgula 7 3 19" xfId="54272" xr:uid="{9D51B5DE-9D99-4F31-9293-795DAB36DF63}"/>
    <cellStyle name="Vírgula 7 3 2" xfId="410" xr:uid="{9B7EDCCD-8A45-446C-8CC3-25E96E44A7FB}"/>
    <cellStyle name="Vírgula 7 3 2 10" xfId="12458" xr:uid="{BC814739-6F8E-45EC-8051-685A4B2F5D9A}"/>
    <cellStyle name="Vírgula 7 3 2 10 2" xfId="32799" xr:uid="{05B4B756-E32A-49A0-AE7A-829F557BE102}"/>
    <cellStyle name="Vírgula 7 3 2 11" xfId="9197" xr:uid="{E6794978-0690-4FE7-8623-FA94AC06E2E4}"/>
    <cellStyle name="Vírgula 7 3 2 11 2" xfId="29540" xr:uid="{34EC36ED-441E-4FE3-BAE8-CE5D2ED8BC58}"/>
    <cellStyle name="Vírgula 7 3 2 12" xfId="26046" xr:uid="{74AD33A9-D05A-4DC7-B548-DE3DBD4F157B}"/>
    <cellStyle name="Vírgula 7 3 2 13" xfId="46029" xr:uid="{4D0F3AD8-FC0E-4BD4-A70C-1A8292E1711B}"/>
    <cellStyle name="Vírgula 7 3 2 14" xfId="46515" xr:uid="{34184F97-31CF-45FB-956D-44BCC446C9EB}"/>
    <cellStyle name="Vírgula 7 3 2 15" xfId="47007" xr:uid="{B57E44B7-9B0B-49A4-BFDC-61242C987DAE}"/>
    <cellStyle name="Vírgula 7 3 2 16" xfId="49308" xr:uid="{A0CDFFF3-C404-49ED-939C-33C28E4B1D7D}"/>
    <cellStyle name="Vírgula 7 3 2 17" xfId="50978" xr:uid="{0D4328F2-30C4-4FA4-969F-A0489B2772D3}"/>
    <cellStyle name="Vírgula 7 3 2 18" xfId="54273" xr:uid="{41252C3A-6E1C-491D-B96F-F489A6771342}"/>
    <cellStyle name="Vírgula 7 3 2 19" xfId="5707" xr:uid="{141943FB-7C0C-4BFA-8BF4-9EAE234E52CA}"/>
    <cellStyle name="Vírgula 7 3 2 2" xfId="1226" xr:uid="{EF1227FB-2D02-4018-8EBA-C546A4362BCC}"/>
    <cellStyle name="Vírgula 7 3 2 2 10" xfId="46758" xr:uid="{8254EB41-11D6-4C29-88DA-E1E4001D73F9}"/>
    <cellStyle name="Vírgula 7 3 2 2 11" xfId="47250" xr:uid="{37FFDFE0-7EAB-4E92-8E9D-EF21B8394D7F}"/>
    <cellStyle name="Vírgula 7 3 2 2 12" xfId="49309" xr:uid="{58E32D69-6901-4DCC-A6C2-07037051234A}"/>
    <cellStyle name="Vírgula 7 3 2 2 13" xfId="50979" xr:uid="{A09FC07F-A5EA-4977-A091-36ED003F18CD}"/>
    <cellStyle name="Vírgula 7 3 2 2 14" xfId="54274" xr:uid="{0CA8D1D0-195A-4F8B-A6D7-35B1995B8BD2}"/>
    <cellStyle name="Vírgula 7 3 2 2 15" xfId="6279" xr:uid="{0FE54880-CD3D-419E-86ED-5316F8A73925}"/>
    <cellStyle name="Vírgula 7 3 2 2 16" xfId="5147" xr:uid="{EC70915A-753A-4F04-9AB8-F467454864E4}"/>
    <cellStyle name="Vírgula 7 3 2 2 2" xfId="2887" xr:uid="{E751432C-B333-4D3D-B36F-8ABFF92913B5}"/>
    <cellStyle name="Vírgula 7 3 2 2 2 10" xfId="7437" xr:uid="{39552893-EC10-4E40-AEFB-9CCFCFF18FB5}"/>
    <cellStyle name="Vírgula 7 3 2 2 2 2" xfId="17723" xr:uid="{EDCEECDD-FAAF-48D3-A90D-0D866C7E5B9F}"/>
    <cellStyle name="Vírgula 7 3 2 2 2 2 2" xfId="38063" xr:uid="{588D34B0-2D78-4C98-A23E-AE5F7D424196}"/>
    <cellStyle name="Vírgula 7 3 2 2 2 3" xfId="21225" xr:uid="{6EAA3F37-24D5-49B1-A7EA-4BBC9DFB3457}"/>
    <cellStyle name="Vírgula 7 3 2 2 2 3 2" xfId="41564" xr:uid="{1AF46536-CC56-4FB8-B538-D0242CB44255}"/>
    <cellStyle name="Vírgula 7 3 2 2 2 4" xfId="24480" xr:uid="{589D7852-08A0-4A05-A2E7-1AA50DE2A170}"/>
    <cellStyle name="Vírgula 7 3 2 2 2 4 2" xfId="44815" xr:uid="{D131E546-4748-4F1B-A054-DFE358672810}"/>
    <cellStyle name="Vírgula 7 3 2 2 2 5" xfId="14814" xr:uid="{CA256415-5B26-420A-B74D-EE5493B704C6}"/>
    <cellStyle name="Vírgula 7 3 2 2 2 5 2" xfId="35155" xr:uid="{182E9867-26C7-4BFA-AD6B-137BE835072F}"/>
    <cellStyle name="Vírgula 7 3 2 2 2 6" xfId="10936" xr:uid="{5D6173FF-F63D-45DC-BE8A-F0DAEDB6ED34}"/>
    <cellStyle name="Vírgula 7 3 2 2 2 6 2" xfId="31279" xr:uid="{77F7D1FC-6BB5-48CF-A98D-3402E1F3B753}"/>
    <cellStyle name="Vírgula 7 3 2 2 2 7" xfId="27785" xr:uid="{DF1B02A5-EF90-432E-9FEE-321F4A2DB4F4}"/>
    <cellStyle name="Vírgula 7 3 2 2 2 8" xfId="52611" xr:uid="{0CF0E0AC-8F69-4F09-8B5D-58200BCFBF6E}"/>
    <cellStyle name="Vírgula 7 3 2 2 2 9" xfId="55905" xr:uid="{E0C84AAE-800F-413B-B698-9BE6B43D3CA3}"/>
    <cellStyle name="Vírgula 7 3 2 2 3" xfId="16565" xr:uid="{FDA39D43-23BB-423E-A916-507EC2755BC4}"/>
    <cellStyle name="Vírgula 7 3 2 2 3 2" xfId="36905" xr:uid="{1A5A860D-E526-4AC1-9AB8-8F80F36F4609}"/>
    <cellStyle name="Vírgula 7 3 2 2 3 3" xfId="57097" xr:uid="{E6617B14-0755-43D6-860C-B388ED349A7E}"/>
    <cellStyle name="Vírgula 7 3 2 2 4" xfId="20067" xr:uid="{08BE4759-3399-4A3D-8910-9F55BDDC8B80}"/>
    <cellStyle name="Vírgula 7 3 2 2 4 2" xfId="40406" xr:uid="{F90C68CD-C0AE-43D3-A240-4F8C708DEEDF}"/>
    <cellStyle name="Vírgula 7 3 2 2 5" xfId="23322" xr:uid="{819B3E31-1AB7-4FAC-A7F2-57E41B823FE4}"/>
    <cellStyle name="Vírgula 7 3 2 2 5 2" xfId="43657" xr:uid="{099CC048-3C64-409F-A3CD-476B0CEC21BC}"/>
    <cellStyle name="Vírgula 7 3 2 2 6" xfId="13656" xr:uid="{13F50393-373E-4EEF-9271-5AD0684F1111}"/>
    <cellStyle name="Vírgula 7 3 2 2 6 2" xfId="33997" xr:uid="{A0C86979-84E6-412F-BE38-0E43881E678E}"/>
    <cellStyle name="Vírgula 7 3 2 2 7" xfId="9778" xr:uid="{B13E2498-5A12-423F-A130-BCE280FD300C}"/>
    <cellStyle name="Vírgula 7 3 2 2 7 2" xfId="30121" xr:uid="{2A3E9218-BB7A-4F4B-A542-D93D6213C7F4}"/>
    <cellStyle name="Vírgula 7 3 2 2 8" xfId="26627" xr:uid="{8D3A1D51-6667-4A6D-A9C6-1FFF39F527DE}"/>
    <cellStyle name="Vírgula 7 3 2 2 9" xfId="46272" xr:uid="{3C81E552-3406-4F1F-8ECE-20DC42504B1F}"/>
    <cellStyle name="Vírgula 7 3 2 20" xfId="4691" xr:uid="{117B471D-7F60-4C7D-A136-A19329674F26}"/>
    <cellStyle name="Vírgula 7 3 2 3" xfId="1632" xr:uid="{55CB4993-1B97-4899-93DF-0264835FBAD7}"/>
    <cellStyle name="Vírgula 7 3 2 3 10" xfId="54275" xr:uid="{E6ED9FCF-3D4B-4085-8020-3861F1086D2A}"/>
    <cellStyle name="Vírgula 7 3 2 3 11" xfId="6856" xr:uid="{4B85D952-C94A-4F8A-B86C-2D1F78618976}"/>
    <cellStyle name="Vírgula 7 3 2 3 12" xfId="4928" xr:uid="{070363C6-32CB-4327-839E-B0E4CB3FAC11}"/>
    <cellStyle name="Vírgula 7 3 2 3 2" xfId="3292" xr:uid="{6707A1B6-4C7D-448E-B0AF-B5BFBD23B1EA}"/>
    <cellStyle name="Vírgula 7 3 2 3 2 2" xfId="37482" xr:uid="{3F5124D1-9633-4956-A7D3-B2C925314E57}"/>
    <cellStyle name="Vírgula 7 3 2 3 2 3" xfId="52612" xr:uid="{0B451E3D-80BB-445B-973E-38719294E9FF}"/>
    <cellStyle name="Vírgula 7 3 2 3 2 4" xfId="55906" xr:uid="{1551CD2E-32AA-4C5C-AA28-975EFC856DCC}"/>
    <cellStyle name="Vírgula 7 3 2 3 2 5" xfId="17142" xr:uid="{19A91CB6-BFF1-476F-A286-3C2661FAF581}"/>
    <cellStyle name="Vírgula 7 3 2 3 3" xfId="20644" xr:uid="{AEFF949C-D239-4A21-A15A-BFA43B236A08}"/>
    <cellStyle name="Vírgula 7 3 2 3 3 2" xfId="40983" xr:uid="{C1981B7E-2CF3-49FB-A942-BDD27606E742}"/>
    <cellStyle name="Vírgula 7 3 2 3 3 3" xfId="57503" xr:uid="{99F3CBC6-5E25-4E83-99F6-87B04C455178}"/>
    <cellStyle name="Vírgula 7 3 2 3 4" xfId="23899" xr:uid="{3B0231CA-6DFD-4EDF-8BC1-9BA5DED7340B}"/>
    <cellStyle name="Vírgula 7 3 2 3 4 2" xfId="44234" xr:uid="{45038612-F31D-4899-89CE-0066E88FB1AF}"/>
    <cellStyle name="Vírgula 7 3 2 3 5" xfId="14233" xr:uid="{AAD1F0E2-21DF-4A8A-B4A6-A2482FCF5ADA}"/>
    <cellStyle name="Vírgula 7 3 2 3 5 2" xfId="34574" xr:uid="{47CAB1DE-C27D-471B-BEA7-2B75BD2964DA}"/>
    <cellStyle name="Vírgula 7 3 2 3 6" xfId="10355" xr:uid="{1384A9BF-1AFA-4214-A003-3977EB564DB7}"/>
    <cellStyle name="Vírgula 7 3 2 3 6 2" xfId="30698" xr:uid="{5C16D2EB-A561-49DF-8891-41DC9357C2EA}"/>
    <cellStyle name="Vírgula 7 3 2 3 7" xfId="27204" xr:uid="{471347B7-1598-4D52-9BAE-1F828DF0A8C6}"/>
    <cellStyle name="Vírgula 7 3 2 3 8" xfId="49310" xr:uid="{2C27EB07-CFF9-40E9-A71D-CF48ACEFCB35}"/>
    <cellStyle name="Vírgula 7 3 2 3 9" xfId="50980" xr:uid="{83B1317F-B55F-4860-8F89-108CC57BAF28}"/>
    <cellStyle name="Vírgula 7 3 2 4" xfId="819" xr:uid="{6192A5E9-9BA2-48A8-8F7E-FEAC4C383715}"/>
    <cellStyle name="Vírgula 7 3 2 4 10" xfId="54276" xr:uid="{658767D8-1798-4664-B51E-95F4D7A2CB7F}"/>
    <cellStyle name="Vírgula 7 3 2 4 11" xfId="8020" xr:uid="{4E80D1E4-45BA-4DC1-A44F-BFF31FBC26E8}"/>
    <cellStyle name="Vírgula 7 3 2 4 2" xfId="2535" xr:uid="{7A034ACA-2928-48C0-949E-3DADE9A984C0}"/>
    <cellStyle name="Vírgula 7 3 2 4 2 2" xfId="38645" xr:uid="{479489BA-D291-4C9A-8713-F3F7444C5CEB}"/>
    <cellStyle name="Vírgula 7 3 2 4 2 3" xfId="52613" xr:uid="{4F851A35-E578-4CC0-B0BD-3BE0A41E7C5A}"/>
    <cellStyle name="Vírgula 7 3 2 4 2 4" xfId="55907" xr:uid="{CF0571F7-1205-416B-B8B8-155E9F2C3BAE}"/>
    <cellStyle name="Vírgula 7 3 2 4 2 5" xfId="18305" xr:uid="{B9E98AF9-4D8E-471D-BEB7-3FA253DD2C7D}"/>
    <cellStyle name="Vírgula 7 3 2 4 3" xfId="21807" xr:uid="{11166F74-E79C-4330-86E8-2417A27ED34D}"/>
    <cellStyle name="Vírgula 7 3 2 4 3 2" xfId="42146" xr:uid="{E4E52EC8-A4E7-4343-B173-5427257E67A0}"/>
    <cellStyle name="Vírgula 7 3 2 4 3 3" xfId="56690" xr:uid="{97430D1D-5A27-43DE-A160-19D9C019704A}"/>
    <cellStyle name="Vírgula 7 3 2 4 4" xfId="25062" xr:uid="{4EB614FA-B97B-4622-9E13-D4A44E440E50}"/>
    <cellStyle name="Vírgula 7 3 2 4 4 2" xfId="45397" xr:uid="{2CBD36C2-DB9D-485C-93E7-9AEF55E34E7B}"/>
    <cellStyle name="Vírgula 7 3 2 4 5" xfId="15397" xr:uid="{2F043C50-7114-4BD0-A360-6AFAB20BE893}"/>
    <cellStyle name="Vírgula 7 3 2 4 5 2" xfId="35737" xr:uid="{F9374ED9-4785-4D8A-90A5-9ADAE056972D}"/>
    <cellStyle name="Vírgula 7 3 2 4 6" xfId="11518" xr:uid="{7B16C65E-F774-42FD-8519-C10B087FB300}"/>
    <cellStyle name="Vírgula 7 3 2 4 6 2" xfId="31861" xr:uid="{7565DF38-4B74-40F7-8BAD-772087C4D759}"/>
    <cellStyle name="Vírgula 7 3 2 4 7" xfId="28367" xr:uid="{B2A9D458-860C-4997-ADDF-87F5278BA986}"/>
    <cellStyle name="Vírgula 7 3 2 4 8" xfId="49311" xr:uid="{B0CECBD5-FA1C-4DC4-89FC-516FE9DE085D}"/>
    <cellStyle name="Vírgula 7 3 2 4 9" xfId="50981" xr:uid="{79342A7D-5F13-4C6C-93B1-433E44D9536F}"/>
    <cellStyle name="Vírgula 7 3 2 5" xfId="4054" xr:uid="{5F2C7301-EC9D-4B02-B5DE-F7DB7B583DE1}"/>
    <cellStyle name="Vírgula 7 3 2 5 2" xfId="22151" xr:uid="{F75A5E64-F67A-412A-9663-B1C130D54276}"/>
    <cellStyle name="Vírgula 7 3 2 5 2 2" xfId="42487" xr:uid="{FB26CAD8-DEB7-4DE2-BAB9-AF1ECC7A67FC}"/>
    <cellStyle name="Vírgula 7 3 2 5 3" xfId="25403" xr:uid="{AF63581D-141C-43A8-97AE-CD77AD63F36A}"/>
    <cellStyle name="Vírgula 7 3 2 5 3 2" xfId="45738" xr:uid="{2B7DC674-37C8-4A53-8EB5-6B4A25BD5520}"/>
    <cellStyle name="Vírgula 7 3 2 5 4" xfId="13087" xr:uid="{06FFDB63-ABFD-4896-BFC3-5B222AC095E9}"/>
    <cellStyle name="Vírgula 7 3 2 5 4 2" xfId="33428" xr:uid="{2DD1129B-59E2-48C0-A5E5-94FA7C2D90E8}"/>
    <cellStyle name="Vírgula 7 3 2 5 5" xfId="11860" xr:uid="{A8B2C2BF-41BA-4E0F-AFCA-1B8911704C85}"/>
    <cellStyle name="Vírgula 7 3 2 5 5 2" xfId="32202" xr:uid="{58F3B018-DB0D-4919-B3CA-FB218055E96E}"/>
    <cellStyle name="Vírgula 7 3 2 5 6" xfId="28708" xr:uid="{904470ED-67CC-4A55-A351-CA96A3FA0DDF}"/>
    <cellStyle name="Vírgula 7 3 2 5 7" xfId="52610" xr:uid="{3DB6F35B-1850-45D4-89E9-C32FE4CC46CB}"/>
    <cellStyle name="Vírgula 7 3 2 5 8" xfId="55904" xr:uid="{53585D77-E84D-44CF-B517-ECE6DAE4A87D}"/>
    <cellStyle name="Vírgula 7 3 2 5 9" xfId="8364" xr:uid="{58AC49C7-42BD-4337-97C5-1CA952F1C645}"/>
    <cellStyle name="Vírgula 7 3 2 6" xfId="2153" xr:uid="{51287D7B-991D-460F-8C78-158F00E7DE70}"/>
    <cellStyle name="Vírgula 7 3 2 6 2" xfId="15984" xr:uid="{70A6D446-28CA-4D9C-A8CC-4ABD5A3FF724}"/>
    <cellStyle name="Vírgula 7 3 2 6 2 2" xfId="36324" xr:uid="{59B6FE70-42F5-40AB-A1D0-C53C31B7D12C}"/>
    <cellStyle name="Vírgula 7 3 2 6 3" xfId="28997" xr:uid="{85412AC0-64A6-4389-8CC0-6A6B0FAE3B98}"/>
    <cellStyle name="Vírgula 7 3 2 6 4" xfId="56281" xr:uid="{64076659-6452-4686-8523-B2760C7DECF4}"/>
    <cellStyle name="Vírgula 7 3 2 6 5" xfId="8654" xr:uid="{6A313AB6-1481-4886-A813-155DF37A0BC0}"/>
    <cellStyle name="Vírgula 7 3 2 7" xfId="18898" xr:uid="{87169AD0-FEFC-4413-B84B-EC6CA8FCD242}"/>
    <cellStyle name="Vírgula 7 3 2 7 2" xfId="39238" xr:uid="{BA668E3A-EBFF-4CE7-8B31-AC43EE6703EF}"/>
    <cellStyle name="Vírgula 7 3 2 8" xfId="19486" xr:uid="{742F5EFD-009E-41A5-A267-90FD81D6FC7F}"/>
    <cellStyle name="Vírgula 7 3 2 8 2" xfId="39825" xr:uid="{99C9CCD3-C3DD-46D8-A0BB-B0FCDAD154F5}"/>
    <cellStyle name="Vírgula 7 3 2 9" xfId="22741" xr:uid="{C5B683E2-668C-48C4-8813-F1ACA15208A3}"/>
    <cellStyle name="Vírgula 7 3 2 9 2" xfId="43076" xr:uid="{9A960633-4643-460B-95E3-803205C655C1}"/>
    <cellStyle name="Vírgula 7 3 20" xfId="5341" xr:uid="{99984BED-DD1D-4EE7-B37B-ABF99951108A}"/>
    <cellStyle name="Vírgula 7 3 21" xfId="4502" xr:uid="{1A54ECDC-70DF-4127-9DAD-66727AD4DDA2}"/>
    <cellStyle name="Vírgula 7 3 3" xfId="1037" xr:uid="{61B89CD2-BD6F-4499-8B96-B55D608C6467}"/>
    <cellStyle name="Vírgula 7 3 3 10" xfId="46597" xr:uid="{EF60B8AE-B98A-4AF1-A827-BE05F36C3365}"/>
    <cellStyle name="Vírgula 7 3 3 11" xfId="47089" xr:uid="{27FD28F4-D7AC-4514-9F26-CC4C3ADBB715}"/>
    <cellStyle name="Vírgula 7 3 3 12" xfId="49312" xr:uid="{49A83567-815E-4807-8068-EED5D85B6C27}"/>
    <cellStyle name="Vírgula 7 3 3 13" xfId="50982" xr:uid="{D884E4B7-0C25-410C-B51D-FFF4E72852B8}"/>
    <cellStyle name="Vírgula 7 3 3 14" xfId="54277" xr:uid="{DB1CF274-168C-4B6C-9231-6E65EBAEB9E8}"/>
    <cellStyle name="Vírgula 7 3 3 15" xfId="5892" xr:uid="{66AED43F-455F-42F1-A8D1-A8613FC4B343}"/>
    <cellStyle name="Vírgula 7 3 3 16" xfId="5000" xr:uid="{30D3F849-5C0B-496B-9D4D-9B111678F2EA}"/>
    <cellStyle name="Vírgula 7 3 3 2" xfId="4226" xr:uid="{A64BAA74-1434-4DBC-9E73-6A8A56EB2FA0}"/>
    <cellStyle name="Vírgula 7 3 3 2 10" xfId="7050" xr:uid="{087684B5-2527-40CD-AB4A-9AB79EA60AEF}"/>
    <cellStyle name="Vírgula 7 3 3 2 2" xfId="17336" xr:uid="{81A133EC-EF95-40DB-A57B-343B767598AD}"/>
    <cellStyle name="Vírgula 7 3 3 2 2 2" xfId="37676" xr:uid="{EEEF8A78-F8FE-4468-88B7-276294B41A5A}"/>
    <cellStyle name="Vírgula 7 3 3 2 3" xfId="20838" xr:uid="{43631762-0E36-4F67-9777-E080EBD4D170}"/>
    <cellStyle name="Vírgula 7 3 3 2 3 2" xfId="41177" xr:uid="{146BB264-375A-4D04-8F1E-EDD378C7AB5C}"/>
    <cellStyle name="Vírgula 7 3 3 2 4" xfId="24093" xr:uid="{9EE28C2D-058A-4F9C-99C9-349F24E79433}"/>
    <cellStyle name="Vírgula 7 3 3 2 4 2" xfId="44428" xr:uid="{852ACBBD-0E29-4D9B-8303-E78F610585FE}"/>
    <cellStyle name="Vírgula 7 3 3 2 5" xfId="14427" xr:uid="{36606C25-7357-4FDA-B59C-06FC07CE649E}"/>
    <cellStyle name="Vírgula 7 3 3 2 5 2" xfId="34768" xr:uid="{F182111B-2A5B-4B2C-BF87-8AD54756E656}"/>
    <cellStyle name="Vírgula 7 3 3 2 6" xfId="10549" xr:uid="{3EB2016E-A2CD-4B89-8673-5C418015D071}"/>
    <cellStyle name="Vírgula 7 3 3 2 6 2" xfId="30892" xr:uid="{282D55B6-68F7-4023-A213-01B89512F557}"/>
    <cellStyle name="Vírgula 7 3 3 2 7" xfId="27398" xr:uid="{8EDC35EF-6456-4698-8A62-1082169A4296}"/>
    <cellStyle name="Vírgula 7 3 3 2 8" xfId="52614" xr:uid="{870E3B13-7C3E-47BB-8F43-253F5F47C5B5}"/>
    <cellStyle name="Vírgula 7 3 3 2 9" xfId="55908" xr:uid="{2969D3AC-41B6-4E31-AD59-24EE2698F701}"/>
    <cellStyle name="Vírgula 7 3 3 3" xfId="2725" xr:uid="{E1254E19-6FD7-4C4B-8D0A-754668A4B03E}"/>
    <cellStyle name="Vírgula 7 3 3 3 2" xfId="22152" xr:uid="{7E21C163-340C-4482-B8B4-F02F00425AC6}"/>
    <cellStyle name="Vírgula 7 3 3 3 2 2" xfId="42488" xr:uid="{7B84F3F5-1600-49CE-89CD-6E030CE21F28}"/>
    <cellStyle name="Vírgula 7 3 3 3 3" xfId="25404" xr:uid="{115DB932-0B0C-4ECE-82AA-DD8685F21516}"/>
    <cellStyle name="Vírgula 7 3 3 3 3 2" xfId="45739" xr:uid="{110B47A8-1EF5-4825-9FC1-0B7CD7F40234}"/>
    <cellStyle name="Vírgula 7 3 3 3 4" xfId="16178" xr:uid="{5BDEC2F2-9507-4A47-BEA5-05AE83A8D93A}"/>
    <cellStyle name="Vírgula 7 3 3 3 4 2" xfId="36518" xr:uid="{5CC11737-CDB9-45DE-83F2-ACE7477AB9F9}"/>
    <cellStyle name="Vírgula 7 3 3 3 5" xfId="11861" xr:uid="{E42FADA7-88E0-48D0-817D-E0221E2ADFBD}"/>
    <cellStyle name="Vírgula 7 3 3 3 5 2" xfId="32203" xr:uid="{D5546F9B-7037-4088-931A-FB471DB95D01}"/>
    <cellStyle name="Vírgula 7 3 3 3 6" xfId="28709" xr:uid="{94E7C177-9F21-40E2-A1CE-96FBEC323F98}"/>
    <cellStyle name="Vírgula 7 3 3 3 7" xfId="56908" xr:uid="{A8E0EFF5-EAD2-4FC2-9D85-263ED162FC93}"/>
    <cellStyle name="Vírgula 7 3 3 3 8" xfId="8365" xr:uid="{2437C111-8AB0-485A-98BA-450E083A1729}"/>
    <cellStyle name="Vírgula 7 3 3 4" xfId="19680" xr:uid="{A7AEF755-3F8D-40DD-A3DE-2AE9E2C9F897}"/>
    <cellStyle name="Vírgula 7 3 3 4 2" xfId="40019" xr:uid="{AC69D943-F606-4183-B970-3333A701B882}"/>
    <cellStyle name="Vírgula 7 3 3 5" xfId="22935" xr:uid="{D6251D42-07FF-497C-8E3D-0635D67DB0C2}"/>
    <cellStyle name="Vírgula 7 3 3 5 2" xfId="43270" xr:uid="{B9F832EA-755A-4DF3-A4BC-2C579DC25EAB}"/>
    <cellStyle name="Vírgula 7 3 3 6" xfId="13271" xr:uid="{8BD3BC04-C0FF-4CFA-A8CA-CC247AAC8BD4}"/>
    <cellStyle name="Vírgula 7 3 3 6 2" xfId="33612" xr:uid="{7814A006-6895-435E-814C-7254540CCB42}"/>
    <cellStyle name="Vírgula 7 3 3 7" xfId="9391" xr:uid="{90527B81-B4AD-4012-BAF5-81652271639E}"/>
    <cellStyle name="Vírgula 7 3 3 7 2" xfId="29734" xr:uid="{6E686118-8CA2-4400-AF16-CD11FF9A34AA}"/>
    <cellStyle name="Vírgula 7 3 3 8" xfId="26240" xr:uid="{2150FEFC-FF1E-42C0-8384-36C3F425AD5D}"/>
    <cellStyle name="Vírgula 7 3 3 9" xfId="46111" xr:uid="{84EA5F09-E6E2-406A-AC4E-96C094EDA39D}"/>
    <cellStyle name="Vírgula 7 3 4" xfId="1443" xr:uid="{06B84ABA-46CD-4BAE-BA8F-0FF79AC9823A}"/>
    <cellStyle name="Vírgula 7 3 4 10" xfId="54278" xr:uid="{AFBAC64F-422E-458C-87CF-C3DE887D760C}"/>
    <cellStyle name="Vírgula 7 3 4 11" xfId="6469" xr:uid="{FAA7A5D8-E21F-476D-B8CD-67AFE4B7C640}"/>
    <cellStyle name="Vírgula 7 3 4 12" xfId="4785" xr:uid="{A54B8D8C-5C38-47C1-A2F3-C42C881B2E6A}"/>
    <cellStyle name="Vírgula 7 3 4 2" xfId="3104" xr:uid="{066EC745-6ED4-46E7-882E-45AF5956A6FC}"/>
    <cellStyle name="Vírgula 7 3 4 2 2" xfId="37095" xr:uid="{E07E6FA5-A815-4055-BB77-23C0516B9BF9}"/>
    <cellStyle name="Vírgula 7 3 4 2 3" xfId="52615" xr:uid="{194B2CFB-DDB5-4D5F-96A8-D4C9360B15EC}"/>
    <cellStyle name="Vírgula 7 3 4 2 4" xfId="55909" xr:uid="{25E97095-1D50-4668-BF51-501121AD164F}"/>
    <cellStyle name="Vírgula 7 3 4 2 5" xfId="16755" xr:uid="{B5FE60DE-D4CB-4094-9BC5-69C2419DDF35}"/>
    <cellStyle name="Vírgula 7 3 4 3" xfId="20257" xr:uid="{C76D8BFB-6143-4858-A242-C2E2695321DD}"/>
    <cellStyle name="Vírgula 7 3 4 3 2" xfId="40596" xr:uid="{12A459CA-0D07-4830-9632-68DA39C807D9}"/>
    <cellStyle name="Vírgula 7 3 4 3 3" xfId="57314" xr:uid="{5A6D02B6-3FFD-4AA1-BEC2-971CF7CD5637}"/>
    <cellStyle name="Vírgula 7 3 4 4" xfId="23512" xr:uid="{83658C73-4A18-40B0-B6FC-6D2962ED391E}"/>
    <cellStyle name="Vírgula 7 3 4 4 2" xfId="43847" xr:uid="{60571649-A5E1-4249-AB18-B926459414A9}"/>
    <cellStyle name="Vírgula 7 3 4 5" xfId="13846" xr:uid="{353286FC-D58F-4E06-89A7-55D373B79A71}"/>
    <cellStyle name="Vírgula 7 3 4 5 2" xfId="34187" xr:uid="{3435B005-E8DE-4942-932B-D0988F60E004}"/>
    <cellStyle name="Vírgula 7 3 4 6" xfId="9968" xr:uid="{AA6493E0-F033-44EE-BA34-436CBE61DF68}"/>
    <cellStyle name="Vírgula 7 3 4 6 2" xfId="30311" xr:uid="{74F6AB87-932C-467F-B6A8-DCB445FBEF34}"/>
    <cellStyle name="Vírgula 7 3 4 7" xfId="26817" xr:uid="{C73DAC76-F481-4AEE-9E5A-D72E04C30892}"/>
    <cellStyle name="Vírgula 7 3 4 8" xfId="49313" xr:uid="{512091F1-1A25-458E-AC28-F44B7B8108E1}"/>
    <cellStyle name="Vírgula 7 3 4 9" xfId="50983" xr:uid="{57D262B3-2783-4DF5-9AF6-D29CB9775CEA}"/>
    <cellStyle name="Vírgula 7 3 5" xfId="630" xr:uid="{076AD27A-39C5-4EF6-83DC-602DE20F0115}"/>
    <cellStyle name="Vírgula 7 3 5 10" xfId="54279" xr:uid="{806CB3B0-AD2F-4B17-A1C6-8DD99078033F}"/>
    <cellStyle name="Vírgula 7 3 5 11" xfId="7633" xr:uid="{750A5C0C-B377-4432-924E-1078588AB8A5}"/>
    <cellStyle name="Vírgula 7 3 5 2" xfId="2346" xr:uid="{B0389AAA-159C-42B8-AD74-E7CE8CFEAE3A}"/>
    <cellStyle name="Vírgula 7 3 5 2 2" xfId="38258" xr:uid="{49425310-287F-4274-BB70-CC7AF903306A}"/>
    <cellStyle name="Vírgula 7 3 5 2 3" xfId="52616" xr:uid="{CAB95173-A798-4F44-B375-2FA3E4E186A6}"/>
    <cellStyle name="Vírgula 7 3 5 2 4" xfId="55910" xr:uid="{4D2C3273-1027-4256-9581-87C05C28A159}"/>
    <cellStyle name="Vírgula 7 3 5 2 5" xfId="17918" xr:uid="{79EE33DD-5AA8-41E4-99AC-6ECCAF15BDD1}"/>
    <cellStyle name="Vírgula 7 3 5 3" xfId="21420" xr:uid="{1E307897-DC25-4587-BE78-17793C7447DA}"/>
    <cellStyle name="Vírgula 7 3 5 3 2" xfId="41759" xr:uid="{D445E1B1-5122-4907-BFD5-9BFDC00FB99D}"/>
    <cellStyle name="Vírgula 7 3 5 3 3" xfId="56501" xr:uid="{B7C61F3F-33AB-4CF2-9104-3C35199BDD83}"/>
    <cellStyle name="Vírgula 7 3 5 4" xfId="24675" xr:uid="{0C5F2452-3FCA-44A5-B627-0DBCC6F95F37}"/>
    <cellStyle name="Vírgula 7 3 5 4 2" xfId="45010" xr:uid="{DFC7E9B4-B097-4411-83B6-8C611B1622E5}"/>
    <cellStyle name="Vírgula 7 3 5 5" xfId="15010" xr:uid="{1B388B78-5D15-4FD8-B83B-2D523C27BEEB}"/>
    <cellStyle name="Vírgula 7 3 5 5 2" xfId="35350" xr:uid="{1D6BBA7E-3D9E-4CE6-AEA3-1FFBCA3DFD5E}"/>
    <cellStyle name="Vírgula 7 3 5 6" xfId="11131" xr:uid="{53D59836-2288-45E8-BFA4-6A28C69B603A}"/>
    <cellStyle name="Vírgula 7 3 5 6 2" xfId="31474" xr:uid="{B7F0085C-532F-4BE2-AA3E-F4693C247E79}"/>
    <cellStyle name="Vírgula 7 3 5 7" xfId="27980" xr:uid="{E0398CCE-C5D6-4EFE-95BC-820870B60126}"/>
    <cellStyle name="Vírgula 7 3 5 8" xfId="49314" xr:uid="{23FBB371-4171-4AAF-B164-095E161F4FFF}"/>
    <cellStyle name="Vírgula 7 3 5 9" xfId="50984" xr:uid="{0FC8BF6E-17BD-4161-9952-10018A71C49A}"/>
    <cellStyle name="Vírgula 7 3 6" xfId="3618" xr:uid="{1A2F93B0-7521-4B00-BB19-D401753C3461}"/>
    <cellStyle name="Vírgula 7 3 6 2" xfId="22150" xr:uid="{AE72AA11-FEF0-4E6E-91AF-8A6858E16A9B}"/>
    <cellStyle name="Vírgula 7 3 6 2 2" xfId="42486" xr:uid="{81B591B6-F3D0-4811-B148-2647828C12C7}"/>
    <cellStyle name="Vírgula 7 3 6 3" xfId="25402" xr:uid="{407BE067-CD56-447E-9603-A2B168F58BD0}"/>
    <cellStyle name="Vírgula 7 3 6 3 2" xfId="45737" xr:uid="{3E4A6440-8121-40D6-9BAC-75CD619BF098}"/>
    <cellStyle name="Vírgula 7 3 6 4" xfId="12702" xr:uid="{66548CD5-A922-4132-9C37-DABBB7FE0ADE}"/>
    <cellStyle name="Vírgula 7 3 6 4 2" xfId="33043" xr:uid="{7F38880B-0AF6-4BFB-8D2D-4182CF303C76}"/>
    <cellStyle name="Vírgula 7 3 6 5" xfId="11859" xr:uid="{7546F627-A08F-42F8-AE56-02859ABE562B}"/>
    <cellStyle name="Vírgula 7 3 6 5 2" xfId="32201" xr:uid="{1903409A-DCFB-42B0-B519-EFD68285358A}"/>
    <cellStyle name="Vírgula 7 3 6 6" xfId="28707" xr:uid="{F9BA2D97-DA87-4DB4-8EA4-7DBFC763D83D}"/>
    <cellStyle name="Vírgula 7 3 6 7" xfId="52609" xr:uid="{DC65CDAA-6DB7-42FA-96CC-4C03DB56EC7C}"/>
    <cellStyle name="Vírgula 7 3 6 8" xfId="55903" xr:uid="{ABF7B18A-1966-40B3-ACA5-D89AB44DEFD8}"/>
    <cellStyle name="Vírgula 7 3 6 9" xfId="8363" xr:uid="{B0DAC8F9-5B8E-4F09-96D5-BF4147AEF084}"/>
    <cellStyle name="Vírgula 7 3 7" xfId="3883" xr:uid="{3A9CF66E-D80A-4C40-87A4-2ECD89E771DD}"/>
    <cellStyle name="Vírgula 7 3 7 2" xfId="15597" xr:uid="{EF589883-AEDC-4609-8AD0-DBAF066BC344}"/>
    <cellStyle name="Vírgula 7 3 7 2 2" xfId="35937" xr:uid="{E732AAC1-31C9-4C3F-BD58-B84CC05F415F}"/>
    <cellStyle name="Vírgula 7 3 7 3" xfId="28836" xr:uid="{0A407B18-41FD-4391-B390-0D171C79F596}"/>
    <cellStyle name="Vírgula 7 3 7 4" xfId="56092" xr:uid="{B7B2C249-6CAC-4081-A89E-0E581886D50C}"/>
    <cellStyle name="Vírgula 7 3 7 5" xfId="8493" xr:uid="{F185C9B1-D1D6-4461-86E7-FA4E8E7B6623}"/>
    <cellStyle name="Vírgula 7 3 8" xfId="1967" xr:uid="{CB1FE19F-893A-4C05-9C9C-115B33517838}"/>
    <cellStyle name="Vírgula 7 3 8 2" xfId="38851" xr:uid="{D9ED0717-4CBC-46D7-8911-EA58A9B4CC14}"/>
    <cellStyle name="Vírgula 7 3 8 3" xfId="18511" xr:uid="{E6EEF8A4-98B1-407D-BC3E-0F9E6B9437B6}"/>
    <cellStyle name="Vírgula 7 3 9" xfId="19099" xr:uid="{81B9A5E0-DFBB-4022-935D-A7CFBE9E0F41}"/>
    <cellStyle name="Vírgula 7 3 9 2" xfId="39438" xr:uid="{0A56323E-327F-4E65-AEC1-673BC4CA4E55}"/>
    <cellStyle name="Vírgula 7 4" xfId="273" xr:uid="{01FBC1AB-97C8-41D0-8A22-66914C905C05}"/>
    <cellStyle name="Vírgula 7 4 10" xfId="12300" xr:uid="{E3AA8880-098E-4871-B593-4E2AF6E75B42}"/>
    <cellStyle name="Vírgula 7 4 10 2" xfId="32641" xr:uid="{FEA1070D-B691-4D65-9CD5-2B110EE41562}"/>
    <cellStyle name="Vírgula 7 4 11" xfId="9039" xr:uid="{1BB415E6-EAC1-48E3-9A2B-1A649F7045C3}"/>
    <cellStyle name="Vírgula 7 4 11 2" xfId="29382" xr:uid="{72459FE3-2B07-42C4-A7AC-5D3F75740CA7}"/>
    <cellStyle name="Vírgula 7 4 12" xfId="25888" xr:uid="{0F095101-38B7-4DC6-83F2-7907221D86FE}"/>
    <cellStyle name="Vírgula 7 4 13" xfId="46020" xr:uid="{774C492B-A4C7-4870-90C1-7026EEE45F62}"/>
    <cellStyle name="Vírgula 7 4 14" xfId="46506" xr:uid="{813B4636-4865-416A-A0BE-CCCB304640FA}"/>
    <cellStyle name="Vírgula 7 4 15" xfId="46998" xr:uid="{6984CA40-A6FF-4F42-82D9-C460F92B61E6}"/>
    <cellStyle name="Vírgula 7 4 16" xfId="49315" xr:uid="{667588BB-0021-4B3D-85CE-ACCC9C045BA1}"/>
    <cellStyle name="Vírgula 7 4 17" xfId="50985" xr:uid="{7F2A6778-29ED-4BB2-8AFD-F26703472880}"/>
    <cellStyle name="Vírgula 7 4 18" xfId="54280" xr:uid="{4BA903A6-5B61-47F6-92D4-1FA01F9F9348}"/>
    <cellStyle name="Vírgula 7 4 19" xfId="5549" xr:uid="{26CD090A-22E8-4350-BC96-851819F4FBC0}"/>
    <cellStyle name="Vírgula 7 4 2" xfId="462" xr:uid="{5D2FBAC5-0EC5-41B7-AF67-8E79EC60F4F9}"/>
    <cellStyle name="Vírgula 7 4 2 10" xfId="46749" xr:uid="{61A5EA27-87C2-405E-9521-C98551D7DF82}"/>
    <cellStyle name="Vírgula 7 4 2 11" xfId="47241" xr:uid="{FD0F4926-06BE-4A0D-BED7-2C670B6F7D3F}"/>
    <cellStyle name="Vírgula 7 4 2 12" xfId="49316" xr:uid="{740F1362-1962-4999-A990-C8BFDFCAEADC}"/>
    <cellStyle name="Vírgula 7 4 2 13" xfId="50986" xr:uid="{90D7E3D4-847D-4322-91C5-89329A813ECD}"/>
    <cellStyle name="Vírgula 7 4 2 14" xfId="54281" xr:uid="{AD0F82E7-B85E-4ACF-9B12-D0F691A6BCFA}"/>
    <cellStyle name="Vírgula 7 4 2 15" xfId="6121" xr:uid="{18B5D56A-9F6F-47C6-997E-6730DD7D3AF2}"/>
    <cellStyle name="Vírgula 7 4 2 16" xfId="4743" xr:uid="{D41EB56E-9C0D-47BC-8368-F6EDB6602A6B}"/>
    <cellStyle name="Vírgula 7 4 2 2" xfId="1278" xr:uid="{A0D568EE-B20A-4789-A533-5BC1FEA7CE0A}"/>
    <cellStyle name="Vírgula 7 4 2 2 10" xfId="54282" xr:uid="{3C10B20E-636D-4FED-8C3A-F6D44ADBA275}"/>
    <cellStyle name="Vírgula 7 4 2 2 11" xfId="7279" xr:uid="{6C685936-F867-4BEA-A793-545D7B0F57E6}"/>
    <cellStyle name="Vírgula 7 4 2 2 12" xfId="5138" xr:uid="{6CD14DA0-5ABB-442E-8C6D-5ECDF47E84D1}"/>
    <cellStyle name="Vírgula 7 4 2 2 2" xfId="2939" xr:uid="{DC3A1370-60E7-4CE9-B3E9-7AE87D3D7708}"/>
    <cellStyle name="Vírgula 7 4 2 2 2 2" xfId="37905" xr:uid="{C243F185-E435-4A64-86F4-9D57ADC81168}"/>
    <cellStyle name="Vírgula 7 4 2 2 2 3" xfId="52619" xr:uid="{555EEFFC-2835-4E52-803F-CA5B43A07606}"/>
    <cellStyle name="Vírgula 7 4 2 2 2 4" xfId="55913" xr:uid="{F939A16B-F9F7-4628-820F-7BDD519FA685}"/>
    <cellStyle name="Vírgula 7 4 2 2 2 5" xfId="17565" xr:uid="{445AB50A-ED6E-4D86-A10E-91C2583DD4E4}"/>
    <cellStyle name="Vírgula 7 4 2 2 3" xfId="21067" xr:uid="{712D3D56-9943-455D-8B3D-353D477DA4EC}"/>
    <cellStyle name="Vírgula 7 4 2 2 3 2" xfId="41406" xr:uid="{445881F0-3A71-4425-B9EE-5B78933EC485}"/>
    <cellStyle name="Vírgula 7 4 2 2 3 3" xfId="57149" xr:uid="{AA09EE94-9606-4EFD-ADC8-9174156101F3}"/>
    <cellStyle name="Vírgula 7 4 2 2 4" xfId="24322" xr:uid="{772F1FAD-E498-45FF-926D-D9418A0D9FE9}"/>
    <cellStyle name="Vírgula 7 4 2 2 4 2" xfId="44657" xr:uid="{B91DE65F-ED54-4872-B1C6-66A201E39150}"/>
    <cellStyle name="Vírgula 7 4 2 2 5" xfId="14656" xr:uid="{1650CF86-C5BF-41D0-8332-3A029098F2E2}"/>
    <cellStyle name="Vírgula 7 4 2 2 5 2" xfId="34997" xr:uid="{597A0972-669C-4D08-8A2F-0328C90B23DD}"/>
    <cellStyle name="Vírgula 7 4 2 2 6" xfId="10778" xr:uid="{ECA0E47A-9108-42B3-AEA6-C07107F561AA}"/>
    <cellStyle name="Vírgula 7 4 2 2 6 2" xfId="31121" xr:uid="{43CE8E90-A9A7-44A9-8835-89FF3659FFC9}"/>
    <cellStyle name="Vírgula 7 4 2 2 7" xfId="27627" xr:uid="{3691F200-D4FC-4BCB-A9EB-34EBCD7E4B41}"/>
    <cellStyle name="Vírgula 7 4 2 2 8" xfId="49317" xr:uid="{0E6E3DB2-14DD-4553-9037-3E639B8E6528}"/>
    <cellStyle name="Vírgula 7 4 2 2 9" xfId="50987" xr:uid="{2EFE30DB-C217-4C37-975F-BBFD9F895B74}"/>
    <cellStyle name="Vírgula 7 4 2 3" xfId="1684" xr:uid="{DAF74355-7F0F-4AB5-8354-ADBBF8102FF8}"/>
    <cellStyle name="Vírgula 7 4 2 3 2" xfId="3344" xr:uid="{3D17EF12-AB75-49D9-9AEB-BE3660E0A47F}"/>
    <cellStyle name="Vírgula 7 4 2 3 2 2" xfId="52620" xr:uid="{A715656B-802E-467C-9399-B2FE1FE48F86}"/>
    <cellStyle name="Vírgula 7 4 2 3 2 3" xfId="55914" xr:uid="{B643A11F-6C44-4FAA-9ABD-5718461BCECA}"/>
    <cellStyle name="Vírgula 7 4 2 3 2 4" xfId="36747" xr:uid="{C35E6371-F19F-4238-964E-23CD6FF16AC6}"/>
    <cellStyle name="Vírgula 7 4 2 3 3" xfId="49318" xr:uid="{90FD09BC-FD86-4913-8DC2-8CA44B808526}"/>
    <cellStyle name="Vírgula 7 4 2 3 3 2" xfId="57555" xr:uid="{F915EF0B-0BFE-41EA-9F7C-D7BFC96980F7}"/>
    <cellStyle name="Vírgula 7 4 2 3 4" xfId="50988" xr:uid="{DB8D79DE-AEE7-49F2-9CFF-18719A61B68F}"/>
    <cellStyle name="Vírgula 7 4 2 3 5" xfId="54283" xr:uid="{8D858048-A607-4DAA-915F-5D3ECEFA7C9A}"/>
    <cellStyle name="Vírgula 7 4 2 3 6" xfId="16407" xr:uid="{DC731BED-F2DB-4BB0-8163-4B8B7CB60B4F}"/>
    <cellStyle name="Vírgula 7 4 2 4" xfId="871" xr:uid="{2CE3B53A-7ED9-4165-A13E-4FDF557986B9}"/>
    <cellStyle name="Vírgula 7 4 2 4 2" xfId="2587" xr:uid="{775FA3B2-0C63-4617-B94B-DD9B5855EA28}"/>
    <cellStyle name="Vírgula 7 4 2 4 2 2" xfId="52621" xr:uid="{92026CE4-C0BB-4C2B-8A50-9B31689C8365}"/>
    <cellStyle name="Vírgula 7 4 2 4 2 3" xfId="55915" xr:uid="{2D480553-DBF0-4F9D-9F9E-2707B32A32BC}"/>
    <cellStyle name="Vírgula 7 4 2 4 2 4" xfId="40248" xr:uid="{BC4E6825-B2E7-40F6-B797-D39BF96960C8}"/>
    <cellStyle name="Vírgula 7 4 2 4 3" xfId="49319" xr:uid="{776C7D4F-DA2E-482D-8036-BB37B8065666}"/>
    <cellStyle name="Vírgula 7 4 2 4 3 2" xfId="56742" xr:uid="{09E6D9F6-A2C2-4A76-BB85-8FE573491484}"/>
    <cellStyle name="Vírgula 7 4 2 4 4" xfId="50989" xr:uid="{F392DEA9-1D49-458C-AE5B-DF9A83ECC19F}"/>
    <cellStyle name="Vírgula 7 4 2 4 5" xfId="54284" xr:uid="{A894FE18-E0C8-45F2-B58F-1C7B52D8ED9E}"/>
    <cellStyle name="Vírgula 7 4 2 4 6" xfId="19909" xr:uid="{66743EF3-2A7D-47A0-961A-1B8A90B9FBF4}"/>
    <cellStyle name="Vírgula 7 4 2 5" xfId="4127" xr:uid="{09A69751-D38B-43FD-8AD6-CE648BDAF156}"/>
    <cellStyle name="Vírgula 7 4 2 5 2" xfId="43499" xr:uid="{AB906B22-5515-4B18-B27F-09A3FC185AE4}"/>
    <cellStyle name="Vírgula 7 4 2 5 3" xfId="52618" xr:uid="{12E3D093-6559-43FB-ACE7-355888D15F9F}"/>
    <cellStyle name="Vírgula 7 4 2 5 4" xfId="55912" xr:uid="{4C84A7FD-AAE2-48B2-90CD-A4BB43BA85DE}"/>
    <cellStyle name="Vírgula 7 4 2 5 5" xfId="23164" xr:uid="{C0C62E97-BC27-4002-91A8-911A449C925F}"/>
    <cellStyle name="Vírgula 7 4 2 6" xfId="2179" xr:uid="{81F4E5D0-7F62-4D13-BD1F-BA51CF91B1A9}"/>
    <cellStyle name="Vírgula 7 4 2 6 2" xfId="33839" xr:uid="{2CE2026C-F0AB-4F26-A8B4-2A96A384183D}"/>
    <cellStyle name="Vírgula 7 4 2 6 3" xfId="56333" xr:uid="{6368EF9F-2080-4405-9F92-96F5E67D5D66}"/>
    <cellStyle name="Vírgula 7 4 2 6 4" xfId="13498" xr:uid="{DA765E41-AB99-4E78-B2B4-2B4B06FD75A1}"/>
    <cellStyle name="Vírgula 7 4 2 7" xfId="9620" xr:uid="{F839E005-E90C-45DF-BE97-8AAD7DFB62D0}"/>
    <cellStyle name="Vírgula 7 4 2 7 2" xfId="29963" xr:uid="{CFBE32B0-1935-458A-B018-D1191CFDC95E}"/>
    <cellStyle name="Vírgula 7 4 2 8" xfId="26469" xr:uid="{665B9C48-2D36-410F-ABA2-E3A48D342CEC}"/>
    <cellStyle name="Vírgula 7 4 2 9" xfId="46263" xr:uid="{9ABC5A0E-0F94-4048-B438-4BCCE51F86C9}"/>
    <cellStyle name="Vírgula 7 4 20" xfId="4554" xr:uid="{D65CD4A4-33FB-4317-888D-03032B9B289E}"/>
    <cellStyle name="Vírgula 7 4 3" xfId="1089" xr:uid="{C12BDB6F-3C6A-4702-9183-FE79A61AEAF2}"/>
    <cellStyle name="Vírgula 7 4 3 10" xfId="54285" xr:uid="{43E31C2F-C28B-442F-B48A-10C3C04DF8D8}"/>
    <cellStyle name="Vírgula 7 4 3 11" xfId="6698" xr:uid="{34BA3EEE-2F35-4186-A243-FE1DF601BD51}"/>
    <cellStyle name="Vírgula 7 4 3 12" xfId="4919" xr:uid="{862088ED-CD72-4F00-804C-352BDCEA8376}"/>
    <cellStyle name="Vírgula 7 4 3 2" xfId="4299" xr:uid="{9B726EEF-6EFB-4AD6-9FC7-BF2A7CCBB13B}"/>
    <cellStyle name="Vírgula 7 4 3 2 2" xfId="37324" xr:uid="{224DF843-13C4-4A2F-805A-77551E420FDD}"/>
    <cellStyle name="Vírgula 7 4 3 2 3" xfId="52622" xr:uid="{C2446BDE-78FA-43DD-B275-E59787EF7C68}"/>
    <cellStyle name="Vírgula 7 4 3 2 4" xfId="55916" xr:uid="{9A8BF17D-AD24-43E5-B651-20D62009F902}"/>
    <cellStyle name="Vírgula 7 4 3 2 5" xfId="16984" xr:uid="{394ACB97-D2AF-40E8-B401-DA575C4A6077}"/>
    <cellStyle name="Vírgula 7 4 3 3" xfId="2752" xr:uid="{FE021890-4F98-42D8-91E7-5D81C7ADEE60}"/>
    <cellStyle name="Vírgula 7 4 3 3 2" xfId="40825" xr:uid="{7B295427-785A-440D-9D4E-CE2B673DF4AE}"/>
    <cellStyle name="Vírgula 7 4 3 3 3" xfId="56960" xr:uid="{497BEEEC-6F53-4F27-BBFD-DCD425A8440B}"/>
    <cellStyle name="Vírgula 7 4 3 3 4" xfId="20486" xr:uid="{CAEF90F7-4337-4A82-A07F-AE3E3756F22B}"/>
    <cellStyle name="Vírgula 7 4 3 4" xfId="23741" xr:uid="{B54BA0DA-D379-4E8A-84DA-6B203821600D}"/>
    <cellStyle name="Vírgula 7 4 3 4 2" xfId="44076" xr:uid="{4BDE8FDF-DB66-4940-9F97-ABB5873535E5}"/>
    <cellStyle name="Vírgula 7 4 3 5" xfId="14075" xr:uid="{254835A0-8051-497A-B540-1903E192B8A5}"/>
    <cellStyle name="Vírgula 7 4 3 5 2" xfId="34416" xr:uid="{6E5C530E-FE37-449F-95E0-12E44D23BDFD}"/>
    <cellStyle name="Vírgula 7 4 3 6" xfId="10197" xr:uid="{99DB48E2-CDD6-41DA-B48A-26B62FEF650D}"/>
    <cellStyle name="Vírgula 7 4 3 6 2" xfId="30540" xr:uid="{BE10AFDA-A1C3-4C9F-97B7-40A93421F538}"/>
    <cellStyle name="Vírgula 7 4 3 7" xfId="27046" xr:uid="{EA0AF475-2BAE-4BA2-B399-81A3E4F8B650}"/>
    <cellStyle name="Vírgula 7 4 3 8" xfId="49320" xr:uid="{5C02AACF-311E-43E0-994F-513FA3AD7DF4}"/>
    <cellStyle name="Vírgula 7 4 3 9" xfId="50990" xr:uid="{0D99D1B0-7879-4475-867B-86CB90B81903}"/>
    <cellStyle name="Vírgula 7 4 4" xfId="1495" xr:uid="{67D4522C-30D1-4490-B409-5D49507A1C7D}"/>
    <cellStyle name="Vírgula 7 4 4 10" xfId="54286" xr:uid="{24EE67BB-FBDB-4F75-A3ED-4B47140AD333}"/>
    <cellStyle name="Vírgula 7 4 4 11" xfId="7862" xr:uid="{F4AF07C0-0349-48A9-A5EA-CA337F29E5B6}"/>
    <cellStyle name="Vírgula 7 4 4 2" xfId="3156" xr:uid="{8DE1BE8E-489B-4F83-AE03-97F3777E0E94}"/>
    <cellStyle name="Vírgula 7 4 4 2 2" xfId="38487" xr:uid="{4ED71E4E-7164-4FFF-926F-6A9A639FB66E}"/>
    <cellStyle name="Vírgula 7 4 4 2 3" xfId="52623" xr:uid="{B47237A0-FD0D-4697-95A8-FF537EF4EE37}"/>
    <cellStyle name="Vírgula 7 4 4 2 4" xfId="55917" xr:uid="{7FDD57E3-D88D-4B3B-B15E-1FF522A5FA02}"/>
    <cellStyle name="Vírgula 7 4 4 2 5" xfId="18147" xr:uid="{159D0739-90FF-4BB7-A4E6-FF65D7918005}"/>
    <cellStyle name="Vírgula 7 4 4 3" xfId="21649" xr:uid="{653485B8-9567-4D62-AF05-82A1AD827D0E}"/>
    <cellStyle name="Vírgula 7 4 4 3 2" xfId="41988" xr:uid="{86DBBCDE-19BA-4A08-9674-A4C4303E57AC}"/>
    <cellStyle name="Vírgula 7 4 4 3 3" xfId="57366" xr:uid="{3A32F687-AF53-4F9A-9B3B-2CBB9BCE8652}"/>
    <cellStyle name="Vírgula 7 4 4 4" xfId="24904" xr:uid="{DFBF3646-3FE9-4150-A55B-5C8B934997C9}"/>
    <cellStyle name="Vírgula 7 4 4 4 2" xfId="45239" xr:uid="{41674AFF-A68C-4678-9D12-35989BCDDE78}"/>
    <cellStyle name="Vírgula 7 4 4 5" xfId="15239" xr:uid="{89D40AA1-3EAC-49B9-A217-4C2C7E04D88F}"/>
    <cellStyle name="Vírgula 7 4 4 5 2" xfId="35579" xr:uid="{5E3F721A-974D-42BE-9E7C-0F86E87ED624}"/>
    <cellStyle name="Vírgula 7 4 4 6" xfId="11360" xr:uid="{A6831EE0-346E-41E2-AF10-1D1E7427C148}"/>
    <cellStyle name="Vírgula 7 4 4 6 2" xfId="31703" xr:uid="{8B776921-77CE-473B-9AF3-0B4A7C017005}"/>
    <cellStyle name="Vírgula 7 4 4 7" xfId="28209" xr:uid="{9E69D1F9-C398-48AD-8103-60A8F5832F59}"/>
    <cellStyle name="Vírgula 7 4 4 8" xfId="49321" xr:uid="{8E8D0125-8DD2-40F2-8387-A32ECAE5A0A5}"/>
    <cellStyle name="Vírgula 7 4 4 9" xfId="50991" xr:uid="{E1C5804D-33E0-433B-B1AC-F5D509EC7004}"/>
    <cellStyle name="Vírgula 7 4 5" xfId="682" xr:uid="{ABFE4660-2A06-42C1-ACB8-2A130CEFCB4A}"/>
    <cellStyle name="Vírgula 7 4 5 10" xfId="8366" xr:uid="{ED5C0F41-80BE-44DC-A4BB-505C091EFB40}"/>
    <cellStyle name="Vírgula 7 4 5 2" xfId="2398" xr:uid="{64B89370-D4B7-4E2C-A5D5-599E78650F76}"/>
    <cellStyle name="Vírgula 7 4 5 2 2" xfId="42489" xr:uid="{64DDB3C4-D229-4427-BABF-1BFE919D8149}"/>
    <cellStyle name="Vírgula 7 4 5 2 3" xfId="52624" xr:uid="{3D489F85-7F0B-4188-B498-43F4C8E1AC15}"/>
    <cellStyle name="Vírgula 7 4 5 2 4" xfId="55918" xr:uid="{8FB63023-0749-45BE-AF51-8545FC8B4D9B}"/>
    <cellStyle name="Vírgula 7 4 5 2 5" xfId="22153" xr:uid="{2818AE95-E8F3-4A10-A2C2-7316C351C58C}"/>
    <cellStyle name="Vírgula 7 4 5 3" xfId="25405" xr:uid="{10B690DF-59BF-4846-991A-459E8895528F}"/>
    <cellStyle name="Vírgula 7 4 5 3 2" xfId="45740" xr:uid="{949E90E2-0E3F-4F78-B62A-25DDB75F6128}"/>
    <cellStyle name="Vírgula 7 4 5 3 3" xfId="56553" xr:uid="{BB94CB35-D2D0-4BEA-807D-F8A9A4B5AB53}"/>
    <cellStyle name="Vírgula 7 4 5 4" xfId="12929" xr:uid="{2882F7DA-F7DA-4598-8641-3C180FE8BA2C}"/>
    <cellStyle name="Vírgula 7 4 5 4 2" xfId="33270" xr:uid="{197CB726-964C-4617-BA92-71FF0288FF42}"/>
    <cellStyle name="Vírgula 7 4 5 5" xfId="11862" xr:uid="{9EBBA7A2-E7FC-482C-828D-C4BA7D51E276}"/>
    <cellStyle name="Vírgula 7 4 5 5 2" xfId="32204" xr:uid="{DCC3A945-4216-461F-9268-F60ED6D769CF}"/>
    <cellStyle name="Vírgula 7 4 5 6" xfId="28710" xr:uid="{9A0FA1E7-FE78-4DC6-A2C4-8182F2F15E49}"/>
    <cellStyle name="Vírgula 7 4 5 7" xfId="49322" xr:uid="{6C13101F-E438-4CDB-BC8D-28EA9CA9F451}"/>
    <cellStyle name="Vírgula 7 4 5 8" xfId="50992" xr:uid="{74E42175-6EE1-4BC2-ADB9-7C988B9418C7}"/>
    <cellStyle name="Vírgula 7 4 5 9" xfId="54287" xr:uid="{C67D4D3E-0AAC-4C3A-9905-3641C5468920}"/>
    <cellStyle name="Vírgula 7 4 6" xfId="3509" xr:uid="{DA254AC8-68FB-409B-9694-A5F59C38CD63}"/>
    <cellStyle name="Vírgula 7 4 6 2" xfId="15826" xr:uid="{3D2C0CE0-A9ED-442B-98B2-E7A5C29BEA1E}"/>
    <cellStyle name="Vírgula 7 4 6 2 2" xfId="36166" xr:uid="{06E95FE2-956B-42A3-ACBE-BE4B2122BB7A}"/>
    <cellStyle name="Vírgula 7 4 6 3" xfId="28988" xr:uid="{F7604885-9656-4FB3-85AA-677CE97AD3FD}"/>
    <cellStyle name="Vírgula 7 4 6 4" xfId="52617" xr:uid="{A2EA3764-D149-4204-9BD7-A6CE5B1B3823}"/>
    <cellStyle name="Vírgula 7 4 6 5" xfId="55911" xr:uid="{FF4A4F56-AA86-4B14-BB40-2F39A5A7F5CA}"/>
    <cellStyle name="Vírgula 7 4 6 6" xfId="8645" xr:uid="{EC242EE9-FDB7-427D-851D-CA5045D1D71F}"/>
    <cellStyle name="Vírgula 7 4 7" xfId="3955" xr:uid="{D929F1D1-D939-42A8-81DF-C587AA42D99A}"/>
    <cellStyle name="Vírgula 7 4 7 2" xfId="39080" xr:uid="{2636649E-AEE9-4643-93A4-0C6155F6FF91}"/>
    <cellStyle name="Vírgula 7 4 7 3" xfId="56144" xr:uid="{35B8142F-603B-4019-A861-4255CFF814C2}"/>
    <cellStyle name="Vírgula 7 4 7 4" xfId="18740" xr:uid="{F5E947A3-CEFC-48A2-A147-16770F8EEDAF}"/>
    <cellStyle name="Vírgula 7 4 8" xfId="1858" xr:uid="{15485F03-A136-4B82-A268-22498F03C83F}"/>
    <cellStyle name="Vírgula 7 4 8 2" xfId="39667" xr:uid="{41A8D1B3-EF12-4B62-A594-17829C1475EE}"/>
    <cellStyle name="Vírgula 7 4 8 3" xfId="19328" xr:uid="{44880E80-D8DC-4B0A-B3C3-DEE7B47ABFCF}"/>
    <cellStyle name="Vírgula 7 4 9" xfId="22583" xr:uid="{7969B976-6D96-46A8-AC4C-4C077CFA823D}"/>
    <cellStyle name="Vírgula 7 4 9 2" xfId="42918" xr:uid="{BF56D6C4-0BD7-4574-8568-97327CDE28EA}"/>
    <cellStyle name="Vírgula 7 5" xfId="316" xr:uid="{67E96AA0-0D99-4943-A79D-251250B3EC74}"/>
    <cellStyle name="Vírgula 7 5 10" xfId="49323" xr:uid="{BFA62FFD-4070-4CC8-B039-066736B3DFBF}"/>
    <cellStyle name="Vírgula 7 5 11" xfId="50993" xr:uid="{B6363B1A-4C28-4E85-A757-43E0A1B9DAB3}"/>
    <cellStyle name="Vírgula 7 5 12" xfId="54288" xr:uid="{EF9A03C2-48E8-4B55-A073-82C45EB2E5C9}"/>
    <cellStyle name="Vírgula 7 5 13" xfId="5777" xr:uid="{7D9FD1AA-BF82-4611-AB72-DC6FA9B2A840}"/>
    <cellStyle name="Vírgula 7 5 14" xfId="4597" xr:uid="{7B451F4E-DC9D-4EEC-B2BE-CDCA8397A265}"/>
    <cellStyle name="Vírgula 7 5 2" xfId="1132" xr:uid="{2F73ECF5-7B64-435D-A639-3D3BC85D0679}"/>
    <cellStyle name="Vírgula 7 5 2 10" xfId="54289" xr:uid="{41CFB0B9-9DA0-4C6A-98DF-91B13926994D}"/>
    <cellStyle name="Vírgula 7 5 2 11" xfId="6935" xr:uid="{5EF79D29-A6F0-42AA-B772-66A3635A0F00}"/>
    <cellStyle name="Vírgula 7 5 2 12" xfId="4954" xr:uid="{0FC92252-71E3-413E-B950-F07131FD25CD}"/>
    <cellStyle name="Vírgula 7 5 2 2" xfId="2794" xr:uid="{21945FF3-636D-4B15-BADC-A03CFEA78297}"/>
    <cellStyle name="Vírgula 7 5 2 2 2" xfId="37561" xr:uid="{7664BE42-FCD3-451D-955A-5F240A54A023}"/>
    <cellStyle name="Vírgula 7 5 2 2 3" xfId="52626" xr:uid="{CB645E7E-9C39-4C27-B635-A4220F11C6E5}"/>
    <cellStyle name="Vírgula 7 5 2 2 4" xfId="55920" xr:uid="{27739338-4A23-40CB-AC65-61DA81BA9DC4}"/>
    <cellStyle name="Vírgula 7 5 2 2 5" xfId="17221" xr:uid="{CD700EC1-98A0-4EE6-8453-3C26B27AEB2F}"/>
    <cellStyle name="Vírgula 7 5 2 3" xfId="20723" xr:uid="{95A8F56D-E2E7-471C-B06A-D543A289EB32}"/>
    <cellStyle name="Vírgula 7 5 2 3 2" xfId="41062" xr:uid="{450AE264-4497-498B-918C-CD92F9302FA8}"/>
    <cellStyle name="Vírgula 7 5 2 3 3" xfId="57003" xr:uid="{0381384D-66DA-4DDF-8B84-3F3E26D51474}"/>
    <cellStyle name="Vírgula 7 5 2 4" xfId="23978" xr:uid="{6F773080-8CFD-4A04-B8BB-AE29BEE48737}"/>
    <cellStyle name="Vírgula 7 5 2 4 2" xfId="44313" xr:uid="{9CEF611C-AD0C-4D5D-816C-234E189FA8ED}"/>
    <cellStyle name="Vírgula 7 5 2 5" xfId="14312" xr:uid="{49A2FFA1-58DE-499D-B412-6BC779437D80}"/>
    <cellStyle name="Vírgula 7 5 2 5 2" xfId="34653" xr:uid="{15658D31-F0BF-4C8A-93C9-2BD540B98E1F}"/>
    <cellStyle name="Vírgula 7 5 2 6" xfId="10434" xr:uid="{2C1CCBD8-4537-4A8F-A9FA-D970F9DC1E45}"/>
    <cellStyle name="Vírgula 7 5 2 6 2" xfId="30777" xr:uid="{FD95E38E-AD2B-4B9F-A2E0-696DBE4552C9}"/>
    <cellStyle name="Vírgula 7 5 2 7" xfId="27283" xr:uid="{E8ED1E51-4DF0-4B48-A572-3160EA187FE5}"/>
    <cellStyle name="Vírgula 7 5 2 8" xfId="49324" xr:uid="{AE4C991D-6AEB-45C5-A92A-1907B70E3FAF}"/>
    <cellStyle name="Vírgula 7 5 2 9" xfId="50994" xr:uid="{5D4B4CE6-0EB9-404D-B2A5-9729AA3E0129}"/>
    <cellStyle name="Vírgula 7 5 3" xfId="1538" xr:uid="{77CC7426-C646-4856-903A-DC44520E027E}"/>
    <cellStyle name="Vírgula 7 5 3 2" xfId="3199" xr:uid="{00AB1F9B-1EED-4E6B-A0FE-37EA1C213A62}"/>
    <cellStyle name="Vírgula 7 5 3 2 2" xfId="52627" xr:uid="{06937179-BA81-4369-BFC3-47F770286DD2}"/>
    <cellStyle name="Vírgula 7 5 3 2 3" xfId="55921" xr:uid="{9FB1872F-4B32-4DE4-BE78-C7BA45A2F2B6}"/>
    <cellStyle name="Vírgula 7 5 3 2 4" xfId="33506" xr:uid="{70DDCEB6-05DE-45E4-9306-1680D874D144}"/>
    <cellStyle name="Vírgula 7 5 3 3" xfId="49325" xr:uid="{5826EED6-067A-4A02-9288-ACC76797CFC7}"/>
    <cellStyle name="Vírgula 7 5 3 3 2" xfId="57409" xr:uid="{D3AFE5E1-5DD3-4F66-A304-C4F90AAD3EFB}"/>
    <cellStyle name="Vírgula 7 5 3 4" xfId="50995" xr:uid="{5F98E3C5-1F99-469D-B79F-802683069BF8}"/>
    <cellStyle name="Vírgula 7 5 3 5" xfId="54290" xr:uid="{5D6E2204-5A18-4484-874C-BAE4F8C677AE}"/>
    <cellStyle name="Vírgula 7 5 3 6" xfId="13165" xr:uid="{92158D07-E7A0-43C2-93B9-25D0DDD9DC89}"/>
    <cellStyle name="Vírgula 7 5 4" xfId="725" xr:uid="{8E1BC703-D4D3-47F3-98D7-A8135A6FD172}"/>
    <cellStyle name="Vírgula 7 5 4 2" xfId="2441" xr:uid="{CAEA2909-3E24-43B6-A3C8-19AEF7412ED2}"/>
    <cellStyle name="Vírgula 7 5 4 2 2" xfId="52628" xr:uid="{47717CEA-58E7-4539-ABEE-D98490F13130}"/>
    <cellStyle name="Vírgula 7 5 4 2 3" xfId="55922" xr:uid="{CF28E4E9-EB49-43A7-BB1E-D4A0503FBDC2}"/>
    <cellStyle name="Vírgula 7 5 4 2 4" xfId="36403" xr:uid="{AA9048D8-ED72-4543-BEE7-DDE3A9FE80FE}"/>
    <cellStyle name="Vírgula 7 5 4 3" xfId="49326" xr:uid="{936B9AD7-7DFC-44C8-87BB-EA5E5B76F88E}"/>
    <cellStyle name="Vírgula 7 5 4 3 2" xfId="56596" xr:uid="{53578F17-017A-47EA-9C37-5B787C7363F5}"/>
    <cellStyle name="Vírgula 7 5 4 4" xfId="50996" xr:uid="{473441D5-F6DD-4CE7-91BB-DC863164683D}"/>
    <cellStyle name="Vírgula 7 5 4 5" xfId="54291" xr:uid="{DEA48CE2-794F-402C-BFDB-6E1911AF8F5D}"/>
    <cellStyle name="Vírgula 7 5 4 6" xfId="16063" xr:uid="{DD198954-08EB-4FF5-BF08-7C815BF71283}"/>
    <cellStyle name="Vírgula 7 5 5" xfId="3727" xr:uid="{15118B55-A50A-49F8-8612-92D435E1AB72}"/>
    <cellStyle name="Vírgula 7 5 5 2" xfId="39904" xr:uid="{770A27C2-E506-43B2-B32F-1521EFB87885}"/>
    <cellStyle name="Vírgula 7 5 5 3" xfId="52625" xr:uid="{00055088-F832-4FAA-AB62-7C244ACFE5C4}"/>
    <cellStyle name="Vírgula 7 5 5 4" xfId="55919" xr:uid="{C04B4B05-9F21-46E3-8AF9-7442E7D5D2E9}"/>
    <cellStyle name="Vírgula 7 5 5 5" xfId="19565" xr:uid="{372F96B3-3A34-412D-9584-55533A4CDC3D}"/>
    <cellStyle name="Vírgula 7 5 6" xfId="4014" xr:uid="{FD367639-AAE7-4005-92D6-335A09480229}"/>
    <cellStyle name="Vírgula 7 5 6 2" xfId="43155" xr:uid="{7BE96F35-AE1B-4684-BFD8-CAA263CD61F5}"/>
    <cellStyle name="Vírgula 7 5 6 3" xfId="56187" xr:uid="{342692C2-5E36-4013-AF44-80491964DA2A}"/>
    <cellStyle name="Vírgula 7 5 6 4" xfId="22820" xr:uid="{2EC76C49-E04B-410A-B7FE-BD625382DF8D}"/>
    <cellStyle name="Vírgula 7 5 7" xfId="2117" xr:uid="{BDB35233-9A92-400F-AC13-CD15EFC741E3}"/>
    <cellStyle name="Vírgula 7 5 7 2" xfId="32893" xr:uid="{62DB57CF-2319-40CD-B5B5-2DBAB7B2E0D7}"/>
    <cellStyle name="Vírgula 7 5 7 3" xfId="12552" xr:uid="{07A9E69A-BF49-4E8B-978B-84420ABAD2CC}"/>
    <cellStyle name="Vírgula 7 5 8" xfId="9276" xr:uid="{0358F8F3-085F-4422-B22E-89B242902D20}"/>
    <cellStyle name="Vírgula 7 5 8 2" xfId="29619" xr:uid="{6F738AA3-AA4B-4A64-8631-7238B21FDDDE}"/>
    <cellStyle name="Vírgula 7 5 9" xfId="26125" xr:uid="{DD3F4C43-C314-44CD-95CE-C1A223ECB677}"/>
    <cellStyle name="Vírgula 7 6" xfId="127" xr:uid="{1BF8EE3A-4379-4A17-B827-CE62393A1DD6}"/>
    <cellStyle name="Vírgula 7 6 10" xfId="54292" xr:uid="{092B3FFD-49E6-4FDD-97CE-3ADA3FF314E9}"/>
    <cellStyle name="Vírgula 7 6 11" xfId="6354" xr:uid="{3E7B36EE-23F7-4951-B12E-93BCB7EE03AA}"/>
    <cellStyle name="Vírgula 7 6 12" xfId="4408" xr:uid="{7F649B33-45CD-4862-8F45-8B3239F7BEB0}"/>
    <cellStyle name="Vírgula 7 6 2" xfId="943" xr:uid="{5DA4A266-6487-4C70-8BAD-1149A44F4A5C}"/>
    <cellStyle name="Vírgula 7 6 2 2" xfId="2658" xr:uid="{ED3FDB9F-3F66-4D07-B76B-52736C32B075}"/>
    <cellStyle name="Vírgula 7 6 2 2 2" xfId="52630" xr:uid="{1F801257-3274-486F-8C64-053B40117E87}"/>
    <cellStyle name="Vírgula 7 6 2 2 3" xfId="55924" xr:uid="{669FBF8B-8E7C-4597-9432-8561F6C698D8}"/>
    <cellStyle name="Vírgula 7 6 2 2 4" xfId="36980" xr:uid="{6E32E676-7E71-48C7-ADD6-56C8CE14B6DF}"/>
    <cellStyle name="Vírgula 7 6 2 3" xfId="49328" xr:uid="{B98D228F-2EBA-434C-A6A5-0A0503A70A6A}"/>
    <cellStyle name="Vírgula 7 6 2 3 2" xfId="56814" xr:uid="{549E80DE-BF7D-40E5-828C-89A08D7F5FCF}"/>
    <cellStyle name="Vírgula 7 6 2 4" xfId="50998" xr:uid="{4911B0F3-E95E-4310-A337-2359A1234D95}"/>
    <cellStyle name="Vírgula 7 6 2 5" xfId="54293" xr:uid="{2A1207F6-256D-413D-A911-237B9C46C39D}"/>
    <cellStyle name="Vírgula 7 6 2 6" xfId="16640" xr:uid="{C08E778B-3043-4380-BE07-80C7716F6EAF}"/>
    <cellStyle name="Vírgula 7 6 3" xfId="1349" xr:uid="{A44FF57B-B8DA-48CF-85A5-58694E6FDB44}"/>
    <cellStyle name="Vírgula 7 6 3 2" xfId="3010" xr:uid="{9627BEE5-DEE8-4DF0-AE38-2D9313646C63}"/>
    <cellStyle name="Vírgula 7 6 3 2 2" xfId="52631" xr:uid="{9EC1F8A7-C973-40A9-8BBA-A85EA20F7F01}"/>
    <cellStyle name="Vírgula 7 6 3 2 3" xfId="55925" xr:uid="{F3726C32-D577-4414-8359-5F00645A341E}"/>
    <cellStyle name="Vírgula 7 6 3 2 4" xfId="40481" xr:uid="{4E228AE2-34B2-4520-9E8E-377D00B36221}"/>
    <cellStyle name="Vírgula 7 6 3 3" xfId="49329" xr:uid="{472DE782-CECA-40C5-BA4E-FD62B677866C}"/>
    <cellStyle name="Vírgula 7 6 3 3 2" xfId="57220" xr:uid="{E41B0099-2754-4444-9105-0577612D0E68}"/>
    <cellStyle name="Vírgula 7 6 3 4" xfId="50999" xr:uid="{6E2DB8A1-253F-4840-B48E-DAE6E399F11E}"/>
    <cellStyle name="Vírgula 7 6 3 5" xfId="54294" xr:uid="{52FC1B75-F902-42FB-9D89-745058425B5D}"/>
    <cellStyle name="Vírgula 7 6 3 6" xfId="20142" xr:uid="{A7C19B09-0047-40C9-90E7-438356A0B8A1}"/>
    <cellStyle name="Vírgula 7 6 4" xfId="536" xr:uid="{81E12BBF-21DC-4551-937C-7A75A6B00669}"/>
    <cellStyle name="Vírgula 7 6 4 2" xfId="2252" xr:uid="{CB68C44F-7334-4DC5-BFF5-E777A0422FB1}"/>
    <cellStyle name="Vírgula 7 6 4 2 2" xfId="52632" xr:uid="{C7546EC8-6A04-41C7-A88C-66782AACB01C}"/>
    <cellStyle name="Vírgula 7 6 4 2 3" xfId="55926" xr:uid="{15B203D7-16F8-438B-8BEC-3DE9F52CF319}"/>
    <cellStyle name="Vírgula 7 6 4 2 4" xfId="43732" xr:uid="{BF201603-46BB-4DCC-8042-991E714E3311}"/>
    <cellStyle name="Vírgula 7 6 4 3" xfId="49330" xr:uid="{33743B97-7D9B-4274-B9DE-2F2A7C7624DB}"/>
    <cellStyle name="Vírgula 7 6 4 3 2" xfId="56407" xr:uid="{A101B6D5-38F9-4F68-A79B-C506470D72D2}"/>
    <cellStyle name="Vírgula 7 6 4 4" xfId="51000" xr:uid="{00C1CF3F-6084-4675-B9EA-7F8089DDBF08}"/>
    <cellStyle name="Vírgula 7 6 4 5" xfId="54295" xr:uid="{0DC659A6-5D36-4121-BE17-428CFDC6D676}"/>
    <cellStyle name="Vírgula 7 6 4 6" xfId="23397" xr:uid="{5C7B68B3-8A0F-4C73-9116-6C8F9EFB2FC4}"/>
    <cellStyle name="Vírgula 7 6 5" xfId="4186" xr:uid="{25D76A0C-446E-420C-88F0-ED0C0A779AD7}"/>
    <cellStyle name="Vírgula 7 6 5 2" xfId="34072" xr:uid="{553DC208-BA88-447E-B222-873EACC68069}"/>
    <cellStyle name="Vírgula 7 6 5 3" xfId="52629" xr:uid="{671288A1-80C9-47C3-8594-BC1A19687827}"/>
    <cellStyle name="Vírgula 7 6 5 4" xfId="55923" xr:uid="{FE44F875-9CD1-44F2-8234-8A64D7083681}"/>
    <cellStyle name="Vírgula 7 6 5 5" xfId="13731" xr:uid="{5FC9F34B-E4E3-46BA-B98F-6AC65C301D08}"/>
    <cellStyle name="Vírgula 7 6 6" xfId="2089" xr:uid="{68E8A9F1-0646-4714-A241-07FD154B4AA2}"/>
    <cellStyle name="Vírgula 7 6 6 2" xfId="30196" xr:uid="{DE1F8635-4C50-4878-AD5F-C818277DF38B}"/>
    <cellStyle name="Vírgula 7 6 6 3" xfId="55998" xr:uid="{BC675669-D61A-458D-A38D-84E85DA3E310}"/>
    <cellStyle name="Vírgula 7 6 6 4" xfId="9853" xr:uid="{4D001B7F-5258-41E5-9234-A012F54D45EF}"/>
    <cellStyle name="Vírgula 7 6 7" xfId="26702" xr:uid="{7AA422CC-40A3-4798-85EE-58EFB7BBB4EA}"/>
    <cellStyle name="Vírgula 7 6 8" xfId="49327" xr:uid="{0BDA1FFB-DCFB-43B2-87E7-BC86FFA5BF78}"/>
    <cellStyle name="Vírgula 7 6 9" xfId="50997" xr:uid="{0393A174-77C3-4FF9-A838-036C16B2DA9B}"/>
    <cellStyle name="Vírgula 7 7" xfId="920" xr:uid="{9AAF9F86-0763-41FF-BB31-07599A329694}"/>
    <cellStyle name="Vírgula 7 7 10" xfId="54296" xr:uid="{CDF92140-4776-4FF2-A0B9-E41EE427D43F}"/>
    <cellStyle name="Vírgula 7 7 11" xfId="7518" xr:uid="{C43C3613-37D8-4616-B9AD-DE34C6E0A066}"/>
    <cellStyle name="Vírgula 7 7 12" xfId="4777" xr:uid="{35FF74DD-9803-4B7C-B818-92C75FCDA6FD}"/>
    <cellStyle name="Vírgula 7 7 2" xfId="2636" xr:uid="{8412DF19-52AC-49EE-8783-8F0EEAC66245}"/>
    <cellStyle name="Vírgula 7 7 2 2" xfId="38143" xr:uid="{BD9FB339-545D-4C23-8507-1F96F1DA36D5}"/>
    <cellStyle name="Vírgula 7 7 2 3" xfId="52633" xr:uid="{9EDE49EE-A88A-485F-9FC2-54302205999D}"/>
    <cellStyle name="Vírgula 7 7 2 4" xfId="55927" xr:uid="{678F7768-8981-403C-B330-9CC172AB74A6}"/>
    <cellStyle name="Vírgula 7 7 2 5" xfId="17803" xr:uid="{14BFF7B4-78DE-4224-9420-AE759850AC01}"/>
    <cellStyle name="Vírgula 7 7 3" xfId="21305" xr:uid="{720A07EC-54F2-451D-857B-C4BD8EB112BB}"/>
    <cellStyle name="Vírgula 7 7 3 2" xfId="41644" xr:uid="{0FFD1F43-677D-4512-A422-4D4B16A49E54}"/>
    <cellStyle name="Vírgula 7 7 3 3" xfId="56791" xr:uid="{3A3897C5-F1C8-4B75-87A1-398C5B27477A}"/>
    <cellStyle name="Vírgula 7 7 4" xfId="24560" xr:uid="{A8211E19-CEB9-4264-A9CD-4B7C1C81A28A}"/>
    <cellStyle name="Vírgula 7 7 4 2" xfId="44895" xr:uid="{EBBC687E-783D-42CD-B36F-1A722CE10DB4}"/>
    <cellStyle name="Vírgula 7 7 5" xfId="14895" xr:uid="{C3C409D2-29EB-4A3E-9A72-2E7525661F48}"/>
    <cellStyle name="Vírgula 7 7 5 2" xfId="35235" xr:uid="{B996F2FE-0D79-458A-AEF1-41CAB23AAC70}"/>
    <cellStyle name="Vírgula 7 7 6" xfId="11016" xr:uid="{AB69AA46-7D09-45AB-A7DC-F11734EA46E6}"/>
    <cellStyle name="Vírgula 7 7 6 2" xfId="31359" xr:uid="{CC25A0F4-70E1-4AB7-B5A4-C4389F1609D5}"/>
    <cellStyle name="Vírgula 7 7 7" xfId="27865" xr:uid="{EED0F9EA-A3D0-4376-83A2-935E0A7B5624}"/>
    <cellStyle name="Vírgula 7 7 8" xfId="49331" xr:uid="{12D8BAA6-339A-43A8-9E4C-C3C696BF9E6D}"/>
    <cellStyle name="Vírgula 7 7 9" xfId="51001" xr:uid="{97B4A808-279C-47F3-BA7F-EF8E6167C5D0}"/>
    <cellStyle name="Vírgula 7 8" xfId="1326" xr:uid="{530285C5-2F44-4025-B98F-1A4DE24073D1}"/>
    <cellStyle name="Vírgula 7 8 10" xfId="8338" xr:uid="{61C5ACFF-2E79-48D0-969C-7C64FA540C71}"/>
    <cellStyle name="Vírgula 7 8 2" xfId="2987" xr:uid="{BDB7D2ED-2CAA-4BDC-85E1-5669F39A6F3F}"/>
    <cellStyle name="Vírgula 7 8 2 2" xfId="42461" xr:uid="{0D60BE12-24CB-491C-82BE-1E37F7357F9F}"/>
    <cellStyle name="Vírgula 7 8 2 3" xfId="52634" xr:uid="{D0A6521A-DC1F-41F9-B29A-C576F2A10B5A}"/>
    <cellStyle name="Vírgula 7 8 2 4" xfId="55928" xr:uid="{58A6572D-131E-473F-A848-7230F7B6A699}"/>
    <cellStyle name="Vírgula 7 8 2 5" xfId="22125" xr:uid="{EDF45093-37EA-405D-92C1-7C70E385FD81}"/>
    <cellStyle name="Vírgula 7 8 3" xfId="25377" xr:uid="{2AFE5CBE-81DA-4578-B6D9-2A3522A9D584}"/>
    <cellStyle name="Vírgula 7 8 3 2" xfId="45712" xr:uid="{6E7651AB-2831-40F1-8C3A-B938804C5D6C}"/>
    <cellStyle name="Vírgula 7 8 3 3" xfId="57197" xr:uid="{B3E94A60-5579-4559-AEC1-BC73621210E6}"/>
    <cellStyle name="Vírgula 7 8 4" xfId="12596" xr:uid="{B6B01598-DE0B-469B-8DB0-4CF9A0473AB7}"/>
    <cellStyle name="Vírgula 7 8 4 2" xfId="32937" xr:uid="{59724F76-F987-4C8F-9376-2615ABEBA407}"/>
    <cellStyle name="Vírgula 7 8 5" xfId="11834" xr:uid="{2962DE1D-29E2-41AB-9E95-B044A6F670B5}"/>
    <cellStyle name="Vírgula 7 8 5 2" xfId="32176" xr:uid="{0AB74ED7-FC05-4623-AEEE-73183B9FBA82}"/>
    <cellStyle name="Vírgula 7 8 6" xfId="28682" xr:uid="{688B9709-D57F-4AE9-99B9-06A7C4D73D26}"/>
    <cellStyle name="Vírgula 7 8 7" xfId="49332" xr:uid="{B4CF2652-93EC-4060-A542-35ABE70DA3B5}"/>
    <cellStyle name="Vírgula 7 8 8" xfId="51002" xr:uid="{85CF5252-4453-4458-8380-2A5470335BDB}"/>
    <cellStyle name="Vírgula 7 8 9" xfId="54297" xr:uid="{951F08F8-F8AE-4EF3-9B7B-DF38CF9B517B}"/>
    <cellStyle name="Vírgula 7 9" xfId="513" xr:uid="{CD0AD051-6E9E-4ABB-BB5B-68D0EC0C587C}"/>
    <cellStyle name="Vírgula 7 9 2" xfId="2229" xr:uid="{F7277D0F-66A6-4740-B573-391151E163B2}"/>
    <cellStyle name="Vírgula 7 9 2 2" xfId="52635" xr:uid="{252E8981-08F5-4B87-872E-42BF9C27A14D}"/>
    <cellStyle name="Vírgula 7 9 2 3" xfId="55929" xr:uid="{725C0288-B522-4204-89E9-030680B674A8}"/>
    <cellStyle name="Vírgula 7 9 2 4" xfId="35822" xr:uid="{681F314A-034A-47B7-B81B-A05A3D6ACE8A}"/>
    <cellStyle name="Vírgula 7 9 3" xfId="49333" xr:uid="{3A5F843D-5295-4202-A9D8-9332D25C5FC1}"/>
    <cellStyle name="Vírgula 7 9 3 2" xfId="56384" xr:uid="{DD05F3CE-004B-4378-BBB8-CF965F67DC1D}"/>
    <cellStyle name="Vírgula 7 9 4" xfId="51003" xr:uid="{9F5AE6C5-5BD3-4E27-BC6D-DC54796FC587}"/>
    <cellStyle name="Vírgula 7 9 5" xfId="54298" xr:uid="{A73D37E4-90CA-4767-A209-216A29EC5168}"/>
    <cellStyle name="Vírgula 7 9 6" xfId="15482" xr:uid="{DB0CA359-0C8B-4633-995E-B1B9CDE5DAEC}"/>
    <cellStyle name="Vírgula 8" xfId="103" xr:uid="{F687A0DC-B55C-46B9-9DF3-EFD82CFE4C29}"/>
    <cellStyle name="Vírgula 8 10" xfId="6382" xr:uid="{8FBCD412-2570-4BB4-8784-DF12175A45CB}"/>
    <cellStyle name="Vírgula 8 10 2" xfId="16668" xr:uid="{DBECD647-CD07-41AC-8476-6234AA82A37C}"/>
    <cellStyle name="Vírgula 8 10 2 2" xfId="37008" xr:uid="{C7E57369-6B7E-4F74-B9C2-1C45D19568BC}"/>
    <cellStyle name="Vírgula 8 10 3" xfId="20170" xr:uid="{E64F1169-2744-48DD-A833-2DF23F90A31B}"/>
    <cellStyle name="Vírgula 8 10 3 2" xfId="40509" xr:uid="{905D5D33-6CAD-4A3E-AC54-C3C29EC3EF2A}"/>
    <cellStyle name="Vírgula 8 10 4" xfId="23425" xr:uid="{D6243211-4C22-4C08-9077-647814711B3E}"/>
    <cellStyle name="Vírgula 8 10 4 2" xfId="43760" xr:uid="{D2EF3BF2-BD50-49A1-81DC-781221393235}"/>
    <cellStyle name="Vírgula 8 10 5" xfId="13759" xr:uid="{E7C3CB5A-793A-461F-9C48-B562B4FAB3F2}"/>
    <cellStyle name="Vírgula 8 10 5 2" xfId="34100" xr:uid="{88D1B91A-5088-401A-BFAF-2A207032B287}"/>
    <cellStyle name="Vírgula 8 10 6" xfId="9881" xr:uid="{A1E08D42-F2F5-4A0B-B972-6E8D0DEE9FF5}"/>
    <cellStyle name="Vírgula 8 10 6 2" xfId="30224" xr:uid="{905799DC-3215-43D8-ADE6-9DBD54A14B12}"/>
    <cellStyle name="Vírgula 8 10 7" xfId="26730" xr:uid="{3D65222B-F2DC-48F8-B7F2-3E41887DB71B}"/>
    <cellStyle name="Vírgula 8 11" xfId="7546" xr:uid="{4A5134A1-0C6E-4E13-95E4-67C1687E4D43}"/>
    <cellStyle name="Vírgula 8 11 2" xfId="17831" xr:uid="{A0F52DD1-DDB4-47E4-87E5-C5C7AD7DC200}"/>
    <cellStyle name="Vírgula 8 11 2 2" xfId="38171" xr:uid="{304667B1-6BCB-424C-A62C-FD9224768BCA}"/>
    <cellStyle name="Vírgula 8 11 3" xfId="21333" xr:uid="{BD7275CA-1075-4E21-A285-E42ABECEB055}"/>
    <cellStyle name="Vírgula 8 11 3 2" xfId="41672" xr:uid="{A8F02A6C-FFCB-414B-A5B2-4217504AED6A}"/>
    <cellStyle name="Vírgula 8 11 4" xfId="24588" xr:uid="{F74F01E1-5289-4B7E-BF31-FABDFCA61716}"/>
    <cellStyle name="Vírgula 8 11 4 2" xfId="44923" xr:uid="{0087A34B-A8CC-4F87-934B-366CA2D4C4FD}"/>
    <cellStyle name="Vírgula 8 11 5" xfId="14923" xr:uid="{942D2F7A-75CF-47C6-BD8C-D51609762F6D}"/>
    <cellStyle name="Vírgula 8 11 5 2" xfId="35263" xr:uid="{48A3E113-9322-498E-B0F8-FD6D728C3040}"/>
    <cellStyle name="Vírgula 8 11 6" xfId="11044" xr:uid="{2E8F4B84-7DE7-4F03-9E8F-769959A726C2}"/>
    <cellStyle name="Vírgula 8 11 6 2" xfId="31387" xr:uid="{AAD139F1-2CAA-4C2F-B606-F7E83D53FD1A}"/>
    <cellStyle name="Vírgula 8 11 7" xfId="27893" xr:uid="{9416FE80-6EE2-4F54-8CCC-F04634BC48A0}"/>
    <cellStyle name="Vírgula 8 12" xfId="8367" xr:uid="{66127ACD-3DE5-42F8-97EA-B1D7DC41C13E}"/>
    <cellStyle name="Vírgula 8 12 2" xfId="22154" xr:uid="{CD5B8FC6-3749-410A-A68A-35944F59FB4C}"/>
    <cellStyle name="Vírgula 8 12 2 2" xfId="42490" xr:uid="{67CA097F-BD89-4E89-9314-A0CFF344F35C}"/>
    <cellStyle name="Vírgula 8 12 3" xfId="25406" xr:uid="{AED7FF5B-7DE8-4FF8-8F6E-C5FDA2D0DAAF}"/>
    <cellStyle name="Vírgula 8 12 3 2" xfId="45741" xr:uid="{457EFB63-97E0-4439-A0EF-F4640981E370}"/>
    <cellStyle name="Vírgula 8 12 4" xfId="15510" xr:uid="{289D8B3B-BE9F-462F-9111-7B13F9866AF9}"/>
    <cellStyle name="Vírgula 8 12 4 2" xfId="35850" xr:uid="{0820CBE0-1968-4FF9-9686-6176F7477886}"/>
    <cellStyle name="Vírgula 8 12 5" xfId="11863" xr:uid="{4DDBFF8A-CBA2-441B-8D7A-15256218EABE}"/>
    <cellStyle name="Vírgula 8 12 5 2" xfId="32205" xr:uid="{240BA7A8-981A-421D-AD43-CFFA8A5E5C48}"/>
    <cellStyle name="Vírgula 8 12 6" xfId="28711" xr:uid="{C775C890-63C5-471C-B1B1-CD75E5048F55}"/>
    <cellStyle name="Vírgula 8 13" xfId="8461" xr:uid="{81C2F75F-452F-48DC-90C5-F2424EB10B53}"/>
    <cellStyle name="Vírgula 8 13 2" xfId="18424" xr:uid="{50E46796-C5E0-422B-9178-A68F6E578BFA}"/>
    <cellStyle name="Vírgula 8 13 2 2" xfId="38764" xr:uid="{72293362-947D-480F-ADBD-BE96511E2A53}"/>
    <cellStyle name="Vírgula 8 13 3" xfId="28804" xr:uid="{B5006570-8A3C-4772-AE87-41660CE9451E}"/>
    <cellStyle name="Vírgula 8 14" xfId="19012" xr:uid="{30BDFFA8-842C-4435-9332-2A3BF5894AFF}"/>
    <cellStyle name="Vírgula 8 14 2" xfId="39351" xr:uid="{798B7595-E260-4915-928D-6D398D3AE5BB}"/>
    <cellStyle name="Vírgula 8 15" xfId="22267" xr:uid="{46381B23-CF87-4CE0-9930-142DBC367DF6}"/>
    <cellStyle name="Vírgula 8 15 2" xfId="42602" xr:uid="{19E13BF7-607C-4919-AAF1-8A88A181540F}"/>
    <cellStyle name="Vírgula 8 16" xfId="11984" xr:uid="{AF84206C-23F2-45F7-AEEE-102086BE1673}"/>
    <cellStyle name="Vírgula 8 16 2" xfId="32325" xr:uid="{CBD0EC5E-7B77-4DA3-A51A-138BA18284CE}"/>
    <cellStyle name="Vírgula 8 17" xfId="8723" xr:uid="{6CCE97D3-839A-4F54-B2CC-E30F5EB05398}"/>
    <cellStyle name="Vírgula 8 17 2" xfId="29066" xr:uid="{C00885E5-019B-4560-9792-1C0FBFC11D02}"/>
    <cellStyle name="Vírgula 8 18" xfId="25568" xr:uid="{833F66FD-7924-4E9B-B8A4-7394979F3DE2}"/>
    <cellStyle name="Vírgula 8 19" xfId="25515" xr:uid="{6E9E78E9-52D4-4B4E-91CD-AB974F488166}"/>
    <cellStyle name="Vírgula 8 2" xfId="329" xr:uid="{A2A7C538-5329-4E1D-B674-09BA15B2E70F}"/>
    <cellStyle name="Vírgula 8 2 10" xfId="8368" xr:uid="{F546B48E-2427-4CCC-A799-CCAAA29D9D1D}"/>
    <cellStyle name="Vírgula 8 2 10 2" xfId="22155" xr:uid="{6BF4BDCA-2AED-4354-8D2F-5B9AF52B1255}"/>
    <cellStyle name="Vírgula 8 2 10 2 2" xfId="42491" xr:uid="{7333B09E-D0E8-42D9-AF60-E47CFA3D6CE9}"/>
    <cellStyle name="Vírgula 8 2 10 3" xfId="25407" xr:uid="{9B877647-1CCC-4F69-BC6C-F0870D72794A}"/>
    <cellStyle name="Vírgula 8 2 10 3 2" xfId="45742" xr:uid="{6CE7665A-2B42-4EB4-AE49-18E205A93AF3}"/>
    <cellStyle name="Vírgula 8 2 10 4" xfId="12643" xr:uid="{3AEC2AB8-C439-4FDF-8DD9-DA17558A62EF}"/>
    <cellStyle name="Vírgula 8 2 10 4 2" xfId="32984" xr:uid="{8C0FA2CB-93E6-465A-9C6B-430E389093CB}"/>
    <cellStyle name="Vírgula 8 2 10 5" xfId="11864" xr:uid="{6304BA3A-2F6C-4500-AC42-F4D908AFC434}"/>
    <cellStyle name="Vírgula 8 2 10 5 2" xfId="32206" xr:uid="{24B8B0DD-5CFE-4232-BDE4-A304E315BB89}"/>
    <cellStyle name="Vírgula 8 2 10 6" xfId="28712" xr:uid="{8849E143-83F2-4AF6-AC73-ADAF93FCAFA7}"/>
    <cellStyle name="Vírgula 8 2 11" xfId="8489" xr:uid="{E33807D6-D3A1-4370-9EB3-A74457CFF7A7}"/>
    <cellStyle name="Vírgula 8 2 11 2" xfId="15538" xr:uid="{2491BDC9-3907-4C0F-8047-E73A0E1BF056}"/>
    <cellStyle name="Vírgula 8 2 11 2 2" xfId="35878" xr:uid="{23C66B89-9A0D-4A8B-BCAB-6D939DFE658B}"/>
    <cellStyle name="Vírgula 8 2 11 3" xfId="28832" xr:uid="{3A37DC52-7C42-406F-B9D5-EDAF9FE8E028}"/>
    <cellStyle name="Vírgula 8 2 12" xfId="18452" xr:uid="{F78FBB34-5D83-4CF9-9932-6824D58F1D5E}"/>
    <cellStyle name="Vírgula 8 2 12 2" xfId="38792" xr:uid="{27D7184A-B7D7-406B-BA88-5E521F15621D}"/>
    <cellStyle name="Vírgula 8 2 13" xfId="19040" xr:uid="{BF878DA9-A892-4407-9BBF-9CD817A921C1}"/>
    <cellStyle name="Vírgula 8 2 13 2" xfId="39379" xr:uid="{65486775-AE6F-4555-9FCF-780153E4480B}"/>
    <cellStyle name="Vírgula 8 2 14" xfId="22295" xr:uid="{544A3D70-61FD-42E7-9B62-8C2FAEE38E5A}"/>
    <cellStyle name="Vírgula 8 2 14 2" xfId="42630" xr:uid="{AF2B9C68-A723-49E5-B586-C2DBA8BE9184}"/>
    <cellStyle name="Vírgula 8 2 15" xfId="12012" xr:uid="{238A237D-BA36-4ED3-97A8-7AF05CE6C157}"/>
    <cellStyle name="Vírgula 8 2 15 2" xfId="32353" xr:uid="{EDF397A9-F81A-4664-B00B-4E68A98CD1F5}"/>
    <cellStyle name="Vírgula 8 2 16" xfId="8751" xr:uid="{00B7334B-A25F-487A-8619-0EEFE6CE260B}"/>
    <cellStyle name="Vírgula 8 2 16 2" xfId="29094" xr:uid="{0F888B2E-41E4-4F2A-8E00-2996F55E6FFF}"/>
    <cellStyle name="Vírgula 8 2 17" xfId="25596" xr:uid="{8BE93338-17AE-4863-9837-0325F24F2BB2}"/>
    <cellStyle name="Vírgula 8 2 18" xfId="45864" xr:uid="{B0C271BB-4246-4F43-8426-23057ED67BF4}"/>
    <cellStyle name="Vírgula 8 2 19" xfId="46350" xr:uid="{885B7A65-D26D-41A4-B468-7BD62DD6695E}"/>
    <cellStyle name="Vírgula 8 2 2" xfId="1145" xr:uid="{75A90D2D-351D-45B3-8706-B6CCAA2F8063}"/>
    <cellStyle name="Vírgula 8 2 2 10" xfId="22410" xr:uid="{605BC70E-D043-435B-A3AE-0CD5946D5111}"/>
    <cellStyle name="Vírgula 8 2 2 10 2" xfId="42745" xr:uid="{F41EC6E1-743F-461B-A783-B21CFA9A5E6F}"/>
    <cellStyle name="Vírgula 8 2 2 11" xfId="12127" xr:uid="{51676CBD-816A-46B5-9060-A505735C954D}"/>
    <cellStyle name="Vírgula 8 2 2 11 2" xfId="32468" xr:uid="{D5757A0C-B9CB-4D2A-8F5A-916F3D498671}"/>
    <cellStyle name="Vírgula 8 2 2 12" xfId="8866" xr:uid="{E67C1243-4D55-4987-B121-2BA180634EA7}"/>
    <cellStyle name="Vírgula 8 2 2 12 2" xfId="29209" xr:uid="{66ED74EF-2331-479F-BB60-089B9B5DF9B4}"/>
    <cellStyle name="Vírgula 8 2 2 13" xfId="25715" xr:uid="{DD2FEE63-9123-4B44-B646-5E7343D1528F}"/>
    <cellStyle name="Vírgula 8 2 2 14" xfId="45924" xr:uid="{D6DDC3DC-6648-473E-A4FE-5BF83441D0DB}"/>
    <cellStyle name="Vírgula 8 2 2 15" xfId="46410" xr:uid="{8A7572A2-258A-45E0-BD1C-3E1F4C722A04}"/>
    <cellStyle name="Vírgula 8 2 2 16" xfId="46902" xr:uid="{A458E64B-B493-45EB-A6BD-0CB97586ACAA}"/>
    <cellStyle name="Vírgula 8 2 2 17" xfId="49336" xr:uid="{BBD9BFBF-46EE-4D66-9A23-66A8D41A55A0}"/>
    <cellStyle name="Vírgula 8 2 2 18" xfId="51006" xr:uid="{C4516CEF-466B-44B4-96D4-004A3EFECF6F}"/>
    <cellStyle name="Vírgula 8 2 2 19" xfId="54301" xr:uid="{6872C1BA-D50D-4C3F-87A9-B33FD45993BF}"/>
    <cellStyle name="Vírgula 8 2 2 2" xfId="3700" xr:uid="{3A2FED46-58D9-4E83-BDDF-163F60B6158F}"/>
    <cellStyle name="Vírgula 8 2 2 2 10" xfId="12514" xr:uid="{00F5FFC0-03A4-485B-8B72-95A51189B909}"/>
    <cellStyle name="Vírgula 8 2 2 2 10 2" xfId="32855" xr:uid="{BCCEB20E-57EF-4C3B-931B-7830A36E3EF6}"/>
    <cellStyle name="Vírgula 8 2 2 2 11" xfId="9253" xr:uid="{F49D51A9-EBD4-4436-8C47-887CB7FCE836}"/>
    <cellStyle name="Vírgula 8 2 2 2 11 2" xfId="29596" xr:uid="{01820997-2897-404D-BE29-EE3EDDF597D6}"/>
    <cellStyle name="Vírgula 8 2 2 2 12" xfId="26102" xr:uid="{CA50E6E3-5F55-499C-975C-F965707FC226}"/>
    <cellStyle name="Vírgula 8 2 2 2 13" xfId="46032" xr:uid="{17A3CD5D-5221-4F72-833A-9A57A0656257}"/>
    <cellStyle name="Vírgula 8 2 2 2 14" xfId="46518" xr:uid="{152BAA22-C1B0-4F58-BE70-2C24D72243CA}"/>
    <cellStyle name="Vírgula 8 2 2 2 15" xfId="47010" xr:uid="{1A0F5F84-876F-4A7A-8CF3-D82F28DCEB68}"/>
    <cellStyle name="Vírgula 8 2 2 2 16" xfId="52638" xr:uid="{460E1FE6-027F-4183-B87F-F36675BCA6AF}"/>
    <cellStyle name="Vírgula 8 2 2 2 17" xfId="55932" xr:uid="{F8AC271B-3119-45EE-88C9-86E17A2F5525}"/>
    <cellStyle name="Vírgula 8 2 2 2 18" xfId="5755" xr:uid="{2ED23092-C418-4B97-98AB-C1833C1B03F2}"/>
    <cellStyle name="Vírgula 8 2 2 2 19" xfId="5150" xr:uid="{3E6B9C47-59C1-4E51-A97B-5289C6485F27}"/>
    <cellStyle name="Vírgula 8 2 2 2 2" xfId="6335" xr:uid="{C405F9E4-4298-4FFC-860D-01634CB06544}"/>
    <cellStyle name="Vírgula 8 2 2 2 2 10" xfId="46761" xr:uid="{F8B330BA-657D-4493-B129-B105B258D697}"/>
    <cellStyle name="Vírgula 8 2 2 2 2 11" xfId="47253" xr:uid="{01F84947-4A50-4781-BF73-BF826F50526F}"/>
    <cellStyle name="Vírgula 8 2 2 2 2 2" xfId="7493" xr:uid="{C43D399B-0F40-47A6-83A6-3DED4B391F88}"/>
    <cellStyle name="Vírgula 8 2 2 2 2 2 2" xfId="17779" xr:uid="{9D259691-4DE5-465F-84C3-25893A3744A6}"/>
    <cellStyle name="Vírgula 8 2 2 2 2 2 2 2" xfId="38119" xr:uid="{A9EB8269-0AB5-4B4A-87CF-9189F255638A}"/>
    <cellStyle name="Vírgula 8 2 2 2 2 2 3" xfId="21281" xr:uid="{B2AB188C-58BB-4719-8E04-31DD8375122A}"/>
    <cellStyle name="Vírgula 8 2 2 2 2 2 3 2" xfId="41620" xr:uid="{A7BACB2F-334F-44E2-81F0-12E7C28ACE35}"/>
    <cellStyle name="Vírgula 8 2 2 2 2 2 4" xfId="24536" xr:uid="{F537AFCB-8E90-43E7-B0D5-69AC193BB81C}"/>
    <cellStyle name="Vírgula 8 2 2 2 2 2 4 2" xfId="44871" xr:uid="{6F17A525-1918-4B3A-9A6D-EE4F69A24E52}"/>
    <cellStyle name="Vírgula 8 2 2 2 2 2 5" xfId="14870" xr:uid="{911630D1-6B5F-42FA-BF8E-9066C7E669DA}"/>
    <cellStyle name="Vírgula 8 2 2 2 2 2 5 2" xfId="35211" xr:uid="{B719BF3E-76AA-4BFF-AFA7-9C462EFE5D59}"/>
    <cellStyle name="Vírgula 8 2 2 2 2 2 6" xfId="10992" xr:uid="{BCEF0AC3-7535-4346-B391-DBD4C2E0958A}"/>
    <cellStyle name="Vírgula 8 2 2 2 2 2 6 2" xfId="31335" xr:uid="{8D1136E2-05CE-4E8B-B18B-E17054752968}"/>
    <cellStyle name="Vírgula 8 2 2 2 2 2 7" xfId="27841" xr:uid="{B18D7C59-71D3-4C8B-9069-8031F53E7C65}"/>
    <cellStyle name="Vírgula 8 2 2 2 2 3" xfId="16621" xr:uid="{58F6C1D9-156D-45E5-B192-A52491A47A26}"/>
    <cellStyle name="Vírgula 8 2 2 2 2 3 2" xfId="36961" xr:uid="{8C7786A2-8D88-4D4C-8121-163C002AF685}"/>
    <cellStyle name="Vírgula 8 2 2 2 2 4" xfId="20123" xr:uid="{8CCFF8D6-EAF1-4D10-BA70-30283927CABC}"/>
    <cellStyle name="Vírgula 8 2 2 2 2 4 2" xfId="40462" xr:uid="{1665C2A4-DB02-419E-A365-994805A2E9EB}"/>
    <cellStyle name="Vírgula 8 2 2 2 2 5" xfId="23378" xr:uid="{601876C2-296B-4002-826B-F0C392A74373}"/>
    <cellStyle name="Vírgula 8 2 2 2 2 5 2" xfId="43713" xr:uid="{B1463992-6D31-484B-8AD1-C7E1F05F3A82}"/>
    <cellStyle name="Vírgula 8 2 2 2 2 6" xfId="13712" xr:uid="{B8895AEE-A654-4D00-95A2-D679703E4BCE}"/>
    <cellStyle name="Vírgula 8 2 2 2 2 6 2" xfId="34053" xr:uid="{D16A8779-6CAF-45DC-8C5C-D5045C8F04F2}"/>
    <cellStyle name="Vírgula 8 2 2 2 2 7" xfId="9834" xr:uid="{B0493823-6962-49D7-90DE-4B6412E2FF91}"/>
    <cellStyle name="Vírgula 8 2 2 2 2 7 2" xfId="30177" xr:uid="{E5A4AC4A-AD06-49FA-AB85-F2C4F2122BE7}"/>
    <cellStyle name="Vírgula 8 2 2 2 2 8" xfId="26683" xr:uid="{74F7F060-1074-4A94-B2D1-4E06233B6655}"/>
    <cellStyle name="Vírgula 8 2 2 2 2 9" xfId="46275" xr:uid="{76BF0B9D-EB68-4F73-B3C2-EA6FF3594B0F}"/>
    <cellStyle name="Vírgula 8 2 2 2 3" xfId="6912" xr:uid="{9B8D9E6C-3812-4A8D-9FDB-173500385080}"/>
    <cellStyle name="Vírgula 8 2 2 2 3 2" xfId="17198" xr:uid="{2CAEBF1E-BCA3-4E89-9480-8DBDE75A0FD2}"/>
    <cellStyle name="Vírgula 8 2 2 2 3 2 2" xfId="37538" xr:uid="{2F5B478D-D356-4D12-9788-E2983ABE3D3D}"/>
    <cellStyle name="Vírgula 8 2 2 2 3 3" xfId="20700" xr:uid="{29EBD106-C2DF-488F-BE4D-42819061422C}"/>
    <cellStyle name="Vírgula 8 2 2 2 3 3 2" xfId="41039" xr:uid="{4C25883E-8E1A-465E-A280-0B0203361F16}"/>
    <cellStyle name="Vírgula 8 2 2 2 3 4" xfId="23955" xr:uid="{E19B5CC7-FB36-411F-87D1-2017770B41AC}"/>
    <cellStyle name="Vírgula 8 2 2 2 3 4 2" xfId="44290" xr:uid="{A234A68E-6015-4B62-9444-9434BBE11A1B}"/>
    <cellStyle name="Vírgula 8 2 2 2 3 5" xfId="14289" xr:uid="{4DCE1D1F-69FB-4CB0-AA40-B50851C0533D}"/>
    <cellStyle name="Vírgula 8 2 2 2 3 5 2" xfId="34630" xr:uid="{19A4A389-5302-44B2-8F55-BA083E4BB0E6}"/>
    <cellStyle name="Vírgula 8 2 2 2 3 6" xfId="10411" xr:uid="{5B62D8B2-F45A-49F7-AFD7-DF93D37F9CEA}"/>
    <cellStyle name="Vírgula 8 2 2 2 3 6 2" xfId="30754" xr:uid="{840EFD8B-CA2A-4E95-89EC-1AC26A3290FD}"/>
    <cellStyle name="Vírgula 8 2 2 2 3 7" xfId="27260" xr:uid="{AF06D308-46F2-4873-8EEC-2FB014CD3BF1}"/>
    <cellStyle name="Vírgula 8 2 2 2 4" xfId="8076" xr:uid="{42E4A9F3-9B3C-493E-BAEF-EE85EBB724D6}"/>
    <cellStyle name="Vírgula 8 2 2 2 4 2" xfId="18361" xr:uid="{B7081161-7F3D-4C1C-BCAB-7ED068232910}"/>
    <cellStyle name="Vírgula 8 2 2 2 4 2 2" xfId="38701" xr:uid="{76F555D7-8C1F-4EFA-95BF-28AA8BFC43E7}"/>
    <cellStyle name="Vírgula 8 2 2 2 4 3" xfId="21863" xr:uid="{F35D0194-3089-4239-92A8-33921B7E3777}"/>
    <cellStyle name="Vírgula 8 2 2 2 4 3 2" xfId="42202" xr:uid="{74871CE6-E4D9-44D7-9E15-F6639CB23CE8}"/>
    <cellStyle name="Vírgula 8 2 2 2 4 4" xfId="25118" xr:uid="{741CC0AD-64E1-4248-931F-FB1A6BD6965C}"/>
    <cellStyle name="Vírgula 8 2 2 2 4 4 2" xfId="45453" xr:uid="{64D2BF17-34DD-4559-AE39-20D87B63C9EF}"/>
    <cellStyle name="Vírgula 8 2 2 2 4 5" xfId="15453" xr:uid="{0EB92CFF-C376-453B-8D51-50360C556D23}"/>
    <cellStyle name="Vírgula 8 2 2 2 4 5 2" xfId="35793" xr:uid="{0D7C67FD-BEC0-4AAF-9CBF-5D65FC9F56EB}"/>
    <cellStyle name="Vírgula 8 2 2 2 4 6" xfId="11574" xr:uid="{E0FE4806-9689-4583-858E-1ED45E23B896}"/>
    <cellStyle name="Vírgula 8 2 2 2 4 6 2" xfId="31917" xr:uid="{7471C1F4-1634-49FC-9AF8-4FAF8DD0EB8D}"/>
    <cellStyle name="Vírgula 8 2 2 2 4 7" xfId="28423" xr:uid="{DDAA3161-3975-40B7-993F-A0D8164E7E05}"/>
    <cellStyle name="Vírgula 8 2 2 2 5" xfId="8370" xr:uid="{E14A7A4D-F970-4AB9-B1C5-027C624A4E60}"/>
    <cellStyle name="Vírgula 8 2 2 2 5 2" xfId="22157" xr:uid="{AE673BAD-3036-45CD-A21E-4650739603A0}"/>
    <cellStyle name="Vírgula 8 2 2 2 5 2 2" xfId="42493" xr:uid="{E16159F8-05A0-4A47-ACCB-D01B581A44EE}"/>
    <cellStyle name="Vírgula 8 2 2 2 5 3" xfId="25409" xr:uid="{9D46BE52-0080-4C76-811A-4F2CE132CFCC}"/>
    <cellStyle name="Vírgula 8 2 2 2 5 3 2" xfId="45744" xr:uid="{00BCF815-D5A3-4C65-A052-25909002D231}"/>
    <cellStyle name="Vírgula 8 2 2 2 5 4" xfId="13143" xr:uid="{715E7256-1173-4200-83EB-402A77EB5A21}"/>
    <cellStyle name="Vírgula 8 2 2 2 5 4 2" xfId="33484" xr:uid="{2594565C-B6E1-4BC7-851E-99CA3AC70C46}"/>
    <cellStyle name="Vírgula 8 2 2 2 5 5" xfId="11866" xr:uid="{27B7118C-2870-46A5-BD0D-1F88D5F450C4}"/>
    <cellStyle name="Vírgula 8 2 2 2 5 5 2" xfId="32208" xr:uid="{55F54257-ED93-4417-B913-AA5D2F886CB6}"/>
    <cellStyle name="Vírgula 8 2 2 2 5 6" xfId="28714" xr:uid="{A148A7A0-6092-471D-8301-27B73CD22452}"/>
    <cellStyle name="Vírgula 8 2 2 2 6" xfId="8657" xr:uid="{CCAE9EA2-3577-4734-983E-E84C231D0B04}"/>
    <cellStyle name="Vírgula 8 2 2 2 6 2" xfId="16040" xr:uid="{38823F45-0A7F-4D04-AEAC-A69BF2F6A92B}"/>
    <cellStyle name="Vírgula 8 2 2 2 6 2 2" xfId="36380" xr:uid="{422433F3-C4AF-4AB5-B26A-5FFD9746C358}"/>
    <cellStyle name="Vírgula 8 2 2 2 6 3" xfId="29000" xr:uid="{E73E235D-2984-47C2-8FC8-71812CDF473A}"/>
    <cellStyle name="Vírgula 8 2 2 2 7" xfId="18954" xr:uid="{67856AA4-492A-4488-ADD3-378B70241ADB}"/>
    <cellStyle name="Vírgula 8 2 2 2 7 2" xfId="39294" xr:uid="{DDCCCA46-47E1-4F98-8DA5-C1F4CE322B00}"/>
    <cellStyle name="Vírgula 8 2 2 2 8" xfId="19542" xr:uid="{4C8C8A35-8F7C-43A0-95DE-0192AFF15164}"/>
    <cellStyle name="Vírgula 8 2 2 2 8 2" xfId="39881" xr:uid="{985F5691-1F76-4287-9025-0062D8F28B6B}"/>
    <cellStyle name="Vírgula 8 2 2 2 9" xfId="22797" xr:uid="{FA9DC233-BD69-4D70-907A-2ADC89745B4E}"/>
    <cellStyle name="Vírgula 8 2 2 2 9 2" xfId="43132" xr:uid="{C6D5F815-5F38-4B81-ABD6-DCC0437793DE}"/>
    <cellStyle name="Vírgula 8 2 2 20" xfId="5384" xr:uid="{71282792-4045-4140-B068-BE79142D6C38}"/>
    <cellStyle name="Vírgula 8 2 2 21" xfId="4931" xr:uid="{15C168D7-26F7-4E75-95DC-5CE8D560AD3C}"/>
    <cellStyle name="Vírgula 8 2 2 3" xfId="4068" xr:uid="{4A472493-E569-4A59-8A91-0BC274BCA48D}"/>
    <cellStyle name="Vírgula 8 2 2 3 10" xfId="46653" xr:uid="{BC9354B3-8015-44FB-A484-E53E89232986}"/>
    <cellStyle name="Vírgula 8 2 2 3 11" xfId="47145" xr:uid="{D32903ED-E527-445A-AB87-08E06010F1C8}"/>
    <cellStyle name="Vírgula 8 2 2 3 12" xfId="57016" xr:uid="{3942D831-EFDE-4333-859D-AB54FD15F072}"/>
    <cellStyle name="Vírgula 8 2 2 3 13" xfId="5948" xr:uid="{0EDAA8E9-CB51-4C82-B968-59BAEE1FAF44}"/>
    <cellStyle name="Vírgula 8 2 2 3 14" xfId="5042" xr:uid="{79B1DF73-BA4E-42A3-8325-28BE5D327813}"/>
    <cellStyle name="Vírgula 8 2 2 3 2" xfId="7106" xr:uid="{DC4EFAB7-7A2B-45EB-8708-1A0D7492AEAB}"/>
    <cellStyle name="Vírgula 8 2 2 3 2 2" xfId="17392" xr:uid="{B94A97C8-411F-481E-8B2B-D0BE93C3D4AD}"/>
    <cellStyle name="Vírgula 8 2 2 3 2 2 2" xfId="37732" xr:uid="{DD2C6CD0-5DE1-4B41-BCB4-466E31A9831A}"/>
    <cellStyle name="Vírgula 8 2 2 3 2 3" xfId="20894" xr:uid="{70C8FD8C-AEA3-4FD3-9DAE-9854EFE833B0}"/>
    <cellStyle name="Vírgula 8 2 2 3 2 3 2" xfId="41233" xr:uid="{B03A7805-5BDE-4D2F-B962-17E94055A627}"/>
    <cellStyle name="Vírgula 8 2 2 3 2 4" xfId="24149" xr:uid="{E4A925C0-A830-495C-8991-29AD1476759A}"/>
    <cellStyle name="Vírgula 8 2 2 3 2 4 2" xfId="44484" xr:uid="{06294857-59D0-44D8-A782-B21B0E3062E3}"/>
    <cellStyle name="Vírgula 8 2 2 3 2 5" xfId="14483" xr:uid="{BFDD3E40-2616-4898-90AB-7D2C3299B635}"/>
    <cellStyle name="Vírgula 8 2 2 3 2 5 2" xfId="34824" xr:uid="{05F17AF0-E795-471A-A9C2-B717D7ACC767}"/>
    <cellStyle name="Vírgula 8 2 2 3 2 6" xfId="10605" xr:uid="{0A1E7E7C-1534-43BE-95D0-A814986CE6D7}"/>
    <cellStyle name="Vírgula 8 2 2 3 2 6 2" xfId="30948" xr:uid="{CC0D3121-2B78-46E0-ABD8-E4366058D8C5}"/>
    <cellStyle name="Vírgula 8 2 2 3 2 7" xfId="27454" xr:uid="{1ED2E44D-DD49-40AC-B985-FC0C3B2BD368}"/>
    <cellStyle name="Vírgula 8 2 2 3 3" xfId="8371" xr:uid="{BA3D93C2-0917-41C2-936F-C7283681D182}"/>
    <cellStyle name="Vírgula 8 2 2 3 3 2" xfId="22158" xr:uid="{6448E416-8482-4D9B-BDF5-4965D2EAF087}"/>
    <cellStyle name="Vírgula 8 2 2 3 3 2 2" xfId="42494" xr:uid="{93E292C1-FF2D-49B3-9F0E-60B6BD644960}"/>
    <cellStyle name="Vírgula 8 2 2 3 3 3" xfId="25410" xr:uid="{71301B9C-4922-44CD-98C1-F3301CC60E1E}"/>
    <cellStyle name="Vírgula 8 2 2 3 3 3 2" xfId="45745" xr:uid="{CCD5E153-15FA-4AFD-8B56-434F8F6D35F8}"/>
    <cellStyle name="Vírgula 8 2 2 3 3 4" xfId="16234" xr:uid="{AC53296A-2BCA-424F-A256-817D71896470}"/>
    <cellStyle name="Vírgula 8 2 2 3 3 4 2" xfId="36574" xr:uid="{8837B86C-C5EC-4779-B731-AC69C27F6372}"/>
    <cellStyle name="Vírgula 8 2 2 3 3 5" xfId="11867" xr:uid="{8D5A8CCB-79A2-40A3-A6DD-A3C97A4D7016}"/>
    <cellStyle name="Vírgula 8 2 2 3 3 5 2" xfId="32209" xr:uid="{B893D359-68A0-4924-8396-F5BE47E621E5}"/>
    <cellStyle name="Vírgula 8 2 2 3 3 6" xfId="28715" xr:uid="{BA7D4E22-B4BA-456E-BC4C-57ED18AF1AA4}"/>
    <cellStyle name="Vírgula 8 2 2 3 4" xfId="19736" xr:uid="{09175549-1F6D-4867-AFFB-20B743F7CBBA}"/>
    <cellStyle name="Vírgula 8 2 2 3 4 2" xfId="40075" xr:uid="{3932C030-C505-48AF-85B9-8077E3EE248F}"/>
    <cellStyle name="Vírgula 8 2 2 3 5" xfId="22991" xr:uid="{CE902680-98ED-48AA-9D8E-1E03A7862884}"/>
    <cellStyle name="Vírgula 8 2 2 3 5 2" xfId="43326" xr:uid="{775D59EE-448A-4B90-885C-CF8E0B53D8A1}"/>
    <cellStyle name="Vírgula 8 2 2 3 6" xfId="13325" xr:uid="{39B548BC-C00C-444C-BE35-650EB4C078AE}"/>
    <cellStyle name="Vírgula 8 2 2 3 6 2" xfId="33666" xr:uid="{9A830D7E-E0C9-4EF3-B6E6-F283755CCA8F}"/>
    <cellStyle name="Vírgula 8 2 2 3 7" xfId="9447" xr:uid="{5A381109-E2C3-4979-B41C-77AF9AC9DC6A}"/>
    <cellStyle name="Vírgula 8 2 2 3 7 2" xfId="29790" xr:uid="{8D1C8B97-4265-440E-B10C-8DE8A276623D}"/>
    <cellStyle name="Vírgula 8 2 2 3 8" xfId="26296" xr:uid="{DF2A7B8E-736F-4BCF-8ACA-E66D545A2108}"/>
    <cellStyle name="Vírgula 8 2 2 3 9" xfId="46167" xr:uid="{2F6DD9E0-EE33-4015-9961-6097E754FF96}"/>
    <cellStyle name="Vírgula 8 2 2 4" xfId="2049" xr:uid="{CAFA23F9-F48B-4941-8CC7-CF52504D5ADB}"/>
    <cellStyle name="Vírgula 8 2 2 4 2" xfId="16811" xr:uid="{90AF68F4-E876-4A75-AA7B-39369FD2DF2D}"/>
    <cellStyle name="Vírgula 8 2 2 4 2 2" xfId="37151" xr:uid="{41B0B107-8DB6-4B4A-9784-5A83016BB341}"/>
    <cellStyle name="Vírgula 8 2 2 4 3" xfId="20313" xr:uid="{03E93E6B-0BD1-4E7A-877A-96DDA1B8AA75}"/>
    <cellStyle name="Vírgula 8 2 2 4 3 2" xfId="40652" xr:uid="{0C5EB2F1-2179-4555-8A33-B57604F27D18}"/>
    <cellStyle name="Vírgula 8 2 2 4 4" xfId="23568" xr:uid="{D55C9D6A-F4C5-4E57-AE16-2D4CDA43491A}"/>
    <cellStyle name="Vírgula 8 2 2 4 4 2" xfId="43903" xr:uid="{AC0DD9FB-FF50-46FD-8A54-93ACEAFCC599}"/>
    <cellStyle name="Vírgula 8 2 2 4 5" xfId="13902" xr:uid="{1B2A7E03-A095-46C9-BFC7-F816F5CD57EC}"/>
    <cellStyle name="Vírgula 8 2 2 4 5 2" xfId="34243" xr:uid="{0BE37386-510E-4B50-BCE7-48A4C0BCDAE6}"/>
    <cellStyle name="Vírgula 8 2 2 4 6" xfId="10024" xr:uid="{CD1ECB0C-28AA-4530-BB11-BCBAA4BD58A2}"/>
    <cellStyle name="Vírgula 8 2 2 4 6 2" xfId="30367" xr:uid="{328DAB4C-5A40-4DED-91C8-82C3E2FF964A}"/>
    <cellStyle name="Vírgula 8 2 2 4 7" xfId="26873" xr:uid="{10503016-1683-41F2-8C36-458FBA5A444D}"/>
    <cellStyle name="Vírgula 8 2 2 4 8" xfId="6525" xr:uid="{597829DF-18C0-4DAB-BC0D-655CDBC9AA2E}"/>
    <cellStyle name="Vírgula 8 2 2 5" xfId="7689" xr:uid="{2982ACDB-46D3-4248-B33E-5EF1F7C9D8DD}"/>
    <cellStyle name="Vírgula 8 2 2 5 2" xfId="17974" xr:uid="{02010D83-5919-4FB9-8936-2B2073FA527B}"/>
    <cellStyle name="Vírgula 8 2 2 5 2 2" xfId="38314" xr:uid="{8198ED9D-2BFA-4096-B00E-5E3ACA557B8D}"/>
    <cellStyle name="Vírgula 8 2 2 5 3" xfId="21476" xr:uid="{9C0F0F88-9C2B-439C-A1FA-B54D198CE9CA}"/>
    <cellStyle name="Vírgula 8 2 2 5 3 2" xfId="41815" xr:uid="{1CCAB10C-31F0-4131-9B17-7806BB9043EE}"/>
    <cellStyle name="Vírgula 8 2 2 5 4" xfId="24731" xr:uid="{8588E1EB-27FA-4E97-80C6-A14029E01052}"/>
    <cellStyle name="Vírgula 8 2 2 5 4 2" xfId="45066" xr:uid="{7E56A874-C530-4FB4-862A-4AEE7A02F382}"/>
    <cellStyle name="Vírgula 8 2 2 5 5" xfId="15066" xr:uid="{1CC386F2-2CFD-4D78-AC89-790A3221669F}"/>
    <cellStyle name="Vírgula 8 2 2 5 5 2" xfId="35406" xr:uid="{2B08F276-5797-49BA-8ECE-DFA87709E2EF}"/>
    <cellStyle name="Vírgula 8 2 2 5 6" xfId="11187" xr:uid="{4CBB6BF9-008F-4115-B8D8-E7F72D77E2D1}"/>
    <cellStyle name="Vírgula 8 2 2 5 6 2" xfId="31530" xr:uid="{6ECCEF1E-A2F8-456A-9C5E-124A5E5E8A06}"/>
    <cellStyle name="Vírgula 8 2 2 5 7" xfId="28036" xr:uid="{22A7BB73-8055-4B1D-AFBB-44F9C36735F4}"/>
    <cellStyle name="Vírgula 8 2 2 6" xfId="8369" xr:uid="{832EA914-A219-4DAB-931B-59A2F886984D}"/>
    <cellStyle name="Vírgula 8 2 2 6 2" xfId="22156" xr:uid="{B41D50B6-5D44-4EB3-BC06-B906613FEFA4}"/>
    <cellStyle name="Vírgula 8 2 2 6 2 2" xfId="42492" xr:uid="{F4F43F8F-7EAB-4A6C-89E6-2C243C8E0173}"/>
    <cellStyle name="Vírgula 8 2 2 6 3" xfId="25408" xr:uid="{E68968D0-A5FD-4A05-B9DA-B96D47F26A46}"/>
    <cellStyle name="Vírgula 8 2 2 6 3 2" xfId="45743" xr:uid="{F6474E18-DF03-4833-B602-4A1F63C6D8AD}"/>
    <cellStyle name="Vírgula 8 2 2 6 4" xfId="12756" xr:uid="{2C3F7B88-04C3-43B9-A588-0D146795F959}"/>
    <cellStyle name="Vírgula 8 2 2 6 4 2" xfId="33097" xr:uid="{D5AE7F03-C63D-42CB-9229-ABF212962AC0}"/>
    <cellStyle name="Vírgula 8 2 2 6 5" xfId="11865" xr:uid="{D15A90A2-1B4E-4266-A30E-C181D233BF7B}"/>
    <cellStyle name="Vírgula 8 2 2 6 5 2" xfId="32207" xr:uid="{0025848B-EF7A-4748-8B0D-78BC15BA04FA}"/>
    <cellStyle name="Vírgula 8 2 2 6 6" xfId="28713" xr:uid="{DD770D33-8ED7-4E93-9F82-1F6E4EE1CDFB}"/>
    <cellStyle name="Vírgula 8 2 2 7" xfId="8549" xr:uid="{E42BB4F6-71BC-43BF-B593-E6EC3CD0C773}"/>
    <cellStyle name="Vírgula 8 2 2 7 2" xfId="15653" xr:uid="{CB444E21-8D42-4D16-B71E-2FA27097A6D3}"/>
    <cellStyle name="Vírgula 8 2 2 7 2 2" xfId="35993" xr:uid="{D852EC67-CB09-4FCE-B885-D9E15F5F5D7D}"/>
    <cellStyle name="Vírgula 8 2 2 7 3" xfId="28892" xr:uid="{442DA1BC-68D6-4DBB-B4A1-D659AC9BF913}"/>
    <cellStyle name="Vírgula 8 2 2 8" xfId="18567" xr:uid="{264C4ACE-BCB9-499E-95DD-9B264BE18EE5}"/>
    <cellStyle name="Vírgula 8 2 2 8 2" xfId="38907" xr:uid="{33D8E101-B1F6-4A0E-BB69-1B8B23D85B06}"/>
    <cellStyle name="Vírgula 8 2 2 9" xfId="19155" xr:uid="{A89611A4-8647-4320-8508-6BE9B5E724C0}"/>
    <cellStyle name="Vírgula 8 2 2 9 2" xfId="39494" xr:uid="{8D15B783-1FB0-49AC-B4F4-033C0E1D2777}"/>
    <cellStyle name="Vírgula 8 2 20" xfId="46842" xr:uid="{A81B7620-794C-4848-A5A4-D41216357D39}"/>
    <cellStyle name="Vírgula 8 2 21" xfId="47414" xr:uid="{045A5973-4CB7-4113-A887-6381B457C6E4}"/>
    <cellStyle name="Vírgula 8 2 22" xfId="47540" xr:uid="{D08197D6-24B2-4FB9-8AEA-07A0DB9790D1}"/>
    <cellStyle name="Vírgula 8 2 23" xfId="47666" xr:uid="{2D2F0F1B-DD8E-4BD9-B909-89CE5E1B0370}"/>
    <cellStyle name="Vírgula 8 2 24" xfId="49335" xr:uid="{52AC784E-D330-47B5-8BE5-7D5A8E7D246D}"/>
    <cellStyle name="Vírgula 8 2 25" xfId="51005" xr:uid="{1CB77026-79AE-4270-B3DE-AD6BBA277A23}"/>
    <cellStyle name="Vírgula 8 2 26" xfId="54300" xr:uid="{4DCDF937-7728-4B5D-B453-6EDF5EE065B9}"/>
    <cellStyle name="Vírgula 8 2 27" xfId="5261" xr:uid="{7571CB06-7C96-470B-8F94-636312CB43AA}"/>
    <cellStyle name="Vírgula 8 2 28" xfId="4610" xr:uid="{7E55FEBF-9950-4163-B81B-F23D5F0E508B}"/>
    <cellStyle name="Vírgula 8 2 3" xfId="1551" xr:uid="{CC73D9E2-08CA-4684-A2E1-A3CE5E393620}"/>
    <cellStyle name="Vírgula 8 2 3 10" xfId="12223" xr:uid="{6B351202-B97F-443C-80C8-8DC72C4A1502}"/>
    <cellStyle name="Vírgula 8 2 3 10 2" xfId="32564" xr:uid="{081C0EB4-CFC1-445F-A4A7-A3ACB5F0B0B3}"/>
    <cellStyle name="Vírgula 8 2 3 11" xfId="8962" xr:uid="{B93C6F07-A816-47B0-A77A-13765D64F1B5}"/>
    <cellStyle name="Vírgula 8 2 3 11 2" xfId="29305" xr:uid="{2E020980-9E69-4C19-B527-5D3B5049F202}"/>
    <cellStyle name="Vírgula 8 2 3 12" xfId="25811" xr:uid="{C77D0F44-E8C4-4620-9EE1-5B73DACBCADD}"/>
    <cellStyle name="Vírgula 8 2 3 13" xfId="46031" xr:uid="{7D7FC522-AE96-46B1-9460-0C615A528E18}"/>
    <cellStyle name="Vírgula 8 2 3 14" xfId="46517" xr:uid="{9FFBC8C1-9367-4BF1-97B5-461FAD7F650B}"/>
    <cellStyle name="Vírgula 8 2 3 15" xfId="47009" xr:uid="{4C6F66B5-2109-4B09-87E8-0339AE551423}"/>
    <cellStyle name="Vírgula 8 2 3 16" xfId="49337" xr:uid="{0130A241-6928-4CEC-B75D-AD12109C0D75}"/>
    <cellStyle name="Vírgula 8 2 3 17" xfId="51007" xr:uid="{88E64823-290D-41A4-B5FC-BFB9B993513A}"/>
    <cellStyle name="Vírgula 8 2 3 18" xfId="54302" xr:uid="{C1BBC8EB-E0D5-47B9-B03F-DBDDD88D27E9}"/>
    <cellStyle name="Vírgula 8 2 3 19" xfId="5472" xr:uid="{026AECB3-B534-4342-B1BE-0A644E2D2512}"/>
    <cellStyle name="Vírgula 8 2 3 2" xfId="3591" xr:uid="{1E9CD8BE-DCA3-4889-8C06-D832E7D66E7F}"/>
    <cellStyle name="Vírgula 8 2 3 2 10" xfId="46760" xr:uid="{908D9D89-726A-4903-B079-AC052055E6AB}"/>
    <cellStyle name="Vírgula 8 2 3 2 11" xfId="47252" xr:uid="{D8A9CAFA-E364-4D79-B0E8-42AF9219E510}"/>
    <cellStyle name="Vírgula 8 2 3 2 12" xfId="52639" xr:uid="{DC0FC910-586F-4835-94EA-BE6569577C12}"/>
    <cellStyle name="Vírgula 8 2 3 2 13" xfId="55933" xr:uid="{87C26541-58FC-4504-A613-0945B1F50AA1}"/>
    <cellStyle name="Vírgula 8 2 3 2 14" xfId="6044" xr:uid="{A9B8B423-C8AF-46A8-858A-786458EF81B0}"/>
    <cellStyle name="Vírgula 8 2 3 2 15" xfId="5149" xr:uid="{4A2FFCDE-3B14-4F21-A248-A9FB9CBD8EED}"/>
    <cellStyle name="Vírgula 8 2 3 2 2" xfId="7202" xr:uid="{DAD6259C-63A0-4C62-8137-B71C05E4AF1C}"/>
    <cellStyle name="Vírgula 8 2 3 2 2 2" xfId="17488" xr:uid="{0719E7AC-56AD-4624-90D0-FF3D1395882D}"/>
    <cellStyle name="Vírgula 8 2 3 2 2 2 2" xfId="37828" xr:uid="{DF560BFA-7795-4CAE-98DA-0132B08D4439}"/>
    <cellStyle name="Vírgula 8 2 3 2 2 3" xfId="20990" xr:uid="{55ED9228-B73E-436F-821D-F5DC9FE5FF15}"/>
    <cellStyle name="Vírgula 8 2 3 2 2 3 2" xfId="41329" xr:uid="{C9115158-60C9-4CCC-BDB1-66779C66CDE4}"/>
    <cellStyle name="Vírgula 8 2 3 2 2 4" xfId="24245" xr:uid="{B1B8F7E7-DBE5-4E69-B431-8E46E422DBE4}"/>
    <cellStyle name="Vírgula 8 2 3 2 2 4 2" xfId="44580" xr:uid="{3DF56845-EC37-44B6-8A30-305D5F692B11}"/>
    <cellStyle name="Vírgula 8 2 3 2 2 5" xfId="14579" xr:uid="{C76E7AD5-9920-430A-B29A-C38511C89BEF}"/>
    <cellStyle name="Vírgula 8 2 3 2 2 5 2" xfId="34920" xr:uid="{24508671-546D-46E6-AD41-165409533F6F}"/>
    <cellStyle name="Vírgula 8 2 3 2 2 6" xfId="10701" xr:uid="{5E7015C6-2D59-4178-8835-C51468F6D49C}"/>
    <cellStyle name="Vírgula 8 2 3 2 2 6 2" xfId="31044" xr:uid="{EC04A515-FD99-47D8-A0D3-B7F150703E15}"/>
    <cellStyle name="Vírgula 8 2 3 2 2 7" xfId="27550" xr:uid="{C2667FBC-AAB1-4E9E-81E7-E7E2D7FB7D1F}"/>
    <cellStyle name="Vírgula 8 2 3 2 3" xfId="16330" xr:uid="{7AEF7AEB-DB7D-4DFF-B59C-54EB0636302E}"/>
    <cellStyle name="Vírgula 8 2 3 2 3 2" xfId="36670" xr:uid="{64144393-9DFD-496A-AC02-15BAAB18E48B}"/>
    <cellStyle name="Vírgula 8 2 3 2 4" xfId="19832" xr:uid="{110555D5-4B96-48D4-97CE-95582295349B}"/>
    <cellStyle name="Vírgula 8 2 3 2 4 2" xfId="40171" xr:uid="{83C72BE2-85A4-48A3-A973-85FBE02637E9}"/>
    <cellStyle name="Vírgula 8 2 3 2 5" xfId="23087" xr:uid="{0C3FCDF8-A5EE-498C-8570-039FC59029C7}"/>
    <cellStyle name="Vírgula 8 2 3 2 5 2" xfId="43422" xr:uid="{464CB209-EFC3-428C-8B6C-A1807F86E3B2}"/>
    <cellStyle name="Vírgula 8 2 3 2 6" xfId="13421" xr:uid="{B9FFBB25-F69C-4251-8BFC-632864C4D4BF}"/>
    <cellStyle name="Vírgula 8 2 3 2 6 2" xfId="33762" xr:uid="{7E82CDE5-6749-4AFF-B632-DCFECB33ABDE}"/>
    <cellStyle name="Vírgula 8 2 3 2 7" xfId="9543" xr:uid="{17C7A4AE-52DF-4550-B154-36918783641E}"/>
    <cellStyle name="Vírgula 8 2 3 2 7 2" xfId="29886" xr:uid="{161981BB-ADF3-4393-B5BB-CEE2A6A6B9CC}"/>
    <cellStyle name="Vírgula 8 2 3 2 8" xfId="26392" xr:uid="{3266D3C3-44FC-4461-9D2C-8A7C827C119C}"/>
    <cellStyle name="Vírgula 8 2 3 2 9" xfId="46274" xr:uid="{04F88E72-2BD0-4E5D-A5A8-B51A91CC0D22}"/>
    <cellStyle name="Vírgula 8 2 3 20" xfId="4930" xr:uid="{B53A2D1B-79D7-4E96-B0BE-DEE83EAC3C5D}"/>
    <cellStyle name="Vírgula 8 2 3 3" xfId="4240" xr:uid="{E6E95253-4693-476B-8D8C-31CEF674CF5C}"/>
    <cellStyle name="Vírgula 8 2 3 3 2" xfId="16907" xr:uid="{4D622D09-AD70-4860-8B0D-F9EB82454BB6}"/>
    <cellStyle name="Vírgula 8 2 3 3 2 2" xfId="37247" xr:uid="{48B46A16-D061-4740-A377-0C73CEDFB0E8}"/>
    <cellStyle name="Vírgula 8 2 3 3 3" xfId="20409" xr:uid="{948F6DD6-F36A-470A-9B02-CF975DE1CAFA}"/>
    <cellStyle name="Vírgula 8 2 3 3 3 2" xfId="40748" xr:uid="{7D907D83-1AE9-4964-A1FA-E059DAB87FD2}"/>
    <cellStyle name="Vírgula 8 2 3 3 4" xfId="23664" xr:uid="{71E9E06B-5594-43F6-99A5-DEE3F7B7B753}"/>
    <cellStyle name="Vírgula 8 2 3 3 4 2" xfId="43999" xr:uid="{564FBD8F-2BE5-40BD-9FF8-06018D8D071A}"/>
    <cellStyle name="Vírgula 8 2 3 3 5" xfId="13998" xr:uid="{ACB8607B-FE5F-4FD3-9996-706E7D69428A}"/>
    <cellStyle name="Vírgula 8 2 3 3 5 2" xfId="34339" xr:uid="{4E555955-F92F-43AA-89F8-95D4C7EC8D6F}"/>
    <cellStyle name="Vírgula 8 2 3 3 6" xfId="10120" xr:uid="{C225BA92-8A1B-4371-8AB0-A891B52F1208}"/>
    <cellStyle name="Vírgula 8 2 3 3 6 2" xfId="30463" xr:uid="{3C5254F6-C0C8-431B-949B-3267DE36B079}"/>
    <cellStyle name="Vírgula 8 2 3 3 7" xfId="26969" xr:uid="{2141DACE-C536-4DFF-9E2C-2615E2408761}"/>
    <cellStyle name="Vírgula 8 2 3 3 8" xfId="57422" xr:uid="{9C68A5B4-36F6-410C-A31A-38CB83692887}"/>
    <cellStyle name="Vírgula 8 2 3 3 9" xfId="6621" xr:uid="{9A071CA2-1C8D-4DDB-81AA-1DBD9A37D6C1}"/>
    <cellStyle name="Vírgula 8 2 3 4" xfId="1940" xr:uid="{60BE4505-910A-4065-9843-4E384492B0B8}"/>
    <cellStyle name="Vírgula 8 2 3 4 2" xfId="18070" xr:uid="{4EE74257-0DBA-4201-8E60-0973AAA534A4}"/>
    <cellStyle name="Vírgula 8 2 3 4 2 2" xfId="38410" xr:uid="{38AF8E7B-DC92-4AD3-AB18-808C2D02D65C}"/>
    <cellStyle name="Vírgula 8 2 3 4 3" xfId="21572" xr:uid="{B7335481-3E5C-49A6-BF8E-A69EEAB1BFE7}"/>
    <cellStyle name="Vírgula 8 2 3 4 3 2" xfId="41911" xr:uid="{9C5E925E-6E89-4B39-AC95-D51DBF04B9D8}"/>
    <cellStyle name="Vírgula 8 2 3 4 4" xfId="24827" xr:uid="{8AAEE2BC-C1AD-45E3-9681-BD22364FED87}"/>
    <cellStyle name="Vírgula 8 2 3 4 4 2" xfId="45162" xr:uid="{F3D1C904-DB51-4D3A-A788-C957E82D2867}"/>
    <cellStyle name="Vírgula 8 2 3 4 5" xfId="15162" xr:uid="{BCD48970-F619-401D-9A18-91BED1C0D8AD}"/>
    <cellStyle name="Vírgula 8 2 3 4 5 2" xfId="35502" xr:uid="{78C20806-9591-41D4-8D09-403B14D0757B}"/>
    <cellStyle name="Vírgula 8 2 3 4 6" xfId="11283" xr:uid="{A2F00B8F-A063-4267-935F-0484A6F113CF}"/>
    <cellStyle name="Vírgula 8 2 3 4 6 2" xfId="31626" xr:uid="{CD005BE0-1E7B-48F9-A035-92508574B2B2}"/>
    <cellStyle name="Vírgula 8 2 3 4 7" xfId="28132" xr:uid="{21677292-CB83-45B4-88B6-D53A8E510069}"/>
    <cellStyle name="Vírgula 8 2 3 4 8" xfId="7785" xr:uid="{7E8594F4-34F8-4123-86EF-B512AE079F3E}"/>
    <cellStyle name="Vírgula 8 2 3 5" xfId="8372" xr:uid="{AD1294D2-66B0-43DD-92B0-7404DE057121}"/>
    <cellStyle name="Vírgula 8 2 3 5 2" xfId="22159" xr:uid="{03F76DB3-7912-4A44-8C7D-42D1F4B4F49E}"/>
    <cellStyle name="Vírgula 8 2 3 5 2 2" xfId="42495" xr:uid="{7F55633E-46C9-4A07-863E-ACC892A5909A}"/>
    <cellStyle name="Vírgula 8 2 3 5 3" xfId="25411" xr:uid="{9385D166-CFFF-4989-A1AC-C52A78BD886C}"/>
    <cellStyle name="Vírgula 8 2 3 5 3 2" xfId="45746" xr:uid="{DAFFC6BC-86A9-4BBA-8060-E10411203042}"/>
    <cellStyle name="Vírgula 8 2 3 5 4" xfId="12852" xr:uid="{49175ED8-900F-4896-9A92-F95F06D72F62}"/>
    <cellStyle name="Vírgula 8 2 3 5 4 2" xfId="33193" xr:uid="{8B58FD57-0B66-404D-BD46-04F830B389A2}"/>
    <cellStyle name="Vírgula 8 2 3 5 5" xfId="11868" xr:uid="{1D9A0B2F-F07E-4824-8361-87EAF976572E}"/>
    <cellStyle name="Vírgula 8 2 3 5 5 2" xfId="32210" xr:uid="{C9C86E70-1CD8-4803-90DE-374EB9F84E7B}"/>
    <cellStyle name="Vírgula 8 2 3 5 6" xfId="28716" xr:uid="{0A0F3665-9FDF-4529-8752-40F5D59C94B1}"/>
    <cellStyle name="Vírgula 8 2 3 6" xfId="8656" xr:uid="{E44EE557-4CC5-462E-A806-736EB64AAD0F}"/>
    <cellStyle name="Vírgula 8 2 3 6 2" xfId="15749" xr:uid="{49DCCD42-6905-4E7C-9999-C93E58558762}"/>
    <cellStyle name="Vírgula 8 2 3 6 2 2" xfId="36089" xr:uid="{AE83266A-D571-4F8A-A78E-A2BB15F36083}"/>
    <cellStyle name="Vírgula 8 2 3 6 3" xfId="28999" xr:uid="{B2C3FBA7-D5A8-4520-AE2D-26BAED1107C3}"/>
    <cellStyle name="Vírgula 8 2 3 7" xfId="18663" xr:uid="{9ABA330F-7BD1-454A-9828-310080070A64}"/>
    <cellStyle name="Vírgula 8 2 3 7 2" xfId="39003" xr:uid="{26524035-5F50-4033-97B5-5BA1EC218394}"/>
    <cellStyle name="Vírgula 8 2 3 8" xfId="19251" xr:uid="{7E0FB097-0FBD-428D-A11C-3F8C55F40B2B}"/>
    <cellStyle name="Vírgula 8 2 3 8 2" xfId="39590" xr:uid="{6E810D40-BDDE-48AE-987C-AA462DB0EC53}"/>
    <cellStyle name="Vírgula 8 2 3 9" xfId="22506" xr:uid="{9A766F64-ABFB-429C-B184-D4E03CE959AD}"/>
    <cellStyle name="Vírgula 8 2 3 9 2" xfId="42841" xr:uid="{06E46367-C475-4E77-94DF-829AC3D6F29A}"/>
    <cellStyle name="Vírgula 8 2 4" xfId="738" xr:uid="{60B9A900-E861-4BBC-AAAD-E26C7574B129}"/>
    <cellStyle name="Vírgula 8 2 4 10" xfId="12281" xr:uid="{98C33B91-3CE2-4AE7-A07B-685290936694}"/>
    <cellStyle name="Vírgula 8 2 4 10 2" xfId="32622" xr:uid="{7799610C-D03C-4470-82D0-690DE952CC0C}"/>
    <cellStyle name="Vírgula 8 2 4 11" xfId="9020" xr:uid="{846A87D4-9B0B-4A8F-B7E2-B3C2FF94FB7C}"/>
    <cellStyle name="Vírgula 8 2 4 11 2" xfId="29363" xr:uid="{10B41398-D5C8-4B5F-B754-689C4EF50680}"/>
    <cellStyle name="Vírgula 8 2 4 12" xfId="25869" xr:uid="{C9A4D758-3436-4DBD-8A4F-DA162C2170C9}"/>
    <cellStyle name="Vírgula 8 2 4 13" xfId="46107" xr:uid="{6FF2D8B0-4B15-40DC-87F7-5C21ACFCA0C3}"/>
    <cellStyle name="Vírgula 8 2 4 14" xfId="46593" xr:uid="{DE4B57A0-2A98-43EE-9998-19C979D80258}"/>
    <cellStyle name="Vírgula 8 2 4 15" xfId="47085" xr:uid="{D0F50DAC-B894-41E8-A81E-56FDAEB65C80}"/>
    <cellStyle name="Vírgula 8 2 4 16" xfId="49338" xr:uid="{2644119E-D08F-4476-B78A-D687A5CFD901}"/>
    <cellStyle name="Vírgula 8 2 4 17" xfId="51008" xr:uid="{9E8A4F1B-DC8D-4B4E-96B3-B2AB483EBB48}"/>
    <cellStyle name="Vírgula 8 2 4 18" xfId="54303" xr:uid="{9E8851C2-093F-4183-80DD-FEB1F78C32DE}"/>
    <cellStyle name="Vírgula 8 2 4 19" xfId="5530" xr:uid="{61B77978-0B65-4F0B-ACA7-B776D530A180}"/>
    <cellStyle name="Vírgula 8 2 4 2" xfId="3809" xr:uid="{957B5449-251B-490F-A840-D447E831817F}"/>
    <cellStyle name="Vírgula 8 2 4 2 10" xfId="55934" xr:uid="{8C7B8515-086E-4475-826E-925B82072F10}"/>
    <cellStyle name="Vírgula 8 2 4 2 11" xfId="6102" xr:uid="{D10ECCAA-FB65-41C4-9C37-01F57E727E26}"/>
    <cellStyle name="Vírgula 8 2 4 2 2" xfId="7260" xr:uid="{012E51A1-A378-447F-A7CC-55BD83CAE791}"/>
    <cellStyle name="Vírgula 8 2 4 2 2 2" xfId="17546" xr:uid="{1203EDD1-5F25-495F-9F45-16A20725DF4F}"/>
    <cellStyle name="Vírgula 8 2 4 2 2 2 2" xfId="37886" xr:uid="{09E2CD5D-9756-4178-B022-253EDC474F34}"/>
    <cellStyle name="Vírgula 8 2 4 2 2 3" xfId="21048" xr:uid="{5F602B0F-24D4-4BBE-9285-4E3807E5B35A}"/>
    <cellStyle name="Vírgula 8 2 4 2 2 3 2" xfId="41387" xr:uid="{532057CE-C7AF-4A97-AD4C-DA577E685DAD}"/>
    <cellStyle name="Vírgula 8 2 4 2 2 4" xfId="24303" xr:uid="{2DD61835-D136-4660-8772-5B71C1B792FB}"/>
    <cellStyle name="Vírgula 8 2 4 2 2 4 2" xfId="44638" xr:uid="{0C98D629-B60E-404E-A7CC-5EF847EE07E5}"/>
    <cellStyle name="Vírgula 8 2 4 2 2 5" xfId="14637" xr:uid="{5716FD21-9FB0-4DAC-9E79-5A3DCAF0B391}"/>
    <cellStyle name="Vírgula 8 2 4 2 2 5 2" xfId="34978" xr:uid="{8C70D8FA-9673-40A7-A457-7CD71AC66E85}"/>
    <cellStyle name="Vírgula 8 2 4 2 2 6" xfId="10759" xr:uid="{9A8F358E-441D-42B3-81AF-B0CCFF552658}"/>
    <cellStyle name="Vírgula 8 2 4 2 2 6 2" xfId="31102" xr:uid="{1F262D9F-4053-4D18-A3AA-6EFE2D1F5139}"/>
    <cellStyle name="Vírgula 8 2 4 2 2 7" xfId="27608" xr:uid="{733ABC73-728B-4001-A72F-8A21BF72B6D2}"/>
    <cellStyle name="Vírgula 8 2 4 2 3" xfId="16388" xr:uid="{A1298E40-A926-47A9-AB99-7DF5C4FC7685}"/>
    <cellStyle name="Vírgula 8 2 4 2 3 2" xfId="36728" xr:uid="{45B9854C-F925-4C8C-A7F9-3F1E2A5389CF}"/>
    <cellStyle name="Vírgula 8 2 4 2 4" xfId="19890" xr:uid="{AEF6ED22-B3CD-4DE5-AEEA-838AE004B8D3}"/>
    <cellStyle name="Vírgula 8 2 4 2 4 2" xfId="40229" xr:uid="{F440F3A3-F148-46B7-8601-EC614C918B93}"/>
    <cellStyle name="Vírgula 8 2 4 2 5" xfId="23145" xr:uid="{F5D87482-9AA2-4B70-AAF8-6D2769ACA39B}"/>
    <cellStyle name="Vírgula 8 2 4 2 5 2" xfId="43480" xr:uid="{D7DEB064-3AD2-4394-917A-8F486D149F4C}"/>
    <cellStyle name="Vírgula 8 2 4 2 6" xfId="13479" xr:uid="{A889F41D-C0BA-4031-A4A1-927EA951170E}"/>
    <cellStyle name="Vírgula 8 2 4 2 6 2" xfId="33820" xr:uid="{103C3D2E-044D-4DD5-8909-932819E8C813}"/>
    <cellStyle name="Vírgula 8 2 4 2 7" xfId="9601" xr:uid="{38C27A41-E9A8-446C-8418-FCCB1FA466D6}"/>
    <cellStyle name="Vírgula 8 2 4 2 7 2" xfId="29944" xr:uid="{991436D9-79E3-497D-815D-A423C2B9B3D4}"/>
    <cellStyle name="Vírgula 8 2 4 2 8" xfId="26450" xr:uid="{FB05B939-5D7E-4FDA-B206-76AC86A97D99}"/>
    <cellStyle name="Vírgula 8 2 4 2 9" xfId="52640" xr:uid="{3D2A0B54-E151-4059-A465-E6A9C85020D3}"/>
    <cellStyle name="Vírgula 8 2 4 20" xfId="4997" xr:uid="{F11DC874-A6B2-4E94-998A-4616634E0E7D}"/>
    <cellStyle name="Vírgula 8 2 4 3" xfId="2454" xr:uid="{5DA7DC82-F262-4307-97C7-B40143093954}"/>
    <cellStyle name="Vírgula 8 2 4 3 2" xfId="16965" xr:uid="{E906CBAA-5B4D-400D-8C62-2A9F684B50A6}"/>
    <cellStyle name="Vírgula 8 2 4 3 2 2" xfId="37305" xr:uid="{C68AA240-AD28-4BCA-8F27-69677A69F3BA}"/>
    <cellStyle name="Vírgula 8 2 4 3 3" xfId="20467" xr:uid="{AC4AF0FC-3936-4334-819E-E0E9CE48FD4D}"/>
    <cellStyle name="Vírgula 8 2 4 3 3 2" xfId="40806" xr:uid="{E2009727-D88E-44A0-9906-5B77EE821C4B}"/>
    <cellStyle name="Vírgula 8 2 4 3 4" xfId="23722" xr:uid="{0CBAC15D-3B3D-4567-BC51-E5AFBEA3BA89}"/>
    <cellStyle name="Vírgula 8 2 4 3 4 2" xfId="44057" xr:uid="{361E7FBD-A094-4E83-BC61-A7266F4F3701}"/>
    <cellStyle name="Vírgula 8 2 4 3 5" xfId="14056" xr:uid="{A76F0B0F-8804-4850-BC71-0F1E63450E2F}"/>
    <cellStyle name="Vírgula 8 2 4 3 5 2" xfId="34397" xr:uid="{D12B16F4-FEDE-4128-9C03-E42476169E64}"/>
    <cellStyle name="Vírgula 8 2 4 3 6" xfId="10178" xr:uid="{AF44C5C4-02E7-4F17-9EFC-FCA98BE5EC38}"/>
    <cellStyle name="Vírgula 8 2 4 3 6 2" xfId="30521" xr:uid="{5DE46D1E-E441-40D9-9E67-9E906610DE8D}"/>
    <cellStyle name="Vírgula 8 2 4 3 7" xfId="27027" xr:uid="{2FE713CB-077C-4BCF-973B-EA86BF643B13}"/>
    <cellStyle name="Vírgula 8 2 4 3 8" xfId="56609" xr:uid="{DAF4E8F2-ED1C-4EDF-A40F-0EA21188390F}"/>
    <cellStyle name="Vírgula 8 2 4 3 9" xfId="6679" xr:uid="{C938A7FA-E069-4378-84A4-57D8770006ED}"/>
    <cellStyle name="Vírgula 8 2 4 4" xfId="7843" xr:uid="{BF7A8187-D17F-45E8-BC73-0654B1C55D8C}"/>
    <cellStyle name="Vírgula 8 2 4 4 2" xfId="18128" xr:uid="{3DAA0C3C-7898-4AB4-9E28-81158BD05DBB}"/>
    <cellStyle name="Vírgula 8 2 4 4 2 2" xfId="38468" xr:uid="{40B2688F-BBEF-4154-929F-28E70224844E}"/>
    <cellStyle name="Vírgula 8 2 4 4 3" xfId="21630" xr:uid="{160C4EAD-CE1B-4663-B748-100867FBDC2B}"/>
    <cellStyle name="Vírgula 8 2 4 4 3 2" xfId="41969" xr:uid="{E69CEB4E-AFA5-450B-9E4B-BC0AF5E0E9F2}"/>
    <cellStyle name="Vírgula 8 2 4 4 4" xfId="24885" xr:uid="{039B99BD-9382-4094-9F63-BFE34E25B0AF}"/>
    <cellStyle name="Vírgula 8 2 4 4 4 2" xfId="45220" xr:uid="{8ACAE665-0858-490C-A9F3-5E91F21DBD34}"/>
    <cellStyle name="Vírgula 8 2 4 4 5" xfId="15220" xr:uid="{6458321B-BCC7-48B4-BBF2-FFD9B74881CB}"/>
    <cellStyle name="Vírgula 8 2 4 4 5 2" xfId="35560" xr:uid="{261324EF-2EB2-42B7-BFFC-75EEAF0325FA}"/>
    <cellStyle name="Vírgula 8 2 4 4 6" xfId="11341" xr:uid="{553FFD95-1BAC-4316-9F23-01EA6001EE0C}"/>
    <cellStyle name="Vírgula 8 2 4 4 6 2" xfId="31684" xr:uid="{6BDE1ED5-6262-4A14-80DF-7885A33B1B99}"/>
    <cellStyle name="Vírgula 8 2 4 4 7" xfId="28190" xr:uid="{13A6AA87-87EF-4B0F-8E7B-0FFF33C7182A}"/>
    <cellStyle name="Vírgula 8 2 4 5" xfId="8373" xr:uid="{9A1A481F-37AA-4617-9D52-F384474ADF10}"/>
    <cellStyle name="Vírgula 8 2 4 5 2" xfId="22160" xr:uid="{7967A002-08E5-4EC3-839C-4275722CDC7E}"/>
    <cellStyle name="Vírgula 8 2 4 5 2 2" xfId="42496" xr:uid="{88FC30E2-2F24-44BE-871B-8EF0466510DC}"/>
    <cellStyle name="Vírgula 8 2 4 5 3" xfId="25412" xr:uid="{7229EF55-FAC1-495B-BF59-378EE026258B}"/>
    <cellStyle name="Vírgula 8 2 4 5 3 2" xfId="45747" xr:uid="{79CD21AF-CB3E-4F48-B5C5-AF4AE3761C04}"/>
    <cellStyle name="Vírgula 8 2 4 5 4" xfId="12910" xr:uid="{36C1B9A5-75CF-48C4-B6FD-9B27718F7028}"/>
    <cellStyle name="Vírgula 8 2 4 5 4 2" xfId="33251" xr:uid="{059B3564-9205-4A3E-A1D9-24ACC019FD7F}"/>
    <cellStyle name="Vírgula 8 2 4 5 5" xfId="11869" xr:uid="{1792926F-326C-418D-B5D8-119EAFEDE2BD}"/>
    <cellStyle name="Vírgula 8 2 4 5 5 2" xfId="32211" xr:uid="{93F36D72-184F-47F4-B842-4389E44E6741}"/>
    <cellStyle name="Vírgula 8 2 4 5 6" xfId="28717" xr:uid="{1368142E-DE1B-4B23-A094-BE418DE549C9}"/>
    <cellStyle name="Vírgula 8 2 4 6" xfId="15807" xr:uid="{12622003-95C8-4FEA-BF8A-D5000839C0B0}"/>
    <cellStyle name="Vírgula 8 2 4 6 2" xfId="36147" xr:uid="{59C062F6-DDE5-45D3-8339-1A158C7850DC}"/>
    <cellStyle name="Vírgula 8 2 4 7" xfId="18721" xr:uid="{9BC5672C-FDBA-4736-9E8A-337330B670A0}"/>
    <cellStyle name="Vírgula 8 2 4 7 2" xfId="39061" xr:uid="{D2EBFA06-9C3D-41CC-941D-CEED09E50B94}"/>
    <cellStyle name="Vírgula 8 2 4 8" xfId="19309" xr:uid="{52C6B5B7-A21E-446E-9752-597DDC510881}"/>
    <cellStyle name="Vírgula 8 2 4 8 2" xfId="39648" xr:uid="{14D1106D-570A-4A20-B4EC-F92529A40D83}"/>
    <cellStyle name="Vírgula 8 2 4 9" xfId="22564" xr:uid="{DF9A77A0-3C2E-433B-9F02-F7E24A24DB44}"/>
    <cellStyle name="Vírgula 8 2 4 9 2" xfId="42899" xr:uid="{F9D96684-C775-4421-B4B6-F8D0960FD8D7}"/>
    <cellStyle name="Vírgula 8 2 5" xfId="3481" xr:uid="{B4AF3AC5-7863-46A9-BCC3-F2D1C211DA18}"/>
    <cellStyle name="Vírgula 8 2 5 10" xfId="12356" xr:uid="{51879F89-A3F2-43D5-9805-B933C4EA9DF4}"/>
    <cellStyle name="Vírgula 8 2 5 10 2" xfId="32697" xr:uid="{4917959C-BA5F-487E-AAD6-E84CF21F5982}"/>
    <cellStyle name="Vírgula 8 2 5 11" xfId="9095" xr:uid="{7516FFCF-8AA7-4A7B-8218-AEAD41E93B9C}"/>
    <cellStyle name="Vírgula 8 2 5 11 2" xfId="29438" xr:uid="{754DD66D-3B62-4960-8184-E1E761695C48}"/>
    <cellStyle name="Vírgula 8 2 5 12" xfId="25944" xr:uid="{7745C0FE-9417-41E4-AD49-E7BE1AAC2984}"/>
    <cellStyle name="Vírgula 8 2 5 13" xfId="52637" xr:uid="{00ADA15C-F567-4172-8C46-514DD2378E6C}"/>
    <cellStyle name="Vírgula 8 2 5 14" xfId="55931" xr:uid="{3CBD5FFB-8990-4326-90E6-FC68FE5EBC15}"/>
    <cellStyle name="Vírgula 8 2 5 15" xfId="5605" xr:uid="{1FC9B21B-BCEA-43E2-82A0-79C9EAB79C94}"/>
    <cellStyle name="Vírgula 8 2 5 16" xfId="4836" xr:uid="{BCF5615A-0369-4567-BBBE-AE7CD23C0714}"/>
    <cellStyle name="Vírgula 8 2 5 2" xfId="6177" xr:uid="{E4902457-58E4-4ADF-8213-EBF95303576D}"/>
    <cellStyle name="Vírgula 8 2 5 2 2" xfId="7335" xr:uid="{276934E9-1201-4190-9B04-DB478D6CC722}"/>
    <cellStyle name="Vírgula 8 2 5 2 2 2" xfId="17621" xr:uid="{2212466B-35B7-4698-BBF3-2DA57CD87EC5}"/>
    <cellStyle name="Vírgula 8 2 5 2 2 2 2" xfId="37961" xr:uid="{7CCE5C72-F058-41E9-B7B0-1C11E209F954}"/>
    <cellStyle name="Vírgula 8 2 5 2 2 3" xfId="21123" xr:uid="{A2E9A0D7-96AC-4982-ACC4-F9A6863EE91F}"/>
    <cellStyle name="Vírgula 8 2 5 2 2 3 2" xfId="41462" xr:uid="{508EB7A7-1677-4AFA-A4CF-AB138B3AD6A9}"/>
    <cellStyle name="Vírgula 8 2 5 2 2 4" xfId="24378" xr:uid="{A1554FFB-2998-4770-9149-96CDA8B6A8D7}"/>
    <cellStyle name="Vírgula 8 2 5 2 2 4 2" xfId="44713" xr:uid="{C4A97ED7-7517-4BC9-8FFE-AD0C364E2F1F}"/>
    <cellStyle name="Vírgula 8 2 5 2 2 5" xfId="14712" xr:uid="{4452B8CD-AAA4-4F92-83E7-D38CFBEE4460}"/>
    <cellStyle name="Vírgula 8 2 5 2 2 5 2" xfId="35053" xr:uid="{622E37FB-FA73-4070-821F-898DB736E104}"/>
    <cellStyle name="Vírgula 8 2 5 2 2 6" xfId="10834" xr:uid="{B7A4F6BF-7EF7-41E6-A818-ADDAA81B886A}"/>
    <cellStyle name="Vírgula 8 2 5 2 2 6 2" xfId="31177" xr:uid="{81C20441-9828-4882-A358-4D75FA91E4DA}"/>
    <cellStyle name="Vírgula 8 2 5 2 2 7" xfId="27683" xr:uid="{46D89028-5C8F-42B4-9F4A-2409AE61DF4F}"/>
    <cellStyle name="Vírgula 8 2 5 2 3" xfId="16463" xr:uid="{5E8D4B8F-A257-40C1-84AC-AA253A75E5E6}"/>
    <cellStyle name="Vírgula 8 2 5 2 3 2" xfId="36803" xr:uid="{E0A37212-60A9-40D9-B3B3-7AF3D7512813}"/>
    <cellStyle name="Vírgula 8 2 5 2 4" xfId="19965" xr:uid="{9F97AC72-B1D5-45A7-82B8-8275E5B7F66D}"/>
    <cellStyle name="Vírgula 8 2 5 2 4 2" xfId="40304" xr:uid="{75BC8143-BB6D-4021-9DA2-FF4FE345C175}"/>
    <cellStyle name="Vírgula 8 2 5 2 5" xfId="23220" xr:uid="{EB68797D-0B9B-4E18-A336-B03F222E8259}"/>
    <cellStyle name="Vírgula 8 2 5 2 5 2" xfId="43555" xr:uid="{20898438-F7AE-4904-90F3-50CEBA33F7A7}"/>
    <cellStyle name="Vírgula 8 2 5 2 6" xfId="13554" xr:uid="{95595182-90A9-433F-B0A3-EFCC831EED19}"/>
    <cellStyle name="Vírgula 8 2 5 2 6 2" xfId="33895" xr:uid="{E5CB8B14-2D6D-42C3-931D-24BF3E911AAB}"/>
    <cellStyle name="Vírgula 8 2 5 2 7" xfId="9676" xr:uid="{90DD5CBA-C93F-4B87-A728-DEAD454A5FC0}"/>
    <cellStyle name="Vírgula 8 2 5 2 7 2" xfId="30019" xr:uid="{8B85939F-43EE-4C96-B243-4BF2D32BAF41}"/>
    <cellStyle name="Vírgula 8 2 5 2 8" xfId="26525" xr:uid="{42977BF6-EDB8-4C00-8B51-AC518F7D9CB7}"/>
    <cellStyle name="Vírgula 8 2 5 3" xfId="6754" xr:uid="{55A002D7-16A2-4042-8145-0A61CBF92651}"/>
    <cellStyle name="Vírgula 8 2 5 3 2" xfId="17040" xr:uid="{98D2DF9F-C2CD-4DB0-B526-3008C7D3CF18}"/>
    <cellStyle name="Vírgula 8 2 5 3 2 2" xfId="37380" xr:uid="{A11C5466-2F2A-43B7-854C-849AFE7084B3}"/>
    <cellStyle name="Vírgula 8 2 5 3 3" xfId="20542" xr:uid="{DB749305-C1A5-458C-8D0D-9A94FC6B1EDA}"/>
    <cellStyle name="Vírgula 8 2 5 3 3 2" xfId="40881" xr:uid="{F3E16C0D-C9FA-484B-9055-B8ACF12FA1A8}"/>
    <cellStyle name="Vírgula 8 2 5 3 4" xfId="23797" xr:uid="{139F3964-DBD4-4ADB-A106-91AA50D75DD6}"/>
    <cellStyle name="Vírgula 8 2 5 3 4 2" xfId="44132" xr:uid="{8B8CDA4F-4E08-48F3-A476-E5D5BE730198}"/>
    <cellStyle name="Vírgula 8 2 5 3 5" xfId="14131" xr:uid="{AF3A1A00-B6B3-4D34-AB6C-41C3DAECA677}"/>
    <cellStyle name="Vírgula 8 2 5 3 5 2" xfId="34472" xr:uid="{9AAC31A9-0F2F-4F6E-9083-AC7B02000283}"/>
    <cellStyle name="Vírgula 8 2 5 3 6" xfId="10253" xr:uid="{68B885B8-886A-4DBF-BCA8-31A3AE8F67ED}"/>
    <cellStyle name="Vírgula 8 2 5 3 6 2" xfId="30596" xr:uid="{E7C15ED9-B70A-47F6-809B-CD03F71022D0}"/>
    <cellStyle name="Vírgula 8 2 5 3 7" xfId="27102" xr:uid="{E81B23E3-EC50-44DF-BFFF-F1399D8F371A}"/>
    <cellStyle name="Vírgula 8 2 5 4" xfId="7918" xr:uid="{E8644A5C-CECD-48A7-9FFD-AEEA9B6998A6}"/>
    <cellStyle name="Vírgula 8 2 5 4 2" xfId="18203" xr:uid="{0CFCD7BB-9C4C-4324-B289-AC667B093C76}"/>
    <cellStyle name="Vírgula 8 2 5 4 2 2" xfId="38543" xr:uid="{FE2284D5-D9D0-412A-AFD8-5A90D0181735}"/>
    <cellStyle name="Vírgula 8 2 5 4 3" xfId="21705" xr:uid="{FB0B578D-F541-4E11-A6E1-F92239BC2035}"/>
    <cellStyle name="Vírgula 8 2 5 4 3 2" xfId="42044" xr:uid="{098FC67E-5607-4800-ACAD-58770CC71A27}"/>
    <cellStyle name="Vírgula 8 2 5 4 4" xfId="24960" xr:uid="{2B68D029-642D-4CD7-98DD-20AD53F2A456}"/>
    <cellStyle name="Vírgula 8 2 5 4 4 2" xfId="45295" xr:uid="{A801BEDE-B79A-4BD3-9F3B-11FA9635A4EF}"/>
    <cellStyle name="Vírgula 8 2 5 4 5" xfId="15295" xr:uid="{510679B5-A154-42D2-A435-6ECB1D445C7B}"/>
    <cellStyle name="Vírgula 8 2 5 4 5 2" xfId="35635" xr:uid="{CB5F39BD-6355-47DA-AA6C-0D75BC004441}"/>
    <cellStyle name="Vírgula 8 2 5 4 6" xfId="11416" xr:uid="{9BA92222-93DD-4F7B-9EC0-7F76B68EAC99}"/>
    <cellStyle name="Vírgula 8 2 5 4 6 2" xfId="31759" xr:uid="{F62D8A42-6AAF-46E5-BAA5-73FDF9F207BA}"/>
    <cellStyle name="Vírgula 8 2 5 4 7" xfId="28265" xr:uid="{88374188-6CA2-42A6-A066-EB8DD1BC52B1}"/>
    <cellStyle name="Vírgula 8 2 5 5" xfId="12985" xr:uid="{03046F83-C6B3-4140-9A03-804D071D97C3}"/>
    <cellStyle name="Vírgula 8 2 5 5 2" xfId="33326" xr:uid="{080AB820-64F9-4146-8B96-61350D831CEE}"/>
    <cellStyle name="Vírgula 8 2 5 6" xfId="15882" xr:uid="{536E2B57-E725-4BAA-A454-6AC58B3D8125}"/>
    <cellStyle name="Vírgula 8 2 5 6 2" xfId="36222" xr:uid="{5F9C61C9-FD18-4436-9C24-9FFA9313972D}"/>
    <cellStyle name="Vírgula 8 2 5 7" xfId="18796" xr:uid="{29B84B8E-9754-4080-9020-31717E2C6D68}"/>
    <cellStyle name="Vírgula 8 2 5 7 2" xfId="39136" xr:uid="{0C88F00A-2497-4A9C-97CC-007528BCB4C3}"/>
    <cellStyle name="Vírgula 8 2 5 8" xfId="19384" xr:uid="{5D6EBD3D-3BCF-4BD5-9D3C-23CD80A60DA5}"/>
    <cellStyle name="Vírgula 8 2 5 8 2" xfId="39723" xr:uid="{E2F13951-CCC7-4711-B418-8B4AD4B48C35}"/>
    <cellStyle name="Vírgula 8 2 5 9" xfId="22639" xr:uid="{25C85D5F-31B9-4E55-8D4E-62A5A8BE2AD1}"/>
    <cellStyle name="Vírgula 8 2 5 9 2" xfId="42974" xr:uid="{3BBD862F-91D4-433C-82F3-2E6839F5A902}"/>
    <cellStyle name="Vírgula 8 2 6" xfId="3897" xr:uid="{805CC17C-4EEC-4745-A47E-593D157555F4}"/>
    <cellStyle name="Vírgula 8 2 6 10" xfId="12454" xr:uid="{3B47AC8D-723A-495D-8F53-B106FAA2B000}"/>
    <cellStyle name="Vírgula 8 2 6 10 2" xfId="32795" xr:uid="{B61E39A9-63C6-4DE1-A597-94F2BA91BC47}"/>
    <cellStyle name="Vírgula 8 2 6 11" xfId="9193" xr:uid="{5081EE4C-CE00-4D4B-B080-B2798DDD6B43}"/>
    <cellStyle name="Vírgula 8 2 6 11 2" xfId="29536" xr:uid="{352E9B1C-3FCE-47CC-B7B8-B8847D715C62}"/>
    <cellStyle name="Vírgula 8 2 6 12" xfId="26042" xr:uid="{E2495B34-ABA6-42FB-9CDE-32F528BD7419}"/>
    <cellStyle name="Vírgula 8 2 6 13" xfId="56200" xr:uid="{EB13E5CF-FF16-4CEC-8357-F5F9CE6E897E}"/>
    <cellStyle name="Vírgula 8 2 6 14" xfId="5703" xr:uid="{9975ADBE-40B0-462A-A62E-DFC181703DB0}"/>
    <cellStyle name="Vírgula 8 2 6 2" xfId="6275" xr:uid="{20EC9B0C-B9D8-488D-8600-3471EBF28573}"/>
    <cellStyle name="Vírgula 8 2 6 2 2" xfId="7433" xr:uid="{709F30FF-E046-4730-8E0A-5CF18CAE758D}"/>
    <cellStyle name="Vírgula 8 2 6 2 2 2" xfId="17719" xr:uid="{88B2C034-F964-4B93-AE6F-3CF478FFA2D9}"/>
    <cellStyle name="Vírgula 8 2 6 2 2 2 2" xfId="38059" xr:uid="{AF7464AA-2DA2-4187-A4FB-D9C5516F5CAA}"/>
    <cellStyle name="Vírgula 8 2 6 2 2 3" xfId="21221" xr:uid="{8ABA89A1-B11E-45B8-A1A2-BB7189D86507}"/>
    <cellStyle name="Vírgula 8 2 6 2 2 3 2" xfId="41560" xr:uid="{09C36AFE-D6B3-475E-8AF9-2C10BDFD2CDA}"/>
    <cellStyle name="Vírgula 8 2 6 2 2 4" xfId="24476" xr:uid="{575C6247-B49D-407B-B6B0-87348B26172A}"/>
    <cellStyle name="Vírgula 8 2 6 2 2 4 2" xfId="44811" xr:uid="{8FA811D5-02E8-4BAC-9736-6FF68609825B}"/>
    <cellStyle name="Vírgula 8 2 6 2 2 5" xfId="14810" xr:uid="{A727C0DA-8E71-471C-A629-5B620F2455A6}"/>
    <cellStyle name="Vírgula 8 2 6 2 2 5 2" xfId="35151" xr:uid="{CA464FDD-4AD1-427E-A3D4-AA224F959789}"/>
    <cellStyle name="Vírgula 8 2 6 2 2 6" xfId="10932" xr:uid="{3912CE36-39B1-4799-AA0A-08DDB8770AE8}"/>
    <cellStyle name="Vírgula 8 2 6 2 2 6 2" xfId="31275" xr:uid="{CA35DBF2-581F-4CED-A4E3-506595E90091}"/>
    <cellStyle name="Vírgula 8 2 6 2 2 7" xfId="27781" xr:uid="{26E720D0-AB20-45D0-9B6B-EF71C03E0381}"/>
    <cellStyle name="Vírgula 8 2 6 2 3" xfId="16561" xr:uid="{12B4A2BD-4528-4C20-BB8F-9085065BAEA1}"/>
    <cellStyle name="Vírgula 8 2 6 2 3 2" xfId="36901" xr:uid="{EEADDC89-379E-4BC4-9C86-17361094EF99}"/>
    <cellStyle name="Vírgula 8 2 6 2 4" xfId="20063" xr:uid="{AB147A9D-7C4C-43B0-8706-A9FA0AD70E8A}"/>
    <cellStyle name="Vírgula 8 2 6 2 4 2" xfId="40402" xr:uid="{F5C22FB4-D74D-4CA1-8175-1988C892A5B4}"/>
    <cellStyle name="Vírgula 8 2 6 2 5" xfId="23318" xr:uid="{A09C74F2-9707-4D60-AF44-704D6236A7C7}"/>
    <cellStyle name="Vírgula 8 2 6 2 5 2" xfId="43653" xr:uid="{DF056A9E-78EB-4CB6-B4DA-ABC2D79FA2C0}"/>
    <cellStyle name="Vírgula 8 2 6 2 6" xfId="13652" xr:uid="{60D6BD77-8BD6-4656-BA68-6999E5B9DFB9}"/>
    <cellStyle name="Vírgula 8 2 6 2 6 2" xfId="33993" xr:uid="{7D3C267F-AAC6-4F44-A8AA-273587B0FFD1}"/>
    <cellStyle name="Vírgula 8 2 6 2 7" xfId="9774" xr:uid="{A8564E91-5A49-47A3-99CF-4BA1CEB557B5}"/>
    <cellStyle name="Vírgula 8 2 6 2 7 2" xfId="30117" xr:uid="{8A75A21A-AC9F-4782-9FF9-2ED23158E5FB}"/>
    <cellStyle name="Vírgula 8 2 6 2 8" xfId="26623" xr:uid="{D4881670-75C0-4861-A029-39D23835B67E}"/>
    <cellStyle name="Vírgula 8 2 6 3" xfId="6852" xr:uid="{E39955BD-D25B-4997-9E86-D5ECCE9F7052}"/>
    <cellStyle name="Vírgula 8 2 6 3 2" xfId="17138" xr:uid="{537F3397-8296-49CC-8359-6A4B7C60D225}"/>
    <cellStyle name="Vírgula 8 2 6 3 2 2" xfId="37478" xr:uid="{9F0E5A1A-B311-467E-9790-6860ED6A58D9}"/>
    <cellStyle name="Vírgula 8 2 6 3 3" xfId="20640" xr:uid="{20F38B06-3497-43FC-8764-B193DC81E162}"/>
    <cellStyle name="Vírgula 8 2 6 3 3 2" xfId="40979" xr:uid="{C214EC63-060A-4783-8DEA-6D9344A043A0}"/>
    <cellStyle name="Vírgula 8 2 6 3 4" xfId="23895" xr:uid="{3769B8D9-331B-4666-A8C9-DD0DAC236FFF}"/>
    <cellStyle name="Vírgula 8 2 6 3 4 2" xfId="44230" xr:uid="{1059A308-F70F-45D3-9192-15862795E28E}"/>
    <cellStyle name="Vírgula 8 2 6 3 5" xfId="14229" xr:uid="{1DC86C14-946D-4246-AF2D-ED6484EFB36C}"/>
    <cellStyle name="Vírgula 8 2 6 3 5 2" xfId="34570" xr:uid="{70CF7334-5A7C-4A10-A010-A2505D2253B2}"/>
    <cellStyle name="Vírgula 8 2 6 3 6" xfId="10351" xr:uid="{D4D91780-3954-41D5-957F-DCEF2495F275}"/>
    <cellStyle name="Vírgula 8 2 6 3 6 2" xfId="30694" xr:uid="{DC60DE71-3885-4B68-9776-9AE84D28E0E3}"/>
    <cellStyle name="Vírgula 8 2 6 3 7" xfId="27200" xr:uid="{736A9375-709E-4AC0-8C2C-360740F82E73}"/>
    <cellStyle name="Vírgula 8 2 6 4" xfId="8016" xr:uid="{93DA30FD-F36C-4E0D-835D-FF7CC81EAC56}"/>
    <cellStyle name="Vírgula 8 2 6 4 2" xfId="18301" xr:uid="{A30174F4-3AD1-4D53-B5D7-26B660397B49}"/>
    <cellStyle name="Vírgula 8 2 6 4 2 2" xfId="38641" xr:uid="{1747C3AE-81DA-4934-9BA8-3F5C5120C973}"/>
    <cellStyle name="Vírgula 8 2 6 4 3" xfId="21803" xr:uid="{94FD93A6-3EDE-4A29-AD5B-9DE1D6D2E7B2}"/>
    <cellStyle name="Vírgula 8 2 6 4 3 2" xfId="42142" xr:uid="{7AA3EC11-C6BB-4004-ADD0-3F177E760312}"/>
    <cellStyle name="Vírgula 8 2 6 4 4" xfId="25058" xr:uid="{EE8FF537-5BDB-446D-A346-2BCA4760015A}"/>
    <cellStyle name="Vírgula 8 2 6 4 4 2" xfId="45393" xr:uid="{45542AD5-367B-43FA-B811-BCA318AC5513}"/>
    <cellStyle name="Vírgula 8 2 6 4 5" xfId="15393" xr:uid="{7029EF6D-7269-4B43-89BE-AFBF2154315B}"/>
    <cellStyle name="Vírgula 8 2 6 4 5 2" xfId="35733" xr:uid="{129C1D29-82D3-4983-8E0F-32EE93F3B3F5}"/>
    <cellStyle name="Vírgula 8 2 6 4 6" xfId="11514" xr:uid="{B3F84049-2047-488B-A547-E470C254F605}"/>
    <cellStyle name="Vírgula 8 2 6 4 6 2" xfId="31857" xr:uid="{697B52CB-69B0-48F0-9AE4-F5E26BA11FAF}"/>
    <cellStyle name="Vírgula 8 2 6 4 7" xfId="28363" xr:uid="{C5DC1E7A-308C-4D07-9337-11AD20682D23}"/>
    <cellStyle name="Vírgula 8 2 6 5" xfId="13083" xr:uid="{1B5777EB-BE07-452D-BBE3-47D21722F6EE}"/>
    <cellStyle name="Vírgula 8 2 6 5 2" xfId="33424" xr:uid="{752A373A-1FC5-43F7-AD45-52C6CF75B707}"/>
    <cellStyle name="Vírgula 8 2 6 6" xfId="15980" xr:uid="{87A15040-2574-4076-B9EE-468227D13FEE}"/>
    <cellStyle name="Vírgula 8 2 6 6 2" xfId="36320" xr:uid="{331B4DFC-89BE-4DA5-B0BF-3796AA448A87}"/>
    <cellStyle name="Vírgula 8 2 6 7" xfId="18894" xr:uid="{320AE4ED-7FD0-4B0C-B234-B4B930C698C1}"/>
    <cellStyle name="Vírgula 8 2 6 7 2" xfId="39234" xr:uid="{19B83470-9413-48E5-9D9F-7885926C9E7C}"/>
    <cellStyle name="Vírgula 8 2 6 8" xfId="19482" xr:uid="{6FD42696-5ECF-43D5-9374-37B8BBF1E0E5}"/>
    <cellStyle name="Vírgula 8 2 6 8 2" xfId="39821" xr:uid="{C0EE38E3-1B70-41D8-AC09-ED4EA77D156E}"/>
    <cellStyle name="Vírgula 8 2 6 9" xfId="22737" xr:uid="{F53DEFD9-0107-46D3-BF7D-AEC24AC5CEF6}"/>
    <cellStyle name="Vírgula 8 2 6 9 2" xfId="43072" xr:uid="{89445BB6-5DEA-4F10-ADFD-5F6419F5F618}"/>
    <cellStyle name="Vírgula 8 2 7" xfId="1830" xr:uid="{9629FA0B-AFB6-4AA0-9739-CABFEEFDBDFC}"/>
    <cellStyle name="Vírgula 8 2 7 2" xfId="6991" xr:uid="{4C7E6A01-045C-4A52-B848-FEA5C771AC49}"/>
    <cellStyle name="Vírgula 8 2 7 2 2" xfId="17277" xr:uid="{6321A4A2-E0B1-4C71-B814-A32BB9EC7229}"/>
    <cellStyle name="Vírgula 8 2 7 2 2 2" xfId="37617" xr:uid="{FFB2EA92-300F-4147-AE23-83B85FC82BED}"/>
    <cellStyle name="Vírgula 8 2 7 2 3" xfId="20779" xr:uid="{732B417D-1C4F-4D75-AA21-85F4B6403AD9}"/>
    <cellStyle name="Vírgula 8 2 7 2 3 2" xfId="41118" xr:uid="{19C86483-2161-48C7-96EA-C2EA43DDBB27}"/>
    <cellStyle name="Vírgula 8 2 7 2 4" xfId="24034" xr:uid="{6375E554-C066-43B5-845C-BE6995784C8F}"/>
    <cellStyle name="Vírgula 8 2 7 2 4 2" xfId="44369" xr:uid="{DB943BB2-EFA1-426D-8029-1729921DD778}"/>
    <cellStyle name="Vírgula 8 2 7 2 5" xfId="14368" xr:uid="{E5D8C8D1-BBA4-4A6A-BEA6-DC0AF41A4304}"/>
    <cellStyle name="Vírgula 8 2 7 2 5 2" xfId="34709" xr:uid="{55606932-6AC7-4433-AA42-7C3F5F13F7B1}"/>
    <cellStyle name="Vírgula 8 2 7 2 6" xfId="10490" xr:uid="{6039AAF1-2AEF-498E-9B66-01C8DD3765D2}"/>
    <cellStyle name="Vírgula 8 2 7 2 6 2" xfId="30833" xr:uid="{E3B89597-B59B-43D8-9C87-B779F9B1A2CA}"/>
    <cellStyle name="Vírgula 8 2 7 2 7" xfId="27339" xr:uid="{0A3F56BD-A8C5-4C4E-8633-47F1DA1108D0}"/>
    <cellStyle name="Vírgula 8 2 7 3" xfId="16119" xr:uid="{634273F1-81AF-4058-AF09-832B5E133433}"/>
    <cellStyle name="Vírgula 8 2 7 3 2" xfId="36459" xr:uid="{0F6A98B1-34EB-414B-AE87-F3A59CA847D0}"/>
    <cellStyle name="Vírgula 8 2 7 4" xfId="19621" xr:uid="{38685EFA-6491-48E4-A410-67C07CEB5C42}"/>
    <cellStyle name="Vírgula 8 2 7 4 2" xfId="39960" xr:uid="{EA4645B9-A953-43B5-A562-88A1EBB132ED}"/>
    <cellStyle name="Vírgula 8 2 7 5" xfId="22876" xr:uid="{04ACD15A-BBE7-46C4-AB12-ACF8D351D385}"/>
    <cellStyle name="Vírgula 8 2 7 5 2" xfId="43211" xr:uid="{B9BFAB62-BBA0-405B-94E9-F3768708C7E8}"/>
    <cellStyle name="Vírgula 8 2 7 6" xfId="13212" xr:uid="{F4ADD0EA-FC2F-49B4-95BB-5D6CE7A6801A}"/>
    <cellStyle name="Vírgula 8 2 7 6 2" xfId="33553" xr:uid="{B52C7A86-D18D-41FC-A113-CD0012318313}"/>
    <cellStyle name="Vírgula 8 2 7 7" xfId="9332" xr:uid="{ADB412D0-A91E-4AB9-9B52-22C14B1CB6C7}"/>
    <cellStyle name="Vírgula 8 2 7 7 2" xfId="29675" xr:uid="{8E530F3A-5D3B-4B41-B62F-8E7CB79D00E8}"/>
    <cellStyle name="Vírgula 8 2 7 8" xfId="26181" xr:uid="{E1F8C53A-0DBE-46AE-A435-9E8A2A047273}"/>
    <cellStyle name="Vírgula 8 2 7 9" xfId="5833" xr:uid="{0B083452-34CB-4C9A-ACE6-043528D75D70}"/>
    <cellStyle name="Vírgula 8 2 8" xfId="6410" xr:uid="{6D3AD972-0352-4C48-8A30-B68DF7DD4278}"/>
    <cellStyle name="Vírgula 8 2 8 2" xfId="16696" xr:uid="{C50D6835-D84D-4E3F-8F5F-CC20DB5FF945}"/>
    <cellStyle name="Vírgula 8 2 8 2 2" xfId="37036" xr:uid="{57A02B73-5CC2-4DB4-A056-7841CE68BC73}"/>
    <cellStyle name="Vírgula 8 2 8 3" xfId="20198" xr:uid="{AE31A74E-BCEB-4236-A161-F951ED9EC0B8}"/>
    <cellStyle name="Vírgula 8 2 8 3 2" xfId="40537" xr:uid="{646A498C-808D-4227-A221-30871E34ADD6}"/>
    <cellStyle name="Vírgula 8 2 8 4" xfId="23453" xr:uid="{3BDCEBE7-5A91-4611-8F6B-E75CF0198E3F}"/>
    <cellStyle name="Vírgula 8 2 8 4 2" xfId="43788" xr:uid="{25A9D59F-89BA-4F04-AFE3-9E23E9E3E5C0}"/>
    <cellStyle name="Vírgula 8 2 8 5" xfId="13787" xr:uid="{893CB482-4998-48F8-A78F-174CB0077102}"/>
    <cellStyle name="Vírgula 8 2 8 5 2" xfId="34128" xr:uid="{5C77337C-2184-43DA-8E9A-C542FB14B66A}"/>
    <cellStyle name="Vírgula 8 2 8 6" xfId="9909" xr:uid="{2EC66979-6020-4D01-81F3-716404ADB32F}"/>
    <cellStyle name="Vírgula 8 2 8 6 2" xfId="30252" xr:uid="{223F949F-615D-4B29-A7EB-48E02DB59619}"/>
    <cellStyle name="Vírgula 8 2 8 7" xfId="26758" xr:uid="{881DECFF-EDFF-4152-8C0B-51FE0E22872C}"/>
    <cellStyle name="Vírgula 8 2 9" xfId="7574" xr:uid="{38BBABE4-3299-400B-B2F6-3CD8691AE151}"/>
    <cellStyle name="Vírgula 8 2 9 2" xfId="17859" xr:uid="{60D0DEBB-82EF-4F12-806B-44D69AED1787}"/>
    <cellStyle name="Vírgula 8 2 9 2 2" xfId="38199" xr:uid="{8A4CED55-D717-4771-B254-C92F6EF9B4B2}"/>
    <cellStyle name="Vírgula 8 2 9 3" xfId="21361" xr:uid="{FCE6537F-E870-43B9-9EC2-3F7EC2233195}"/>
    <cellStyle name="Vírgula 8 2 9 3 2" xfId="41700" xr:uid="{0F6E51A6-0ED8-4EBF-A379-B1579DD4F443}"/>
    <cellStyle name="Vírgula 8 2 9 4" xfId="24616" xr:uid="{9B7B911E-E88A-4462-A420-59FB8A08DBE1}"/>
    <cellStyle name="Vírgula 8 2 9 4 2" xfId="44951" xr:uid="{60954F82-72D0-486D-BFA9-0D0B52B18C30}"/>
    <cellStyle name="Vírgula 8 2 9 5" xfId="14951" xr:uid="{CBECAC18-B42B-4CF0-B3E6-CBF41E4C29A6}"/>
    <cellStyle name="Vírgula 8 2 9 5 2" xfId="35291" xr:uid="{A2ECF74F-D647-42DD-9471-F8399C2C9E37}"/>
    <cellStyle name="Vírgula 8 2 9 6" xfId="11072" xr:uid="{BFACCCC3-E416-4DE7-B7E2-57C2A242A48A}"/>
    <cellStyle name="Vírgula 8 2 9 6 2" xfId="31415" xr:uid="{153D2D3A-59CC-4864-86BA-5F25F2AB39BA}"/>
    <cellStyle name="Vírgula 8 2 9 7" xfId="27921" xr:uid="{57805A83-6683-4D62-8F3A-433F7DD6F8F6}"/>
    <cellStyle name="Vírgula 8 20" xfId="45836" xr:uid="{37742A5F-6624-46C6-B1AC-8C5924A2A60C}"/>
    <cellStyle name="Vírgula 8 21" xfId="46322" xr:uid="{7CE86F56-D96D-4964-B95C-332B022F79A3}"/>
    <cellStyle name="Vírgula 8 22" xfId="46814" xr:uid="{5228F6ED-57CB-44DF-933D-68CA1A3CAE4F}"/>
    <cellStyle name="Vírgula 8 23" xfId="47358" xr:uid="{983EF97B-80B1-40E2-BEA6-7D48EA23656A}"/>
    <cellStyle name="Vírgula 8 24" xfId="47484" xr:uid="{A3B43E12-491E-4DA7-8A0C-D5CB783F3DDB}"/>
    <cellStyle name="Vírgula 8 25" xfId="47610" xr:uid="{B880DE42-3848-47A5-90DA-CA2EEC0084DE}"/>
    <cellStyle name="Vírgula 8 26" xfId="49334" xr:uid="{7F08FBD9-29B1-4AB7-8CA7-F9FCB8C2FF36}"/>
    <cellStyle name="Vírgula 8 27" xfId="51004" xr:uid="{65D6A9D3-EF4E-4A3C-9DB4-EB92356D376A}"/>
    <cellStyle name="Vírgula 8 28" xfId="54299" xr:uid="{F7F88E61-80CE-49A0-94F9-3EAA9DED1E51}"/>
    <cellStyle name="Vírgula 8 29" xfId="5240" xr:uid="{56E7ED19-084A-4EE0-85C1-088EA38B15D2}"/>
    <cellStyle name="Vírgula 8 3" xfId="140" xr:uid="{3DAFB507-2DBC-41F9-8445-330DEC2AA4E8}"/>
    <cellStyle name="Vírgula 8 3 10" xfId="18475" xr:uid="{145D7D4E-84D6-4AA9-B13E-A2D66D71192E}"/>
    <cellStyle name="Vírgula 8 3 10 2" xfId="38815" xr:uid="{A18E6B41-C248-4CCB-AAD9-D2568685FFFF}"/>
    <cellStyle name="Vírgula 8 3 11" xfId="19063" xr:uid="{7F273F82-77A2-4FA1-8F06-768F3F13C256}"/>
    <cellStyle name="Vírgula 8 3 11 2" xfId="39402" xr:uid="{51B9993B-86E5-4268-A754-80B423A9BA80}"/>
    <cellStyle name="Vírgula 8 3 12" xfId="22318" xr:uid="{75A70E12-5D1E-4ABF-A716-D9B71E4030E8}"/>
    <cellStyle name="Vírgula 8 3 12 2" xfId="42653" xr:uid="{5D47542C-D139-4809-83D4-661D86B5186C}"/>
    <cellStyle name="Vírgula 8 3 13" xfId="12035" xr:uid="{907C0389-2D1F-400E-A803-C62DFAB63973}"/>
    <cellStyle name="Vírgula 8 3 13 2" xfId="32376" xr:uid="{E7478496-EDC3-47E5-816A-91AC7CDB39FB}"/>
    <cellStyle name="Vírgula 8 3 14" xfId="8774" xr:uid="{B44D4544-7950-424C-954C-0D45FEE33075}"/>
    <cellStyle name="Vírgula 8 3 14 2" xfId="29117" xr:uid="{2FECCFB1-19DA-4B36-8A03-C49C9A1383D5}"/>
    <cellStyle name="Vírgula 8 3 15" xfId="25623" xr:uid="{A749E0F5-00B8-4EB9-9320-42FC24B7C4F6}"/>
    <cellStyle name="Vírgula 8 3 16" xfId="45896" xr:uid="{2DE250C7-E32C-4446-855F-837698C6BD35}"/>
    <cellStyle name="Vírgula 8 3 17" xfId="46382" xr:uid="{603929D0-1D11-455F-BEE7-75A7859A226D}"/>
    <cellStyle name="Vírgula 8 3 18" xfId="46874" xr:uid="{3DCCC531-1B41-446E-A32B-C3F1FE2CC0D7}"/>
    <cellStyle name="Vírgula 8 3 19" xfId="49339" xr:uid="{A07784E2-245A-4A01-91B8-7CAA9B0AB0DC}"/>
    <cellStyle name="Vírgula 8 3 2" xfId="956" xr:uid="{1BF6F42D-FFD1-469F-9ADB-3135FA594F76}"/>
    <cellStyle name="Vírgula 8 3 2 10" xfId="12150" xr:uid="{42957296-FF0B-40FA-9C2A-E5F9456839B2}"/>
    <cellStyle name="Vírgula 8 3 2 10 2" xfId="32491" xr:uid="{472A9107-BFBA-4198-B5FD-8B64E5494A39}"/>
    <cellStyle name="Vírgula 8 3 2 11" xfId="8889" xr:uid="{DF4A121B-C0F4-453C-AEEE-B04DB6965DBE}"/>
    <cellStyle name="Vírgula 8 3 2 11 2" xfId="29232" xr:uid="{23EF05CA-61DF-4749-9E9C-0F54DF16F274}"/>
    <cellStyle name="Vírgula 8 3 2 12" xfId="25738" xr:uid="{7B7A055B-0C40-4CD7-85C1-CFF523B993AD}"/>
    <cellStyle name="Vírgula 8 3 2 13" xfId="46033" xr:uid="{97D358A9-8637-4617-8A18-4E7549C2A035}"/>
    <cellStyle name="Vírgula 8 3 2 14" xfId="46519" xr:uid="{DEE033AE-99DA-42C9-A1F4-003B21DB32EC}"/>
    <cellStyle name="Vírgula 8 3 2 15" xfId="47011" xr:uid="{8ADE7D9B-3CEA-4A42-8900-143EB8C76FCD}"/>
    <cellStyle name="Vírgula 8 3 2 16" xfId="49340" xr:uid="{25D19129-FC5B-4CD1-A04A-5419D064933B}"/>
    <cellStyle name="Vírgula 8 3 2 17" xfId="51010" xr:uid="{0502A06D-FB7F-4C7C-8CF1-5423499664E9}"/>
    <cellStyle name="Vírgula 8 3 2 18" xfId="54305" xr:uid="{0FABB0DF-56C3-44C1-BA5B-5587CC3EC4D3}"/>
    <cellStyle name="Vírgula 8 3 2 19" xfId="5407" xr:uid="{B97E168B-E37F-41F6-9E8E-1FED27E89B41}"/>
    <cellStyle name="Vírgula 8 3 2 2" xfId="4141" xr:uid="{97477D2D-E835-459B-B8D7-925149B25BE5}"/>
    <cellStyle name="Vírgula 8 3 2 2 10" xfId="46762" xr:uid="{F5970DB8-FC77-424F-A195-759E7E27CCD0}"/>
    <cellStyle name="Vírgula 8 3 2 2 11" xfId="47254" xr:uid="{92EA4FFC-1743-4BDF-855E-A037C77A682B}"/>
    <cellStyle name="Vírgula 8 3 2 2 12" xfId="52642" xr:uid="{81CD9DE6-3662-4398-83BF-69065E58FD48}"/>
    <cellStyle name="Vírgula 8 3 2 2 13" xfId="55936" xr:uid="{0B4DBAC2-26F5-4032-9EEF-D7A9939609FC}"/>
    <cellStyle name="Vírgula 8 3 2 2 14" xfId="5971" xr:uid="{E7DC2678-62BA-40D3-AA40-FA20D03F0264}"/>
    <cellStyle name="Vírgula 8 3 2 2 2" xfId="7129" xr:uid="{5B86D9EB-6E1C-44CA-B69E-CFD9CE5A9E46}"/>
    <cellStyle name="Vírgula 8 3 2 2 2 2" xfId="17415" xr:uid="{36EEC12C-2685-470D-882E-B7CC24726D12}"/>
    <cellStyle name="Vírgula 8 3 2 2 2 2 2" xfId="37755" xr:uid="{AC0E4A8C-9B6A-4511-B78B-27B306F9511F}"/>
    <cellStyle name="Vírgula 8 3 2 2 2 3" xfId="20917" xr:uid="{7E360549-077B-4192-AA45-0DD863377F02}"/>
    <cellStyle name="Vírgula 8 3 2 2 2 3 2" xfId="41256" xr:uid="{72DA1264-A9D4-4CDD-A168-AA6EEEDB9303}"/>
    <cellStyle name="Vírgula 8 3 2 2 2 4" xfId="24172" xr:uid="{471C561B-549D-496C-8779-22F7E4663742}"/>
    <cellStyle name="Vírgula 8 3 2 2 2 4 2" xfId="44507" xr:uid="{94CCFF09-9043-433F-AE44-C4F04FD1C158}"/>
    <cellStyle name="Vírgula 8 3 2 2 2 5" xfId="14506" xr:uid="{1B6F4181-3C26-41A6-9A0B-C0A0D87D1145}"/>
    <cellStyle name="Vírgula 8 3 2 2 2 5 2" xfId="34847" xr:uid="{D612DB24-5B05-46C2-B3A0-5C64DCB2B222}"/>
    <cellStyle name="Vírgula 8 3 2 2 2 6" xfId="10628" xr:uid="{FA9FD9B8-EA98-4166-BE7D-9C4E7B9CBB20}"/>
    <cellStyle name="Vírgula 8 3 2 2 2 6 2" xfId="30971" xr:uid="{7314D17A-66AE-411A-95DC-AE0B2CE4109B}"/>
    <cellStyle name="Vírgula 8 3 2 2 2 7" xfId="27477" xr:uid="{82DECA68-950D-431C-B8A5-B6229B7DBE5C}"/>
    <cellStyle name="Vírgula 8 3 2 2 3" xfId="16257" xr:uid="{4F3C8708-F93D-4BF0-9AF3-C16559B47F55}"/>
    <cellStyle name="Vírgula 8 3 2 2 3 2" xfId="36597" xr:uid="{289C3099-FDD3-461B-BE9F-96A67687A01B}"/>
    <cellStyle name="Vírgula 8 3 2 2 4" xfId="19759" xr:uid="{5D36A59D-39EF-4CF7-961D-679DC240C8A9}"/>
    <cellStyle name="Vírgula 8 3 2 2 4 2" xfId="40098" xr:uid="{5D05C1A3-2D8F-4C53-9D4F-3E1FB88B30E2}"/>
    <cellStyle name="Vírgula 8 3 2 2 5" xfId="23014" xr:uid="{6A83CA5A-4424-420F-99F3-3CE1BA54D6FD}"/>
    <cellStyle name="Vírgula 8 3 2 2 5 2" xfId="43349" xr:uid="{5502E171-6CA0-4D32-90D3-85E8B5EF2354}"/>
    <cellStyle name="Vírgula 8 3 2 2 6" xfId="13348" xr:uid="{9835705A-B44A-4548-84AD-EF1B5C2A6C9D}"/>
    <cellStyle name="Vírgula 8 3 2 2 6 2" xfId="33689" xr:uid="{B64C4BE2-6156-4F50-A848-E2C5415D68CD}"/>
    <cellStyle name="Vírgula 8 3 2 2 7" xfId="9470" xr:uid="{F511BCC8-7DA4-42E9-9E62-5CD2812EE5EF}"/>
    <cellStyle name="Vírgula 8 3 2 2 7 2" xfId="29813" xr:uid="{C66C4355-6015-4FED-B418-9F7FA078145C}"/>
    <cellStyle name="Vírgula 8 3 2 2 8" xfId="26319" xr:uid="{E5833D0B-CD7D-4B83-97A4-E0AE9F3B02A9}"/>
    <cellStyle name="Vírgula 8 3 2 2 9" xfId="46276" xr:uid="{7EA47974-62E9-4662-A03F-9904E8BD3D32}"/>
    <cellStyle name="Vírgula 8 3 2 20" xfId="5151" xr:uid="{DC7F075A-285D-4EBC-AA39-3BCA397DD051}"/>
    <cellStyle name="Vírgula 8 3 2 3" xfId="2671" xr:uid="{131E94A7-352A-45E1-9FA6-C109509787A1}"/>
    <cellStyle name="Vírgula 8 3 2 3 2" xfId="16834" xr:uid="{3F629F08-19DB-465A-8398-C5791C84FF9D}"/>
    <cellStyle name="Vírgula 8 3 2 3 2 2" xfId="37174" xr:uid="{CCEC3C48-BCD3-43CF-9EEB-20D70A7799C6}"/>
    <cellStyle name="Vírgula 8 3 2 3 3" xfId="20336" xr:uid="{86F393E1-F818-4692-816F-462C4B54581E}"/>
    <cellStyle name="Vírgula 8 3 2 3 3 2" xfId="40675" xr:uid="{CEFF659B-1108-47B7-AFB8-E3707C97EF32}"/>
    <cellStyle name="Vírgula 8 3 2 3 4" xfId="23591" xr:uid="{1FAD4A17-65E6-4F7D-BD1A-2500F477A06E}"/>
    <cellStyle name="Vírgula 8 3 2 3 4 2" xfId="43926" xr:uid="{336D1AE6-1504-4464-BB9E-05C61ED53AFB}"/>
    <cellStyle name="Vírgula 8 3 2 3 5" xfId="13925" xr:uid="{38E801C4-174F-4537-ACF1-89E7A3620195}"/>
    <cellStyle name="Vírgula 8 3 2 3 5 2" xfId="34266" xr:uid="{8E73D5A0-4F5A-41FF-B815-0121D4C7B3DA}"/>
    <cellStyle name="Vírgula 8 3 2 3 6" xfId="10047" xr:uid="{5BAC1BA0-D6E2-49D9-A8C0-F4E172B2C827}"/>
    <cellStyle name="Vírgula 8 3 2 3 6 2" xfId="30390" xr:uid="{3B5D1875-B6C7-4B4E-9DD4-20B7305899B7}"/>
    <cellStyle name="Vírgula 8 3 2 3 7" xfId="26896" xr:uid="{4E974E9A-50FC-4D78-92C4-AD4297AC6CDC}"/>
    <cellStyle name="Vírgula 8 3 2 3 8" xfId="56827" xr:uid="{4210FA11-EF30-4F9C-B566-4223FE16472B}"/>
    <cellStyle name="Vírgula 8 3 2 3 9" xfId="6548" xr:uid="{6BA96E07-8C3D-4A30-A75D-AA8C5DA1F13A}"/>
    <cellStyle name="Vírgula 8 3 2 4" xfId="7712" xr:uid="{19463034-DA0B-4FE0-B970-877D68A0A1CF}"/>
    <cellStyle name="Vírgula 8 3 2 4 2" xfId="17997" xr:uid="{46FCB14A-33F8-4DFF-B039-4A2252FE865D}"/>
    <cellStyle name="Vírgula 8 3 2 4 2 2" xfId="38337" xr:uid="{19BC3E1A-60EF-4A4B-B11F-57A47B264E10}"/>
    <cellStyle name="Vírgula 8 3 2 4 3" xfId="21499" xr:uid="{470E55DB-04A6-42D4-B858-E67A9805C9FC}"/>
    <cellStyle name="Vírgula 8 3 2 4 3 2" xfId="41838" xr:uid="{A2308472-4329-43B4-BE96-B242766DA46B}"/>
    <cellStyle name="Vírgula 8 3 2 4 4" xfId="24754" xr:uid="{DA36124B-2E23-4F60-B68F-29D045FA1F5E}"/>
    <cellStyle name="Vírgula 8 3 2 4 4 2" xfId="45089" xr:uid="{BE1194E5-8787-4DC5-8AA0-647F0B7543F8}"/>
    <cellStyle name="Vírgula 8 3 2 4 5" xfId="15089" xr:uid="{619C87AE-33DA-41F0-AE78-D051D498197E}"/>
    <cellStyle name="Vírgula 8 3 2 4 5 2" xfId="35429" xr:uid="{D55DE5E3-C7FF-4B0F-9134-13514E47C449}"/>
    <cellStyle name="Vírgula 8 3 2 4 6" xfId="11210" xr:uid="{E53B0F99-8C1D-4CF1-BAFB-D2136F5B4500}"/>
    <cellStyle name="Vírgula 8 3 2 4 6 2" xfId="31553" xr:uid="{AA915FCF-CE6B-4B27-8D45-5EAE28A65D19}"/>
    <cellStyle name="Vírgula 8 3 2 4 7" xfId="28059" xr:uid="{83E3BA16-C08A-421A-97C1-419BD2ECF367}"/>
    <cellStyle name="Vírgula 8 3 2 5" xfId="8375" xr:uid="{26B8B5BA-D8FE-47F0-AD8B-99F106763917}"/>
    <cellStyle name="Vírgula 8 3 2 5 2" xfId="22162" xr:uid="{EE9A7CFE-BCFC-4E40-A94C-6AC295CCDB95}"/>
    <cellStyle name="Vírgula 8 3 2 5 2 2" xfId="42498" xr:uid="{D873AC60-2775-4C23-B66B-7B2276197F5D}"/>
    <cellStyle name="Vírgula 8 3 2 5 3" xfId="25414" xr:uid="{32BD3D9D-6EC1-4F37-9A9B-688A208B2C20}"/>
    <cellStyle name="Vírgula 8 3 2 5 3 2" xfId="45749" xr:uid="{AB26DC48-8826-45CE-8A5F-5E9901D74127}"/>
    <cellStyle name="Vírgula 8 3 2 5 4" xfId="12779" xr:uid="{648A3E18-9FD8-457E-93F2-B6C51D992B50}"/>
    <cellStyle name="Vírgula 8 3 2 5 4 2" xfId="33120" xr:uid="{13FD6B7C-AA64-4E95-B7E0-9E63B56F95D2}"/>
    <cellStyle name="Vírgula 8 3 2 5 5" xfId="11871" xr:uid="{5FBF2A6C-C782-4D6E-B037-0490B19C8949}"/>
    <cellStyle name="Vírgula 8 3 2 5 5 2" xfId="32213" xr:uid="{1B5B1903-CCF3-49D9-9F78-D5F0F736E4E8}"/>
    <cellStyle name="Vírgula 8 3 2 5 6" xfId="28719" xr:uid="{EEECC716-D390-4409-81E5-84ABC5506738}"/>
    <cellStyle name="Vírgula 8 3 2 6" xfId="8658" xr:uid="{4A7A17D9-6347-4D84-8CB8-7E0DAA05C5CB}"/>
    <cellStyle name="Vírgula 8 3 2 6 2" xfId="15676" xr:uid="{DB6C2867-2288-48FB-83AE-776F4CC816F3}"/>
    <cellStyle name="Vírgula 8 3 2 6 2 2" xfId="36016" xr:uid="{B613ABC7-39DC-4268-A79F-3FFF577E8DC2}"/>
    <cellStyle name="Vírgula 8 3 2 6 3" xfId="29001" xr:uid="{D4F4A408-6F0E-47C8-A005-C0AA2CCB08E7}"/>
    <cellStyle name="Vírgula 8 3 2 7" xfId="18590" xr:uid="{F56174E9-AE0D-46E9-A3C0-44A972D0388E}"/>
    <cellStyle name="Vírgula 8 3 2 7 2" xfId="38930" xr:uid="{22301323-35D3-4B06-8476-B3B5ED4FCC4B}"/>
    <cellStyle name="Vírgula 8 3 2 8" xfId="19178" xr:uid="{AA075835-24E9-41DC-9098-AE3E44CC924E}"/>
    <cellStyle name="Vírgula 8 3 2 8 2" xfId="39517" xr:uid="{CB0C6D74-CA97-46F4-A0BC-110460FF09ED}"/>
    <cellStyle name="Vírgula 8 3 2 9" xfId="22433" xr:uid="{9A664109-A76E-42DF-9246-87C0E852FC6B}"/>
    <cellStyle name="Vírgula 8 3 2 9 2" xfId="42768" xr:uid="{B5152CAD-401A-400B-8851-06BE6ED48A1D}"/>
    <cellStyle name="Vírgula 8 3 20" xfId="51009" xr:uid="{7DEF0563-B402-4915-B4C0-A4DD0FB0CB04}"/>
    <cellStyle name="Vírgula 8 3 21" xfId="54304" xr:uid="{2DE32F07-6655-4393-88C9-60D860664D8F}"/>
    <cellStyle name="Vírgula 8 3 22" xfId="5305" xr:uid="{787124AD-3BE5-4894-A134-3B35A5B7DB28}"/>
    <cellStyle name="Vírgula 8 3 23" xfId="4421" xr:uid="{9ACB1A44-2B03-4163-BF99-0D585C91FA32}"/>
    <cellStyle name="Vírgula 8 3 3" xfId="1362" xr:uid="{6AB218CE-A711-4658-9E5A-37CDE0715B68}"/>
    <cellStyle name="Vírgula 8 3 3 10" xfId="12379" xr:uid="{B98DAC38-EC65-42FF-983C-8657BDC5784A}"/>
    <cellStyle name="Vírgula 8 3 3 10 2" xfId="32720" xr:uid="{4BEBD188-05F1-41B0-95F3-55069282C11C}"/>
    <cellStyle name="Vírgula 8 3 3 11" xfId="9118" xr:uid="{F0F5AD81-B928-4F1D-9F6E-52461EE8B538}"/>
    <cellStyle name="Vírgula 8 3 3 11 2" xfId="29461" xr:uid="{44D26D58-3D0E-455C-ADED-D413DFEA4CC9}"/>
    <cellStyle name="Vírgula 8 3 3 12" xfId="25967" xr:uid="{7FA76897-754F-4559-825F-719A2832BC17}"/>
    <cellStyle name="Vírgula 8 3 3 13" xfId="46139" xr:uid="{48104305-CCC3-4DC7-B6B0-8220B3943392}"/>
    <cellStyle name="Vírgula 8 3 3 14" xfId="46625" xr:uid="{C62E57CC-F091-44B8-A367-7CDD992BB70E}"/>
    <cellStyle name="Vírgula 8 3 3 15" xfId="47117" xr:uid="{66852AB7-2154-440F-A277-17FEBC2AFBA5}"/>
    <cellStyle name="Vírgula 8 3 3 16" xfId="49341" xr:uid="{2F050CB2-7E0F-405C-81FF-7C2B9A1241CA}"/>
    <cellStyle name="Vírgula 8 3 3 17" xfId="51011" xr:uid="{342D12B4-8523-467D-AF66-09DE362715BF}"/>
    <cellStyle name="Vírgula 8 3 3 18" xfId="54306" xr:uid="{8D506C42-9DD5-4A6A-B167-8169FC8233CF}"/>
    <cellStyle name="Vírgula 8 3 3 19" xfId="5628" xr:uid="{89244E39-6D4E-43CD-87E8-F42CCFD9C0BD}"/>
    <cellStyle name="Vírgula 8 3 3 2" xfId="4313" xr:uid="{C0D7EFD5-6A73-4C41-85B6-36BA7FD5D26A}"/>
    <cellStyle name="Vírgula 8 3 3 2 10" xfId="55937" xr:uid="{CF4959FD-27CE-4A51-8FE2-4FB8EA493B3C}"/>
    <cellStyle name="Vírgula 8 3 3 2 11" xfId="6200" xr:uid="{E8EE86E3-5D1C-4C12-A0F0-C55CE55F3913}"/>
    <cellStyle name="Vírgula 8 3 3 2 2" xfId="7358" xr:uid="{93276DBC-42D1-4A05-B401-F1862857B356}"/>
    <cellStyle name="Vírgula 8 3 3 2 2 2" xfId="17644" xr:uid="{7D032FB5-8407-4F41-8826-1AD128C0F7E2}"/>
    <cellStyle name="Vírgula 8 3 3 2 2 2 2" xfId="37984" xr:uid="{8608E259-2DAC-407D-9B8D-F0C94A693941}"/>
    <cellStyle name="Vírgula 8 3 3 2 2 3" xfId="21146" xr:uid="{C749C044-6F57-4E15-8C06-82A3A6DE6678}"/>
    <cellStyle name="Vírgula 8 3 3 2 2 3 2" xfId="41485" xr:uid="{10FA87F3-B7BB-45D3-9B43-9CE13751D548}"/>
    <cellStyle name="Vírgula 8 3 3 2 2 4" xfId="24401" xr:uid="{1286DD6B-0693-4F17-89D8-CA2335DFEC89}"/>
    <cellStyle name="Vírgula 8 3 3 2 2 4 2" xfId="44736" xr:uid="{F9D72EB7-80C1-4124-AF19-E2EBE9457558}"/>
    <cellStyle name="Vírgula 8 3 3 2 2 5" xfId="14735" xr:uid="{84D96A6D-D7CD-451C-B7C9-E4A07F6FF26B}"/>
    <cellStyle name="Vírgula 8 3 3 2 2 5 2" xfId="35076" xr:uid="{86A71AD1-0729-4C2C-8EDC-5F5D81B92B4A}"/>
    <cellStyle name="Vírgula 8 3 3 2 2 6" xfId="10857" xr:uid="{58D74F33-BAA3-4EEB-B971-802AB94D8EF9}"/>
    <cellStyle name="Vírgula 8 3 3 2 2 6 2" xfId="31200" xr:uid="{85E5CC77-337B-411D-B441-C5C696C595F6}"/>
    <cellStyle name="Vírgula 8 3 3 2 2 7" xfId="27706" xr:uid="{62DA1F5D-D6CC-4D01-B2F1-4EADD8F05E7C}"/>
    <cellStyle name="Vírgula 8 3 3 2 3" xfId="16486" xr:uid="{F7D276E7-D569-41B1-9E25-FE1D70FE7F8A}"/>
    <cellStyle name="Vírgula 8 3 3 2 3 2" xfId="36826" xr:uid="{A8DD5F1E-FD50-4839-863B-7C1F0C19EDBE}"/>
    <cellStyle name="Vírgula 8 3 3 2 4" xfId="19988" xr:uid="{361927C5-6243-479C-87E5-2EDEDE005A49}"/>
    <cellStyle name="Vírgula 8 3 3 2 4 2" xfId="40327" xr:uid="{9987DFA4-5FDF-429D-BCA6-EE32835F1836}"/>
    <cellStyle name="Vírgula 8 3 3 2 5" xfId="23243" xr:uid="{12921F35-080C-4BEF-81B4-11B12E6DAD21}"/>
    <cellStyle name="Vírgula 8 3 3 2 5 2" xfId="43578" xr:uid="{4CA02B61-8B7C-4DC6-8FD1-70FE72847D20}"/>
    <cellStyle name="Vírgula 8 3 3 2 6" xfId="13577" xr:uid="{DFBF44E2-A8E1-45D5-B285-FA9E18EB18B5}"/>
    <cellStyle name="Vírgula 8 3 3 2 6 2" xfId="33918" xr:uid="{AFE5DC20-357F-4824-9C08-5969A53B6CD7}"/>
    <cellStyle name="Vírgula 8 3 3 2 7" xfId="9699" xr:uid="{05109EC7-36C7-47BB-9038-C415FB0E8738}"/>
    <cellStyle name="Vírgula 8 3 3 2 7 2" xfId="30042" xr:uid="{DF0481C1-F41C-47D7-87BF-AA08022E311B}"/>
    <cellStyle name="Vírgula 8 3 3 2 8" xfId="26548" xr:uid="{AD91EEB0-70C9-4019-B09A-205E90079677}"/>
    <cellStyle name="Vírgula 8 3 3 2 9" xfId="52643" xr:uid="{A9603066-BB95-4C1F-AEF3-5D572F9AFB05}"/>
    <cellStyle name="Vírgula 8 3 3 20" xfId="5021" xr:uid="{85A443E6-D977-4F6C-ACC6-EA84ADFF5FC3}"/>
    <cellStyle name="Vírgula 8 3 3 3" xfId="3023" xr:uid="{BDAE09B6-2A33-4B12-BA6B-D63D7F2CB192}"/>
    <cellStyle name="Vírgula 8 3 3 3 2" xfId="17063" xr:uid="{B4FA1A85-DE89-48D9-A0D9-AAC1AA341BB7}"/>
    <cellStyle name="Vírgula 8 3 3 3 2 2" xfId="37403" xr:uid="{D2D01B25-7B26-4668-9990-C04301B96A72}"/>
    <cellStyle name="Vírgula 8 3 3 3 3" xfId="20565" xr:uid="{357A0973-5BDE-4C2E-9960-CFCA8ED8C4E1}"/>
    <cellStyle name="Vírgula 8 3 3 3 3 2" xfId="40904" xr:uid="{57196B43-670F-44D9-9ED7-11B42B7E2AB3}"/>
    <cellStyle name="Vírgula 8 3 3 3 4" xfId="23820" xr:uid="{4F757F7C-58E6-4AE6-B494-2FD66316C6DA}"/>
    <cellStyle name="Vírgula 8 3 3 3 4 2" xfId="44155" xr:uid="{B5222FF2-67CA-4670-8722-A83EA1954A84}"/>
    <cellStyle name="Vírgula 8 3 3 3 5" xfId="14154" xr:uid="{06103268-7F44-4C8F-B3ED-C1CA54348140}"/>
    <cellStyle name="Vírgula 8 3 3 3 5 2" xfId="34495" xr:uid="{98BADDAE-A83F-4078-827F-143CDC57C231}"/>
    <cellStyle name="Vírgula 8 3 3 3 6" xfId="10276" xr:uid="{6C164215-E58F-4D4C-86EF-02B21DD3569E}"/>
    <cellStyle name="Vírgula 8 3 3 3 6 2" xfId="30619" xr:uid="{38AE4704-11B9-4689-8521-49CF00B84B8D}"/>
    <cellStyle name="Vírgula 8 3 3 3 7" xfId="27125" xr:uid="{38AB63FA-F7D5-4196-B2EA-95165C1EA05D}"/>
    <cellStyle name="Vírgula 8 3 3 3 8" xfId="57233" xr:uid="{3C3AA1B0-8DF3-42BF-AF49-2BF08215A42E}"/>
    <cellStyle name="Vírgula 8 3 3 3 9" xfId="6777" xr:uid="{141FE13E-9720-434D-8C78-FA66DDA3F5CC}"/>
    <cellStyle name="Vírgula 8 3 3 4" xfId="7941" xr:uid="{67CD3026-A4D2-4F67-A013-77C5895BAB48}"/>
    <cellStyle name="Vírgula 8 3 3 4 2" xfId="18226" xr:uid="{770C33AC-412E-4E34-B4CF-BC0924D0FDE5}"/>
    <cellStyle name="Vírgula 8 3 3 4 2 2" xfId="38566" xr:uid="{9A776D4F-92D4-4642-A846-43132D7C0745}"/>
    <cellStyle name="Vírgula 8 3 3 4 3" xfId="21728" xr:uid="{981530A8-6581-4017-984D-2E10636707B9}"/>
    <cellStyle name="Vírgula 8 3 3 4 3 2" xfId="42067" xr:uid="{1C3577E7-D7B2-481F-9D56-5BEB54005CF5}"/>
    <cellStyle name="Vírgula 8 3 3 4 4" xfId="24983" xr:uid="{C293E8E3-DD73-44FD-91B8-34453B3A4DB5}"/>
    <cellStyle name="Vírgula 8 3 3 4 4 2" xfId="45318" xr:uid="{A4B42731-DF4A-4603-A6BD-AE0419BE6E60}"/>
    <cellStyle name="Vírgula 8 3 3 4 5" xfId="15318" xr:uid="{5EADE2A6-1E8A-4878-88A8-F341EE8E5F1D}"/>
    <cellStyle name="Vírgula 8 3 3 4 5 2" xfId="35658" xr:uid="{A93EF654-13FB-490D-9EEA-1CC33EBFC48A}"/>
    <cellStyle name="Vírgula 8 3 3 4 6" xfId="11439" xr:uid="{7ABCD344-57C2-488D-B4A1-8C7428C16449}"/>
    <cellStyle name="Vírgula 8 3 3 4 6 2" xfId="31782" xr:uid="{C4C27A54-4AD7-4E61-8115-B8E812FF27E3}"/>
    <cellStyle name="Vírgula 8 3 3 4 7" xfId="28288" xr:uid="{1B6528F1-56CE-4D8C-BF4B-419124AAEE71}"/>
    <cellStyle name="Vírgula 8 3 3 5" xfId="8376" xr:uid="{347B8A54-82FF-472C-BFC3-44DFFC28EBFE}"/>
    <cellStyle name="Vírgula 8 3 3 5 2" xfId="22163" xr:uid="{18E4A1F0-AC18-4858-B793-4B2AA06D5E0B}"/>
    <cellStyle name="Vírgula 8 3 3 5 2 2" xfId="42499" xr:uid="{8289BDCA-DC0F-47E5-8FF1-825D38D11718}"/>
    <cellStyle name="Vírgula 8 3 3 5 3" xfId="25415" xr:uid="{431C3D83-4F44-485A-99F9-B65C05540875}"/>
    <cellStyle name="Vírgula 8 3 3 5 3 2" xfId="45750" xr:uid="{C1E8B859-2806-421D-BACF-C2868A15DA11}"/>
    <cellStyle name="Vírgula 8 3 3 5 4" xfId="13008" xr:uid="{A7F6949B-C261-49CB-A7C9-BF9350D0026D}"/>
    <cellStyle name="Vírgula 8 3 3 5 4 2" xfId="33349" xr:uid="{45C6F2EA-C2A5-4505-82B1-448B01C05616}"/>
    <cellStyle name="Vírgula 8 3 3 5 5" xfId="11872" xr:uid="{97428BF9-F52C-41D3-9CE4-993B11071893}"/>
    <cellStyle name="Vírgula 8 3 3 5 5 2" xfId="32214" xr:uid="{64ACB1E8-2BEA-48B8-A3B4-53B16E1EE128}"/>
    <cellStyle name="Vírgula 8 3 3 5 6" xfId="28720" xr:uid="{F2A794AA-245F-42CD-870E-C001BE3B6888}"/>
    <cellStyle name="Vírgula 8 3 3 6" xfId="15905" xr:uid="{5879F83D-87FB-45DD-B167-05D2A721F61E}"/>
    <cellStyle name="Vírgula 8 3 3 6 2" xfId="36245" xr:uid="{980E6195-49A8-45F5-89B9-91B2D3554798}"/>
    <cellStyle name="Vírgula 8 3 3 7" xfId="18819" xr:uid="{324B365F-F80D-462B-A3AF-738484D3242B}"/>
    <cellStyle name="Vírgula 8 3 3 7 2" xfId="39159" xr:uid="{421A6E27-1FF2-404E-B953-8EB8790439CA}"/>
    <cellStyle name="Vírgula 8 3 3 8" xfId="19407" xr:uid="{477AE447-93AB-49F6-9ADE-3538E535BC60}"/>
    <cellStyle name="Vírgula 8 3 3 8 2" xfId="39746" xr:uid="{58F58D47-DFBD-4ABB-906C-AF296E94905B}"/>
    <cellStyle name="Vírgula 8 3 3 9" xfId="22662" xr:uid="{66439A74-D494-4CCB-AA01-C3C5BD2F35C4}"/>
    <cellStyle name="Vírgula 8 3 3 9 2" xfId="42997" xr:uid="{E7D5E8C4-EB65-477A-AB92-4F8CD928C32B}"/>
    <cellStyle name="Vírgula 8 3 4" xfId="549" xr:uid="{4470E4F9-8A86-4A1D-8224-26D8E804579A}"/>
    <cellStyle name="Vírgula 8 3 4 10" xfId="12486" xr:uid="{FC3A2D76-31E1-42EA-ADF1-CFFC44DC7A05}"/>
    <cellStyle name="Vírgula 8 3 4 10 2" xfId="32827" xr:uid="{9474D1AA-D4B5-4726-9C79-752C146FB876}"/>
    <cellStyle name="Vírgula 8 3 4 11" xfId="9225" xr:uid="{EA90FED9-1CE1-4D1A-A7EE-97E0BD00B489}"/>
    <cellStyle name="Vírgula 8 3 4 11 2" xfId="29568" xr:uid="{8F107F62-19BC-4579-BDA3-B99D254C17C9}"/>
    <cellStyle name="Vírgula 8 3 4 12" xfId="26074" xr:uid="{B3F8A520-086E-4397-94AE-C6F11A41D27D}"/>
    <cellStyle name="Vírgula 8 3 4 13" xfId="49342" xr:uid="{4D1AF7F0-6433-47F2-A64C-44B522D686D3}"/>
    <cellStyle name="Vírgula 8 3 4 14" xfId="51012" xr:uid="{7738816A-EF1B-4321-8CFD-B14D8737DFC9}"/>
    <cellStyle name="Vírgula 8 3 4 15" xfId="54307" xr:uid="{3918BA57-AC2E-4230-B238-9CE4153C53D2}"/>
    <cellStyle name="Vírgula 8 3 4 16" xfId="5733" xr:uid="{16C40BD8-6A16-4D13-B799-05B99143D4B1}"/>
    <cellStyle name="Vírgula 8 3 4 17" xfId="4932" xr:uid="{57A2715D-C215-404B-A1EA-C8BD47C89601}"/>
    <cellStyle name="Vírgula 8 3 4 2" xfId="2265" xr:uid="{184238EE-A1DA-4B3C-8620-96C987076683}"/>
    <cellStyle name="Vírgula 8 3 4 2 10" xfId="55938" xr:uid="{EC520EC7-AE06-408D-98EE-5D0534F3EDC8}"/>
    <cellStyle name="Vírgula 8 3 4 2 11" xfId="6307" xr:uid="{31319125-332F-44D5-B987-DC5EA96DA790}"/>
    <cellStyle name="Vírgula 8 3 4 2 2" xfId="7465" xr:uid="{F1519E1D-520A-43F2-BBE9-5A7FD5E475EE}"/>
    <cellStyle name="Vírgula 8 3 4 2 2 2" xfId="17751" xr:uid="{51061462-EEBC-45AC-B145-59D93AFBAACF}"/>
    <cellStyle name="Vírgula 8 3 4 2 2 2 2" xfId="38091" xr:uid="{B0A820C7-CC25-4E8A-8D05-9FD6A4CFA3C0}"/>
    <cellStyle name="Vírgula 8 3 4 2 2 3" xfId="21253" xr:uid="{972BA910-6179-416F-A0AB-67CD61E8BD91}"/>
    <cellStyle name="Vírgula 8 3 4 2 2 3 2" xfId="41592" xr:uid="{49EAE334-9C33-4829-B990-8F40CC2AAE32}"/>
    <cellStyle name="Vírgula 8 3 4 2 2 4" xfId="24508" xr:uid="{9FC2CC10-3808-45AD-B2FB-172005F87CA3}"/>
    <cellStyle name="Vírgula 8 3 4 2 2 4 2" xfId="44843" xr:uid="{14414532-9053-4DDD-9B2E-DC7190155510}"/>
    <cellStyle name="Vírgula 8 3 4 2 2 5" xfId="14842" xr:uid="{82D36F64-E653-4617-9C95-73FC257697CC}"/>
    <cellStyle name="Vírgula 8 3 4 2 2 5 2" xfId="35183" xr:uid="{FD5092EC-449B-4C7C-83FB-C4526956A6A1}"/>
    <cellStyle name="Vírgula 8 3 4 2 2 6" xfId="10964" xr:uid="{A86D4FA2-E1D5-41AE-8DFF-AFFA1FD68643}"/>
    <cellStyle name="Vírgula 8 3 4 2 2 6 2" xfId="31307" xr:uid="{D3BE760A-FDFC-49F5-92DE-C2CDF86E5D98}"/>
    <cellStyle name="Vírgula 8 3 4 2 2 7" xfId="27813" xr:uid="{3CBD8F60-D551-4F76-A77A-BAB5E57FE1E5}"/>
    <cellStyle name="Vírgula 8 3 4 2 3" xfId="16593" xr:uid="{A62C8AF4-87F9-4896-BABE-7B410C49A4CE}"/>
    <cellStyle name="Vírgula 8 3 4 2 3 2" xfId="36933" xr:uid="{7398CD53-42C3-476B-98F3-130439BD08E1}"/>
    <cellStyle name="Vírgula 8 3 4 2 4" xfId="20095" xr:uid="{A63DB0C7-B8B1-4CB9-937E-CB78C4DD166C}"/>
    <cellStyle name="Vírgula 8 3 4 2 4 2" xfId="40434" xr:uid="{963CA5B4-FADE-4AAF-BD44-4521993EBA8F}"/>
    <cellStyle name="Vírgula 8 3 4 2 5" xfId="23350" xr:uid="{966DEF78-8F7A-4342-8617-B09B34C5DDBE}"/>
    <cellStyle name="Vírgula 8 3 4 2 5 2" xfId="43685" xr:uid="{9BF07684-8708-48B6-A30F-B1C7D74CC710}"/>
    <cellStyle name="Vírgula 8 3 4 2 6" xfId="13684" xr:uid="{A92E2F89-8FF7-4374-9A70-0E27759C1CFA}"/>
    <cellStyle name="Vírgula 8 3 4 2 6 2" xfId="34025" xr:uid="{4289EB36-EB26-4324-9797-AAD411B07520}"/>
    <cellStyle name="Vírgula 8 3 4 2 7" xfId="9806" xr:uid="{E0B7272D-CB31-49A7-A689-D847DBD5CEDB}"/>
    <cellStyle name="Vírgula 8 3 4 2 7 2" xfId="30149" xr:uid="{3FAD4757-9A28-4256-B5AF-7904F2CCD09B}"/>
    <cellStyle name="Vírgula 8 3 4 2 8" xfId="26655" xr:uid="{D0BDE11C-DF33-43F2-8A8E-371F813CA50F}"/>
    <cellStyle name="Vírgula 8 3 4 2 9" xfId="52644" xr:uid="{8AFE48F9-6897-4786-85C5-D4109AB80025}"/>
    <cellStyle name="Vírgula 8 3 4 3" xfId="6884" xr:uid="{7BD6C4DF-2453-4317-828A-B2B711C9F701}"/>
    <cellStyle name="Vírgula 8 3 4 3 2" xfId="17170" xr:uid="{150629BB-6CC1-4B93-90C8-64D079428ECE}"/>
    <cellStyle name="Vírgula 8 3 4 3 2 2" xfId="37510" xr:uid="{888887AF-8DAE-4383-A23E-0C01CC570313}"/>
    <cellStyle name="Vírgula 8 3 4 3 3" xfId="20672" xr:uid="{5D3C89FA-C676-430D-92E9-2A6759883363}"/>
    <cellStyle name="Vírgula 8 3 4 3 3 2" xfId="41011" xr:uid="{BAA04B00-F7DA-474D-A3CC-D5D1093D0DF8}"/>
    <cellStyle name="Vírgula 8 3 4 3 4" xfId="23927" xr:uid="{C167D5CE-51AA-4A20-AE15-960275DF10C6}"/>
    <cellStyle name="Vírgula 8 3 4 3 4 2" xfId="44262" xr:uid="{F16619A8-9A4F-409E-98A3-3EC9AB87EAAC}"/>
    <cellStyle name="Vírgula 8 3 4 3 5" xfId="14261" xr:uid="{3F1103B8-2FB6-44F9-8727-A9F946FD97DC}"/>
    <cellStyle name="Vírgula 8 3 4 3 5 2" xfId="34602" xr:uid="{5C92EED4-FC8F-40C7-883C-2C2D034A10F1}"/>
    <cellStyle name="Vírgula 8 3 4 3 6" xfId="10383" xr:uid="{E4D317BD-C11F-4640-9F48-26A079E57628}"/>
    <cellStyle name="Vírgula 8 3 4 3 6 2" xfId="30726" xr:uid="{BDD7D3C4-D4D5-4533-A27D-E532436F972D}"/>
    <cellStyle name="Vírgula 8 3 4 3 7" xfId="27232" xr:uid="{87FC446C-924C-4BEB-B5F0-0F862A9B3013}"/>
    <cellStyle name="Vírgula 8 3 4 3 8" xfId="56420" xr:uid="{609BC614-05AC-4C13-BB38-8EC9B3E1B019}"/>
    <cellStyle name="Vírgula 8 3 4 4" xfId="8048" xr:uid="{F2E472BC-E1E2-46C3-80B3-11700F6D90DE}"/>
    <cellStyle name="Vírgula 8 3 4 4 2" xfId="18333" xr:uid="{2582C171-9466-44D3-99FC-3E773F923B5D}"/>
    <cellStyle name="Vírgula 8 3 4 4 2 2" xfId="38673" xr:uid="{41F029FF-D003-40D4-913F-04CBB239D545}"/>
    <cellStyle name="Vírgula 8 3 4 4 3" xfId="21835" xr:uid="{1894AA1E-5A77-40F3-8487-FBEEB620E957}"/>
    <cellStyle name="Vírgula 8 3 4 4 3 2" xfId="42174" xr:uid="{0285B51A-E0AF-46C4-B3F1-B1C5192AAB06}"/>
    <cellStyle name="Vírgula 8 3 4 4 4" xfId="25090" xr:uid="{555C7B75-DB57-4D54-996B-EF0E4D6BD6E0}"/>
    <cellStyle name="Vírgula 8 3 4 4 4 2" xfId="45425" xr:uid="{CD308519-0B05-441F-811B-28E857E3A5BE}"/>
    <cellStyle name="Vírgula 8 3 4 4 5" xfId="15425" xr:uid="{8401F905-A045-4C35-937A-88F2B08E7753}"/>
    <cellStyle name="Vírgula 8 3 4 4 5 2" xfId="35765" xr:uid="{F5C3D80D-B9F6-4F56-AB9C-9456962E7050}"/>
    <cellStyle name="Vírgula 8 3 4 4 6" xfId="11546" xr:uid="{EACD0530-DB60-41F8-B8C5-7F7743E14A1B}"/>
    <cellStyle name="Vírgula 8 3 4 4 6 2" xfId="31889" xr:uid="{BFAE0292-875C-4EC0-874E-D27AADAD1CB7}"/>
    <cellStyle name="Vírgula 8 3 4 4 7" xfId="28395" xr:uid="{7F477582-0BD7-45C9-8278-293E93B38CF0}"/>
    <cellStyle name="Vírgula 8 3 4 5" xfId="13115" xr:uid="{BF146500-145A-4841-85FD-BE8B5CA13A4A}"/>
    <cellStyle name="Vírgula 8 3 4 5 2" xfId="33456" xr:uid="{E5935EF1-8950-4569-8713-90F5C75F07F0}"/>
    <cellStyle name="Vírgula 8 3 4 6" xfId="16012" xr:uid="{EAC233B7-957B-44B3-B02B-50D2C9E88105}"/>
    <cellStyle name="Vírgula 8 3 4 6 2" xfId="36352" xr:uid="{ED8F8405-609A-421E-9F8C-D545EB60CB96}"/>
    <cellStyle name="Vírgula 8 3 4 7" xfId="18926" xr:uid="{57FE5F39-FDF3-4900-BED7-BB6DF0E153A1}"/>
    <cellStyle name="Vírgula 8 3 4 7 2" xfId="39266" xr:uid="{23386997-9CC5-4AB6-9C35-09A08FA471FE}"/>
    <cellStyle name="Vírgula 8 3 4 8" xfId="19514" xr:uid="{3F52FB53-E0AF-464F-9CBF-DE0ABC99BD38}"/>
    <cellStyle name="Vírgula 8 3 4 8 2" xfId="39853" xr:uid="{5354A6D5-0BE0-49DD-9DF9-D64DEA3DA3E3}"/>
    <cellStyle name="Vírgula 8 3 4 9" xfId="22769" xr:uid="{8BD94054-E201-4BB9-98E4-B78EBDE402DD}"/>
    <cellStyle name="Vírgula 8 3 4 9 2" xfId="43104" xr:uid="{D07DE4C5-1B27-43F7-81C2-44D957030EF3}"/>
    <cellStyle name="Vírgula 8 3 5" xfId="3645" xr:uid="{902872A4-3F84-4489-B369-9DD73E90ABB7}"/>
    <cellStyle name="Vírgula 8 3 5 10" xfId="55935" xr:uid="{E87B6E21-94AA-4DE4-B5E8-EAD051CC8469}"/>
    <cellStyle name="Vírgula 8 3 5 11" xfId="5856" xr:uid="{4F66501E-8F9F-42A5-8CE6-76A1CF93C76B}"/>
    <cellStyle name="Vírgula 8 3 5 2" xfId="7014" xr:uid="{583CDEFD-83B3-4741-AB55-BD78275AA160}"/>
    <cellStyle name="Vírgula 8 3 5 2 2" xfId="17300" xr:uid="{78B4DABC-07F8-4BF9-B2D0-6DFE81960E3C}"/>
    <cellStyle name="Vírgula 8 3 5 2 2 2" xfId="37640" xr:uid="{B2886531-B4A5-4198-9A98-C9E8B7EFC93E}"/>
    <cellStyle name="Vírgula 8 3 5 2 3" xfId="20802" xr:uid="{CBC67085-9774-482B-A15F-78C5589BC8C7}"/>
    <cellStyle name="Vírgula 8 3 5 2 3 2" xfId="41141" xr:uid="{33C6229E-B2EA-40BA-9E1F-6510E67B3895}"/>
    <cellStyle name="Vírgula 8 3 5 2 4" xfId="24057" xr:uid="{E141B5DC-FE91-4EC8-9AC1-C9D140D4DEDA}"/>
    <cellStyle name="Vírgula 8 3 5 2 4 2" xfId="44392" xr:uid="{A4F4B066-AF51-4504-BDB6-A825EAC38EDA}"/>
    <cellStyle name="Vírgula 8 3 5 2 5" xfId="14391" xr:uid="{85743B7A-8518-477B-947F-92BEBEF1F3AC}"/>
    <cellStyle name="Vírgula 8 3 5 2 5 2" xfId="34732" xr:uid="{7EB5F130-F1A5-4DB3-9CAE-4A0D61D4F829}"/>
    <cellStyle name="Vírgula 8 3 5 2 6" xfId="10513" xr:uid="{EEDAE13C-66B5-4588-AAB8-27969CED18EE}"/>
    <cellStyle name="Vírgula 8 3 5 2 6 2" xfId="30856" xr:uid="{6E0A3C5A-D801-4345-ADE2-46F4EAB3F361}"/>
    <cellStyle name="Vírgula 8 3 5 2 7" xfId="27362" xr:uid="{4BC40E81-83FF-487F-ADAF-4720E9BD0A1D}"/>
    <cellStyle name="Vírgula 8 3 5 3" xfId="16142" xr:uid="{88C5AD6D-A2E3-4405-8F22-801DF469F4C6}"/>
    <cellStyle name="Vírgula 8 3 5 3 2" xfId="36482" xr:uid="{5A06A5CA-9CE9-4CEC-8A3A-95B435631E30}"/>
    <cellStyle name="Vírgula 8 3 5 4" xfId="19644" xr:uid="{DDB5042C-B279-4E7B-8B0D-0CED783F90A3}"/>
    <cellStyle name="Vírgula 8 3 5 4 2" xfId="39983" xr:uid="{63942327-116C-42CE-B1D7-C8EBBEECF009}"/>
    <cellStyle name="Vírgula 8 3 5 5" xfId="22899" xr:uid="{EB78455C-C2CA-46D4-9AAE-7730BC479AD9}"/>
    <cellStyle name="Vírgula 8 3 5 5 2" xfId="43234" xr:uid="{7CD754B7-792E-454F-ACF0-4FB0C34F6C16}"/>
    <cellStyle name="Vírgula 8 3 5 6" xfId="13235" xr:uid="{4EC2AD28-E61C-4810-9418-7C97FF894B7E}"/>
    <cellStyle name="Vírgula 8 3 5 6 2" xfId="33576" xr:uid="{BCB86E0B-F4CC-4517-A563-FE9A1E0FCD7E}"/>
    <cellStyle name="Vírgula 8 3 5 7" xfId="9355" xr:uid="{A11C7E97-7E0B-4612-9B31-B8DBD1E1F7CE}"/>
    <cellStyle name="Vírgula 8 3 5 7 2" xfId="29698" xr:uid="{F0DA4C12-9A89-4669-937B-D8C96BFF7A15}"/>
    <cellStyle name="Vírgula 8 3 5 8" xfId="26204" xr:uid="{44C67189-A7D8-493A-B4C6-CB1CCBDC6259}"/>
    <cellStyle name="Vírgula 8 3 5 9" xfId="52641" xr:uid="{42853FC1-DB3E-4FDC-9638-7B7275CE6D51}"/>
    <cellStyle name="Vírgula 8 3 6" xfId="3969" xr:uid="{A6E09292-B803-40A6-96C1-66963C67C924}"/>
    <cellStyle name="Vírgula 8 3 6 2" xfId="16719" xr:uid="{1C6C2FED-978C-4E14-B0A5-3837869BE066}"/>
    <cellStyle name="Vírgula 8 3 6 2 2" xfId="37059" xr:uid="{1B74D37D-8EE9-40E2-850E-3BB80B84CBD5}"/>
    <cellStyle name="Vírgula 8 3 6 3" xfId="20221" xr:uid="{3CB8B581-789B-413E-A6FF-315D94B5A830}"/>
    <cellStyle name="Vírgula 8 3 6 3 2" xfId="40560" xr:uid="{3E05E70F-7828-4273-AEE6-69AE1CA704E6}"/>
    <cellStyle name="Vírgula 8 3 6 4" xfId="23476" xr:uid="{A3662E3F-EBE7-48D8-8F9C-9310A2FE8A25}"/>
    <cellStyle name="Vírgula 8 3 6 4 2" xfId="43811" xr:uid="{905DCAEE-7646-4402-B439-46FBF49D78BF}"/>
    <cellStyle name="Vírgula 8 3 6 5" xfId="13810" xr:uid="{47A807BD-CA89-43A2-A53F-F478152C4E09}"/>
    <cellStyle name="Vírgula 8 3 6 5 2" xfId="34151" xr:uid="{53123139-EB13-480F-BA99-EAAEFF6ED406}"/>
    <cellStyle name="Vírgula 8 3 6 6" xfId="9932" xr:uid="{97C7AE7F-DDBC-47B8-83A2-66E9A2A89A4D}"/>
    <cellStyle name="Vírgula 8 3 6 6 2" xfId="30275" xr:uid="{6246A1D2-4A1F-46C9-ABFC-94788D379D47}"/>
    <cellStyle name="Vírgula 8 3 6 7" xfId="26781" xr:uid="{46C0D917-34E0-4315-9C3C-B57D283A8FF2}"/>
    <cellStyle name="Vírgula 8 3 6 8" xfId="56011" xr:uid="{DDC9DE47-E588-4233-A612-944FEF4514CA}"/>
    <cellStyle name="Vírgula 8 3 6 9" xfId="6433" xr:uid="{A954EEF3-12C3-43DD-9A32-30F237CDE6FA}"/>
    <cellStyle name="Vírgula 8 3 7" xfId="1994" xr:uid="{187D9C34-A78C-47FB-9575-A1B6E73F0823}"/>
    <cellStyle name="Vírgula 8 3 7 2" xfId="17882" xr:uid="{28BF6F7C-CE0F-4FAD-82D6-21241EE6956D}"/>
    <cellStyle name="Vírgula 8 3 7 2 2" xfId="38222" xr:uid="{9DB191D7-E33F-47FD-9D24-01694438C680}"/>
    <cellStyle name="Vírgula 8 3 7 3" xfId="21384" xr:uid="{C786CADE-50C8-4383-AC47-E08EE01B3130}"/>
    <cellStyle name="Vírgula 8 3 7 3 2" xfId="41723" xr:uid="{604767A5-A9C5-4132-AE50-0D0CC617BE29}"/>
    <cellStyle name="Vírgula 8 3 7 4" xfId="24639" xr:uid="{38993A60-B9FA-4087-BC2F-68CB5E28C8EB}"/>
    <cellStyle name="Vírgula 8 3 7 4 2" xfId="44974" xr:uid="{302B4F0B-506C-4A3A-B3DB-1080037D8C04}"/>
    <cellStyle name="Vírgula 8 3 7 5" xfId="14974" xr:uid="{1426AD4C-C5E2-49C0-9827-BD6681E8708C}"/>
    <cellStyle name="Vírgula 8 3 7 5 2" xfId="35314" xr:uid="{C8D4B180-94E7-4B10-A9E3-5281744F56D7}"/>
    <cellStyle name="Vírgula 8 3 7 6" xfId="11095" xr:uid="{351DE914-53D4-4101-A0CE-0ADF9AE41861}"/>
    <cellStyle name="Vírgula 8 3 7 6 2" xfId="31438" xr:uid="{E50FA32F-ECDC-4359-AA2E-1288FCA5FCB8}"/>
    <cellStyle name="Vírgula 8 3 7 7" xfId="27944" xr:uid="{17C48436-4379-4D53-AB2B-E8253C9CACE2}"/>
    <cellStyle name="Vírgula 8 3 7 8" xfId="7597" xr:uid="{0D1602AE-8680-4BD8-8C41-CABAEF7E8AE6}"/>
    <cellStyle name="Vírgula 8 3 8" xfId="8374" xr:uid="{8614C3C0-8AD9-46A8-8D46-4C29BC7DE70E}"/>
    <cellStyle name="Vírgula 8 3 8 2" xfId="22161" xr:uid="{1CE20408-0333-41F9-B8EB-B535317C8C89}"/>
    <cellStyle name="Vírgula 8 3 8 2 2" xfId="42497" xr:uid="{00FE3137-3674-4DAA-AAD4-FD3A132A6F01}"/>
    <cellStyle name="Vírgula 8 3 8 3" xfId="25413" xr:uid="{F101F97F-8215-4A12-B288-38BCE52938E8}"/>
    <cellStyle name="Vírgula 8 3 8 3 2" xfId="45748" xr:uid="{708DB0B6-5426-4A6B-BA99-E522D3355B02}"/>
    <cellStyle name="Vírgula 8 3 8 4" xfId="12666" xr:uid="{EB15781B-B769-44DD-9966-0A658639A769}"/>
    <cellStyle name="Vírgula 8 3 8 4 2" xfId="33007" xr:uid="{71FDA341-D393-4084-A90B-E6BC01E02D4F}"/>
    <cellStyle name="Vírgula 8 3 8 5" xfId="11870" xr:uid="{895E1323-C5AD-420A-8A66-30786AF7570A}"/>
    <cellStyle name="Vírgula 8 3 8 5 2" xfId="32212" xr:uid="{AD20922A-450F-409C-8DEA-E4CCABCDD77D}"/>
    <cellStyle name="Vírgula 8 3 8 6" xfId="28718" xr:uid="{814CAB99-CD03-40EF-AD3D-29DF625AC262}"/>
    <cellStyle name="Vírgula 8 3 9" xfId="8521" xr:uid="{0F620884-D54C-48A5-8C19-D7EA57E465D9}"/>
    <cellStyle name="Vírgula 8 3 9 2" xfId="15561" xr:uid="{4A706176-1178-48AA-ADF9-024EC4D84E0A}"/>
    <cellStyle name="Vírgula 8 3 9 2 2" xfId="35901" xr:uid="{8F7D59F7-F726-4B35-A170-81FD1A9FD5EE}"/>
    <cellStyle name="Vírgula 8 3 9 3" xfId="28864" xr:uid="{3CDAAA39-8980-43D0-95DB-4E146A75E917}"/>
    <cellStyle name="Vírgula 8 30" xfId="4389" xr:uid="{2AE59106-D087-4C6B-B207-69EB11B2631A}"/>
    <cellStyle name="Vírgula 8 4" xfId="924" xr:uid="{051766C6-236D-470B-8012-18549D6BCE52}"/>
    <cellStyle name="Vírgula 8 4 10" xfId="12099" xr:uid="{972DC59F-F2ED-4844-9B92-62DA38EF1E61}"/>
    <cellStyle name="Vírgula 8 4 10 2" xfId="32440" xr:uid="{997DFCD8-1358-48FF-A055-EE151275B9AB}"/>
    <cellStyle name="Vírgula 8 4 11" xfId="8838" xr:uid="{7A5EC610-FC7D-4BD7-8DB2-ABDB6B6D0911}"/>
    <cellStyle name="Vírgula 8 4 11 2" xfId="29181" xr:uid="{7457F27E-4F5D-4C5C-98A6-16CEB1C6E7C3}"/>
    <cellStyle name="Vírgula 8 4 12" xfId="25687" xr:uid="{D88DBE37-E63E-4A1C-8918-9F907EF07819}"/>
    <cellStyle name="Vírgula 8 4 13" xfId="46030" xr:uid="{485338B0-6EC0-4026-AFBF-0B2E2A91F613}"/>
    <cellStyle name="Vírgula 8 4 14" xfId="46516" xr:uid="{448E0DC7-6C6D-416F-9C5D-C8A7DE40DC7B}"/>
    <cellStyle name="Vírgula 8 4 15" xfId="47008" xr:uid="{46878245-D46C-45F1-B80F-1B8A806805D0}"/>
    <cellStyle name="Vírgula 8 4 16" xfId="49343" xr:uid="{5669CD9D-3DB9-429E-94D8-3B9054202EC9}"/>
    <cellStyle name="Vírgula 8 4 17" xfId="51013" xr:uid="{E7BBAB6E-4462-4610-9AE1-9C538FC71546}"/>
    <cellStyle name="Vírgula 8 4 18" xfId="54308" xr:uid="{6353B46F-B71D-4963-AF9E-59E0401387D6}"/>
    <cellStyle name="Vírgula 8 4 19" xfId="5362" xr:uid="{6BDC6218-9EEB-4C42-A3CD-10179406C33E}"/>
    <cellStyle name="Vírgula 8 4 2" xfId="3536" xr:uid="{03B74DE3-952A-4D1C-A2BD-0FC4A91600AC}"/>
    <cellStyle name="Vírgula 8 4 2 10" xfId="46759" xr:uid="{FD900789-2891-4B89-A417-1F3DB0B5AE2E}"/>
    <cellStyle name="Vírgula 8 4 2 11" xfId="47251" xr:uid="{A66F954A-B6C8-44E4-AC15-1435B8D7BD1B}"/>
    <cellStyle name="Vírgula 8 4 2 12" xfId="52645" xr:uid="{E2070381-F1DA-4995-82D5-ECCD7DCE469B}"/>
    <cellStyle name="Vírgula 8 4 2 13" xfId="55939" xr:uid="{8A0C79B2-0B7C-468C-AD44-1B25EE2B9470}"/>
    <cellStyle name="Vírgula 8 4 2 14" xfId="5920" xr:uid="{A02E467C-E251-4A8C-9C6E-3FABBC3101A0}"/>
    <cellStyle name="Vírgula 8 4 2 15" xfId="5148" xr:uid="{D3F7C3C0-A13B-4468-899C-B473D8E474FB}"/>
    <cellStyle name="Vírgula 8 4 2 2" xfId="7078" xr:uid="{3D29D797-9F5B-41E0-8DF6-94D4A193329C}"/>
    <cellStyle name="Vírgula 8 4 2 2 2" xfId="17364" xr:uid="{E8CB0FFA-D876-44D4-8963-25A0A13920B5}"/>
    <cellStyle name="Vírgula 8 4 2 2 2 2" xfId="37704" xr:uid="{9DCEC30C-D6AF-4787-8F05-F3E405003D23}"/>
    <cellStyle name="Vírgula 8 4 2 2 3" xfId="20866" xr:uid="{707D173B-6CA0-4803-A0B5-2BE7FF4039EB}"/>
    <cellStyle name="Vírgula 8 4 2 2 3 2" xfId="41205" xr:uid="{5D23E895-2BD1-4BAA-B164-1B38FF029940}"/>
    <cellStyle name="Vírgula 8 4 2 2 4" xfId="24121" xr:uid="{3C62BB5B-442B-467E-8A1C-34ABFF1192FA}"/>
    <cellStyle name="Vírgula 8 4 2 2 4 2" xfId="44456" xr:uid="{750D6B03-5F81-458F-B1A8-39A75DCC8B34}"/>
    <cellStyle name="Vírgula 8 4 2 2 5" xfId="14455" xr:uid="{401B5C4F-BA74-4B4E-A172-0A30A45F4EC9}"/>
    <cellStyle name="Vírgula 8 4 2 2 5 2" xfId="34796" xr:uid="{40C4EED7-4CEC-418D-A134-79BBA76D822A}"/>
    <cellStyle name="Vírgula 8 4 2 2 6" xfId="10577" xr:uid="{265527FC-6CB5-4E7D-B660-D91823BADF11}"/>
    <cellStyle name="Vírgula 8 4 2 2 6 2" xfId="30920" xr:uid="{EA800250-7CB3-4954-8831-9A8DF5B21289}"/>
    <cellStyle name="Vírgula 8 4 2 2 7" xfId="27426" xr:uid="{E9D59711-F202-4476-9734-25092D4C5BC6}"/>
    <cellStyle name="Vírgula 8 4 2 3" xfId="16206" xr:uid="{AB6DF8AE-6564-4AEB-AFBA-54C4C646B97D}"/>
    <cellStyle name="Vírgula 8 4 2 3 2" xfId="36546" xr:uid="{B0E46E97-C507-4C22-87B2-5E594ABE6AA9}"/>
    <cellStyle name="Vírgula 8 4 2 4" xfId="19708" xr:uid="{4B43898D-2574-441D-8C2E-F90D00AD9C75}"/>
    <cellStyle name="Vírgula 8 4 2 4 2" xfId="40047" xr:uid="{0E8B6B1A-09D7-40CA-BBDB-96FBE96640D5}"/>
    <cellStyle name="Vírgula 8 4 2 5" xfId="22963" xr:uid="{F5C62B6A-9CDF-4491-869B-A641CA1903BE}"/>
    <cellStyle name="Vírgula 8 4 2 5 2" xfId="43298" xr:uid="{E4915BC2-BA35-4E74-B16F-FA246D4C795F}"/>
    <cellStyle name="Vírgula 8 4 2 6" xfId="13299" xr:uid="{42D2B081-F040-4060-A72E-1A0F7E020841}"/>
    <cellStyle name="Vírgula 8 4 2 6 2" xfId="33640" xr:uid="{F287F808-EA53-4650-A22C-4980106C23FF}"/>
    <cellStyle name="Vírgula 8 4 2 7" xfId="9419" xr:uid="{DF0BA635-AA7D-434A-B4A4-27BCFB514AC2}"/>
    <cellStyle name="Vírgula 8 4 2 7 2" xfId="29762" xr:uid="{7D29DA0B-D851-4B56-BA24-D994C5BE7297}"/>
    <cellStyle name="Vírgula 8 4 2 8" xfId="26268" xr:uid="{324115F9-83E6-407C-BC67-C3810AB1BB0F}"/>
    <cellStyle name="Vírgula 8 4 2 9" xfId="46273" xr:uid="{F3B285A4-27B5-4A56-9A75-5AC4622D05B4}"/>
    <cellStyle name="Vírgula 8 4 20" xfId="4929" xr:uid="{135143EE-2656-4833-8AB8-E6E4A3C282C9}"/>
    <cellStyle name="Vírgula 8 4 3" xfId="4028" xr:uid="{A831FABD-0F6B-4267-A1CF-DE4781405FF8}"/>
    <cellStyle name="Vírgula 8 4 3 2" xfId="16783" xr:uid="{9C1E0B4B-2DF1-4FD1-9A54-5D9B7C1EB7B7}"/>
    <cellStyle name="Vírgula 8 4 3 2 2" xfId="37123" xr:uid="{4B015F42-94DE-4789-91D7-43BE85D3E62B}"/>
    <cellStyle name="Vírgula 8 4 3 3" xfId="20285" xr:uid="{4464340C-1DB6-4D00-9531-6BC31DA801F1}"/>
    <cellStyle name="Vírgula 8 4 3 3 2" xfId="40624" xr:uid="{84BE3486-E014-4E15-97B0-9D4695C8407E}"/>
    <cellStyle name="Vírgula 8 4 3 4" xfId="23540" xr:uid="{23D47888-362A-4633-B9F7-163F731F00ED}"/>
    <cellStyle name="Vírgula 8 4 3 4 2" xfId="43875" xr:uid="{C133A793-0169-45B3-BF5E-18B532EA5562}"/>
    <cellStyle name="Vírgula 8 4 3 5" xfId="13874" xr:uid="{8F2F4759-3C34-41F0-B5D8-90C93B25AE80}"/>
    <cellStyle name="Vírgula 8 4 3 5 2" xfId="34215" xr:uid="{4FB34204-74C0-4F20-8C7A-A89E14B6554F}"/>
    <cellStyle name="Vírgula 8 4 3 6" xfId="9996" xr:uid="{3A478563-5185-473D-AA0A-6FB972A0DC50}"/>
    <cellStyle name="Vírgula 8 4 3 6 2" xfId="30339" xr:uid="{5A9D417A-C55E-4A71-9469-58DC9F28D730}"/>
    <cellStyle name="Vírgula 8 4 3 7" xfId="26845" xr:uid="{93D5A077-1E2D-4269-AE65-E6101F7C7757}"/>
    <cellStyle name="Vírgula 8 4 3 8" xfId="56795" xr:uid="{F9945AC9-A7C1-4858-8DEC-104C4F1604BF}"/>
    <cellStyle name="Vírgula 8 4 3 9" xfId="6497" xr:uid="{166D5B3A-AB18-4D53-B4CB-E3804248A824}"/>
    <cellStyle name="Vírgula 8 4 4" xfId="1885" xr:uid="{432C618C-A23F-4B39-A030-EFA2C21EABAB}"/>
    <cellStyle name="Vírgula 8 4 4 2" xfId="17946" xr:uid="{A2A6D52B-68C6-442B-B657-279950603FAE}"/>
    <cellStyle name="Vírgula 8 4 4 2 2" xfId="38286" xr:uid="{9F4D740D-B72C-41BB-B508-D186ECA4F4E4}"/>
    <cellStyle name="Vírgula 8 4 4 3" xfId="21448" xr:uid="{66AC3663-0C80-4C45-9663-B96BCC342BC0}"/>
    <cellStyle name="Vírgula 8 4 4 3 2" xfId="41787" xr:uid="{6371DBD4-1E37-430A-A395-7CDD6E852961}"/>
    <cellStyle name="Vírgula 8 4 4 4" xfId="24703" xr:uid="{A2766271-F801-4542-B7FD-BD3FCB6BA773}"/>
    <cellStyle name="Vírgula 8 4 4 4 2" xfId="45038" xr:uid="{37DECE56-F62D-4A4A-A179-BA00E046FBC8}"/>
    <cellStyle name="Vírgula 8 4 4 5" xfId="15038" xr:uid="{9665F999-A892-43DA-BC8A-87E348822209}"/>
    <cellStyle name="Vírgula 8 4 4 5 2" xfId="35378" xr:uid="{D650CC00-9793-4ADE-BBEE-B593EBFE2179}"/>
    <cellStyle name="Vírgula 8 4 4 6" xfId="11159" xr:uid="{624AC815-F055-4928-B311-F894A4A52DE2}"/>
    <cellStyle name="Vírgula 8 4 4 6 2" xfId="31502" xr:uid="{9EE5BE8F-3CAF-478F-A719-98F997F15A47}"/>
    <cellStyle name="Vírgula 8 4 4 7" xfId="28008" xr:uid="{0E7248BA-40EE-4A2B-9287-DEA637B5A6AB}"/>
    <cellStyle name="Vírgula 8 4 4 8" xfId="7661" xr:uid="{5B612FC5-1881-4AFB-9F4B-CFF9746E32B3}"/>
    <cellStyle name="Vírgula 8 4 5" xfId="8377" xr:uid="{527D210B-22AE-4C58-AA20-AB64013EEDB0}"/>
    <cellStyle name="Vírgula 8 4 5 2" xfId="22164" xr:uid="{2276870D-3900-47E9-B9FF-8B9C3835959F}"/>
    <cellStyle name="Vírgula 8 4 5 2 2" xfId="42500" xr:uid="{D0A039FF-1868-462E-B573-A220D8241C97}"/>
    <cellStyle name="Vírgula 8 4 5 3" xfId="25416" xr:uid="{3A4DBB98-1685-42FF-B942-1240C2774CB0}"/>
    <cellStyle name="Vírgula 8 4 5 3 2" xfId="45751" xr:uid="{31CC73F7-190C-4499-8CDA-84BC6CBA1F22}"/>
    <cellStyle name="Vírgula 8 4 5 4" xfId="12730" xr:uid="{BA1B9BD2-402D-40D2-9343-111E3CEBD2A9}"/>
    <cellStyle name="Vírgula 8 4 5 4 2" xfId="33071" xr:uid="{5279A58D-5AE1-407F-8D69-5CCCAF4EA7A6}"/>
    <cellStyle name="Vírgula 8 4 5 5" xfId="11873" xr:uid="{A74966E1-A128-44E5-88DC-4386EC594B46}"/>
    <cellStyle name="Vírgula 8 4 5 5 2" xfId="32215" xr:uid="{C1E22E3A-4B83-4668-A2F9-3EACB154F4E7}"/>
    <cellStyle name="Vírgula 8 4 5 6" xfId="28721" xr:uid="{2119B95A-C83A-4F5E-8AF3-945EB9E0B86F}"/>
    <cellStyle name="Vírgula 8 4 6" xfId="8655" xr:uid="{CA4042C3-D02A-49B7-9B7A-9B8308D35808}"/>
    <cellStyle name="Vírgula 8 4 6 2" xfId="15625" xr:uid="{33B4CF5B-FD2A-493E-AF6D-709420A4159E}"/>
    <cellStyle name="Vírgula 8 4 6 2 2" xfId="35965" xr:uid="{1500EBD1-1046-4A4F-97C2-FC8576E39379}"/>
    <cellStyle name="Vírgula 8 4 6 3" xfId="28998" xr:uid="{7D8E6878-9E07-40AF-8E29-CC3FEE51214A}"/>
    <cellStyle name="Vírgula 8 4 7" xfId="18539" xr:uid="{4ECBCE11-0143-49FD-9CD6-3796BE89FFF9}"/>
    <cellStyle name="Vírgula 8 4 7 2" xfId="38879" xr:uid="{43A14C04-BD08-48A4-B821-25FF5CE3489C}"/>
    <cellStyle name="Vírgula 8 4 8" xfId="19127" xr:uid="{A030E3DF-AD1E-472E-AC88-1BA6AFEC77E4}"/>
    <cellStyle name="Vírgula 8 4 8 2" xfId="39466" xr:uid="{1BCAFD71-260A-4D8D-A16C-C7AB587AD1B6}"/>
    <cellStyle name="Vírgula 8 4 9" xfId="22382" xr:uid="{C5371EF7-D67D-431F-ABFC-E96AC789B180}"/>
    <cellStyle name="Vírgula 8 4 9 2" xfId="42717" xr:uid="{27E793B5-F29F-4815-A4BB-F56E523E62C1}"/>
    <cellStyle name="Vírgula 8 5" xfId="1330" xr:uid="{602360C8-E8F0-4E67-8456-4B739E654BBC}"/>
    <cellStyle name="Vírgula 8 5 10" xfId="12195" xr:uid="{2A132C82-93AF-4F5C-9403-0F0D6F31330B}"/>
    <cellStyle name="Vírgula 8 5 10 2" xfId="32536" xr:uid="{65E9055A-E801-4A15-B6AF-FCCD4789D836}"/>
    <cellStyle name="Vírgula 8 5 11" xfId="8934" xr:uid="{0E97C762-2740-451C-B0F6-263BA58D7DD1}"/>
    <cellStyle name="Vírgula 8 5 11 2" xfId="29277" xr:uid="{B9D1404D-87E7-44D8-A55D-7519CF8516F5}"/>
    <cellStyle name="Vírgula 8 5 12" xfId="25783" xr:uid="{844E02B3-26D5-4C60-ADB0-FFA3A1AEAC1E}"/>
    <cellStyle name="Vírgula 8 5 13" xfId="46079" xr:uid="{FFD7E769-2278-4534-8F92-B496F5F4EA49}"/>
    <cellStyle name="Vírgula 8 5 14" xfId="46565" xr:uid="{D66F2087-1D08-487A-B6EE-682D906B9B4D}"/>
    <cellStyle name="Vírgula 8 5 15" xfId="47057" xr:uid="{EA3DD7D1-FDFB-440F-A65F-881F707A675E}"/>
    <cellStyle name="Vírgula 8 5 16" xfId="49344" xr:uid="{4236C064-503E-4965-9A87-6E34DA9866C2}"/>
    <cellStyle name="Vírgula 8 5 17" xfId="51014" xr:uid="{0BB45B2D-3B69-44B4-ADD5-27B92D623025}"/>
    <cellStyle name="Vírgula 8 5 18" xfId="54309" xr:uid="{C9EF742C-D5F9-409B-9108-D9BCA6950179}"/>
    <cellStyle name="Vírgula 8 5 19" xfId="5450" xr:uid="{8D57CF15-EA1D-4FC5-9161-8B9874C43549}"/>
    <cellStyle name="Vírgula 8 5 2" xfId="3754" xr:uid="{8D9C92C9-900B-4E6B-BC76-60776060BBB0}"/>
    <cellStyle name="Vírgula 8 5 2 10" xfId="55940" xr:uid="{2113BBED-A88A-444C-8037-3DBBD1657A73}"/>
    <cellStyle name="Vírgula 8 5 2 11" xfId="6016" xr:uid="{0476AD1B-9BEF-43AE-AAB9-1F96D765AB0F}"/>
    <cellStyle name="Vírgula 8 5 2 2" xfId="7174" xr:uid="{D11D6C69-3452-4CA2-81EE-55A63F70C6A5}"/>
    <cellStyle name="Vírgula 8 5 2 2 2" xfId="17460" xr:uid="{99FBE289-7402-40FE-BDE7-BDD7E8A23C4F}"/>
    <cellStyle name="Vírgula 8 5 2 2 2 2" xfId="37800" xr:uid="{FCAD909E-2F43-418B-82A3-28A4C2A5DEAC}"/>
    <cellStyle name="Vírgula 8 5 2 2 3" xfId="20962" xr:uid="{E6C4666F-7063-4AA8-84DA-0AB7B66F02B9}"/>
    <cellStyle name="Vírgula 8 5 2 2 3 2" xfId="41301" xr:uid="{24563F3D-9C50-40B6-8FD9-DB4CC2171E50}"/>
    <cellStyle name="Vírgula 8 5 2 2 4" xfId="24217" xr:uid="{8F7A7CF3-4A1F-4635-B0A1-B140661D07E5}"/>
    <cellStyle name="Vírgula 8 5 2 2 4 2" xfId="44552" xr:uid="{E7619C10-7EA9-47A1-87EC-90BFBECB729B}"/>
    <cellStyle name="Vírgula 8 5 2 2 5" xfId="14551" xr:uid="{1EF6CD5E-6C88-4F30-9FB8-6F2C3C06E12B}"/>
    <cellStyle name="Vírgula 8 5 2 2 5 2" xfId="34892" xr:uid="{A35DB946-A49C-430C-9BD0-6C362A7F2039}"/>
    <cellStyle name="Vírgula 8 5 2 2 6" xfId="10673" xr:uid="{60E41438-F191-4157-A91C-C46739BA731B}"/>
    <cellStyle name="Vírgula 8 5 2 2 6 2" xfId="31016" xr:uid="{0903E5C2-C2F0-44D7-8F34-A0E63A320FA9}"/>
    <cellStyle name="Vírgula 8 5 2 2 7" xfId="27522" xr:uid="{8EAF76D3-8C8C-4696-B1F6-7BCE5F29362F}"/>
    <cellStyle name="Vírgula 8 5 2 3" xfId="16302" xr:uid="{F004F2D2-3764-472B-8B9B-9FF32726C201}"/>
    <cellStyle name="Vírgula 8 5 2 3 2" xfId="36642" xr:uid="{5D09F7C0-2442-4824-8A6F-D39B3A203DA5}"/>
    <cellStyle name="Vírgula 8 5 2 4" xfId="19804" xr:uid="{3152DFE6-E8CF-43D5-81A4-1921DE9C69E4}"/>
    <cellStyle name="Vírgula 8 5 2 4 2" xfId="40143" xr:uid="{856280DB-F927-4E54-BE47-B2E1704909BA}"/>
    <cellStyle name="Vírgula 8 5 2 5" xfId="23059" xr:uid="{BD24D830-AC39-440F-B663-B6086B7E2B00}"/>
    <cellStyle name="Vírgula 8 5 2 5 2" xfId="43394" xr:uid="{862C15BE-2237-45DB-A8A2-57E22C2FE589}"/>
    <cellStyle name="Vírgula 8 5 2 6" xfId="13393" xr:uid="{AAD9A531-9C58-4F8B-AD42-2C2700690C07}"/>
    <cellStyle name="Vírgula 8 5 2 6 2" xfId="33734" xr:uid="{C80D0978-1253-4686-96F1-93C58B84F767}"/>
    <cellStyle name="Vírgula 8 5 2 7" xfId="9515" xr:uid="{5B0D3F15-A167-4CF2-9AE3-6C6EA26E1958}"/>
    <cellStyle name="Vírgula 8 5 2 7 2" xfId="29858" xr:uid="{154F50BE-0C93-41AF-AC4D-9810B9742EDD}"/>
    <cellStyle name="Vírgula 8 5 2 8" xfId="26364" xr:uid="{241F2D0D-D81A-4785-AFA3-725C40613A1B}"/>
    <cellStyle name="Vírgula 8 5 2 9" xfId="52646" xr:uid="{9D541130-896B-4A34-B3CC-C33E99F1B2E5}"/>
    <cellStyle name="Vírgula 8 5 20" xfId="4976" xr:uid="{04C499EF-7559-450A-9620-CED89ECD47C9}"/>
    <cellStyle name="Vírgula 8 5 3" xfId="4200" xr:uid="{C2229195-EFC4-4721-9CE7-D6E15AF9C9FA}"/>
    <cellStyle name="Vírgula 8 5 3 2" xfId="16879" xr:uid="{99768E4B-34D7-4F74-B023-3FBA88CAF067}"/>
    <cellStyle name="Vírgula 8 5 3 2 2" xfId="37219" xr:uid="{D9B368FB-8B36-4AD7-80EE-100F47D2A098}"/>
    <cellStyle name="Vírgula 8 5 3 3" xfId="20381" xr:uid="{9609E42C-8D06-48E7-9249-F2ADC71099FB}"/>
    <cellStyle name="Vírgula 8 5 3 3 2" xfId="40720" xr:uid="{135C3B7F-B219-4561-9119-0EEBCDCD31D3}"/>
    <cellStyle name="Vírgula 8 5 3 4" xfId="23636" xr:uid="{423EF1CF-9ED8-4976-B64E-B218EC667931}"/>
    <cellStyle name="Vírgula 8 5 3 4 2" xfId="43971" xr:uid="{09625181-3209-43B8-9F17-FBD728A810A7}"/>
    <cellStyle name="Vírgula 8 5 3 5" xfId="13970" xr:uid="{82BC19E8-C833-4AA3-91FC-40C659714683}"/>
    <cellStyle name="Vírgula 8 5 3 5 2" xfId="34311" xr:uid="{EE1F6BCD-6F14-41CE-9F7C-56DB6B99BDD4}"/>
    <cellStyle name="Vírgula 8 5 3 6" xfId="10092" xr:uid="{700A5A50-EC3B-4EFE-BC19-DAB58682D022}"/>
    <cellStyle name="Vírgula 8 5 3 6 2" xfId="30435" xr:uid="{2A2418FB-C2FC-4CFE-AB21-C1711DEEF27B}"/>
    <cellStyle name="Vírgula 8 5 3 7" xfId="26941" xr:uid="{F580947B-6890-4109-BA1B-9101FCC04028}"/>
    <cellStyle name="Vírgula 8 5 3 8" xfId="57201" xr:uid="{BD1CA792-F6AF-44DF-A263-AF84EF91875B}"/>
    <cellStyle name="Vírgula 8 5 3 9" xfId="6593" xr:uid="{0D546055-4820-487C-ABE4-EFEC76758CA7}"/>
    <cellStyle name="Vírgula 8 5 4" xfId="2991" xr:uid="{806D5720-36EE-4AA1-A332-A55F7BBF3C12}"/>
    <cellStyle name="Vírgula 8 5 4 2" xfId="18042" xr:uid="{825A0DA8-995B-4738-874A-BF3593900605}"/>
    <cellStyle name="Vírgula 8 5 4 2 2" xfId="38382" xr:uid="{1C5B3F02-45D5-40A3-A5FF-0B84D144302A}"/>
    <cellStyle name="Vírgula 8 5 4 3" xfId="21544" xr:uid="{9E8D93DE-2542-40CE-93D7-B412E5ED363C}"/>
    <cellStyle name="Vírgula 8 5 4 3 2" xfId="41883" xr:uid="{B2F6363B-5FDA-4C9F-B742-6F6B3B0622AF}"/>
    <cellStyle name="Vírgula 8 5 4 4" xfId="24799" xr:uid="{80C79736-1229-4D55-95B5-46BE219D4FC4}"/>
    <cellStyle name="Vírgula 8 5 4 4 2" xfId="45134" xr:uid="{77974145-F8D3-4191-897C-D46EB239543D}"/>
    <cellStyle name="Vírgula 8 5 4 5" xfId="15134" xr:uid="{A365D01F-6C39-4CBF-B2A2-BDE1A3A66A88}"/>
    <cellStyle name="Vírgula 8 5 4 5 2" xfId="35474" xr:uid="{42B77274-D3FF-44CE-A03E-374BD8340B5D}"/>
    <cellStyle name="Vírgula 8 5 4 6" xfId="11255" xr:uid="{B87DA6E5-7447-413D-ABD0-6FE8E064FBDA}"/>
    <cellStyle name="Vírgula 8 5 4 6 2" xfId="31598" xr:uid="{3C81EFAA-8D63-4733-A828-FEDFDE771B14}"/>
    <cellStyle name="Vírgula 8 5 4 7" xfId="28104" xr:uid="{D8861B45-62C2-494D-966C-77622AC01014}"/>
    <cellStyle name="Vírgula 8 5 4 8" xfId="7757" xr:uid="{2613B55F-33AE-4BEA-97EE-392E90B77EF1}"/>
    <cellStyle name="Vírgula 8 5 5" xfId="8378" xr:uid="{60CE7E1F-AC7E-4B38-BBE3-3950E78F3087}"/>
    <cellStyle name="Vírgula 8 5 5 2" xfId="22165" xr:uid="{D972DA2F-D4AC-406E-9380-1108DAA1BA4B}"/>
    <cellStyle name="Vírgula 8 5 5 2 2" xfId="42501" xr:uid="{36D31C16-6E7D-4A6E-AA66-CE6FDA694F99}"/>
    <cellStyle name="Vírgula 8 5 5 3" xfId="25417" xr:uid="{42F2940D-E3D4-4296-90D3-F9FC6D98B8A7}"/>
    <cellStyle name="Vírgula 8 5 5 3 2" xfId="45752" xr:uid="{D35F31CF-2192-46FD-B328-4BED40DA0D79}"/>
    <cellStyle name="Vírgula 8 5 5 4" xfId="12824" xr:uid="{5341FC13-20E5-4D13-8A08-4A2280F44012}"/>
    <cellStyle name="Vírgula 8 5 5 4 2" xfId="33165" xr:uid="{BA6F4AD0-48BB-43F0-9DDF-0C21C955892F}"/>
    <cellStyle name="Vírgula 8 5 5 5" xfId="11874" xr:uid="{93BF3BCD-E62B-436D-A151-457850958172}"/>
    <cellStyle name="Vírgula 8 5 5 5 2" xfId="32216" xr:uid="{D7A901FB-0143-4303-B0CE-F37AC4D3C6BE}"/>
    <cellStyle name="Vírgula 8 5 5 6" xfId="28722" xr:uid="{6A5F5449-E13C-4726-A4CD-528F8755FACF}"/>
    <cellStyle name="Vírgula 8 5 6" xfId="15721" xr:uid="{F4C0E17A-D42A-410C-83ED-B045A945568A}"/>
    <cellStyle name="Vírgula 8 5 6 2" xfId="36061" xr:uid="{28E9F4EA-9DDD-4BB3-961A-119234343989}"/>
    <cellStyle name="Vírgula 8 5 7" xfId="18635" xr:uid="{47111E2B-F7C2-4A51-8975-4800A4C4AAB0}"/>
    <cellStyle name="Vírgula 8 5 7 2" xfId="38975" xr:uid="{EDD859F8-70D0-497C-A3F6-58AB8835FCAD}"/>
    <cellStyle name="Vírgula 8 5 8" xfId="19223" xr:uid="{6486B3BC-A11E-4B06-876D-F0DD031AF669}"/>
    <cellStyle name="Vírgula 8 5 8 2" xfId="39562" xr:uid="{CD79D337-0FB0-4682-8178-FBAFD12BA01A}"/>
    <cellStyle name="Vírgula 8 5 9" xfId="22478" xr:uid="{23F784CE-D59B-40DE-9F84-5C04464A4D55}"/>
    <cellStyle name="Vírgula 8 5 9 2" xfId="42813" xr:uid="{67A2D0B5-A9C1-4A7D-99CF-4B34BACD962B}"/>
    <cellStyle name="Vírgula 8 6" xfId="517" xr:uid="{A1F44F18-87FC-4274-BEDF-6EE1B03B8C50}"/>
    <cellStyle name="Vírgula 8 6 10" xfId="12253" xr:uid="{0BA19A5A-B4EF-44D1-B7D6-3CAB0E55C182}"/>
    <cellStyle name="Vírgula 8 6 10 2" xfId="32594" xr:uid="{3ADAC19D-447B-4F0B-8C23-34EB65F354E9}"/>
    <cellStyle name="Vírgula 8 6 11" xfId="8992" xr:uid="{9BCEE7F9-DCE1-4CEB-8B33-4BF5336D6CFD}"/>
    <cellStyle name="Vírgula 8 6 11 2" xfId="29335" xr:uid="{BA510C83-C436-4143-97AB-133F1C7AC1E7}"/>
    <cellStyle name="Vírgula 8 6 12" xfId="25841" xr:uid="{181924D7-2A8B-41F4-BD3D-5DB81B0D0043}"/>
    <cellStyle name="Vírgula 8 6 13" xfId="49345" xr:uid="{0B545EFF-93E3-4ADA-B1EA-67B025EA6F75}"/>
    <cellStyle name="Vírgula 8 6 14" xfId="51015" xr:uid="{4E0B3EDA-FEF2-458F-9724-A654F5116777}"/>
    <cellStyle name="Vírgula 8 6 15" xfId="54310" xr:uid="{BC91A914-27D6-4F75-B8D9-4138EAD3A6B8}"/>
    <cellStyle name="Vírgula 8 6 16" xfId="5502" xr:uid="{AE131906-E6B9-49BC-B4B6-94EAAD3B8D02}"/>
    <cellStyle name="Vírgula 8 6 17" xfId="4776" xr:uid="{AC040EC8-BDB9-40BC-9A4A-505E3DBFC35C}"/>
    <cellStyle name="Vírgula 8 6 2" xfId="2233" xr:uid="{2C634039-7C3A-4843-8945-819D9B2CD190}"/>
    <cellStyle name="Vírgula 8 6 2 10" xfId="55941" xr:uid="{386190A5-FA8D-4827-8A7F-D617FA5E6285}"/>
    <cellStyle name="Vírgula 8 6 2 11" xfId="6074" xr:uid="{26C05E5F-B5F4-4980-80DB-69F989C5490D}"/>
    <cellStyle name="Vírgula 8 6 2 2" xfId="7232" xr:uid="{742185BA-5874-448C-8E54-8CE481EDF3C6}"/>
    <cellStyle name="Vírgula 8 6 2 2 2" xfId="17518" xr:uid="{2EE9CBB6-E8A2-4C94-8C8B-674A5FE5A3D0}"/>
    <cellStyle name="Vírgula 8 6 2 2 2 2" xfId="37858" xr:uid="{8F5FBF75-85C2-4C73-AABC-148FBF31F707}"/>
    <cellStyle name="Vírgula 8 6 2 2 3" xfId="21020" xr:uid="{2589DE4F-D9C1-4595-BC8A-FA3E4ABEC500}"/>
    <cellStyle name="Vírgula 8 6 2 2 3 2" xfId="41359" xr:uid="{41617C7F-02AA-4336-ABB7-29EC6536CA8E}"/>
    <cellStyle name="Vírgula 8 6 2 2 4" xfId="24275" xr:uid="{1742DC0E-DEE7-44E2-8469-7E3A1EE1CBF6}"/>
    <cellStyle name="Vírgula 8 6 2 2 4 2" xfId="44610" xr:uid="{8A53D269-53A5-4092-871E-BF563C8B9110}"/>
    <cellStyle name="Vírgula 8 6 2 2 5" xfId="14609" xr:uid="{26D9DD33-95DB-45C6-AC86-474C3DE9C26A}"/>
    <cellStyle name="Vírgula 8 6 2 2 5 2" xfId="34950" xr:uid="{D951AAA4-A300-4987-A205-0019AA073398}"/>
    <cellStyle name="Vírgula 8 6 2 2 6" xfId="10731" xr:uid="{4AA41A6C-1367-4AE3-BA93-7C5BB436D1E6}"/>
    <cellStyle name="Vírgula 8 6 2 2 6 2" xfId="31074" xr:uid="{C0AD7F72-8D31-4E4C-8C12-B7BF5F7AD8DB}"/>
    <cellStyle name="Vírgula 8 6 2 2 7" xfId="27580" xr:uid="{971CBB06-5D03-4604-AA9A-0DA97ED60550}"/>
    <cellStyle name="Vírgula 8 6 2 3" xfId="16360" xr:uid="{B903B4D6-D9AF-4A5A-AE88-12B134822FEB}"/>
    <cellStyle name="Vírgula 8 6 2 3 2" xfId="36700" xr:uid="{D9A053E5-7C30-4E1F-87BB-50685814DBEA}"/>
    <cellStyle name="Vírgula 8 6 2 4" xfId="19862" xr:uid="{7369A679-F059-49EF-9975-CBB2DC8AFE5F}"/>
    <cellStyle name="Vírgula 8 6 2 4 2" xfId="40201" xr:uid="{A2072712-4DCC-498E-966C-1EBB7DB39EB6}"/>
    <cellStyle name="Vírgula 8 6 2 5" xfId="23117" xr:uid="{E92C940F-6B7D-4C42-8C12-1DF2B83F1F31}"/>
    <cellStyle name="Vírgula 8 6 2 5 2" xfId="43452" xr:uid="{F9B67D38-2692-4FF2-8402-F86D6FBA778C}"/>
    <cellStyle name="Vírgula 8 6 2 6" xfId="13451" xr:uid="{A1901032-BD45-49EE-9DB4-6F76A3850158}"/>
    <cellStyle name="Vírgula 8 6 2 6 2" xfId="33792" xr:uid="{56E86B9A-282F-437D-AB50-8E91A9FF8DCB}"/>
    <cellStyle name="Vírgula 8 6 2 7" xfId="9573" xr:uid="{26C918FF-EF9A-4905-A440-8BC70AEA0424}"/>
    <cellStyle name="Vírgula 8 6 2 7 2" xfId="29916" xr:uid="{F5F20A0E-65DD-4C29-A3BC-3E829BA6367C}"/>
    <cellStyle name="Vírgula 8 6 2 8" xfId="26422" xr:uid="{9CB2F33D-FFDE-4784-BA39-7EF1734A599C}"/>
    <cellStyle name="Vírgula 8 6 2 9" xfId="52647" xr:uid="{54B86C9F-755D-4316-A9A5-35A0982D72F0}"/>
    <cellStyle name="Vírgula 8 6 3" xfId="6651" xr:uid="{4F1DB310-67D0-4C27-80C4-1906888F7161}"/>
    <cellStyle name="Vírgula 8 6 3 2" xfId="16937" xr:uid="{90D98C3D-0701-4A67-9145-06BC26DAED85}"/>
    <cellStyle name="Vírgula 8 6 3 2 2" xfId="37277" xr:uid="{F75F0F34-475D-4EA5-A838-E766CB8C371D}"/>
    <cellStyle name="Vírgula 8 6 3 3" xfId="20439" xr:uid="{FEC64EBD-6258-4D9E-BEB5-D8319AB88B1A}"/>
    <cellStyle name="Vírgula 8 6 3 3 2" xfId="40778" xr:uid="{A9CEDDEF-AC71-4A90-A35C-BDA9EFD1EE5E}"/>
    <cellStyle name="Vírgula 8 6 3 4" xfId="23694" xr:uid="{5BC50ACD-DE3A-4EC8-A279-013C041BC380}"/>
    <cellStyle name="Vírgula 8 6 3 4 2" xfId="44029" xr:uid="{959FA2B6-3EB4-4A86-AF3B-865A533E781D}"/>
    <cellStyle name="Vírgula 8 6 3 5" xfId="14028" xr:uid="{223F1A96-2C8B-4A43-A4C3-4C4E0D0FF63A}"/>
    <cellStyle name="Vírgula 8 6 3 5 2" xfId="34369" xr:uid="{542D8531-4700-40A2-9D73-0667BE3DCBF2}"/>
    <cellStyle name="Vírgula 8 6 3 6" xfId="10150" xr:uid="{07A64703-B90B-4BA6-ACA0-8E24E9DCE53B}"/>
    <cellStyle name="Vírgula 8 6 3 6 2" xfId="30493" xr:uid="{CBADC0A0-AABF-4016-B262-0E6D24667659}"/>
    <cellStyle name="Vírgula 8 6 3 7" xfId="26999" xr:uid="{00CF2AEB-1B31-4C8C-A599-BB9A09BEA7B7}"/>
    <cellStyle name="Vírgula 8 6 3 8" xfId="56388" xr:uid="{BF86B1F4-E681-4EA7-8418-432B90E9F6AF}"/>
    <cellStyle name="Vírgula 8 6 4" xfId="7815" xr:uid="{81247067-4C38-4258-9F98-97FC5D248698}"/>
    <cellStyle name="Vírgula 8 6 4 2" xfId="18100" xr:uid="{EAA2539B-4A8B-436A-9A70-CC1314147D85}"/>
    <cellStyle name="Vírgula 8 6 4 2 2" xfId="38440" xr:uid="{652536BA-955D-448A-8E8B-0A8E06C8BABF}"/>
    <cellStyle name="Vírgula 8 6 4 3" xfId="21602" xr:uid="{60153EC5-5787-4BBD-AA9D-B7775349C560}"/>
    <cellStyle name="Vírgula 8 6 4 3 2" xfId="41941" xr:uid="{0725EB59-F30E-4C30-90C4-58028EFC6C1B}"/>
    <cellStyle name="Vírgula 8 6 4 4" xfId="24857" xr:uid="{A8F478D9-8BD1-4B9B-AB8B-00BD220903DC}"/>
    <cellStyle name="Vírgula 8 6 4 4 2" xfId="45192" xr:uid="{68D5E58F-DC62-42E3-93E2-F62DE5A27F09}"/>
    <cellStyle name="Vírgula 8 6 4 5" xfId="15192" xr:uid="{9D3D66C3-DF76-4D99-A63A-DAECB9ADCBCD}"/>
    <cellStyle name="Vírgula 8 6 4 5 2" xfId="35532" xr:uid="{8C1553F4-A7EE-4B44-95A5-1CD699ACD8F2}"/>
    <cellStyle name="Vírgula 8 6 4 6" xfId="11313" xr:uid="{A52C5B34-6BA0-47DD-9964-AC86D4973491}"/>
    <cellStyle name="Vírgula 8 6 4 6 2" xfId="31656" xr:uid="{291C308D-A8E1-4ADE-8C02-521B655F2BF3}"/>
    <cellStyle name="Vírgula 8 6 4 7" xfId="28162" xr:uid="{60F0B2DC-48EA-4DDC-A7D8-09452BDE0B67}"/>
    <cellStyle name="Vírgula 8 6 5" xfId="12882" xr:uid="{5D860A9F-B951-44FD-9901-240AEF0D7A4F}"/>
    <cellStyle name="Vírgula 8 6 5 2" xfId="33223" xr:uid="{2B98EA31-1A24-4EC2-9F7D-340362C3CF9F}"/>
    <cellStyle name="Vírgula 8 6 6" xfId="15779" xr:uid="{7D1B0B41-43E4-47FA-8CA2-A8EE39B1599F}"/>
    <cellStyle name="Vírgula 8 6 6 2" xfId="36119" xr:uid="{ADD7BA7B-0D5C-463B-831C-4F8765B3A5B4}"/>
    <cellStyle name="Vírgula 8 6 7" xfId="18693" xr:uid="{94E054AB-F685-46EB-9708-F876358CA360}"/>
    <cellStyle name="Vírgula 8 6 7 2" xfId="39033" xr:uid="{5F331452-2B96-4591-B9F2-20C3442895E7}"/>
    <cellStyle name="Vírgula 8 6 8" xfId="19281" xr:uid="{E82669E6-1D8E-4D77-8BC6-BD0EBBB450EE}"/>
    <cellStyle name="Vírgula 8 6 8 2" xfId="39620" xr:uid="{94DFB553-74E3-44AB-A29C-F945929FFC23}"/>
    <cellStyle name="Vírgula 8 6 9" xfId="22536" xr:uid="{A6B1B280-9F95-42F6-B072-42AE928559D3}"/>
    <cellStyle name="Vírgula 8 6 9 2" xfId="42871" xr:uid="{1433C349-76AC-4270-96A6-23616BA7B1F1}"/>
    <cellStyle name="Vírgula 8 7" xfId="3426" xr:uid="{E71DC19D-2A0A-4376-A06F-1A416EB34483}"/>
    <cellStyle name="Vírgula 8 7 10" xfId="12328" xr:uid="{CF68A649-300A-48BB-81DF-D18B3C8FDA67}"/>
    <cellStyle name="Vírgula 8 7 10 2" xfId="32669" xr:uid="{709CB064-16B2-477B-9E58-01AD991336F7}"/>
    <cellStyle name="Vírgula 8 7 11" xfId="9067" xr:uid="{EB6BB9F5-7C23-4485-9EDD-6F587F61D718}"/>
    <cellStyle name="Vírgula 8 7 11 2" xfId="29410" xr:uid="{D2358732-AC2A-413D-AB37-2FE70E9B8DFE}"/>
    <cellStyle name="Vírgula 8 7 12" xfId="25916" xr:uid="{C388F160-09C5-4345-A35F-9533B1AD99CF}"/>
    <cellStyle name="Vírgula 8 7 13" xfId="52636" xr:uid="{57C753C6-0A9E-4F80-8AAD-4E244FCDA7A7}"/>
    <cellStyle name="Vírgula 8 7 14" xfId="55930" xr:uid="{53BD0B81-7F17-4319-8846-F57A7B6E1009}"/>
    <cellStyle name="Vírgula 8 7 15" xfId="5577" xr:uid="{48D5C535-BB55-4979-8781-646C888C1AE6}"/>
    <cellStyle name="Vírgula 8 7 2" xfId="6149" xr:uid="{B9A0C289-7A71-4733-B3F7-09265D535D71}"/>
    <cellStyle name="Vírgula 8 7 2 2" xfId="7307" xr:uid="{7CB9CDA3-BA61-4EFE-B3AE-8BAA23716946}"/>
    <cellStyle name="Vírgula 8 7 2 2 2" xfId="17593" xr:uid="{C5D44493-280E-42CB-985D-6AE6F9D02854}"/>
    <cellStyle name="Vírgula 8 7 2 2 2 2" xfId="37933" xr:uid="{506D2A91-A62E-4D89-B5AD-F32E0D0539F9}"/>
    <cellStyle name="Vírgula 8 7 2 2 3" xfId="21095" xr:uid="{EE20B59B-4A7D-4A8E-9AF3-72433046AEDC}"/>
    <cellStyle name="Vírgula 8 7 2 2 3 2" xfId="41434" xr:uid="{ABB19F77-75E5-4DAD-9718-1F36F9494791}"/>
    <cellStyle name="Vírgula 8 7 2 2 4" xfId="24350" xr:uid="{FD279F48-603D-47FB-B0F1-20E23E747FA7}"/>
    <cellStyle name="Vírgula 8 7 2 2 4 2" xfId="44685" xr:uid="{A4F5A31A-CCB8-488F-8BA7-DE2A6431916C}"/>
    <cellStyle name="Vírgula 8 7 2 2 5" xfId="14684" xr:uid="{380DEB9C-25E9-4F39-A922-263B3C44CC4E}"/>
    <cellStyle name="Vírgula 8 7 2 2 5 2" xfId="35025" xr:uid="{F6B1E865-534A-4F27-A889-7515DDC364C9}"/>
    <cellStyle name="Vírgula 8 7 2 2 6" xfId="10806" xr:uid="{B4EA5ED2-714B-4AA5-BCB4-D516D5BBE8B4}"/>
    <cellStyle name="Vírgula 8 7 2 2 6 2" xfId="31149" xr:uid="{5409402A-AEE0-40B8-86CC-3C693E5A3574}"/>
    <cellStyle name="Vírgula 8 7 2 2 7" xfId="27655" xr:uid="{E7D915CC-40B1-45B7-A2A4-E28D7BF4BF2A}"/>
    <cellStyle name="Vírgula 8 7 2 3" xfId="16435" xr:uid="{EC034CC9-7A9E-40AD-98D1-C498CA144613}"/>
    <cellStyle name="Vírgula 8 7 2 3 2" xfId="36775" xr:uid="{A0AEE974-89EE-4C17-A11B-3956285448DD}"/>
    <cellStyle name="Vírgula 8 7 2 4" xfId="19937" xr:uid="{AEBE98AC-8C0D-4930-9C84-34B9FBCF1488}"/>
    <cellStyle name="Vírgula 8 7 2 4 2" xfId="40276" xr:uid="{B7672C8C-C783-42B5-8983-3203A984F2BD}"/>
    <cellStyle name="Vírgula 8 7 2 5" xfId="23192" xr:uid="{1323D2E5-B8AC-42A4-AAAE-2C47FDD15441}"/>
    <cellStyle name="Vírgula 8 7 2 5 2" xfId="43527" xr:uid="{649BDA6A-C5BC-4ED7-9B3E-3AAD0087D309}"/>
    <cellStyle name="Vírgula 8 7 2 6" xfId="13526" xr:uid="{F30D3A38-0F08-4E91-95C0-C299C294497B}"/>
    <cellStyle name="Vírgula 8 7 2 6 2" xfId="33867" xr:uid="{DCAA2F30-F53A-42B9-93A5-DCED6C1B1AB4}"/>
    <cellStyle name="Vírgula 8 7 2 7" xfId="9648" xr:uid="{30F8E1EF-760E-49E6-BBD9-8DE9EA30BE9F}"/>
    <cellStyle name="Vírgula 8 7 2 7 2" xfId="29991" xr:uid="{105820C1-1555-4BB2-BE78-78535207AC16}"/>
    <cellStyle name="Vírgula 8 7 2 8" xfId="26497" xr:uid="{7F35D201-65C8-4B6B-B5D5-F784F7A821DC}"/>
    <cellStyle name="Vírgula 8 7 3" xfId="6726" xr:uid="{B3468026-6F9C-43D8-9C63-D970D2757B8F}"/>
    <cellStyle name="Vírgula 8 7 3 2" xfId="17012" xr:uid="{92084935-9950-4F34-8B25-D2FB0FD7D4CF}"/>
    <cellStyle name="Vírgula 8 7 3 2 2" xfId="37352" xr:uid="{191F07E3-AD3F-4D02-9883-459F4104901C}"/>
    <cellStyle name="Vírgula 8 7 3 3" xfId="20514" xr:uid="{5D61EDA4-D9FC-4102-BC7F-0D66EA776C34}"/>
    <cellStyle name="Vírgula 8 7 3 3 2" xfId="40853" xr:uid="{412EF77A-4BC1-44AA-BE8B-5F4B3558ED1A}"/>
    <cellStyle name="Vírgula 8 7 3 4" xfId="23769" xr:uid="{A9D76091-1061-408E-A156-DBE09CE2391A}"/>
    <cellStyle name="Vírgula 8 7 3 4 2" xfId="44104" xr:uid="{7B6D2A05-1513-4B18-987E-0BD31EB76E95}"/>
    <cellStyle name="Vírgula 8 7 3 5" xfId="14103" xr:uid="{3F7F5205-0983-4103-92D8-11E5EAAA38D6}"/>
    <cellStyle name="Vírgula 8 7 3 5 2" xfId="34444" xr:uid="{90789784-DD96-4218-B7F9-4822F224A362}"/>
    <cellStyle name="Vírgula 8 7 3 6" xfId="10225" xr:uid="{5422CDB2-5B30-46F2-A574-E1D05CE7887E}"/>
    <cellStyle name="Vírgula 8 7 3 6 2" xfId="30568" xr:uid="{57041363-6903-4FFA-9764-62F63F6D2C99}"/>
    <cellStyle name="Vírgula 8 7 3 7" xfId="27074" xr:uid="{A6E624D8-4C4A-46FF-841A-A13477639A8C}"/>
    <cellStyle name="Vírgula 8 7 4" xfId="7890" xr:uid="{83F15464-08DD-4ED3-B362-B607C3BED8F1}"/>
    <cellStyle name="Vírgula 8 7 4 2" xfId="18175" xr:uid="{2050DAE3-7366-4C93-BC0D-ED893A459725}"/>
    <cellStyle name="Vírgula 8 7 4 2 2" xfId="38515" xr:uid="{36448D97-815E-4A31-AF8A-02E80F53553E}"/>
    <cellStyle name="Vírgula 8 7 4 3" xfId="21677" xr:uid="{AC7DC218-96B9-42EB-A305-5BD0241D6AF5}"/>
    <cellStyle name="Vírgula 8 7 4 3 2" xfId="42016" xr:uid="{62D89A3A-AB74-4A39-9DB9-5A533E2291D3}"/>
    <cellStyle name="Vírgula 8 7 4 4" xfId="24932" xr:uid="{3EF6E6BD-FA34-477E-8F0A-09E6C0068FA6}"/>
    <cellStyle name="Vírgula 8 7 4 4 2" xfId="45267" xr:uid="{F8ED1C35-9EE8-4C76-948D-407FA50FCD7C}"/>
    <cellStyle name="Vírgula 8 7 4 5" xfId="15267" xr:uid="{7423D723-BC5E-4D26-8988-B60EA8B39367}"/>
    <cellStyle name="Vírgula 8 7 4 5 2" xfId="35607" xr:uid="{47E166CC-384C-4C72-B99F-2589037B9C00}"/>
    <cellStyle name="Vírgula 8 7 4 6" xfId="11388" xr:uid="{5BA387ED-797E-4E3E-ADD5-6755A31D9C1C}"/>
    <cellStyle name="Vírgula 8 7 4 6 2" xfId="31731" xr:uid="{13485A6D-106C-4B3D-9B32-599249E63BFF}"/>
    <cellStyle name="Vírgula 8 7 4 7" xfId="28237" xr:uid="{590E8A39-8B99-4BC2-9CB0-8BD9D8EB21F4}"/>
    <cellStyle name="Vírgula 8 7 5" xfId="12957" xr:uid="{7F3B579E-B566-4F90-99AC-24F908EA4A6B}"/>
    <cellStyle name="Vírgula 8 7 5 2" xfId="33298" xr:uid="{72EEAF15-1303-481D-9602-388ABEB8AFAB}"/>
    <cellStyle name="Vírgula 8 7 6" xfId="15854" xr:uid="{3DEDD9C3-9472-49F3-92B8-4D67A1985239}"/>
    <cellStyle name="Vírgula 8 7 6 2" xfId="36194" xr:uid="{2F6D20A2-920B-4CE5-85A7-BB0363CB911D}"/>
    <cellStyle name="Vírgula 8 7 7" xfId="18768" xr:uid="{8FD5CD06-F689-42F9-B4D9-2A60222576C4}"/>
    <cellStyle name="Vírgula 8 7 7 2" xfId="39108" xr:uid="{1678994A-C6DE-4B99-ADAC-775F983C4C1E}"/>
    <cellStyle name="Vírgula 8 7 8" xfId="19356" xr:uid="{CDA26DA4-F61F-4637-AAD0-021BA16E9F13}"/>
    <cellStyle name="Vírgula 8 7 8 2" xfId="39695" xr:uid="{B40492CA-4C60-4C71-9C0D-E3B1D833CE55}"/>
    <cellStyle name="Vírgula 8 7 9" xfId="22611" xr:uid="{FC2F9F47-1E04-42C4-A67E-2DCF96C273B4}"/>
    <cellStyle name="Vírgula 8 7 9 2" xfId="42946" xr:uid="{5705F798-539D-4E93-8AF9-CA7826B3455B}"/>
    <cellStyle name="Vírgula 8 8" xfId="3857" xr:uid="{46FE64A9-084E-4682-AAFA-F368282BF625}"/>
    <cellStyle name="Vírgula 8 8 10" xfId="12426" xr:uid="{6AD01965-AA01-483C-A2CE-5418D1C48219}"/>
    <cellStyle name="Vírgula 8 8 10 2" xfId="32767" xr:uid="{E386F971-3972-42C3-9882-5B64E8852E70}"/>
    <cellStyle name="Vírgula 8 8 11" xfId="9165" xr:uid="{7913C893-7983-44C2-8DBD-D840BE30DFA5}"/>
    <cellStyle name="Vírgula 8 8 11 2" xfId="29508" xr:uid="{B2C504BF-437B-4A4D-A226-B93EB1DB87FA}"/>
    <cellStyle name="Vírgula 8 8 12" xfId="26014" xr:uid="{E3338914-2757-4652-82C1-986F4F745802}"/>
    <cellStyle name="Vírgula 8 8 13" xfId="55979" xr:uid="{4856D762-1FA4-4AF0-9F62-8881AE2A5E99}"/>
    <cellStyle name="Vírgula 8 8 14" xfId="5675" xr:uid="{BA928FC0-AA62-4C3F-84E1-73FCC7E6FCF9}"/>
    <cellStyle name="Vírgula 8 8 2" xfId="6247" xr:uid="{1752992D-9933-4528-9387-8BEC6274C217}"/>
    <cellStyle name="Vírgula 8 8 2 2" xfId="7405" xr:uid="{B135ADC0-8024-4C19-A6B0-E0D153F2A80B}"/>
    <cellStyle name="Vírgula 8 8 2 2 2" xfId="17691" xr:uid="{229BCAAE-0FFF-4A15-8239-7EC98A44CB11}"/>
    <cellStyle name="Vírgula 8 8 2 2 2 2" xfId="38031" xr:uid="{6CE459E0-18C8-479D-93CB-54F0B62A3DE1}"/>
    <cellStyle name="Vírgula 8 8 2 2 3" xfId="21193" xr:uid="{0E1BC41F-A48A-4062-9C78-7418D396272C}"/>
    <cellStyle name="Vírgula 8 8 2 2 3 2" xfId="41532" xr:uid="{3B5E58B3-8E20-4E8B-87CA-0063BF4698E9}"/>
    <cellStyle name="Vírgula 8 8 2 2 4" xfId="24448" xr:uid="{ABE80035-A73D-4CC1-A6D9-F323540473AE}"/>
    <cellStyle name="Vírgula 8 8 2 2 4 2" xfId="44783" xr:uid="{681C5235-D916-44C8-895B-7AB758348351}"/>
    <cellStyle name="Vírgula 8 8 2 2 5" xfId="14782" xr:uid="{44BAA2CB-77FD-4085-8826-B99F89C8FCE7}"/>
    <cellStyle name="Vírgula 8 8 2 2 5 2" xfId="35123" xr:uid="{FB9E6ECF-89F1-40EE-9497-52E068D22AA8}"/>
    <cellStyle name="Vírgula 8 8 2 2 6" xfId="10904" xr:uid="{32B893BD-C0CA-490C-90CD-6CE889424F9E}"/>
    <cellStyle name="Vírgula 8 8 2 2 6 2" xfId="31247" xr:uid="{F612865D-763F-46FB-B937-32233DAD06E1}"/>
    <cellStyle name="Vírgula 8 8 2 2 7" xfId="27753" xr:uid="{82F592FE-31C7-4518-B3B3-FDEFB0AFA513}"/>
    <cellStyle name="Vírgula 8 8 2 3" xfId="16533" xr:uid="{70A4D973-9CC9-46E7-9971-F9E9F2B4B60F}"/>
    <cellStyle name="Vírgula 8 8 2 3 2" xfId="36873" xr:uid="{4F846F6A-5348-48C5-B9C7-C0BEF8C39A9A}"/>
    <cellStyle name="Vírgula 8 8 2 4" xfId="20035" xr:uid="{6FC0A291-C2C4-4154-B3C8-2B2AC7BD85C7}"/>
    <cellStyle name="Vírgula 8 8 2 4 2" xfId="40374" xr:uid="{D4E8E56F-4075-44A2-BCDB-80C033CECBE7}"/>
    <cellStyle name="Vírgula 8 8 2 5" xfId="23290" xr:uid="{565E07A0-A4FD-4A25-8AF7-2352F92AF2B4}"/>
    <cellStyle name="Vírgula 8 8 2 5 2" xfId="43625" xr:uid="{6F80FE54-90B9-49BF-9DF6-5451F4D5FCE2}"/>
    <cellStyle name="Vírgula 8 8 2 6" xfId="13624" xr:uid="{95154696-0E11-4E5B-A0ED-BF5BE7205965}"/>
    <cellStyle name="Vírgula 8 8 2 6 2" xfId="33965" xr:uid="{748F180E-EC5A-4406-AC94-C6F8F420F624}"/>
    <cellStyle name="Vírgula 8 8 2 7" xfId="9746" xr:uid="{BC819DB6-AE8E-487E-AA31-B96544A0967A}"/>
    <cellStyle name="Vírgula 8 8 2 7 2" xfId="30089" xr:uid="{86D1D35D-0482-45E4-82F2-A0CE60817465}"/>
    <cellStyle name="Vírgula 8 8 2 8" xfId="26595" xr:uid="{A4AB111F-8A0D-4DE1-8D2B-C3C78B3E623D}"/>
    <cellStyle name="Vírgula 8 8 3" xfId="6824" xr:uid="{27170D22-B9CE-4D94-940D-E44C97770918}"/>
    <cellStyle name="Vírgula 8 8 3 2" xfId="17110" xr:uid="{0E8D230D-1F7C-48F3-AF5A-2ACF468D1AF5}"/>
    <cellStyle name="Vírgula 8 8 3 2 2" xfId="37450" xr:uid="{A84948AA-FA1C-4CD4-9AF3-CDF5F0F78FDD}"/>
    <cellStyle name="Vírgula 8 8 3 3" xfId="20612" xr:uid="{2A58E183-B4B8-4BF7-B208-52458B993F2B}"/>
    <cellStyle name="Vírgula 8 8 3 3 2" xfId="40951" xr:uid="{636912EA-0BC1-4234-921A-9D1E6BB2E9CC}"/>
    <cellStyle name="Vírgula 8 8 3 4" xfId="23867" xr:uid="{F9EA001C-FC22-4214-B5A1-5F2E4F1EF0A4}"/>
    <cellStyle name="Vírgula 8 8 3 4 2" xfId="44202" xr:uid="{DB268C73-B335-45CF-8CD7-CC36C537E886}"/>
    <cellStyle name="Vírgula 8 8 3 5" xfId="14201" xr:uid="{4E191EE1-0EF9-461C-8E12-E180BCE87243}"/>
    <cellStyle name="Vírgula 8 8 3 5 2" xfId="34542" xr:uid="{8BC9551F-6315-452A-B063-5A7AA40C4DE6}"/>
    <cellStyle name="Vírgula 8 8 3 6" xfId="10323" xr:uid="{03DFAA70-FA01-4EE6-981B-68FA6D2848E9}"/>
    <cellStyle name="Vírgula 8 8 3 6 2" xfId="30666" xr:uid="{B48D3288-3F70-42BD-B362-950A6A5C6E01}"/>
    <cellStyle name="Vírgula 8 8 3 7" xfId="27172" xr:uid="{5104CE04-61FD-4425-AE32-044D7B50F6D2}"/>
    <cellStyle name="Vírgula 8 8 4" xfId="7988" xr:uid="{DAE224B4-C892-4A9A-A5AB-315F870A1F65}"/>
    <cellStyle name="Vírgula 8 8 4 2" xfId="18273" xr:uid="{354496D0-F6AD-4782-98B6-1241E3475676}"/>
    <cellStyle name="Vírgula 8 8 4 2 2" xfId="38613" xr:uid="{06CFBB52-5DAC-49FF-8489-D9A159F47752}"/>
    <cellStyle name="Vírgula 8 8 4 3" xfId="21775" xr:uid="{90C3C4ED-B37A-4A35-919A-95C002BC773F}"/>
    <cellStyle name="Vírgula 8 8 4 3 2" xfId="42114" xr:uid="{E925E2FE-121A-46FD-A933-7BC990A948DB}"/>
    <cellStyle name="Vírgula 8 8 4 4" xfId="25030" xr:uid="{05707248-01EA-4388-BFB5-0ACAD88F7C49}"/>
    <cellStyle name="Vírgula 8 8 4 4 2" xfId="45365" xr:uid="{9E1C2A8B-3140-4F9D-90A3-01D6C0F9DD7D}"/>
    <cellStyle name="Vírgula 8 8 4 5" xfId="15365" xr:uid="{30462341-E0FF-43CE-877B-B4D0E37309D0}"/>
    <cellStyle name="Vírgula 8 8 4 5 2" xfId="35705" xr:uid="{C3ED83EC-D5D8-41F0-BA63-EA2331598E5D}"/>
    <cellStyle name="Vírgula 8 8 4 6" xfId="11486" xr:uid="{7907A122-7E30-421D-8478-15983D2D9D98}"/>
    <cellStyle name="Vírgula 8 8 4 6 2" xfId="31829" xr:uid="{EF6619EC-0B6E-4313-BE57-C3044FEAB4A2}"/>
    <cellStyle name="Vírgula 8 8 4 7" xfId="28335" xr:uid="{F1FE34FB-556E-4F2E-BB31-F64D1FEA7B63}"/>
    <cellStyle name="Vírgula 8 8 5" xfId="13055" xr:uid="{71197639-2C12-44F7-945D-0BB4682E701B}"/>
    <cellStyle name="Vírgula 8 8 5 2" xfId="33396" xr:uid="{D32A0E5B-81B0-4C21-AD6A-125214BB5094}"/>
    <cellStyle name="Vírgula 8 8 6" xfId="15952" xr:uid="{6FA73CD9-EF44-4D29-A559-44271C90EB1A}"/>
    <cellStyle name="Vírgula 8 8 6 2" xfId="36292" xr:uid="{E576FBD6-5339-4765-B0D6-45876126E974}"/>
    <cellStyle name="Vírgula 8 8 7" xfId="18866" xr:uid="{6C4006BC-F75E-4F1F-8D87-49158CF159B9}"/>
    <cellStyle name="Vírgula 8 8 7 2" xfId="39206" xr:uid="{574B8672-4722-4EA4-B229-1E84D1D4847D}"/>
    <cellStyle name="Vírgula 8 8 8" xfId="19454" xr:uid="{FF6D3054-205E-411F-9B74-711EA9D74D46}"/>
    <cellStyle name="Vírgula 8 8 8 2" xfId="39793" xr:uid="{BD8BDDF5-1AED-4309-8118-C1587605DE6C}"/>
    <cellStyle name="Vírgula 8 8 9" xfId="22709" xr:uid="{EC59C484-D986-490A-8394-28D05F63EB09}"/>
    <cellStyle name="Vírgula 8 8 9 2" xfId="43044" xr:uid="{42BE56FB-4F6A-4016-B100-D33C991FE430}"/>
    <cellStyle name="Vírgula 8 9" xfId="1774" xr:uid="{EEDF6C11-E030-403E-B515-B87E7263B793}"/>
    <cellStyle name="Vírgula 8 9 2" xfId="6963" xr:uid="{A1F776BC-0B76-45B9-85D5-44CA7FDCC641}"/>
    <cellStyle name="Vírgula 8 9 2 2" xfId="17249" xr:uid="{E95D87DD-37D2-47C1-9AAF-8A1BFE5FD109}"/>
    <cellStyle name="Vírgula 8 9 2 2 2" xfId="37589" xr:uid="{8B388983-D5BD-401E-A1DD-DA129B42F4B7}"/>
    <cellStyle name="Vírgula 8 9 2 3" xfId="20751" xr:uid="{5C4F585A-A74B-4FE6-BADB-AE4658619D25}"/>
    <cellStyle name="Vírgula 8 9 2 3 2" xfId="41090" xr:uid="{9B708601-1EE3-4D7F-B653-14A3F0192269}"/>
    <cellStyle name="Vírgula 8 9 2 4" xfId="24006" xr:uid="{22003946-1194-4211-B7EC-8194A7E472A7}"/>
    <cellStyle name="Vírgula 8 9 2 4 2" xfId="44341" xr:uid="{CD5D0594-F420-4C10-8ECB-DD5DE49A1EE9}"/>
    <cellStyle name="Vírgula 8 9 2 5" xfId="14340" xr:uid="{768D6AD3-404C-4E09-92C0-CBBF24DE1C09}"/>
    <cellStyle name="Vírgula 8 9 2 5 2" xfId="34681" xr:uid="{4FC174BE-F0A4-4D56-8C3B-10D5F7498372}"/>
    <cellStyle name="Vírgula 8 9 2 6" xfId="10462" xr:uid="{C9F367DB-81EB-4E5C-B6E6-C7FEE0724EC1}"/>
    <cellStyle name="Vírgula 8 9 2 6 2" xfId="30805" xr:uid="{E3764F3E-2477-415C-880D-26CCE102F9AF}"/>
    <cellStyle name="Vírgula 8 9 2 7" xfId="27311" xr:uid="{4AC860B8-83A5-4018-A729-5E7A9AB7FB1B}"/>
    <cellStyle name="Vírgula 8 9 3" xfId="16091" xr:uid="{E9DA0250-D5C4-4051-8A27-2A445425357C}"/>
    <cellStyle name="Vírgula 8 9 3 2" xfId="36431" xr:uid="{4E25DA66-ABE4-4673-A8DC-ACDBADC86B9B}"/>
    <cellStyle name="Vírgula 8 9 4" xfId="19593" xr:uid="{113911A2-5B63-4C9D-A7C2-0C6626C9D13A}"/>
    <cellStyle name="Vírgula 8 9 4 2" xfId="39932" xr:uid="{8118F81B-9784-46AB-9452-9DAA77269D5C}"/>
    <cellStyle name="Vírgula 8 9 5" xfId="22848" xr:uid="{DAF76A6C-D727-4EB8-87D4-D16460BFEC38}"/>
    <cellStyle name="Vírgula 8 9 5 2" xfId="43183" xr:uid="{ACCB125C-04DE-4BBF-A5AB-ECA3286E01AE}"/>
    <cellStyle name="Vírgula 8 9 6" xfId="12579" xr:uid="{2780B1CE-E39B-47D7-BB8C-D5F89896B55D}"/>
    <cellStyle name="Vírgula 8 9 6 2" xfId="32920" xr:uid="{375E9C32-B320-42AE-9364-935647E7288D}"/>
    <cellStyle name="Vírgula 8 9 7" xfId="9304" xr:uid="{74E4EC6C-A36C-455D-9926-8FCB736A1EAC}"/>
    <cellStyle name="Vírgula 8 9 7 2" xfId="29647" xr:uid="{859FA373-B37E-443E-A5DB-7B6E92F793B8}"/>
    <cellStyle name="Vírgula 8 9 8" xfId="26153" xr:uid="{DCF14C68-B890-40C1-86BD-31C47A4766DF}"/>
    <cellStyle name="Vírgula 8 9 9" xfId="5805" xr:uid="{790F2E13-43E8-4B24-9EF7-A7B5613BE340}"/>
    <cellStyle name="Vírgula 9" xfId="105" xr:uid="{73915EA1-9C1A-48C5-91D0-573A0A87D6E9}"/>
    <cellStyle name="Vírgula 9 10" xfId="1776" xr:uid="{D734F125-517F-4B26-BB91-278D1A48CB69}"/>
    <cellStyle name="Vírgula 9 10 10" xfId="12400" xr:uid="{85DC6218-AF34-45D3-85F6-99504FEDB2CF}"/>
    <cellStyle name="Vírgula 9 10 10 2" xfId="32741" xr:uid="{3BD91C32-F7ED-4F9C-B50B-D663352882C0}"/>
    <cellStyle name="Vírgula 9 10 11" xfId="9139" xr:uid="{0EEB40D3-7C4E-4FC6-B978-38A630CBB334}"/>
    <cellStyle name="Vírgula 9 10 11 2" xfId="29482" xr:uid="{9A95FADB-AF5C-40C2-8225-E21AABE3C1DF}"/>
    <cellStyle name="Vírgula 9 10 12" xfId="25988" xr:uid="{50374CAB-CD28-42B8-852F-03CF8F3366EC}"/>
    <cellStyle name="Vírgula 9 10 13" xfId="5649" xr:uid="{9A1649B4-6886-43CD-AEB5-95696E0A96C4}"/>
    <cellStyle name="Vírgula 9 10 2" xfId="6221" xr:uid="{67EBD185-3D2E-489B-9831-AC4E40320BAD}"/>
    <cellStyle name="Vírgula 9 10 2 2" xfId="7379" xr:uid="{AB97BFCE-2357-48B5-B430-891561D64751}"/>
    <cellStyle name="Vírgula 9 10 2 2 2" xfId="17665" xr:uid="{ED2A696D-389D-4329-9C47-DED2B5333C28}"/>
    <cellStyle name="Vírgula 9 10 2 2 2 2" xfId="38005" xr:uid="{61D76E88-4D61-46BF-97E6-5B38EC242BBE}"/>
    <cellStyle name="Vírgula 9 10 2 2 3" xfId="21167" xr:uid="{D6503276-5B43-45E5-BFB4-C60282B0C938}"/>
    <cellStyle name="Vírgula 9 10 2 2 3 2" xfId="41506" xr:uid="{17F9EF6D-9C70-4D51-8FC2-3CBD17875D72}"/>
    <cellStyle name="Vírgula 9 10 2 2 4" xfId="24422" xr:uid="{61BB61BA-B345-44D9-B364-6E2F44E2EFAB}"/>
    <cellStyle name="Vírgula 9 10 2 2 4 2" xfId="44757" xr:uid="{3BBDF230-D650-4238-A877-028559852DA4}"/>
    <cellStyle name="Vírgula 9 10 2 2 5" xfId="14756" xr:uid="{0FFB7C88-CC56-48BB-86EB-E555D32E1F8E}"/>
    <cellStyle name="Vírgula 9 10 2 2 5 2" xfId="35097" xr:uid="{F69EACCD-6EA5-4098-A87C-AD92BDE54B9F}"/>
    <cellStyle name="Vírgula 9 10 2 2 6" xfId="10878" xr:uid="{16C67AA3-2D7C-43F1-8AD4-4736654E1C65}"/>
    <cellStyle name="Vírgula 9 10 2 2 6 2" xfId="31221" xr:uid="{88E17634-7C7B-4E4A-87F3-78B3167EA6F8}"/>
    <cellStyle name="Vírgula 9 10 2 2 7" xfId="27727" xr:uid="{BB278BA0-C330-4834-8A1E-F3724AD6446A}"/>
    <cellStyle name="Vírgula 9 10 2 3" xfId="16507" xr:uid="{862AE0DA-2481-4A86-A5EC-B6CC43285A0C}"/>
    <cellStyle name="Vírgula 9 10 2 3 2" xfId="36847" xr:uid="{4415934B-F566-4CA6-9B89-62CB6AECCE20}"/>
    <cellStyle name="Vírgula 9 10 2 4" xfId="20009" xr:uid="{278847F8-E6E3-442D-AD87-5BF2B9DC9FEB}"/>
    <cellStyle name="Vírgula 9 10 2 4 2" xfId="40348" xr:uid="{E13A1AB9-6B03-46EF-948C-67F94018E945}"/>
    <cellStyle name="Vírgula 9 10 2 5" xfId="23264" xr:uid="{E37DFB5E-3CAB-447A-B407-7B74BBEA3BAA}"/>
    <cellStyle name="Vírgula 9 10 2 5 2" xfId="43599" xr:uid="{1A800CA0-F896-46BA-9EFA-9A1429FD36F9}"/>
    <cellStyle name="Vírgula 9 10 2 6" xfId="13598" xr:uid="{4DE19C26-A24D-4108-B031-FEFE27A94640}"/>
    <cellStyle name="Vírgula 9 10 2 6 2" xfId="33939" xr:uid="{DAD7F5AD-AD8B-4627-ACC8-EF0203B65917}"/>
    <cellStyle name="Vírgula 9 10 2 7" xfId="9720" xr:uid="{1030AF9C-FD85-4A04-AC3A-25E9828B7B3E}"/>
    <cellStyle name="Vírgula 9 10 2 7 2" xfId="30063" xr:uid="{C1FEACD5-EC41-43C4-8BCA-AE6255DB7C3F}"/>
    <cellStyle name="Vírgula 9 10 2 8" xfId="26569" xr:uid="{5FB84766-CC64-4389-8BE0-D1CC2E1FE5F4}"/>
    <cellStyle name="Vírgula 9 10 3" xfId="6798" xr:uid="{C2D328EC-D2AA-4453-9C2C-192DB1B08C26}"/>
    <cellStyle name="Vírgula 9 10 3 2" xfId="17084" xr:uid="{2E5A06CF-88E7-4A17-AF0C-43CE47B0A1BA}"/>
    <cellStyle name="Vírgula 9 10 3 2 2" xfId="37424" xr:uid="{0F939D50-F171-4C9C-A8FD-629B58DDC136}"/>
    <cellStyle name="Vírgula 9 10 3 3" xfId="20586" xr:uid="{CA19DF0B-824F-46C6-A72B-FA7107EAF990}"/>
    <cellStyle name="Vírgula 9 10 3 3 2" xfId="40925" xr:uid="{CF1DAE8C-38BC-471C-A612-A6A96C8EA67E}"/>
    <cellStyle name="Vírgula 9 10 3 4" xfId="23841" xr:uid="{4D858EB7-A1DB-4D2B-9E53-937A3182A38A}"/>
    <cellStyle name="Vírgula 9 10 3 4 2" xfId="44176" xr:uid="{C4CB924E-6C29-45BF-8F9F-A2A22353AFCB}"/>
    <cellStyle name="Vírgula 9 10 3 5" xfId="14175" xr:uid="{DABE370E-B146-4913-9EA3-2B2701321E66}"/>
    <cellStyle name="Vírgula 9 10 3 5 2" xfId="34516" xr:uid="{D31514E1-71C6-4A09-BB28-E2F75669ECD8}"/>
    <cellStyle name="Vírgula 9 10 3 6" xfId="10297" xr:uid="{B7819E2B-345E-41B0-BCA0-618AA9F08DEF}"/>
    <cellStyle name="Vírgula 9 10 3 6 2" xfId="30640" xr:uid="{E031AA67-D888-462F-B438-BD1A71C23E48}"/>
    <cellStyle name="Vírgula 9 10 3 7" xfId="27146" xr:uid="{C3506BF2-0B89-48C7-ADDA-9468D75627F5}"/>
    <cellStyle name="Vírgula 9 10 4" xfId="7962" xr:uid="{90F2AAB9-DF8F-4820-A007-BB2258396455}"/>
    <cellStyle name="Vírgula 9 10 4 2" xfId="18247" xr:uid="{0AD5D248-DA13-458E-B2B7-259CAB16586E}"/>
    <cellStyle name="Vírgula 9 10 4 2 2" xfId="38587" xr:uid="{86F54B1B-058C-48B2-8A37-32EF9F8F2B64}"/>
    <cellStyle name="Vírgula 9 10 4 3" xfId="21749" xr:uid="{F8625651-BA2B-4155-80AA-3B8822FB6C5D}"/>
    <cellStyle name="Vírgula 9 10 4 3 2" xfId="42088" xr:uid="{8CC98278-1F33-4449-9656-6581BF63DD3F}"/>
    <cellStyle name="Vírgula 9 10 4 4" xfId="25004" xr:uid="{0438232F-16FB-4D2E-9655-8BEBB925B7C0}"/>
    <cellStyle name="Vírgula 9 10 4 4 2" xfId="45339" xr:uid="{9B8EE6BF-555A-4759-A62F-527B7821953B}"/>
    <cellStyle name="Vírgula 9 10 4 5" xfId="15339" xr:uid="{D9E9C40B-D4A6-4193-B255-997322FFD8E4}"/>
    <cellStyle name="Vírgula 9 10 4 5 2" xfId="35679" xr:uid="{CB9B0EC8-5E87-4B3F-B2BC-C996B59EBDD1}"/>
    <cellStyle name="Vírgula 9 10 4 6" xfId="11460" xr:uid="{32B1DB73-63C3-4A19-AC6B-9ECBE66D8AD2}"/>
    <cellStyle name="Vírgula 9 10 4 6 2" xfId="31803" xr:uid="{DA062813-4CCC-4FFD-BF06-A503D38B64F4}"/>
    <cellStyle name="Vírgula 9 10 4 7" xfId="28309" xr:uid="{E9592C75-A632-4D8E-9440-6D359E08689E}"/>
    <cellStyle name="Vírgula 9 10 5" xfId="13029" xr:uid="{1FCA11F9-506A-427C-98AF-FF3B5EFF7E41}"/>
    <cellStyle name="Vírgula 9 10 5 2" xfId="33370" xr:uid="{7112040F-D12A-42AA-AB0E-E295C89B21E9}"/>
    <cellStyle name="Vírgula 9 10 6" xfId="15926" xr:uid="{39B42936-D059-40DA-B695-D741BA3FDD7A}"/>
    <cellStyle name="Vírgula 9 10 6 2" xfId="36266" xr:uid="{9CF8B4CF-E6A2-4C33-A3B3-2DB14F0C24D3}"/>
    <cellStyle name="Vírgula 9 10 7" xfId="18840" xr:uid="{2F0F2412-4B87-478B-B985-184856A89798}"/>
    <cellStyle name="Vírgula 9 10 7 2" xfId="39180" xr:uid="{B1FB1605-59AB-4658-A0AA-5B88AF6D0681}"/>
    <cellStyle name="Vírgula 9 10 8" xfId="19428" xr:uid="{78F5232A-9405-4EC4-935F-5F6AB5DBA2FD}"/>
    <cellStyle name="Vírgula 9 10 8 2" xfId="39767" xr:uid="{8BABAA35-2AC9-40B2-B14F-0C319BEDECB5}"/>
    <cellStyle name="Vírgula 9 10 9" xfId="22683" xr:uid="{5C8CFF53-A926-4761-9EEC-3ECD5CBAE541}"/>
    <cellStyle name="Vírgula 9 10 9 2" xfId="43018" xr:uid="{5304E959-CD77-44CF-8A04-9BDEC6598C05}"/>
    <cellStyle name="Vírgula 9 11" xfId="5779" xr:uid="{83F6FAC6-B677-4DBE-B027-F34E78906E48}"/>
    <cellStyle name="Vírgula 9 11 2" xfId="6937" xr:uid="{93D68072-5020-4359-A631-C9344C5F9038}"/>
    <cellStyle name="Vírgula 9 11 2 2" xfId="17223" xr:uid="{30EDF554-70EA-405E-9FDA-5FA28AC75F61}"/>
    <cellStyle name="Vírgula 9 11 2 2 2" xfId="37563" xr:uid="{8E48A046-AA2F-4751-A24F-42CA86861D31}"/>
    <cellStyle name="Vírgula 9 11 2 3" xfId="20725" xr:uid="{EFDDE210-2820-4404-B015-6B541B6E7C61}"/>
    <cellStyle name="Vírgula 9 11 2 3 2" xfId="41064" xr:uid="{F7433A4D-7B91-4903-969B-92015BF02B67}"/>
    <cellStyle name="Vírgula 9 11 2 4" xfId="23980" xr:uid="{EF24B875-E318-4337-A744-9C7D3211B9F0}"/>
    <cellStyle name="Vírgula 9 11 2 4 2" xfId="44315" xr:uid="{5B1F6E3C-A357-4417-8ADE-E7F3FC857279}"/>
    <cellStyle name="Vírgula 9 11 2 5" xfId="14314" xr:uid="{343EA4CF-0E0E-4AD6-B28D-49A3488C307A}"/>
    <cellStyle name="Vírgula 9 11 2 5 2" xfId="34655" xr:uid="{D5BB10D1-6C07-4CC2-9883-09A6DDCB127F}"/>
    <cellStyle name="Vírgula 9 11 2 6" xfId="10436" xr:uid="{95F6E5D2-D62E-4B48-A0EE-5D72387FEFD7}"/>
    <cellStyle name="Vírgula 9 11 2 6 2" xfId="30779" xr:uid="{9A0F78BE-5035-4ED2-9200-46562A5A52EE}"/>
    <cellStyle name="Vírgula 9 11 2 7" xfId="27285" xr:uid="{0189B0C7-81E2-4295-9397-3FF8390B68B0}"/>
    <cellStyle name="Vírgula 9 11 3" xfId="16065" xr:uid="{E97FEF84-454E-4F64-B855-F053C6610E37}"/>
    <cellStyle name="Vírgula 9 11 3 2" xfId="36405" xr:uid="{A4404FDF-3511-414B-A55D-CE96349F61F1}"/>
    <cellStyle name="Vírgula 9 11 4" xfId="19567" xr:uid="{41859B93-E307-4B8E-9AE4-EE1FA91EB671}"/>
    <cellStyle name="Vírgula 9 11 4 2" xfId="39906" xr:uid="{A67F0D97-7A62-4F45-82B9-920BF5AF5C9D}"/>
    <cellStyle name="Vírgula 9 11 5" xfId="22822" xr:uid="{ABEAB1C2-7C51-4497-93C6-08BBB1AA05BF}"/>
    <cellStyle name="Vírgula 9 11 5 2" xfId="43157" xr:uid="{D9BAD628-CA60-475B-B4DC-A82707C40F2B}"/>
    <cellStyle name="Vírgula 9 11 6" xfId="13167" xr:uid="{29CCD53C-87BE-47CE-BC5B-A2B24C968729}"/>
    <cellStyle name="Vírgula 9 11 6 2" xfId="33508" xr:uid="{AE503207-472E-4B79-8ABE-646E93B545F8}"/>
    <cellStyle name="Vírgula 9 11 7" xfId="9278" xr:uid="{F3D1E0E8-E337-4D28-BD5E-761C5817589C}"/>
    <cellStyle name="Vírgula 9 11 7 2" xfId="29621" xr:uid="{17B9C769-5EA5-4190-B837-82EE1E992853}"/>
    <cellStyle name="Vírgula 9 11 8" xfId="26127" xr:uid="{FD0CE75A-53B1-4E60-BD19-8C17837E97B9}"/>
    <cellStyle name="Vírgula 9 12" xfId="6356" xr:uid="{DF38313C-8A76-4CB6-893A-E428BA52BDB6}"/>
    <cellStyle name="Vírgula 9 12 2" xfId="16642" xr:uid="{74B836B8-0C64-45EA-A2D0-8C884B6E7A1C}"/>
    <cellStyle name="Vírgula 9 12 2 2" xfId="36982" xr:uid="{61FC5486-39F1-4C49-896F-9477ADFCFF15}"/>
    <cellStyle name="Vírgula 9 12 3" xfId="20144" xr:uid="{425A30CA-3420-41C2-B550-A65D9FC673A3}"/>
    <cellStyle name="Vírgula 9 12 3 2" xfId="40483" xr:uid="{103CF82E-6271-41FB-BE78-F72C7CE776DB}"/>
    <cellStyle name="Vírgula 9 12 4" xfId="23399" xr:uid="{9DBE10A7-7090-4DB6-B12C-3C1AADDBC8AF}"/>
    <cellStyle name="Vírgula 9 12 4 2" xfId="43734" xr:uid="{17741E73-C434-4A46-AAF5-C59145866ACC}"/>
    <cellStyle name="Vírgula 9 12 5" xfId="13733" xr:uid="{DC5C16A0-E3F4-4611-83F8-8BA9C37BC4D0}"/>
    <cellStyle name="Vírgula 9 12 5 2" xfId="34074" xr:uid="{0FE8FCD1-DF00-4616-9B9A-39F18B22D816}"/>
    <cellStyle name="Vírgula 9 12 6" xfId="9855" xr:uid="{C01AB85C-0560-4F1A-86F5-B2B138010C37}"/>
    <cellStyle name="Vírgula 9 12 6 2" xfId="30198" xr:uid="{10F521D4-BA40-4AB1-8254-20DC88E15DBD}"/>
    <cellStyle name="Vírgula 9 12 7" xfId="26704" xr:uid="{E8201B41-72C8-4645-8659-1F665D7A0BE0}"/>
    <cellStyle name="Vírgula 9 13" xfId="7520" xr:uid="{67A4E3F2-0B99-4E72-A0B6-A74B054CEF50}"/>
    <cellStyle name="Vírgula 9 13 2" xfId="17805" xr:uid="{D4A5E899-81C0-439A-B4C4-4ED87BB1175E}"/>
    <cellStyle name="Vírgula 9 13 2 2" xfId="38145" xr:uid="{A2411CEC-001E-43B1-86DE-02E681BE758B}"/>
    <cellStyle name="Vírgula 9 13 3" xfId="21307" xr:uid="{72FDFB48-9A58-4506-9069-367B9C23A898}"/>
    <cellStyle name="Vírgula 9 13 3 2" xfId="41646" xr:uid="{5D5D399B-9E89-494D-A522-0D53240C452F}"/>
    <cellStyle name="Vírgula 9 13 4" xfId="24562" xr:uid="{0F4C39AF-B862-46EA-83A1-B25E3F324C77}"/>
    <cellStyle name="Vírgula 9 13 4 2" xfId="44897" xr:uid="{9F5FE92A-3E00-4FAD-9591-85EC4E22A71A}"/>
    <cellStyle name="Vírgula 9 13 5" xfId="14897" xr:uid="{8B0439E7-0809-418F-A8E7-951CD87E0CEF}"/>
    <cellStyle name="Vírgula 9 13 5 2" xfId="35237" xr:uid="{C3CAED97-A5E8-4EFB-A7C2-12F39DBE793D}"/>
    <cellStyle name="Vírgula 9 13 6" xfId="11018" xr:uid="{3F9FCB48-8548-4564-AB2A-76A88F1D4962}"/>
    <cellStyle name="Vírgula 9 13 6 2" xfId="31361" xr:uid="{509BF4D0-82E9-49E6-9FAD-859EE044263D}"/>
    <cellStyle name="Vírgula 9 13 7" xfId="27867" xr:uid="{A537A8A1-FB95-48BA-AB1D-187B4B3B526F}"/>
    <cellStyle name="Vírgula 9 14" xfId="8379" xr:uid="{B5BC7C2C-B9EF-4C5B-9F88-C4B86FF13D49}"/>
    <cellStyle name="Vírgula 9 14 2" xfId="22166" xr:uid="{33D006CE-234F-46B1-BECC-E029258731B1}"/>
    <cellStyle name="Vírgula 9 14 2 2" xfId="42502" xr:uid="{9B8FDEC4-99BC-4390-B76F-3FF50EA36090}"/>
    <cellStyle name="Vírgula 9 14 3" xfId="25418" xr:uid="{4BFD14D5-B7F0-4D52-8572-06EA960D2C66}"/>
    <cellStyle name="Vírgula 9 14 3 2" xfId="45753" xr:uid="{A905AF0F-E0C5-4DC1-8258-346AC30C0DAA}"/>
    <cellStyle name="Vírgula 9 14 4" xfId="12598" xr:uid="{36245ED0-E965-4B68-9745-2ED2A089BB08}"/>
    <cellStyle name="Vírgula 9 14 4 2" xfId="32939" xr:uid="{247A2241-52C7-44C3-A4A7-FDE8EDC18005}"/>
    <cellStyle name="Vírgula 9 14 5" xfId="11875" xr:uid="{3CB997B1-A638-4915-89CE-85800BDBFF25}"/>
    <cellStyle name="Vírgula 9 14 5 2" xfId="32217" xr:uid="{C2E14446-CDF7-42F7-BD56-03A3876CF4BC}"/>
    <cellStyle name="Vírgula 9 14 6" xfId="28723" xr:uid="{E45862F8-72AF-4AF3-A2E8-3D79ADF7026C}"/>
    <cellStyle name="Vírgula 9 15" xfId="8435" xr:uid="{550CFAEB-92B3-4ECE-9860-FFC825DF9202}"/>
    <cellStyle name="Vírgula 9 15 2" xfId="15484" xr:uid="{A3C60FB2-9B6D-427F-991F-71B00E6E6D96}"/>
    <cellStyle name="Vírgula 9 15 2 2" xfId="35824" xr:uid="{84C96C00-C5B1-463A-B874-96D23ED2793B}"/>
    <cellStyle name="Vírgula 9 15 3" xfId="28778" xr:uid="{53C552D4-B190-42BC-8146-2A9DB529DD98}"/>
    <cellStyle name="Vírgula 9 16" xfId="18398" xr:uid="{C6555A42-64D9-4C78-A476-37A87C0ADBE8}"/>
    <cellStyle name="Vírgula 9 16 2" xfId="38738" xr:uid="{BF7D7225-7FE1-47DE-B6A8-7AC9C9D84E8C}"/>
    <cellStyle name="Vírgula 9 17" xfId="18986" xr:uid="{72F8AD56-3129-48C1-970B-240EBB7DD8BC}"/>
    <cellStyle name="Vírgula 9 17 2" xfId="39325" xr:uid="{A2838BC0-6FE2-4FA7-AEAC-89EB6CC907E4}"/>
    <cellStyle name="Vírgula 9 18" xfId="22241" xr:uid="{15DF4017-2637-4E9D-B728-ACE98069EF86}"/>
    <cellStyle name="Vírgula 9 18 2" xfId="42576" xr:uid="{C786AF77-F8A5-4A83-A306-4A1343D6FE70}"/>
    <cellStyle name="Vírgula 9 19" xfId="11958" xr:uid="{6E87CE31-024C-4D0B-B0A7-5EDF01F0744F}"/>
    <cellStyle name="Vírgula 9 19 2" xfId="32299" xr:uid="{B422AAB9-79F7-4D0D-B914-E3B1E6337C71}"/>
    <cellStyle name="Vírgula 9 2" xfId="358" xr:uid="{DD8E2503-F2DE-4727-9B93-5509491C39F1}"/>
    <cellStyle name="Vírgula 9 2 10" xfId="6367" xr:uid="{F51F9B7A-5C4E-4687-98E4-1FC0E9AFD77A}"/>
    <cellStyle name="Vírgula 9 2 10 2" xfId="16653" xr:uid="{19B5B50E-2349-429B-A743-7AE9C0351CF2}"/>
    <cellStyle name="Vírgula 9 2 10 2 2" xfId="36993" xr:uid="{E773CB80-D2AA-4B09-B67F-D89673ADA196}"/>
    <cellStyle name="Vírgula 9 2 10 3" xfId="20155" xr:uid="{546D559E-ED52-43F0-B075-752C2D93490B}"/>
    <cellStyle name="Vírgula 9 2 10 3 2" xfId="40494" xr:uid="{4C6AAAAA-FDAF-4F61-A347-66552195F77A}"/>
    <cellStyle name="Vírgula 9 2 10 4" xfId="23410" xr:uid="{8522D6C3-A440-499B-A7D7-4BF2E9B4AD0A}"/>
    <cellStyle name="Vírgula 9 2 10 4 2" xfId="43745" xr:uid="{BD318109-F637-45FE-A3F9-D245AE7C48FD}"/>
    <cellStyle name="Vírgula 9 2 10 5" xfId="13744" xr:uid="{2BE0E4E2-64E6-45B5-978A-A9D9229BA57E}"/>
    <cellStyle name="Vírgula 9 2 10 5 2" xfId="34085" xr:uid="{DADE61E1-3B1A-4B27-BE4B-79235171C2CB}"/>
    <cellStyle name="Vírgula 9 2 10 6" xfId="9866" xr:uid="{2B4873F5-0BFA-4B81-A64D-77ED6FC297F3}"/>
    <cellStyle name="Vírgula 9 2 10 6 2" xfId="30209" xr:uid="{DE020BDC-3E69-425D-94E6-04D22EA73917}"/>
    <cellStyle name="Vírgula 9 2 10 7" xfId="26715" xr:uid="{C8451BB8-4522-4E09-995D-42287C96AAAA}"/>
    <cellStyle name="Vírgula 9 2 11" xfId="7531" xr:uid="{3D42D4CA-9441-4D26-AA7B-F04C67CA1668}"/>
    <cellStyle name="Vírgula 9 2 11 2" xfId="17816" xr:uid="{1B2C4DFC-5FF3-4AD1-97CE-08B5318409C9}"/>
    <cellStyle name="Vírgula 9 2 11 2 2" xfId="38156" xr:uid="{BA728B6B-96B2-4AB7-A02E-E32B3AC9AE0B}"/>
    <cellStyle name="Vírgula 9 2 11 3" xfId="21318" xr:uid="{36BAD994-9FC6-49BF-9AEB-1D060A5D05C3}"/>
    <cellStyle name="Vírgula 9 2 11 3 2" xfId="41657" xr:uid="{5E59459D-F0E5-4B40-A934-E7FC194A0FE7}"/>
    <cellStyle name="Vírgula 9 2 11 4" xfId="24573" xr:uid="{D413149F-20CB-4531-A818-3474070D9B40}"/>
    <cellStyle name="Vírgula 9 2 11 4 2" xfId="44908" xr:uid="{5D865690-404F-451D-8517-B97278D4ABF9}"/>
    <cellStyle name="Vírgula 9 2 11 5" xfId="14908" xr:uid="{6F0DEFE5-40D9-4373-84F1-1784A0F19909}"/>
    <cellStyle name="Vírgula 9 2 11 5 2" xfId="35248" xr:uid="{B46C1E9C-319B-4857-9F31-551EFBD31F8C}"/>
    <cellStyle name="Vírgula 9 2 11 6" xfId="11029" xr:uid="{9F50D429-7D0D-4943-B1F3-92BFBE9976A5}"/>
    <cellStyle name="Vírgula 9 2 11 6 2" xfId="31372" xr:uid="{882B5541-21F5-46D1-B1A7-99D41F656984}"/>
    <cellStyle name="Vírgula 9 2 11 7" xfId="27878" xr:uid="{373F68BE-1842-474C-8C05-FAFEC0EDA5D9}"/>
    <cellStyle name="Vírgula 9 2 12" xfId="8380" xr:uid="{22FD896A-0053-444C-A18D-30E536D66148}"/>
    <cellStyle name="Vírgula 9 2 12 2" xfId="22167" xr:uid="{824F59C7-C692-45D3-9279-42629C475F73}"/>
    <cellStyle name="Vírgula 9 2 12 2 2" xfId="42503" xr:uid="{16B5193B-9728-465A-B933-4BB914BA8530}"/>
    <cellStyle name="Vírgula 9 2 12 3" xfId="25419" xr:uid="{F2EEA8E2-405E-4ECA-9CB2-3428A40F01C2}"/>
    <cellStyle name="Vírgula 9 2 12 3 2" xfId="45754" xr:uid="{79852992-5972-4DCB-BEFE-DE51F7B41DB7}"/>
    <cellStyle name="Vírgula 9 2 12 4" xfId="12607" xr:uid="{6C45BEBB-FC80-4C2E-B8AE-71D2702766ED}"/>
    <cellStyle name="Vírgula 9 2 12 4 2" xfId="32948" xr:uid="{88FEA207-07E1-4739-82E3-D5523E8EDFFA}"/>
    <cellStyle name="Vírgula 9 2 12 5" xfId="11876" xr:uid="{6B131D9D-FB19-4365-9B85-8C8E1A0E3C53}"/>
    <cellStyle name="Vírgula 9 2 12 5 2" xfId="32218" xr:uid="{C910606B-2302-47F5-BD4D-669899C806B7}"/>
    <cellStyle name="Vírgula 9 2 12 6" xfId="28724" xr:uid="{4CAB8D3E-E4DC-41D8-B993-E1696E755FAD}"/>
    <cellStyle name="Vírgula 9 2 13" xfId="8446" xr:uid="{E1F1C4AD-D9F5-48A0-9E6D-F53508588EA6}"/>
    <cellStyle name="Vírgula 9 2 13 2" xfId="15495" xr:uid="{ECD83A03-70AC-4F02-A83B-1FD262A2B513}"/>
    <cellStyle name="Vírgula 9 2 13 2 2" xfId="35835" xr:uid="{AFC196D5-4511-4212-91A5-DAFCB6E81B51}"/>
    <cellStyle name="Vírgula 9 2 13 3" xfId="28789" xr:uid="{D6B2D7C6-93A6-4757-915C-2157EE88F0C3}"/>
    <cellStyle name="Vírgula 9 2 14" xfId="18409" xr:uid="{E750994E-ADE3-4C11-8CC7-8037774D2C85}"/>
    <cellStyle name="Vírgula 9 2 14 2" xfId="38749" xr:uid="{68030353-EB37-4A02-8538-B164F9125FB0}"/>
    <cellStyle name="Vírgula 9 2 15" xfId="18997" xr:uid="{CCA37F72-0D1E-47C0-8723-842A4CBE90E9}"/>
    <cellStyle name="Vírgula 9 2 15 2" xfId="39336" xr:uid="{42E1D0C9-27A1-4122-962F-82B453D450B3}"/>
    <cellStyle name="Vírgula 9 2 16" xfId="22252" xr:uid="{3519A76C-C98B-401F-9FA6-BEB6A1FD1A0D}"/>
    <cellStyle name="Vírgula 9 2 16 2" xfId="42587" xr:uid="{E1A6D975-E386-41D1-B3EE-BEB52A9B0526}"/>
    <cellStyle name="Vírgula 9 2 17" xfId="11969" xr:uid="{2E62B3EF-FD34-45F9-B974-484330986E02}"/>
    <cellStyle name="Vírgula 9 2 17 2" xfId="32310" xr:uid="{CB2C6443-2C5C-4CEA-B5BF-4FED264A3483}"/>
    <cellStyle name="Vírgula 9 2 18" xfId="8708" xr:uid="{0495F487-4763-4EB2-ABB2-FBCBEACCB500}"/>
    <cellStyle name="Vírgula 9 2 18 2" xfId="29051" xr:uid="{E82E4553-B3EE-469E-AA70-013B58689FF7}"/>
    <cellStyle name="Vírgula 9 2 19" xfId="25553" xr:uid="{968FCD5F-18D5-4275-B013-E2F97E083F39}"/>
    <cellStyle name="Vírgula 9 2 2" xfId="1174" xr:uid="{26790558-E3DE-473E-B295-9D9275539C93}"/>
    <cellStyle name="Vírgula 9 2 2 10" xfId="7544" xr:uid="{F7D78EC9-1418-4FDA-9E79-9D53A794D3EA}"/>
    <cellStyle name="Vírgula 9 2 2 10 2" xfId="17829" xr:uid="{98A7757D-6689-4656-8ACD-653E5EFC3BAB}"/>
    <cellStyle name="Vírgula 9 2 2 10 2 2" xfId="38169" xr:uid="{59A01EB5-38C2-4749-9221-EF930A2D19B1}"/>
    <cellStyle name="Vírgula 9 2 2 10 3" xfId="21331" xr:uid="{822FFA78-553C-4A6A-AB3A-3FECE2C0DCA9}"/>
    <cellStyle name="Vírgula 9 2 2 10 3 2" xfId="41670" xr:uid="{970B31AC-4663-42FF-94B6-248133454DA3}"/>
    <cellStyle name="Vírgula 9 2 2 10 4" xfId="24586" xr:uid="{E7ACA364-93BC-4DBD-88E5-ED025A229882}"/>
    <cellStyle name="Vírgula 9 2 2 10 4 2" xfId="44921" xr:uid="{5338F59F-0615-45AD-87B4-0D1086D7D2D5}"/>
    <cellStyle name="Vírgula 9 2 2 10 5" xfId="14921" xr:uid="{6E5AA7E1-3F93-4868-A51D-33A89CEAD229}"/>
    <cellStyle name="Vírgula 9 2 2 10 5 2" xfId="35261" xr:uid="{010B7D32-8A0F-41B4-B47A-1A0476118E77}"/>
    <cellStyle name="Vírgula 9 2 2 10 6" xfId="11042" xr:uid="{17BA54DC-356F-4893-A8BB-A9BD3FC00731}"/>
    <cellStyle name="Vírgula 9 2 2 10 6 2" xfId="31385" xr:uid="{29C0C661-5752-47EF-AE4D-AB923722DF80}"/>
    <cellStyle name="Vírgula 9 2 2 10 7" xfId="27891" xr:uid="{A77ADB55-4F46-4DE4-83BF-D8A23E201352}"/>
    <cellStyle name="Vírgula 9 2 2 11" xfId="8381" xr:uid="{1D50637E-3E72-49BF-A993-461FBFB8BD1B}"/>
    <cellStyle name="Vírgula 9 2 2 11 2" xfId="22168" xr:uid="{FE1AE464-B21E-4B61-AA46-EE29F219704D}"/>
    <cellStyle name="Vírgula 9 2 2 11 2 2" xfId="42504" xr:uid="{1DC39AA3-1ECF-4FAF-A8E1-C14618CE1E44}"/>
    <cellStyle name="Vírgula 9 2 2 11 3" xfId="25420" xr:uid="{2D1BBF6A-9545-42FC-BC6D-758D031D3AEC}"/>
    <cellStyle name="Vírgula 9 2 2 11 3 2" xfId="45755" xr:uid="{EBFE1DEF-BED5-4C57-B5D6-1DB2CFB3C1CC}"/>
    <cellStyle name="Vírgula 9 2 2 11 4" xfId="12618" xr:uid="{BE6F64DD-1E0B-4B47-98B8-4DE6B9578FF4}"/>
    <cellStyle name="Vírgula 9 2 2 11 4 2" xfId="32959" xr:uid="{99FC1C70-BED1-4375-B5CB-E58626795AAE}"/>
    <cellStyle name="Vírgula 9 2 2 11 5" xfId="11877" xr:uid="{ADCA1366-5FA8-48E7-8B81-160C66999B43}"/>
    <cellStyle name="Vírgula 9 2 2 11 5 2" xfId="32219" xr:uid="{0A183B6F-C5F4-47EB-8EE8-6BC3DB337448}"/>
    <cellStyle name="Vírgula 9 2 2 11 6" xfId="28725" xr:uid="{BFD38056-BDA9-4E2C-B29C-40CD89AD49FD}"/>
    <cellStyle name="Vírgula 9 2 2 12" xfId="8459" xr:uid="{728FEF9C-B278-4BEB-A4B1-A2190544962C}"/>
    <cellStyle name="Vírgula 9 2 2 12 2" xfId="15508" xr:uid="{48EB0B00-A1F5-4238-A58D-B82F2EAF561E}"/>
    <cellStyle name="Vírgula 9 2 2 12 2 2" xfId="35848" xr:uid="{85CA260F-2EC3-4D45-987D-5EFD44217373}"/>
    <cellStyle name="Vírgula 9 2 2 12 3" xfId="28802" xr:uid="{3079D7E7-9620-440B-96B6-260E89947915}"/>
    <cellStyle name="Vírgula 9 2 2 13" xfId="18422" xr:uid="{A69A672D-3A0F-4D49-94BC-C2751A64220A}"/>
    <cellStyle name="Vírgula 9 2 2 13 2" xfId="38762" xr:uid="{88F5955A-F94D-41E5-9B47-AFB83987A071}"/>
    <cellStyle name="Vírgula 9 2 2 14" xfId="19010" xr:uid="{A52D5B7D-5C9E-4FBF-B9CE-FA529F6F18D6}"/>
    <cellStyle name="Vírgula 9 2 2 14 2" xfId="39349" xr:uid="{D7B5E537-BDFC-41E4-BA68-EEAF7AF8EDFF}"/>
    <cellStyle name="Vírgula 9 2 2 15" xfId="22265" xr:uid="{699FBFA9-138D-4731-A43E-2989018F54DB}"/>
    <cellStyle name="Vírgula 9 2 2 15 2" xfId="42600" xr:uid="{197E8D16-0BA9-4B59-93DC-5BED10B04974}"/>
    <cellStyle name="Vírgula 9 2 2 16" xfId="11982" xr:uid="{94877CA1-832B-48B1-A390-DCF565987D8A}"/>
    <cellStyle name="Vírgula 9 2 2 16 2" xfId="32323" xr:uid="{7B49A7BC-679B-4838-B04A-C432E2235C28}"/>
    <cellStyle name="Vírgula 9 2 2 17" xfId="8721" xr:uid="{C29D72E7-BB11-467E-B837-EC82AB454C7F}"/>
    <cellStyle name="Vírgula 9 2 2 17 2" xfId="29064" xr:uid="{834451C7-B323-44F2-84C8-5B79D64C6ECA}"/>
    <cellStyle name="Vírgula 9 2 2 18" xfId="25566" xr:uid="{5B93B384-9EDF-464D-BB6B-982BDE493EBB}"/>
    <cellStyle name="Vírgula 9 2 2 19" xfId="45834" xr:uid="{ED7FF521-C2DF-4768-980B-AF76873DD751}"/>
    <cellStyle name="Vírgula 9 2 2 2" xfId="4056" xr:uid="{A250B2A1-F2BB-4484-8D14-B7D3B638F530}"/>
    <cellStyle name="Vírgula 9 2 2 2 10" xfId="8382" xr:uid="{9B48A2EC-60AA-455A-A98C-177F21C85676}"/>
    <cellStyle name="Vírgula 9 2 2 2 10 2" xfId="22169" xr:uid="{2EC4709F-B175-40E0-8DF2-0163B05771E4}"/>
    <cellStyle name="Vírgula 9 2 2 2 10 2 2" xfId="42505" xr:uid="{9FA763F1-9B31-4A1C-B863-409DB2F8251D}"/>
    <cellStyle name="Vírgula 9 2 2 2 10 3" xfId="25421" xr:uid="{0BB9D73E-BAE7-4C72-B116-D3C5BA098D84}"/>
    <cellStyle name="Vírgula 9 2 2 2 10 3 2" xfId="45756" xr:uid="{25C176EF-43C3-4398-94A2-AE42E3C3C50F}"/>
    <cellStyle name="Vírgula 9 2 2 2 10 4" xfId="12641" xr:uid="{38B14C61-16BE-464F-87FF-85F76D73138D}"/>
    <cellStyle name="Vírgula 9 2 2 2 10 4 2" xfId="32982" xr:uid="{D7F3E061-066B-4C58-B8CA-A12833356526}"/>
    <cellStyle name="Vírgula 9 2 2 2 10 5" xfId="11878" xr:uid="{9B0F905E-9BDD-4570-A547-F821C4E56469}"/>
    <cellStyle name="Vírgula 9 2 2 2 10 5 2" xfId="32220" xr:uid="{27E1F26D-154E-462C-8A75-DCE10B645922}"/>
    <cellStyle name="Vírgula 9 2 2 2 10 6" xfId="28726" xr:uid="{FCC23E34-9CFA-4438-AFDF-5657DD248C09}"/>
    <cellStyle name="Vírgula 9 2 2 2 11" xfId="8487" xr:uid="{F3AF71D6-C05B-49AC-BDD7-BA9E7E2EAF9A}"/>
    <cellStyle name="Vírgula 9 2 2 2 11 2" xfId="15536" xr:uid="{1F35792E-D6B7-4F5A-9664-E27B21741081}"/>
    <cellStyle name="Vírgula 9 2 2 2 11 2 2" xfId="35876" xr:uid="{D715850F-8887-4E44-BBFF-FD2612A35074}"/>
    <cellStyle name="Vírgula 9 2 2 2 11 3" xfId="28830" xr:uid="{C60B5D29-7257-405D-9680-E4FCBC5462D4}"/>
    <cellStyle name="Vírgula 9 2 2 2 12" xfId="18450" xr:uid="{D120F134-506B-4993-82C8-C490FA0686BF}"/>
    <cellStyle name="Vírgula 9 2 2 2 12 2" xfId="38790" xr:uid="{DDE4A24D-DE1C-4100-9C97-DA55248B868B}"/>
    <cellStyle name="Vírgula 9 2 2 2 13" xfId="19038" xr:uid="{8798D383-DD21-4EC6-B6AE-BB2F2F1553CC}"/>
    <cellStyle name="Vírgula 9 2 2 2 13 2" xfId="39377" xr:uid="{27551D93-0160-4FF7-AD62-9AD8C7F9C050}"/>
    <cellStyle name="Vírgula 9 2 2 2 14" xfId="22293" xr:uid="{ED1C6524-1BC3-4620-AC3C-EF6BECD13CEA}"/>
    <cellStyle name="Vírgula 9 2 2 2 14 2" xfId="42628" xr:uid="{F340495B-4025-46C3-9307-3EA8A3107685}"/>
    <cellStyle name="Vírgula 9 2 2 2 15" xfId="12010" xr:uid="{366B3105-6D24-46AF-845C-8DE0C77B2C8D}"/>
    <cellStyle name="Vírgula 9 2 2 2 15 2" xfId="32351" xr:uid="{B299FCDD-88ED-4E37-9757-0320340F2ABD}"/>
    <cellStyle name="Vírgula 9 2 2 2 16" xfId="8749" xr:uid="{EFFE3EE9-4F1F-44DE-9D50-236D67FB5A3A}"/>
    <cellStyle name="Vírgula 9 2 2 2 16 2" xfId="29092" xr:uid="{63490A28-1339-4DB6-A485-193FEA37DC59}"/>
    <cellStyle name="Vírgula 9 2 2 2 17" xfId="25594" xr:uid="{FBDFDE49-412D-4D34-BDCE-EBE2ED09A2D5}"/>
    <cellStyle name="Vírgula 9 2 2 2 18" xfId="45862" xr:uid="{89FC1D38-87FD-4787-8840-6310661E60D1}"/>
    <cellStyle name="Vírgula 9 2 2 2 19" xfId="46348" xr:uid="{F45FDEE6-92C9-4B13-95B3-2CC869CDDB00}"/>
    <cellStyle name="Vírgula 9 2 2 2 2" xfId="4937" xr:uid="{396CC940-FC4C-41E1-9212-8D931730EB8D}"/>
    <cellStyle name="Vírgula 9 2 2 2 2 10" xfId="22408" xr:uid="{E982E69F-6666-49B5-96A7-685B8CB0C9C3}"/>
    <cellStyle name="Vírgula 9 2 2 2 2 10 2" xfId="42743" xr:uid="{02F0EACE-FCE1-48A1-BF9E-EBAA50A1B129}"/>
    <cellStyle name="Vírgula 9 2 2 2 2 11" xfId="12125" xr:uid="{4F94FB13-F286-4EE0-A547-BF67AE2B4578}"/>
    <cellStyle name="Vírgula 9 2 2 2 2 11 2" xfId="32466" xr:uid="{F4801009-E13D-457D-8D61-B36F779B1F26}"/>
    <cellStyle name="Vírgula 9 2 2 2 2 12" xfId="8864" xr:uid="{D1084728-3752-4354-9334-B4C54502A24D}"/>
    <cellStyle name="Vírgula 9 2 2 2 2 12 2" xfId="29207" xr:uid="{02900A4D-6FCE-4F9E-A4E1-A8CE51A88AA8}"/>
    <cellStyle name="Vírgula 9 2 2 2 2 13" xfId="25713" xr:uid="{0C924248-5353-451F-A169-6AF27661C7F8}"/>
    <cellStyle name="Vírgula 9 2 2 2 2 14" xfId="45922" xr:uid="{4619C1E6-75EB-4EF3-8165-6C5B8B6645C6}"/>
    <cellStyle name="Vírgula 9 2 2 2 2 15" xfId="46408" xr:uid="{99F61D3E-4B07-4594-A78D-4C88D3CCAC8B}"/>
    <cellStyle name="Vírgula 9 2 2 2 2 16" xfId="46900" xr:uid="{9059303A-1491-4450-A0AB-11C010289ACE}"/>
    <cellStyle name="Vírgula 9 2 2 2 2 17" xfId="5383" xr:uid="{C7093181-DCFC-43AA-966D-AC75B28032A8}"/>
    <cellStyle name="Vírgula 9 2 2 2 2 2" xfId="5156" xr:uid="{74A08B7C-C1CE-4A8A-9B39-24534D171F75}"/>
    <cellStyle name="Vírgula 9 2 2 2 2 2 10" xfId="12512" xr:uid="{7DF7E15A-2970-4512-91A0-6267D98C2378}"/>
    <cellStyle name="Vírgula 9 2 2 2 2 2 10 2" xfId="32853" xr:uid="{28902D0B-FEE3-4223-8296-419DC5FC2FDC}"/>
    <cellStyle name="Vírgula 9 2 2 2 2 2 11" xfId="9251" xr:uid="{877887E5-F5BD-4C72-81BB-2C308DB71D90}"/>
    <cellStyle name="Vírgula 9 2 2 2 2 2 11 2" xfId="29594" xr:uid="{A975F15A-EA1E-4845-ABED-DEEE9778C8FA}"/>
    <cellStyle name="Vírgula 9 2 2 2 2 2 12" xfId="26100" xr:uid="{665C979E-085C-4E91-868B-4C6BFAD26DCD}"/>
    <cellStyle name="Vírgula 9 2 2 2 2 2 13" xfId="46038" xr:uid="{9207DC4D-8CD6-4041-98F2-7B49219342D5}"/>
    <cellStyle name="Vírgula 9 2 2 2 2 2 14" xfId="46524" xr:uid="{5B751FF8-6E3D-4032-BA98-EFE65AD5B8A8}"/>
    <cellStyle name="Vírgula 9 2 2 2 2 2 15" xfId="47016" xr:uid="{3BF72D2D-3955-4FE6-A789-4D93D437FFD4}"/>
    <cellStyle name="Vírgula 9 2 2 2 2 2 16" xfId="5754" xr:uid="{6F3E9AD6-91E2-462A-B33A-B99AF2148616}"/>
    <cellStyle name="Vírgula 9 2 2 2 2 2 2" xfId="6333" xr:uid="{75B453E5-287D-4E69-8520-0BAA57862980}"/>
    <cellStyle name="Vírgula 9 2 2 2 2 2 2 10" xfId="46767" xr:uid="{74E9B1D6-1FC5-49B0-A793-C3117D74B0A5}"/>
    <cellStyle name="Vírgula 9 2 2 2 2 2 2 11" xfId="47259" xr:uid="{5B236AC6-D9FB-4BEA-BF4F-54FDDAB6BAE6}"/>
    <cellStyle name="Vírgula 9 2 2 2 2 2 2 2" xfId="7491" xr:uid="{B1C6AD3C-E4D7-4B28-A064-B39BDD392B19}"/>
    <cellStyle name="Vírgula 9 2 2 2 2 2 2 2 2" xfId="17777" xr:uid="{CD300A2E-95E4-4391-BF9F-83CB759D51BC}"/>
    <cellStyle name="Vírgula 9 2 2 2 2 2 2 2 2 2" xfId="38117" xr:uid="{709BA6B2-2A29-4E6E-A9B0-4885281D9598}"/>
    <cellStyle name="Vírgula 9 2 2 2 2 2 2 2 3" xfId="21279" xr:uid="{590E9156-96E1-47AC-87F1-6F0EF7A34E5F}"/>
    <cellStyle name="Vírgula 9 2 2 2 2 2 2 2 3 2" xfId="41618" xr:uid="{308335AF-A42D-4B98-B35A-3DAF8DF5C65F}"/>
    <cellStyle name="Vírgula 9 2 2 2 2 2 2 2 4" xfId="24534" xr:uid="{98EFF588-39A4-4889-8EC9-AAD6315C30D9}"/>
    <cellStyle name="Vírgula 9 2 2 2 2 2 2 2 4 2" xfId="44869" xr:uid="{31307B28-C192-491B-A332-B6829AC9F7EC}"/>
    <cellStyle name="Vírgula 9 2 2 2 2 2 2 2 5" xfId="14868" xr:uid="{5C9EA3D8-4E62-4CB1-961D-0C3B7D30DF59}"/>
    <cellStyle name="Vírgula 9 2 2 2 2 2 2 2 5 2" xfId="35209" xr:uid="{2DE246B1-5820-4FC3-A542-B236B0BB2C2D}"/>
    <cellStyle name="Vírgula 9 2 2 2 2 2 2 2 6" xfId="10990" xr:uid="{C8E57BE3-BA0E-40F7-AC7A-8618E5C85F77}"/>
    <cellStyle name="Vírgula 9 2 2 2 2 2 2 2 6 2" xfId="31333" xr:uid="{AB70CDD5-690E-4F2C-9C64-1E855580A558}"/>
    <cellStyle name="Vírgula 9 2 2 2 2 2 2 2 7" xfId="27839" xr:uid="{CB494E76-CB99-4DFA-A9F7-986CF677CB93}"/>
    <cellStyle name="Vírgula 9 2 2 2 2 2 2 3" xfId="16619" xr:uid="{98870E70-DA0D-4C57-9BA9-1FCBEA441EB4}"/>
    <cellStyle name="Vírgula 9 2 2 2 2 2 2 3 2" xfId="36959" xr:uid="{1BBCF720-51D8-4110-8609-35E4BD387CCC}"/>
    <cellStyle name="Vírgula 9 2 2 2 2 2 2 4" xfId="20121" xr:uid="{16F5EA72-AA23-4E10-978A-200E2F44E53F}"/>
    <cellStyle name="Vírgula 9 2 2 2 2 2 2 4 2" xfId="40460" xr:uid="{AD996FB2-3B5A-4986-8D0B-B4B666B9225E}"/>
    <cellStyle name="Vírgula 9 2 2 2 2 2 2 5" xfId="23376" xr:uid="{46909295-F364-4D0B-9C62-33C48E2ED0B4}"/>
    <cellStyle name="Vírgula 9 2 2 2 2 2 2 5 2" xfId="43711" xr:uid="{F5BE762F-2954-472A-A88F-765292E39286}"/>
    <cellStyle name="Vírgula 9 2 2 2 2 2 2 6" xfId="13710" xr:uid="{94A90792-1DCD-4FC2-8333-9EEBE25AE539}"/>
    <cellStyle name="Vírgula 9 2 2 2 2 2 2 6 2" xfId="34051" xr:uid="{E3871547-67BB-42FE-A577-715120E96B8C}"/>
    <cellStyle name="Vírgula 9 2 2 2 2 2 2 7" xfId="9832" xr:uid="{23DD3B0D-159A-4CF4-B5A0-2FD34FD01903}"/>
    <cellStyle name="Vírgula 9 2 2 2 2 2 2 7 2" xfId="30175" xr:uid="{BFE2B998-A6C8-4744-BAC0-923ABB9D7C78}"/>
    <cellStyle name="Vírgula 9 2 2 2 2 2 2 8" xfId="26681" xr:uid="{8EB24740-9842-4FEA-9060-97930BF857E6}"/>
    <cellStyle name="Vírgula 9 2 2 2 2 2 2 9" xfId="46281" xr:uid="{8F4FB5B9-AA0D-4109-B688-0A7DBD86935B}"/>
    <cellStyle name="Vírgula 9 2 2 2 2 2 3" xfId="6910" xr:uid="{94CD94AB-3F44-4775-8494-6D7D61921AC0}"/>
    <cellStyle name="Vírgula 9 2 2 2 2 2 3 2" xfId="17196" xr:uid="{56F07244-4814-46FD-A2A0-F7B82FC4FE37}"/>
    <cellStyle name="Vírgula 9 2 2 2 2 2 3 2 2" xfId="37536" xr:uid="{A02FA967-B706-4EE6-AE59-450ED2FBCAC5}"/>
    <cellStyle name="Vírgula 9 2 2 2 2 2 3 3" xfId="20698" xr:uid="{534F8498-DAA7-49C1-B9F1-D24B60DC1C29}"/>
    <cellStyle name="Vírgula 9 2 2 2 2 2 3 3 2" xfId="41037" xr:uid="{C05ABCEF-4904-48AB-94A0-DDFCF0B23B07}"/>
    <cellStyle name="Vírgula 9 2 2 2 2 2 3 4" xfId="23953" xr:uid="{E74E94E5-F1C0-4EC6-BA0C-B650A271617D}"/>
    <cellStyle name="Vírgula 9 2 2 2 2 2 3 4 2" xfId="44288" xr:uid="{C6C9F55C-3A6E-4D44-B379-B43C6D69C31C}"/>
    <cellStyle name="Vírgula 9 2 2 2 2 2 3 5" xfId="14287" xr:uid="{B3F03EA7-08CA-4B0B-8FD0-EAF209E4D90B}"/>
    <cellStyle name="Vírgula 9 2 2 2 2 2 3 5 2" xfId="34628" xr:uid="{6708E563-BA6C-4E24-A4E7-E2A62D6EEF84}"/>
    <cellStyle name="Vírgula 9 2 2 2 2 2 3 6" xfId="10409" xr:uid="{15CF915D-6420-4937-8AA6-6D09B0E80C7D}"/>
    <cellStyle name="Vírgula 9 2 2 2 2 2 3 6 2" xfId="30752" xr:uid="{44183621-0CD3-4513-8D94-7CC5B2EF05C0}"/>
    <cellStyle name="Vírgula 9 2 2 2 2 2 3 7" xfId="27258" xr:uid="{A1CC12CB-0F89-4B6C-913E-7468465D8391}"/>
    <cellStyle name="Vírgula 9 2 2 2 2 2 4" xfId="8074" xr:uid="{9B7E0265-798D-467B-949E-21EFFC523C67}"/>
    <cellStyle name="Vírgula 9 2 2 2 2 2 4 2" xfId="18359" xr:uid="{D2D9AEC8-4404-43B7-8700-FCD548685BF7}"/>
    <cellStyle name="Vírgula 9 2 2 2 2 2 4 2 2" xfId="38699" xr:uid="{2DA7E531-7157-4A65-BEE6-F945F20B42A9}"/>
    <cellStyle name="Vírgula 9 2 2 2 2 2 4 3" xfId="21861" xr:uid="{2C0B0FA2-F2B4-4F78-8069-75680BA3A2AE}"/>
    <cellStyle name="Vírgula 9 2 2 2 2 2 4 3 2" xfId="42200" xr:uid="{7AB57723-E774-420B-AE0B-03D69ADD9E1C}"/>
    <cellStyle name="Vírgula 9 2 2 2 2 2 4 4" xfId="25116" xr:uid="{36CE1014-A6CE-43F7-8E85-9E9412ED2B39}"/>
    <cellStyle name="Vírgula 9 2 2 2 2 2 4 4 2" xfId="45451" xr:uid="{43E831E5-6689-4B23-8353-9933129E1163}"/>
    <cellStyle name="Vírgula 9 2 2 2 2 2 4 5" xfId="15451" xr:uid="{8E231EB4-A404-4E20-A068-692D1E497F73}"/>
    <cellStyle name="Vírgula 9 2 2 2 2 2 4 5 2" xfId="35791" xr:uid="{F8306BD4-F854-4047-9128-A7A00993A157}"/>
    <cellStyle name="Vírgula 9 2 2 2 2 2 4 6" xfId="11572" xr:uid="{7182D84D-E408-4F6A-95CA-1EE984A3D5AE}"/>
    <cellStyle name="Vírgula 9 2 2 2 2 2 4 6 2" xfId="31915" xr:uid="{097CA700-4244-4058-9B2B-9083C776BDE5}"/>
    <cellStyle name="Vírgula 9 2 2 2 2 2 4 7" xfId="28421" xr:uid="{444A7908-3811-4B48-A443-941D6EE2FD1E}"/>
    <cellStyle name="Vírgula 9 2 2 2 2 2 5" xfId="8384" xr:uid="{D53E3ED4-BFCC-433C-8C20-83671E71BA17}"/>
    <cellStyle name="Vírgula 9 2 2 2 2 2 5 2" xfId="22171" xr:uid="{26A19369-D731-4C7B-8EF9-BB68DB5B8972}"/>
    <cellStyle name="Vírgula 9 2 2 2 2 2 5 2 2" xfId="42507" xr:uid="{0C287A4B-4AD2-4FA0-A225-737CE7F733C0}"/>
    <cellStyle name="Vírgula 9 2 2 2 2 2 5 3" xfId="25423" xr:uid="{E74673D8-29C0-4DB5-8B0B-A4EB347C31E4}"/>
    <cellStyle name="Vírgula 9 2 2 2 2 2 5 3 2" xfId="45758" xr:uid="{E93F0B37-49FD-4343-83E7-EE8638C784E8}"/>
    <cellStyle name="Vírgula 9 2 2 2 2 2 5 4" xfId="13141" xr:uid="{C3BE504D-A152-4799-88F2-9DBF77C3D29B}"/>
    <cellStyle name="Vírgula 9 2 2 2 2 2 5 4 2" xfId="33482" xr:uid="{FED27EED-821D-452E-9965-CA3476C75D80}"/>
    <cellStyle name="Vírgula 9 2 2 2 2 2 5 5" xfId="11880" xr:uid="{CDE7C04A-59F2-4938-9717-1904E379D549}"/>
    <cellStyle name="Vírgula 9 2 2 2 2 2 5 5 2" xfId="32222" xr:uid="{DCF65ED3-DDE0-4EEE-A98A-F1FFBA7AED8A}"/>
    <cellStyle name="Vírgula 9 2 2 2 2 2 5 6" xfId="28728" xr:uid="{DEA22A98-B0EC-452B-8A51-3B3BBA558818}"/>
    <cellStyle name="Vírgula 9 2 2 2 2 2 6" xfId="8663" xr:uid="{5EC294F0-85E7-4641-B740-63AADBF5D57C}"/>
    <cellStyle name="Vírgula 9 2 2 2 2 2 6 2" xfId="16038" xr:uid="{67FE0AE2-3C70-41C1-82DA-65D0D89CBB9C}"/>
    <cellStyle name="Vírgula 9 2 2 2 2 2 6 2 2" xfId="36378" xr:uid="{447AA729-D1B3-4D05-9957-FE9DCBC1A579}"/>
    <cellStyle name="Vírgula 9 2 2 2 2 2 6 3" xfId="29006" xr:uid="{44BD5CCA-43FD-42B3-B363-69A1628C5A26}"/>
    <cellStyle name="Vírgula 9 2 2 2 2 2 7" xfId="18952" xr:uid="{AAAB0FC9-286F-4493-B527-B64652AAF246}"/>
    <cellStyle name="Vírgula 9 2 2 2 2 2 7 2" xfId="39292" xr:uid="{2DE7A0EF-853C-47A8-B44B-A0A2B956E8DE}"/>
    <cellStyle name="Vírgula 9 2 2 2 2 2 8" xfId="19540" xr:uid="{2521B372-95EF-4852-8FB2-6032785BF578}"/>
    <cellStyle name="Vírgula 9 2 2 2 2 2 8 2" xfId="39879" xr:uid="{5F1A8ED4-DE7C-4E85-9BF8-B0796BF2AEF8}"/>
    <cellStyle name="Vírgula 9 2 2 2 2 2 9" xfId="22795" xr:uid="{0CA1D683-2362-43BB-BF1D-F397C69AB2B2}"/>
    <cellStyle name="Vírgula 9 2 2 2 2 2 9 2" xfId="43130" xr:uid="{D72FE0BE-8FA3-4447-9FD0-080D72915FE6}"/>
    <cellStyle name="Vírgula 9 2 2 2 2 3" xfId="5041" xr:uid="{0B1C59E3-B60A-494F-BF85-4ECE7BB3A670}"/>
    <cellStyle name="Vírgula 9 2 2 2 2 3 10" xfId="46651" xr:uid="{F42A5DC2-4EC9-44DF-AD82-755997BF31E7}"/>
    <cellStyle name="Vírgula 9 2 2 2 2 3 11" xfId="47143" xr:uid="{DC518C58-1294-4D17-AFD4-724BB4155F25}"/>
    <cellStyle name="Vírgula 9 2 2 2 2 3 12" xfId="5946" xr:uid="{D1CC3057-B3ED-446E-A8B7-7C8471B8B304}"/>
    <cellStyle name="Vírgula 9 2 2 2 2 3 2" xfId="7104" xr:uid="{6B5121AA-1C21-4DFD-A2D6-E14AE6702F60}"/>
    <cellStyle name="Vírgula 9 2 2 2 2 3 2 2" xfId="17390" xr:uid="{863FD3E9-5ADE-43AD-953A-613132668C93}"/>
    <cellStyle name="Vírgula 9 2 2 2 2 3 2 2 2" xfId="37730" xr:uid="{B569C0EF-1B48-4FDB-AAF5-710ACE229EA1}"/>
    <cellStyle name="Vírgula 9 2 2 2 2 3 2 3" xfId="20892" xr:uid="{A2863025-7ED6-4F19-9E35-596CC09828A0}"/>
    <cellStyle name="Vírgula 9 2 2 2 2 3 2 3 2" xfId="41231" xr:uid="{7E138383-9FCC-43EB-85B9-7FC30C46FF3F}"/>
    <cellStyle name="Vírgula 9 2 2 2 2 3 2 4" xfId="24147" xr:uid="{153D98E5-0F3F-4CEF-B00B-7B593DF4AA95}"/>
    <cellStyle name="Vírgula 9 2 2 2 2 3 2 4 2" xfId="44482" xr:uid="{C45F9553-5560-4C42-AAE5-7B0E8B668671}"/>
    <cellStyle name="Vírgula 9 2 2 2 2 3 2 5" xfId="14481" xr:uid="{B84EDBDD-C6D1-4B27-A145-1488FDD3459E}"/>
    <cellStyle name="Vírgula 9 2 2 2 2 3 2 5 2" xfId="34822" xr:uid="{64671E92-10EB-4ADA-BA5F-3D0F14C735A4}"/>
    <cellStyle name="Vírgula 9 2 2 2 2 3 2 6" xfId="10603" xr:uid="{64BB4FAF-BA02-40D0-B873-DC766475D761}"/>
    <cellStyle name="Vírgula 9 2 2 2 2 3 2 6 2" xfId="30946" xr:uid="{227847C3-5530-4707-96C1-4CFC6E102B15}"/>
    <cellStyle name="Vírgula 9 2 2 2 2 3 2 7" xfId="27452" xr:uid="{52FCB5B6-7DDE-4A2A-B31F-C13B3AE83C86}"/>
    <cellStyle name="Vírgula 9 2 2 2 2 3 3" xfId="8385" xr:uid="{5C93451E-7B18-4A95-A013-DC03D361C4FD}"/>
    <cellStyle name="Vírgula 9 2 2 2 2 3 3 2" xfId="22172" xr:uid="{76451743-EE6F-49C6-88CE-848DC489719B}"/>
    <cellStyle name="Vírgula 9 2 2 2 2 3 3 2 2" xfId="42508" xr:uid="{5E741EC8-41F8-4B5B-A271-C0B53AC3CF09}"/>
    <cellStyle name="Vírgula 9 2 2 2 2 3 3 3" xfId="25424" xr:uid="{EFA8A66E-306B-4B95-939B-F9C454A27011}"/>
    <cellStyle name="Vírgula 9 2 2 2 2 3 3 3 2" xfId="45759" xr:uid="{6F9B36B8-1731-4990-9C42-477B89A47EFB}"/>
    <cellStyle name="Vírgula 9 2 2 2 2 3 3 4" xfId="16232" xr:uid="{CFBD55EF-2F3A-4BE6-8C24-736CB2AFA9E4}"/>
    <cellStyle name="Vírgula 9 2 2 2 2 3 3 4 2" xfId="36572" xr:uid="{C33B829E-4620-4358-B2E4-AFE81A107A03}"/>
    <cellStyle name="Vírgula 9 2 2 2 2 3 3 5" xfId="11881" xr:uid="{61BBA6DA-6F42-4971-AF61-1CE6C6A8DFD2}"/>
    <cellStyle name="Vírgula 9 2 2 2 2 3 3 5 2" xfId="32223" xr:uid="{E946BBEE-26E5-4B20-8245-4E7FA291F3BB}"/>
    <cellStyle name="Vírgula 9 2 2 2 2 3 3 6" xfId="28729" xr:uid="{1934C6ED-0DDE-464B-B52C-DCF65A73019D}"/>
    <cellStyle name="Vírgula 9 2 2 2 2 3 4" xfId="19734" xr:uid="{E47B0255-10D1-4F8A-B588-0F01278C54C8}"/>
    <cellStyle name="Vírgula 9 2 2 2 2 3 4 2" xfId="40073" xr:uid="{CA6F6161-E3C9-4B1B-B70C-68D3B7DACA31}"/>
    <cellStyle name="Vírgula 9 2 2 2 2 3 5" xfId="22989" xr:uid="{787D722A-5C7C-4DC3-8052-9C0DDEB346EA}"/>
    <cellStyle name="Vírgula 9 2 2 2 2 3 5 2" xfId="43324" xr:uid="{C69AC0C0-2909-4C74-B378-A2FEE7CBB027}"/>
    <cellStyle name="Vírgula 9 2 2 2 2 3 6" xfId="13323" xr:uid="{391A6FB7-E140-41CB-8DC2-2D07CE1A29A4}"/>
    <cellStyle name="Vírgula 9 2 2 2 2 3 6 2" xfId="33664" xr:uid="{C0394753-7CBB-4935-B33C-8F35F5FD3AC9}"/>
    <cellStyle name="Vírgula 9 2 2 2 2 3 7" xfId="9445" xr:uid="{84F3967A-64DE-40A8-B175-9F3FFBF3F213}"/>
    <cellStyle name="Vírgula 9 2 2 2 2 3 7 2" xfId="29788" xr:uid="{472F3E37-018C-4A67-B83E-FE860743BE79}"/>
    <cellStyle name="Vírgula 9 2 2 2 2 3 8" xfId="26294" xr:uid="{286C9FDE-3B82-4443-91D2-C9F8DA19666B}"/>
    <cellStyle name="Vírgula 9 2 2 2 2 3 9" xfId="46165" xr:uid="{17D456E9-E3D3-4606-B775-F85E6E0E20DC}"/>
    <cellStyle name="Vírgula 9 2 2 2 2 4" xfId="6523" xr:uid="{F64416F9-F8A1-4D60-A974-B71E687FFF6B}"/>
    <cellStyle name="Vírgula 9 2 2 2 2 4 2" xfId="16809" xr:uid="{B5A69147-3029-4AC6-AAB7-C80CDA2B3B3A}"/>
    <cellStyle name="Vírgula 9 2 2 2 2 4 2 2" xfId="37149" xr:uid="{8160DD3C-BD51-46ED-9050-544CE5AC5506}"/>
    <cellStyle name="Vírgula 9 2 2 2 2 4 3" xfId="20311" xr:uid="{2E46B129-3C0E-4119-9711-226423163597}"/>
    <cellStyle name="Vírgula 9 2 2 2 2 4 3 2" xfId="40650" xr:uid="{3686DFAF-5D45-4A34-B878-880ACB9D8DC8}"/>
    <cellStyle name="Vírgula 9 2 2 2 2 4 4" xfId="23566" xr:uid="{77963D11-A6F4-47D4-AE83-565DB99FEA29}"/>
    <cellStyle name="Vírgula 9 2 2 2 2 4 4 2" xfId="43901" xr:uid="{6825C328-33EA-461E-A61D-EA8032E80A83}"/>
    <cellStyle name="Vírgula 9 2 2 2 2 4 5" xfId="13900" xr:uid="{4A85B720-EE12-4808-8BA5-AA20F1041F48}"/>
    <cellStyle name="Vírgula 9 2 2 2 2 4 5 2" xfId="34241" xr:uid="{5120B9EB-4EE4-42C1-AE49-65B70E1A6A1E}"/>
    <cellStyle name="Vírgula 9 2 2 2 2 4 6" xfId="10022" xr:uid="{E7CFBBD5-1A39-4009-A53B-E9E072867439}"/>
    <cellStyle name="Vírgula 9 2 2 2 2 4 6 2" xfId="30365" xr:uid="{323D1A13-AA1A-4A3F-BFD6-566FBD32C0E5}"/>
    <cellStyle name="Vírgula 9 2 2 2 2 4 7" xfId="26871" xr:uid="{9E58DB42-A60B-483B-B469-22E3A70F3789}"/>
    <cellStyle name="Vírgula 9 2 2 2 2 5" xfId="7687" xr:uid="{32C37E29-8FB5-4D99-BC20-0DE87DE598C9}"/>
    <cellStyle name="Vírgula 9 2 2 2 2 5 2" xfId="17972" xr:uid="{55D3CCFE-4D58-4D12-BB61-2D6521E2E2DB}"/>
    <cellStyle name="Vírgula 9 2 2 2 2 5 2 2" xfId="38312" xr:uid="{D5D6FB37-D591-4E18-B2E9-FF1B52238FAC}"/>
    <cellStyle name="Vírgula 9 2 2 2 2 5 3" xfId="21474" xr:uid="{6BBB8BDE-FA23-431F-8B84-87145AF42F64}"/>
    <cellStyle name="Vírgula 9 2 2 2 2 5 3 2" xfId="41813" xr:uid="{F38C8C7B-4135-4598-8DE7-0810CF8B6B51}"/>
    <cellStyle name="Vírgula 9 2 2 2 2 5 4" xfId="24729" xr:uid="{43F2B80A-9446-4EC1-97CC-42AD06EF9171}"/>
    <cellStyle name="Vírgula 9 2 2 2 2 5 4 2" xfId="45064" xr:uid="{A89C4C57-8325-448C-A6C5-09900DC76016}"/>
    <cellStyle name="Vírgula 9 2 2 2 2 5 5" xfId="15064" xr:uid="{E6407D28-8899-401F-A84A-AE46D95ADDF8}"/>
    <cellStyle name="Vírgula 9 2 2 2 2 5 5 2" xfId="35404" xr:uid="{63B8C996-1D2C-4299-AD4F-BDCFAD17DC04}"/>
    <cellStyle name="Vírgula 9 2 2 2 2 5 6" xfId="11185" xr:uid="{A3B914B5-D7EC-45B6-ADF1-0332DF3AC69E}"/>
    <cellStyle name="Vírgula 9 2 2 2 2 5 6 2" xfId="31528" xr:uid="{C4794839-A4C4-495B-9FE1-2CE9A94281C4}"/>
    <cellStyle name="Vírgula 9 2 2 2 2 5 7" xfId="28034" xr:uid="{9D065907-0EF9-42AA-B105-D8BBF29C9A77}"/>
    <cellStyle name="Vírgula 9 2 2 2 2 6" xfId="8383" xr:uid="{AB2F9055-A89D-4270-9941-44B95FEBF791}"/>
    <cellStyle name="Vírgula 9 2 2 2 2 6 2" xfId="22170" xr:uid="{242CFCE1-A811-4017-9DB7-3D768F83DA71}"/>
    <cellStyle name="Vírgula 9 2 2 2 2 6 2 2" xfId="42506" xr:uid="{C7A79D7D-FED5-477F-83F4-DA2306704094}"/>
    <cellStyle name="Vírgula 9 2 2 2 2 6 3" xfId="25422" xr:uid="{F72FC072-7000-4AA5-9BBA-7D5726ED3312}"/>
    <cellStyle name="Vírgula 9 2 2 2 2 6 3 2" xfId="45757" xr:uid="{60C80155-61C0-43DD-81C2-08F22597B40B}"/>
    <cellStyle name="Vírgula 9 2 2 2 2 6 4" xfId="12754" xr:uid="{D4C87F60-04EB-4C0F-BC59-B9F495644B40}"/>
    <cellStyle name="Vírgula 9 2 2 2 2 6 4 2" xfId="33095" xr:uid="{3E30CBDE-A16D-4054-8E92-CE4FAD55043E}"/>
    <cellStyle name="Vírgula 9 2 2 2 2 6 5" xfId="11879" xr:uid="{40F40724-7623-4FD6-A68F-8EB7C320B9C0}"/>
    <cellStyle name="Vírgula 9 2 2 2 2 6 5 2" xfId="32221" xr:uid="{57796939-78F6-4163-88DC-41912CB3603B}"/>
    <cellStyle name="Vírgula 9 2 2 2 2 6 6" xfId="28727" xr:uid="{0847E4CA-65C7-40E7-810F-59B355F6849A}"/>
    <cellStyle name="Vírgula 9 2 2 2 2 7" xfId="8547" xr:uid="{92A66FD8-AFFF-4E4F-9C92-A7EC06A1DB8E}"/>
    <cellStyle name="Vírgula 9 2 2 2 2 7 2" xfId="15651" xr:uid="{E71C326B-ECBC-44C5-852A-177E73BD6650}"/>
    <cellStyle name="Vírgula 9 2 2 2 2 7 2 2" xfId="35991" xr:uid="{4E8AC01B-83DA-41BB-AFB2-0684B98B1A28}"/>
    <cellStyle name="Vírgula 9 2 2 2 2 7 3" xfId="28890" xr:uid="{B2AFBB93-97E4-4BB9-AD62-5945C8C2D6D9}"/>
    <cellStyle name="Vírgula 9 2 2 2 2 8" xfId="18565" xr:uid="{235E8E66-DE4C-4CBB-816D-29FB4FE0134E}"/>
    <cellStyle name="Vírgula 9 2 2 2 2 8 2" xfId="38905" xr:uid="{366AC775-DA68-4E46-BEC4-5A343286B39E}"/>
    <cellStyle name="Vírgula 9 2 2 2 2 9" xfId="19153" xr:uid="{CE85E62D-57E1-40C6-A256-E6BE0E4ABB0F}"/>
    <cellStyle name="Vírgula 9 2 2 2 2 9 2" xfId="39492" xr:uid="{EC15CD3C-F2EB-4F85-9C97-FC6286A410E0}"/>
    <cellStyle name="Vírgula 9 2 2 2 20" xfId="46840" xr:uid="{9A2E9868-B596-4DFA-B498-6F21DB38361E}"/>
    <cellStyle name="Vírgula 9 2 2 2 21" xfId="52650" xr:uid="{51DF62C9-0AA4-4DCD-8023-5FA8A7B4EEBE}"/>
    <cellStyle name="Vírgula 9 2 2 2 22" xfId="55944" xr:uid="{47C87CB6-86BA-4EEE-94AE-887EEF66AB88}"/>
    <cellStyle name="Vírgula 9 2 2 2 23" xfId="5260" xr:uid="{1FDD7B20-723D-4D40-94C1-3B47E4652F39}"/>
    <cellStyle name="Vírgula 9 2 2 2 24" xfId="4834" xr:uid="{7B321EEF-4D77-4536-908E-02F3D46DD902}"/>
    <cellStyle name="Vírgula 9 2 2 2 3" xfId="4936" xr:uid="{1137A4A5-C873-4136-BCCE-988E82698FD7}"/>
    <cellStyle name="Vírgula 9 2 2 2 3 10" xfId="12221" xr:uid="{FDCDA837-AECC-475F-98FA-42D6D96D6945}"/>
    <cellStyle name="Vírgula 9 2 2 2 3 10 2" xfId="32562" xr:uid="{8F65D0EC-8E71-4383-8BEC-952AF7C75F4A}"/>
    <cellStyle name="Vírgula 9 2 2 2 3 11" xfId="8960" xr:uid="{B78DB9EB-0F39-4761-8AA2-5AB2DF19F4B7}"/>
    <cellStyle name="Vírgula 9 2 2 2 3 11 2" xfId="29303" xr:uid="{BC4A458E-77EF-4711-831E-56385B6E1683}"/>
    <cellStyle name="Vírgula 9 2 2 2 3 12" xfId="25809" xr:uid="{EDBC2F6B-DF70-4F66-AFC9-DC77389C8371}"/>
    <cellStyle name="Vírgula 9 2 2 2 3 13" xfId="46037" xr:uid="{C91D85E6-5851-439C-943F-6E818AC53D8A}"/>
    <cellStyle name="Vírgula 9 2 2 2 3 14" xfId="46523" xr:uid="{CA5D3049-5EDA-4C62-826D-28EB032B92B1}"/>
    <cellStyle name="Vírgula 9 2 2 2 3 15" xfId="47015" xr:uid="{2B949E1F-B4F8-48F7-A392-A2609C076C78}"/>
    <cellStyle name="Vírgula 9 2 2 2 3 16" xfId="5471" xr:uid="{35EB082A-3FDE-4BF3-8ECF-DA7E481EF87B}"/>
    <cellStyle name="Vírgula 9 2 2 2 3 2" xfId="5155" xr:uid="{44213F8E-5B46-4803-B962-53BA88D3285F}"/>
    <cellStyle name="Vírgula 9 2 2 2 3 2 10" xfId="46766" xr:uid="{8105534C-97D5-4AD6-8A79-A35D39205C21}"/>
    <cellStyle name="Vírgula 9 2 2 2 3 2 11" xfId="47258" xr:uid="{FB4DE692-7319-4A83-8115-4A04DFC09384}"/>
    <cellStyle name="Vírgula 9 2 2 2 3 2 12" xfId="6042" xr:uid="{A9F262B7-D6D9-4168-8F38-526E137C06D7}"/>
    <cellStyle name="Vírgula 9 2 2 2 3 2 2" xfId="7200" xr:uid="{A06FF39D-6F64-4A9F-A4D2-C739D5EB136B}"/>
    <cellStyle name="Vírgula 9 2 2 2 3 2 2 2" xfId="17486" xr:uid="{A00078E7-E746-4EBC-9C1B-585A616E2AC2}"/>
    <cellStyle name="Vírgula 9 2 2 2 3 2 2 2 2" xfId="37826" xr:uid="{FFBA2CBC-F6AA-428B-B120-B45E165E7193}"/>
    <cellStyle name="Vírgula 9 2 2 2 3 2 2 3" xfId="20988" xr:uid="{1C067BC0-1BD1-4365-ABFF-B403E7050072}"/>
    <cellStyle name="Vírgula 9 2 2 2 3 2 2 3 2" xfId="41327" xr:uid="{94EEB591-9866-49BE-949B-1042B405B9E3}"/>
    <cellStyle name="Vírgula 9 2 2 2 3 2 2 4" xfId="24243" xr:uid="{01D67A56-CF22-46BD-856E-624CB2B5B8A7}"/>
    <cellStyle name="Vírgula 9 2 2 2 3 2 2 4 2" xfId="44578" xr:uid="{07AEFAF6-09D1-4651-81C9-2F285C5EF7D9}"/>
    <cellStyle name="Vírgula 9 2 2 2 3 2 2 5" xfId="14577" xr:uid="{AFC00C74-534A-4F30-8814-E9A58E320057}"/>
    <cellStyle name="Vírgula 9 2 2 2 3 2 2 5 2" xfId="34918" xr:uid="{CAAA60B6-CBF0-4237-A352-8E2C3AB517FE}"/>
    <cellStyle name="Vírgula 9 2 2 2 3 2 2 6" xfId="10699" xr:uid="{AD2AB8E1-1AAE-4148-A0DC-6C2D5E36E4FE}"/>
    <cellStyle name="Vírgula 9 2 2 2 3 2 2 6 2" xfId="31042" xr:uid="{58037067-945D-4E12-A587-469FE9EA35DC}"/>
    <cellStyle name="Vírgula 9 2 2 2 3 2 2 7" xfId="27548" xr:uid="{FDCFC357-CF63-4ECB-8BF8-56DEA23F3FA6}"/>
    <cellStyle name="Vírgula 9 2 2 2 3 2 3" xfId="16328" xr:uid="{DBD0E01B-7FD1-4B16-A01A-D7E5FAC2F8F0}"/>
    <cellStyle name="Vírgula 9 2 2 2 3 2 3 2" xfId="36668" xr:uid="{AECD7CCE-A366-4A65-84E8-C64697F4899F}"/>
    <cellStyle name="Vírgula 9 2 2 2 3 2 4" xfId="19830" xr:uid="{405A8231-1167-4F8F-841D-012D1A4FE561}"/>
    <cellStyle name="Vírgula 9 2 2 2 3 2 4 2" xfId="40169" xr:uid="{EF977EC4-CEAE-460D-8876-BC4314714884}"/>
    <cellStyle name="Vírgula 9 2 2 2 3 2 5" xfId="23085" xr:uid="{F7687A05-D652-4BB5-8A03-7F66B6EE910D}"/>
    <cellStyle name="Vírgula 9 2 2 2 3 2 5 2" xfId="43420" xr:uid="{94582E72-8C80-40B0-AC3D-1DB0B7E87774}"/>
    <cellStyle name="Vírgula 9 2 2 2 3 2 6" xfId="13419" xr:uid="{B15831F6-D333-4495-A589-1CF26071672B}"/>
    <cellStyle name="Vírgula 9 2 2 2 3 2 6 2" xfId="33760" xr:uid="{E30176C8-F9B6-4B9D-A5AA-A8D2E2E1337B}"/>
    <cellStyle name="Vírgula 9 2 2 2 3 2 7" xfId="9541" xr:uid="{0799600F-51CD-48E8-B6D8-99D4A965013A}"/>
    <cellStyle name="Vírgula 9 2 2 2 3 2 7 2" xfId="29884" xr:uid="{580D050E-1FA6-46E0-A971-995929F20E3A}"/>
    <cellStyle name="Vírgula 9 2 2 2 3 2 8" xfId="26390" xr:uid="{1D11089F-C8BB-4D4F-AD48-9B1D175DFAE1}"/>
    <cellStyle name="Vírgula 9 2 2 2 3 2 9" xfId="46280" xr:uid="{AA871895-A357-4891-B310-4618726F07DB}"/>
    <cellStyle name="Vírgula 9 2 2 2 3 3" xfId="6619" xr:uid="{E065DBC7-328C-4A24-A709-B5DD4C02DF22}"/>
    <cellStyle name="Vírgula 9 2 2 2 3 3 2" xfId="16905" xr:uid="{B1BDEA8E-6C53-4D6B-AE4F-E95E153F1BC3}"/>
    <cellStyle name="Vírgula 9 2 2 2 3 3 2 2" xfId="37245" xr:uid="{78C550B9-381B-45AD-A119-8043BCFB1A62}"/>
    <cellStyle name="Vírgula 9 2 2 2 3 3 3" xfId="20407" xr:uid="{936F6DEB-BFB4-47C0-8A53-2DA0D4AFB8BC}"/>
    <cellStyle name="Vírgula 9 2 2 2 3 3 3 2" xfId="40746" xr:uid="{09F32834-C7F9-480D-B6FF-2342F084A5A1}"/>
    <cellStyle name="Vírgula 9 2 2 2 3 3 4" xfId="23662" xr:uid="{DB178F34-1E91-4958-9BA4-427DF83E0C06}"/>
    <cellStyle name="Vírgula 9 2 2 2 3 3 4 2" xfId="43997" xr:uid="{9E1CB62F-BD2E-4296-8711-1FEDBDBD99CE}"/>
    <cellStyle name="Vírgula 9 2 2 2 3 3 5" xfId="13996" xr:uid="{BEF1B4B9-F619-44ED-90B0-09CF16B7B9D0}"/>
    <cellStyle name="Vírgula 9 2 2 2 3 3 5 2" xfId="34337" xr:uid="{0F04B11B-D6A6-4DA3-873C-A19149F8D8C7}"/>
    <cellStyle name="Vírgula 9 2 2 2 3 3 6" xfId="10118" xr:uid="{419DFE40-872D-4561-91F2-610E99B7F692}"/>
    <cellStyle name="Vírgula 9 2 2 2 3 3 6 2" xfId="30461" xr:uid="{9AEF0256-1568-4C03-AC9C-C3E25E45568E}"/>
    <cellStyle name="Vírgula 9 2 2 2 3 3 7" xfId="26967" xr:uid="{8FDFFBAF-34D3-4D38-9D22-836F752D590D}"/>
    <cellStyle name="Vírgula 9 2 2 2 3 4" xfId="7783" xr:uid="{957483EA-68BE-42E1-B6DF-8008DE309C7D}"/>
    <cellStyle name="Vírgula 9 2 2 2 3 4 2" xfId="18068" xr:uid="{7C32E41C-1996-4E22-8C9C-0808B18DE2DC}"/>
    <cellStyle name="Vírgula 9 2 2 2 3 4 2 2" xfId="38408" xr:uid="{F735868A-3BA2-4BCF-97E2-47F22512D896}"/>
    <cellStyle name="Vírgula 9 2 2 2 3 4 3" xfId="21570" xr:uid="{B990FFD5-0E1F-4C66-A92B-3CA6268B03E0}"/>
    <cellStyle name="Vírgula 9 2 2 2 3 4 3 2" xfId="41909" xr:uid="{C7F80503-FA8B-47D1-9EE4-EA47921F421E}"/>
    <cellStyle name="Vírgula 9 2 2 2 3 4 4" xfId="24825" xr:uid="{2421EC00-36B0-4355-8D53-DE8C60D7A616}"/>
    <cellStyle name="Vírgula 9 2 2 2 3 4 4 2" xfId="45160" xr:uid="{B636F6CF-E103-4598-9C28-9366CC3C9157}"/>
    <cellStyle name="Vírgula 9 2 2 2 3 4 5" xfId="15160" xr:uid="{70C913D5-5B63-4D67-8130-8E72DE05A1B1}"/>
    <cellStyle name="Vírgula 9 2 2 2 3 4 5 2" xfId="35500" xr:uid="{8D8DFBAD-8A98-420C-8FCC-58708B556325}"/>
    <cellStyle name="Vírgula 9 2 2 2 3 4 6" xfId="11281" xr:uid="{77B84F22-5279-4D97-B271-0670D49E6C69}"/>
    <cellStyle name="Vírgula 9 2 2 2 3 4 6 2" xfId="31624" xr:uid="{EF075968-5026-413D-B918-4CDAF7D37012}"/>
    <cellStyle name="Vírgula 9 2 2 2 3 4 7" xfId="28130" xr:uid="{E77AD4AD-0230-4031-9828-1BC03BE94DDB}"/>
    <cellStyle name="Vírgula 9 2 2 2 3 5" xfId="8386" xr:uid="{1FEA026B-719E-450F-9691-C5942A2E445D}"/>
    <cellStyle name="Vírgula 9 2 2 2 3 5 2" xfId="22173" xr:uid="{FC437639-0C34-47A5-A746-DFB2B55F3C6D}"/>
    <cellStyle name="Vírgula 9 2 2 2 3 5 2 2" xfId="42509" xr:uid="{C9825914-A784-4AC4-9E9D-88D8C1F8C407}"/>
    <cellStyle name="Vírgula 9 2 2 2 3 5 3" xfId="25425" xr:uid="{86B12F5D-8D43-4643-AD21-5AFCE166C3E9}"/>
    <cellStyle name="Vírgula 9 2 2 2 3 5 3 2" xfId="45760" xr:uid="{E4155B1E-4639-46AC-91DC-6035A45AC86E}"/>
    <cellStyle name="Vírgula 9 2 2 2 3 5 4" xfId="12850" xr:uid="{048195A8-6A21-43C1-A0DB-B73D80D500CE}"/>
    <cellStyle name="Vírgula 9 2 2 2 3 5 4 2" xfId="33191" xr:uid="{EEB1ACF1-5C7A-4C0F-A477-F762B6B212B0}"/>
    <cellStyle name="Vírgula 9 2 2 2 3 5 5" xfId="11882" xr:uid="{712DF008-6981-4E87-9BB0-68509A45888B}"/>
    <cellStyle name="Vírgula 9 2 2 2 3 5 5 2" xfId="32224" xr:uid="{A7E1634C-3B0E-4234-9811-97E1886E5E81}"/>
    <cellStyle name="Vírgula 9 2 2 2 3 5 6" xfId="28730" xr:uid="{5C5D26F3-1B48-4762-9C94-C121FEF0A999}"/>
    <cellStyle name="Vírgula 9 2 2 2 3 6" xfId="8662" xr:uid="{8EC8E420-D879-43D0-A584-507221FB5EF1}"/>
    <cellStyle name="Vírgula 9 2 2 2 3 6 2" xfId="15747" xr:uid="{0A834D5F-673D-433A-91C9-0B3EE1A09D94}"/>
    <cellStyle name="Vírgula 9 2 2 2 3 6 2 2" xfId="36087" xr:uid="{AC7F44E1-325D-49B8-9A61-36212C82EF60}"/>
    <cellStyle name="Vírgula 9 2 2 2 3 6 3" xfId="29005" xr:uid="{FDAE3954-AC2D-4762-8B72-CA8576B2DE0B}"/>
    <cellStyle name="Vírgula 9 2 2 2 3 7" xfId="18661" xr:uid="{5F450CBA-D705-408A-A836-6165323F114E}"/>
    <cellStyle name="Vírgula 9 2 2 2 3 7 2" xfId="39001" xr:uid="{5EB83ABA-C959-401D-8C83-3EDAAFE4BE9D}"/>
    <cellStyle name="Vírgula 9 2 2 2 3 8" xfId="19249" xr:uid="{43B74AB9-E6B4-48CB-BB26-332C8B2DF05D}"/>
    <cellStyle name="Vírgula 9 2 2 2 3 8 2" xfId="39588" xr:uid="{8ADE4512-D22D-46D1-B657-B1E187D15929}"/>
    <cellStyle name="Vírgula 9 2 2 2 3 9" xfId="22504" xr:uid="{32BADF40-D4C3-4EC5-B2E8-ECF9D18A1BED}"/>
    <cellStyle name="Vírgula 9 2 2 2 3 9 2" xfId="42839" xr:uid="{2DC60E65-CAD9-46C9-BE1A-DB966DCE95F3}"/>
    <cellStyle name="Vírgula 9 2 2 2 4" xfId="4996" xr:uid="{2326CA25-046C-48A5-A3CB-1697EEC77A60}"/>
    <cellStyle name="Vírgula 9 2 2 2 4 10" xfId="12279" xr:uid="{FD118DA1-CD8E-4987-965E-0AF852593A9B}"/>
    <cellStyle name="Vírgula 9 2 2 2 4 10 2" xfId="32620" xr:uid="{E6DFB429-1226-4056-84E4-77DDF2888F0B}"/>
    <cellStyle name="Vírgula 9 2 2 2 4 11" xfId="9018" xr:uid="{0908D53F-8FAD-4A12-AA7F-A2F422959DEE}"/>
    <cellStyle name="Vírgula 9 2 2 2 4 11 2" xfId="29361" xr:uid="{39F39764-BAE7-4232-B442-36FC11D68FEE}"/>
    <cellStyle name="Vírgula 9 2 2 2 4 12" xfId="25867" xr:uid="{BAB6CEA4-8D5D-47EC-82FE-1D7BA356C8C5}"/>
    <cellStyle name="Vírgula 9 2 2 2 4 13" xfId="46105" xr:uid="{136204DB-37C9-4E68-AE08-2932CEA898E7}"/>
    <cellStyle name="Vírgula 9 2 2 2 4 14" xfId="46591" xr:uid="{91BC8D60-5763-4D9B-B5D7-6B093721E2C7}"/>
    <cellStyle name="Vírgula 9 2 2 2 4 15" xfId="47083" xr:uid="{E0A37CFA-5A2E-4E23-9206-09263CC69D41}"/>
    <cellStyle name="Vírgula 9 2 2 2 4 16" xfId="5528" xr:uid="{AD911C48-3013-417F-AD83-831032D23244}"/>
    <cellStyle name="Vírgula 9 2 2 2 4 2" xfId="6100" xr:uid="{FAA60981-82AB-4402-9AA3-F0416CFD1E17}"/>
    <cellStyle name="Vírgula 9 2 2 2 4 2 2" xfId="7258" xr:uid="{D1D20830-60D2-44FE-857E-5D3D40E9F816}"/>
    <cellStyle name="Vírgula 9 2 2 2 4 2 2 2" xfId="17544" xr:uid="{9C2C7171-D4A7-4FFB-8F6F-B7474D973D6B}"/>
    <cellStyle name="Vírgula 9 2 2 2 4 2 2 2 2" xfId="37884" xr:uid="{DFEE582B-362E-4B36-837B-19FE5F696CD2}"/>
    <cellStyle name="Vírgula 9 2 2 2 4 2 2 3" xfId="21046" xr:uid="{56BAF7D8-41DD-4CAC-96A8-B4EA0F442A58}"/>
    <cellStyle name="Vírgula 9 2 2 2 4 2 2 3 2" xfId="41385" xr:uid="{75F80B3C-1FB7-44FD-89B5-041F9C843368}"/>
    <cellStyle name="Vírgula 9 2 2 2 4 2 2 4" xfId="24301" xr:uid="{E8F97A32-6FAD-47CB-9458-AF9069B0D9BA}"/>
    <cellStyle name="Vírgula 9 2 2 2 4 2 2 4 2" xfId="44636" xr:uid="{FEDE40C9-0D6F-424C-8F7C-3C44006DCDA6}"/>
    <cellStyle name="Vírgula 9 2 2 2 4 2 2 5" xfId="14635" xr:uid="{013AAD52-7737-441A-96CE-F4328D666260}"/>
    <cellStyle name="Vírgula 9 2 2 2 4 2 2 5 2" xfId="34976" xr:uid="{8647B67E-330C-48BF-828D-04E34D4A88D3}"/>
    <cellStyle name="Vírgula 9 2 2 2 4 2 2 6" xfId="10757" xr:uid="{AF7A8793-8B31-4767-AF57-17AE39F656E0}"/>
    <cellStyle name="Vírgula 9 2 2 2 4 2 2 6 2" xfId="31100" xr:uid="{7B0F9AE9-0695-4442-AB6C-6968B9FEAFB2}"/>
    <cellStyle name="Vírgula 9 2 2 2 4 2 2 7" xfId="27606" xr:uid="{26A0AFEA-C128-4597-BD31-1A5BB3BF63F4}"/>
    <cellStyle name="Vírgula 9 2 2 2 4 2 3" xfId="16386" xr:uid="{790B343A-0A23-4301-BAF3-AE9D7878D089}"/>
    <cellStyle name="Vírgula 9 2 2 2 4 2 3 2" xfId="36726" xr:uid="{5C301AEF-D151-4136-B592-C652EFB42C24}"/>
    <cellStyle name="Vírgula 9 2 2 2 4 2 4" xfId="19888" xr:uid="{7F4A8251-D36F-4C2E-8008-490353B1D302}"/>
    <cellStyle name="Vírgula 9 2 2 2 4 2 4 2" xfId="40227" xr:uid="{3D3D932F-5078-4950-9B0B-CD6F26A040BA}"/>
    <cellStyle name="Vírgula 9 2 2 2 4 2 5" xfId="23143" xr:uid="{ED5EDFCA-7243-403E-8AA5-94B8C066705D}"/>
    <cellStyle name="Vírgula 9 2 2 2 4 2 5 2" xfId="43478" xr:uid="{A49CA57E-5A7A-4319-AF2C-A8970BB3AF9F}"/>
    <cellStyle name="Vírgula 9 2 2 2 4 2 6" xfId="13477" xr:uid="{72FEEE87-93D9-4226-B060-BB48FF91D137}"/>
    <cellStyle name="Vírgula 9 2 2 2 4 2 6 2" xfId="33818" xr:uid="{2AEC08ED-D7BB-49F3-97C0-1D0104FF1D23}"/>
    <cellStyle name="Vírgula 9 2 2 2 4 2 7" xfId="9599" xr:uid="{480631AE-CB46-4F35-865A-9B9EA5CDD5B6}"/>
    <cellStyle name="Vírgula 9 2 2 2 4 2 7 2" xfId="29942" xr:uid="{B850FFF7-28A9-446C-A6BB-AC9419E65A8B}"/>
    <cellStyle name="Vírgula 9 2 2 2 4 2 8" xfId="26448" xr:uid="{95910EFD-58B3-4485-A53C-B501A12519A6}"/>
    <cellStyle name="Vírgula 9 2 2 2 4 3" xfId="6677" xr:uid="{E4D150B1-F481-4851-B3C9-1A75BE84E743}"/>
    <cellStyle name="Vírgula 9 2 2 2 4 3 2" xfId="16963" xr:uid="{35495030-F0CE-48A0-8677-B766C9D07754}"/>
    <cellStyle name="Vírgula 9 2 2 2 4 3 2 2" xfId="37303" xr:uid="{A6357A02-12B8-423D-9460-E3F3DEDC8D60}"/>
    <cellStyle name="Vírgula 9 2 2 2 4 3 3" xfId="20465" xr:uid="{35CC9896-3C18-490C-B318-B27A1B00DFF6}"/>
    <cellStyle name="Vírgula 9 2 2 2 4 3 3 2" xfId="40804" xr:uid="{B1849C5B-9CFF-4180-92F5-C287B8951526}"/>
    <cellStyle name="Vírgula 9 2 2 2 4 3 4" xfId="23720" xr:uid="{4FBCDBD6-8457-4FA8-9173-E6A094AB806E}"/>
    <cellStyle name="Vírgula 9 2 2 2 4 3 4 2" xfId="44055" xr:uid="{5A9D1B1E-4ECB-4B6E-B40A-935CB2F1273A}"/>
    <cellStyle name="Vírgula 9 2 2 2 4 3 5" xfId="14054" xr:uid="{345FD16E-7696-4E53-B79F-5BABD40DA15E}"/>
    <cellStyle name="Vírgula 9 2 2 2 4 3 5 2" xfId="34395" xr:uid="{4E6440A2-82DF-4A08-8541-F0A2D691D0D5}"/>
    <cellStyle name="Vírgula 9 2 2 2 4 3 6" xfId="10176" xr:uid="{31E03C78-8522-469B-8305-45F7FD84354E}"/>
    <cellStyle name="Vírgula 9 2 2 2 4 3 6 2" xfId="30519" xr:uid="{E859DD7F-12D1-429D-A38E-9F40F1AD9660}"/>
    <cellStyle name="Vírgula 9 2 2 2 4 3 7" xfId="27025" xr:uid="{1CD9223B-E94F-4222-9FC4-61ADD4192494}"/>
    <cellStyle name="Vírgula 9 2 2 2 4 4" xfId="7841" xr:uid="{34EBB8CD-9CAD-4000-B514-892C1F1C8439}"/>
    <cellStyle name="Vírgula 9 2 2 2 4 4 2" xfId="18126" xr:uid="{A1159895-BE57-44F8-A97A-882B174A3842}"/>
    <cellStyle name="Vírgula 9 2 2 2 4 4 2 2" xfId="38466" xr:uid="{202A7AD6-5BF4-49FD-A5F6-380156FC70AD}"/>
    <cellStyle name="Vírgula 9 2 2 2 4 4 3" xfId="21628" xr:uid="{E1F5A053-A0CE-4492-ABA7-F96C034DE9DD}"/>
    <cellStyle name="Vírgula 9 2 2 2 4 4 3 2" xfId="41967" xr:uid="{F2980359-FFC1-4892-978E-0A3C579CCAB5}"/>
    <cellStyle name="Vírgula 9 2 2 2 4 4 4" xfId="24883" xr:uid="{CA8E575C-0754-470C-8B36-36B9DE0E7B63}"/>
    <cellStyle name="Vírgula 9 2 2 2 4 4 4 2" xfId="45218" xr:uid="{66664378-D42B-4BC1-AA6C-E3054054896F}"/>
    <cellStyle name="Vírgula 9 2 2 2 4 4 5" xfId="15218" xr:uid="{33E7F576-04CF-4094-B77A-9EC81F3E2682}"/>
    <cellStyle name="Vírgula 9 2 2 2 4 4 5 2" xfId="35558" xr:uid="{7FC4CB3C-6A70-4F78-911F-0F18218E64F0}"/>
    <cellStyle name="Vírgula 9 2 2 2 4 4 6" xfId="11339" xr:uid="{FAB2BEE4-9F7A-4982-A135-0CF900196F4C}"/>
    <cellStyle name="Vírgula 9 2 2 2 4 4 6 2" xfId="31682" xr:uid="{09CAC150-0BEC-4B76-A62E-B6E35F9717B8}"/>
    <cellStyle name="Vírgula 9 2 2 2 4 4 7" xfId="28188" xr:uid="{C791BDE2-BA0E-4102-A627-67B9F1E287FB}"/>
    <cellStyle name="Vírgula 9 2 2 2 4 5" xfId="8387" xr:uid="{CA767ED8-ECFD-4D70-A968-AE300C28A644}"/>
    <cellStyle name="Vírgula 9 2 2 2 4 5 2" xfId="22174" xr:uid="{B7083B18-4387-4C63-BDD1-432B9B1C2918}"/>
    <cellStyle name="Vírgula 9 2 2 2 4 5 2 2" xfId="42510" xr:uid="{1FFF8567-2E33-471D-99C0-D7DA94EF165A}"/>
    <cellStyle name="Vírgula 9 2 2 2 4 5 3" xfId="25426" xr:uid="{A998CDC6-89B9-488C-9685-A71C3B1D1898}"/>
    <cellStyle name="Vírgula 9 2 2 2 4 5 3 2" xfId="45761" xr:uid="{BA47FCBA-4E2D-4B10-934C-0E1465D1B8BF}"/>
    <cellStyle name="Vírgula 9 2 2 2 4 5 4" xfId="12908" xr:uid="{CE7CE062-FC64-4F24-AD6B-B1E973F5F040}"/>
    <cellStyle name="Vírgula 9 2 2 2 4 5 4 2" xfId="33249" xr:uid="{48A41F2B-1EC4-409A-AB9B-4CB51D1C24EA}"/>
    <cellStyle name="Vírgula 9 2 2 2 4 5 5" xfId="11883" xr:uid="{5179C73A-332C-4849-AB3F-39776EDD9BE3}"/>
    <cellStyle name="Vírgula 9 2 2 2 4 5 5 2" xfId="32225" xr:uid="{37C2F1EA-E0DB-42C8-9456-9D658432F852}"/>
    <cellStyle name="Vírgula 9 2 2 2 4 5 6" xfId="28731" xr:uid="{7B5B6969-1D7D-45ED-B463-7D2EB73364C9}"/>
    <cellStyle name="Vírgula 9 2 2 2 4 6" xfId="15805" xr:uid="{3C740714-485C-4B36-AE56-F1EDD89F9FEA}"/>
    <cellStyle name="Vírgula 9 2 2 2 4 6 2" xfId="36145" xr:uid="{61A19459-CA41-4B16-B8C2-139FA67E4F9E}"/>
    <cellStyle name="Vírgula 9 2 2 2 4 7" xfId="18719" xr:uid="{C3E980C9-599D-4B42-A4FF-A4F17311F810}"/>
    <cellStyle name="Vírgula 9 2 2 2 4 7 2" xfId="39059" xr:uid="{4A1368AE-1B62-4655-9FE6-7E8A8EBEA637}"/>
    <cellStyle name="Vírgula 9 2 2 2 4 8" xfId="19307" xr:uid="{3EDD1067-130A-4D57-BD66-19562101EB2B}"/>
    <cellStyle name="Vírgula 9 2 2 2 4 8 2" xfId="39646" xr:uid="{64AD4BC3-3FD1-4041-AC3B-28D9D68F8262}"/>
    <cellStyle name="Vírgula 9 2 2 2 4 9" xfId="22562" xr:uid="{B7C8654D-B240-4EFB-9FC7-3AEE7922A7BB}"/>
    <cellStyle name="Vírgula 9 2 2 2 4 9 2" xfId="42897" xr:uid="{AD0322EC-992F-491D-ACEE-821410F2F940}"/>
    <cellStyle name="Vírgula 9 2 2 2 5" xfId="5603" xr:uid="{031819DF-432A-4D76-B82F-4043BB38F065}"/>
    <cellStyle name="Vírgula 9 2 2 2 5 10" xfId="12354" xr:uid="{947F59C3-1D3C-42FC-893A-2CBC38BA417F}"/>
    <cellStyle name="Vírgula 9 2 2 2 5 10 2" xfId="32695" xr:uid="{4FACA123-5024-4F60-B587-AD9A3FF0B0C8}"/>
    <cellStyle name="Vírgula 9 2 2 2 5 11" xfId="9093" xr:uid="{451942AD-F090-46BF-952A-FB71BD9D182D}"/>
    <cellStyle name="Vírgula 9 2 2 2 5 11 2" xfId="29436" xr:uid="{A6D2B23F-5B97-4DBF-9DC0-599C18376FB0}"/>
    <cellStyle name="Vírgula 9 2 2 2 5 12" xfId="25942" xr:uid="{5D10E6B2-A014-4239-982D-14D7E7321458}"/>
    <cellStyle name="Vírgula 9 2 2 2 5 2" xfId="6175" xr:uid="{AC2E1A49-AC1A-4397-A039-B6D65232A45B}"/>
    <cellStyle name="Vírgula 9 2 2 2 5 2 2" xfId="7333" xr:uid="{0A0A1ED9-8E34-4509-B817-74EE5406522B}"/>
    <cellStyle name="Vírgula 9 2 2 2 5 2 2 2" xfId="17619" xr:uid="{F24AB849-1E8F-4DC0-AE30-4421C7B15539}"/>
    <cellStyle name="Vírgula 9 2 2 2 5 2 2 2 2" xfId="37959" xr:uid="{EE3C433B-03E4-45E1-B066-7FCCD300AD39}"/>
    <cellStyle name="Vírgula 9 2 2 2 5 2 2 3" xfId="21121" xr:uid="{1B9FBF58-DD27-4D86-87FF-27BAE65B7AE1}"/>
    <cellStyle name="Vírgula 9 2 2 2 5 2 2 3 2" xfId="41460" xr:uid="{EF4376F6-D21F-4238-9B72-428EF7092957}"/>
    <cellStyle name="Vírgula 9 2 2 2 5 2 2 4" xfId="24376" xr:uid="{E2016B95-9396-493E-9373-7D3DDA7EEBB0}"/>
    <cellStyle name="Vírgula 9 2 2 2 5 2 2 4 2" xfId="44711" xr:uid="{2A858406-97DA-42C3-AE33-66304846FF43}"/>
    <cellStyle name="Vírgula 9 2 2 2 5 2 2 5" xfId="14710" xr:uid="{D5530FB5-C2CC-4A0E-8FEF-C0B164837003}"/>
    <cellStyle name="Vírgula 9 2 2 2 5 2 2 5 2" xfId="35051" xr:uid="{6ED0E017-20FC-4EB7-9017-5E0BE3B80F44}"/>
    <cellStyle name="Vírgula 9 2 2 2 5 2 2 6" xfId="10832" xr:uid="{071C37F3-C39E-4039-BB94-C2E521EE25DD}"/>
    <cellStyle name="Vírgula 9 2 2 2 5 2 2 6 2" xfId="31175" xr:uid="{D62FE04B-8F8C-4A44-8FB9-0D5859CAAAF0}"/>
    <cellStyle name="Vírgula 9 2 2 2 5 2 2 7" xfId="27681" xr:uid="{4DEBD376-1E4D-4D4B-8A4C-50A402DE844E}"/>
    <cellStyle name="Vírgula 9 2 2 2 5 2 3" xfId="16461" xr:uid="{7E6C406B-70E4-4536-BF40-51A2BB0E2987}"/>
    <cellStyle name="Vírgula 9 2 2 2 5 2 3 2" xfId="36801" xr:uid="{56F0B36E-A9B5-45CA-92FB-00284F2FE921}"/>
    <cellStyle name="Vírgula 9 2 2 2 5 2 4" xfId="19963" xr:uid="{44B6D14C-7245-4034-985E-C342F5153F6A}"/>
    <cellStyle name="Vírgula 9 2 2 2 5 2 4 2" xfId="40302" xr:uid="{B81886AC-63D5-4794-A33D-1C832EE69C61}"/>
    <cellStyle name="Vírgula 9 2 2 2 5 2 5" xfId="23218" xr:uid="{8279A584-365F-4A9B-A71D-3B814548A3B2}"/>
    <cellStyle name="Vírgula 9 2 2 2 5 2 5 2" xfId="43553" xr:uid="{8B996171-7ADE-4D0E-9D32-FD85FC271271}"/>
    <cellStyle name="Vírgula 9 2 2 2 5 2 6" xfId="13552" xr:uid="{7E971FBE-4557-44B2-97D2-4E4562B5C58D}"/>
    <cellStyle name="Vírgula 9 2 2 2 5 2 6 2" xfId="33893" xr:uid="{10ED86A7-AA3B-40F6-981A-CDA4D4C8D59B}"/>
    <cellStyle name="Vírgula 9 2 2 2 5 2 7" xfId="9674" xr:uid="{6269B418-CA67-446F-A9B7-2B2D6E68B486}"/>
    <cellStyle name="Vírgula 9 2 2 2 5 2 7 2" xfId="30017" xr:uid="{39C479B6-EDFC-4CFB-BB4C-D39EB61D0217}"/>
    <cellStyle name="Vírgula 9 2 2 2 5 2 8" xfId="26523" xr:uid="{A3227018-F2E5-4478-84F8-653BA6D30739}"/>
    <cellStyle name="Vírgula 9 2 2 2 5 3" xfId="6752" xr:uid="{B77BC4F1-E2B7-429C-A202-FBBD845D7772}"/>
    <cellStyle name="Vírgula 9 2 2 2 5 3 2" xfId="17038" xr:uid="{1461D8A0-DFD6-46BD-A8E6-6641ABB53E56}"/>
    <cellStyle name="Vírgula 9 2 2 2 5 3 2 2" xfId="37378" xr:uid="{741CDA3B-2AD1-4E43-8A8C-D71C21ED89FA}"/>
    <cellStyle name="Vírgula 9 2 2 2 5 3 3" xfId="20540" xr:uid="{BEA7FA56-CD5A-419F-A01E-941AA2A99238}"/>
    <cellStyle name="Vírgula 9 2 2 2 5 3 3 2" xfId="40879" xr:uid="{4EC11665-1B46-457F-98F5-97F385BA0215}"/>
    <cellStyle name="Vírgula 9 2 2 2 5 3 4" xfId="23795" xr:uid="{D2950F5F-C25D-4B3D-996C-23E4D65E8283}"/>
    <cellStyle name="Vírgula 9 2 2 2 5 3 4 2" xfId="44130" xr:uid="{E27037CC-42B0-44BE-A538-8F06AD8A4329}"/>
    <cellStyle name="Vírgula 9 2 2 2 5 3 5" xfId="14129" xr:uid="{01BE88A6-6B57-4DBB-8CDE-BD2A6CA34E59}"/>
    <cellStyle name="Vírgula 9 2 2 2 5 3 5 2" xfId="34470" xr:uid="{05AAF386-97D9-4AA4-9E02-2A5B997A6F05}"/>
    <cellStyle name="Vírgula 9 2 2 2 5 3 6" xfId="10251" xr:uid="{8EBEEB4E-E1A3-4E6E-BBEE-07A30037AF93}"/>
    <cellStyle name="Vírgula 9 2 2 2 5 3 6 2" xfId="30594" xr:uid="{DFF33F17-0FD9-45F6-9668-4A6B66AD74BE}"/>
    <cellStyle name="Vírgula 9 2 2 2 5 3 7" xfId="27100" xr:uid="{3DAC1512-92A1-4350-BEFD-DAFA99A28842}"/>
    <cellStyle name="Vírgula 9 2 2 2 5 4" xfId="7916" xr:uid="{7B9EF611-2F4E-4294-89B8-0B73F7DCE057}"/>
    <cellStyle name="Vírgula 9 2 2 2 5 4 2" xfId="18201" xr:uid="{5230B1E4-1A13-477B-A5DF-E648F3BD2E34}"/>
    <cellStyle name="Vírgula 9 2 2 2 5 4 2 2" xfId="38541" xr:uid="{CB4BB5EF-74AD-4A63-BB4A-F7F5F184021C}"/>
    <cellStyle name="Vírgula 9 2 2 2 5 4 3" xfId="21703" xr:uid="{34BE420D-628A-47EE-9C0B-EF109324CDD0}"/>
    <cellStyle name="Vírgula 9 2 2 2 5 4 3 2" xfId="42042" xr:uid="{88939F2F-65A0-4116-8360-7321F3587943}"/>
    <cellStyle name="Vírgula 9 2 2 2 5 4 4" xfId="24958" xr:uid="{9F593AFC-105C-4CB3-B366-87326F143417}"/>
    <cellStyle name="Vírgula 9 2 2 2 5 4 4 2" xfId="45293" xr:uid="{BAE03E45-F00D-40A5-8BE6-C96F6581AEDA}"/>
    <cellStyle name="Vírgula 9 2 2 2 5 4 5" xfId="15293" xr:uid="{A0A617D6-4736-419B-9C7D-7E73DDECE3B3}"/>
    <cellStyle name="Vírgula 9 2 2 2 5 4 5 2" xfId="35633" xr:uid="{F3359A38-1B1A-4C63-A238-D33161492E71}"/>
    <cellStyle name="Vírgula 9 2 2 2 5 4 6" xfId="11414" xr:uid="{98A5CA19-8E6E-46A9-AA5F-17A66C51F5F0}"/>
    <cellStyle name="Vírgula 9 2 2 2 5 4 6 2" xfId="31757" xr:uid="{ACE0DD7E-5FFB-4A24-A4BF-8721AFD4DC97}"/>
    <cellStyle name="Vírgula 9 2 2 2 5 4 7" xfId="28263" xr:uid="{2043D7F7-5193-40E3-8B8E-B4F6A08F7A0A}"/>
    <cellStyle name="Vírgula 9 2 2 2 5 5" xfId="12983" xr:uid="{3D59821A-B008-42F6-8AB5-A9AC5EBB22F8}"/>
    <cellStyle name="Vírgula 9 2 2 2 5 5 2" xfId="33324" xr:uid="{A2E027CE-AAA8-4138-873D-23D1F92DD42D}"/>
    <cellStyle name="Vírgula 9 2 2 2 5 6" xfId="15880" xr:uid="{DCEF7090-B595-4C97-9117-5C97ABB1DAF6}"/>
    <cellStyle name="Vírgula 9 2 2 2 5 6 2" xfId="36220" xr:uid="{2E60D2C3-8C48-4687-BCD3-1DA1264065DA}"/>
    <cellStyle name="Vírgula 9 2 2 2 5 7" xfId="18794" xr:uid="{1E331E35-DFA2-4300-BB59-B0B5E39F2941}"/>
    <cellStyle name="Vírgula 9 2 2 2 5 7 2" xfId="39134" xr:uid="{DFB1DC6E-49E2-4836-BEC8-CA88FC0C4ACD}"/>
    <cellStyle name="Vírgula 9 2 2 2 5 8" xfId="19382" xr:uid="{E823A5BD-32D6-46E3-8E67-699DCCF5E8CC}"/>
    <cellStyle name="Vírgula 9 2 2 2 5 8 2" xfId="39721" xr:uid="{E09F5C62-2EE4-4677-9FAF-04452C7F1F31}"/>
    <cellStyle name="Vírgula 9 2 2 2 5 9" xfId="22637" xr:uid="{D40A1716-3ABC-4F12-89E1-26F82A065D1B}"/>
    <cellStyle name="Vírgula 9 2 2 2 5 9 2" xfId="42972" xr:uid="{BB29C764-D815-432F-9F2E-147735AF04AB}"/>
    <cellStyle name="Vírgula 9 2 2 2 6" xfId="5701" xr:uid="{E3C0A6D1-D43C-4541-B9C2-B6E1394F1A61}"/>
    <cellStyle name="Vírgula 9 2 2 2 6 10" xfId="12452" xr:uid="{7BEC6D67-52E0-451B-9E1C-A9DF9FDA1E74}"/>
    <cellStyle name="Vírgula 9 2 2 2 6 10 2" xfId="32793" xr:uid="{577AD47B-A3BC-475D-BE88-DC79A4FB56D4}"/>
    <cellStyle name="Vírgula 9 2 2 2 6 11" xfId="9191" xr:uid="{B1F4825F-511C-405D-B400-537BDDF76025}"/>
    <cellStyle name="Vírgula 9 2 2 2 6 11 2" xfId="29534" xr:uid="{AACEE19D-15B9-426C-B456-85D348A25ED0}"/>
    <cellStyle name="Vírgula 9 2 2 2 6 12" xfId="26040" xr:uid="{58177AB7-2D28-4190-927D-9BF4DE935DFB}"/>
    <cellStyle name="Vírgula 9 2 2 2 6 2" xfId="6273" xr:uid="{9BCE9278-FE74-49B7-A77F-60FC3FFA9174}"/>
    <cellStyle name="Vírgula 9 2 2 2 6 2 2" xfId="7431" xr:uid="{35AD6C86-8743-419D-9CDF-25E90A058401}"/>
    <cellStyle name="Vírgula 9 2 2 2 6 2 2 2" xfId="17717" xr:uid="{02ABE787-EA38-4165-B346-F7CC7E5AA4CA}"/>
    <cellStyle name="Vírgula 9 2 2 2 6 2 2 2 2" xfId="38057" xr:uid="{67F6257A-2943-41BC-9D1A-49AB141A7DE7}"/>
    <cellStyle name="Vírgula 9 2 2 2 6 2 2 3" xfId="21219" xr:uid="{2B56B883-DB19-41BD-A0AD-4C91D90A3586}"/>
    <cellStyle name="Vírgula 9 2 2 2 6 2 2 3 2" xfId="41558" xr:uid="{A5401126-764E-4702-AFBC-F23B173F66F0}"/>
    <cellStyle name="Vírgula 9 2 2 2 6 2 2 4" xfId="24474" xr:uid="{DD69A099-203B-4B24-B8FB-0E22EDA57C98}"/>
    <cellStyle name="Vírgula 9 2 2 2 6 2 2 4 2" xfId="44809" xr:uid="{E77C2F25-D312-4565-BFB6-206EBADB82A8}"/>
    <cellStyle name="Vírgula 9 2 2 2 6 2 2 5" xfId="14808" xr:uid="{D5A76AD9-EB79-4A3D-90A5-F9FAA13C1903}"/>
    <cellStyle name="Vírgula 9 2 2 2 6 2 2 5 2" xfId="35149" xr:uid="{E0B83BED-DC51-4442-B729-7050206D1304}"/>
    <cellStyle name="Vírgula 9 2 2 2 6 2 2 6" xfId="10930" xr:uid="{185FD037-97BF-41C1-8494-81BB74CD7CCF}"/>
    <cellStyle name="Vírgula 9 2 2 2 6 2 2 6 2" xfId="31273" xr:uid="{87FAD339-C98D-4ECE-9EF2-3335B0D2D08D}"/>
    <cellStyle name="Vírgula 9 2 2 2 6 2 2 7" xfId="27779" xr:uid="{8D653929-FC74-414C-9E20-B528E9E62F19}"/>
    <cellStyle name="Vírgula 9 2 2 2 6 2 3" xfId="16559" xr:uid="{2B108411-2EA9-4E87-9D3B-3CF720C262F4}"/>
    <cellStyle name="Vírgula 9 2 2 2 6 2 3 2" xfId="36899" xr:uid="{6998388D-7597-485E-A8BF-3A71A05D4F3D}"/>
    <cellStyle name="Vírgula 9 2 2 2 6 2 4" xfId="20061" xr:uid="{F8A6FED5-CACB-4991-A2F2-654EDAF4C4D4}"/>
    <cellStyle name="Vírgula 9 2 2 2 6 2 4 2" xfId="40400" xr:uid="{094F99BB-A018-4AB6-81BA-6CD7B94D0395}"/>
    <cellStyle name="Vírgula 9 2 2 2 6 2 5" xfId="23316" xr:uid="{61050C00-D3E4-46E5-B130-EA97C44AB807}"/>
    <cellStyle name="Vírgula 9 2 2 2 6 2 5 2" xfId="43651" xr:uid="{316FCC66-3619-491E-AC8D-1D9BDCA1BDB8}"/>
    <cellStyle name="Vírgula 9 2 2 2 6 2 6" xfId="13650" xr:uid="{6AEA4DD4-EA2B-465F-B8D3-B470C20C2F2F}"/>
    <cellStyle name="Vírgula 9 2 2 2 6 2 6 2" xfId="33991" xr:uid="{71DC9E87-2D05-4168-883E-23817378B642}"/>
    <cellStyle name="Vírgula 9 2 2 2 6 2 7" xfId="9772" xr:uid="{E19A29C6-2F23-4CB1-9DBA-4BF24E745D0B}"/>
    <cellStyle name="Vírgula 9 2 2 2 6 2 7 2" xfId="30115" xr:uid="{8285D297-4514-4CCD-8E76-F9FF4BCB1158}"/>
    <cellStyle name="Vírgula 9 2 2 2 6 2 8" xfId="26621" xr:uid="{9F782A5B-946F-4D82-93CC-ABB5EEE989DD}"/>
    <cellStyle name="Vírgula 9 2 2 2 6 3" xfId="6850" xr:uid="{A5197810-A643-420E-8FDC-2945656DDD33}"/>
    <cellStyle name="Vírgula 9 2 2 2 6 3 2" xfId="17136" xr:uid="{9EC95C7F-346E-42CC-BF31-07953369EF72}"/>
    <cellStyle name="Vírgula 9 2 2 2 6 3 2 2" xfId="37476" xr:uid="{5F046A0F-A7A6-4248-8510-30CE6EFB697F}"/>
    <cellStyle name="Vírgula 9 2 2 2 6 3 3" xfId="20638" xr:uid="{119DD8CB-30FB-4674-9B2D-427F563299D7}"/>
    <cellStyle name="Vírgula 9 2 2 2 6 3 3 2" xfId="40977" xr:uid="{AABC7200-8D6B-42A9-90A4-93B8F9864699}"/>
    <cellStyle name="Vírgula 9 2 2 2 6 3 4" xfId="23893" xr:uid="{B84AB2B1-6197-479E-993F-EA5A0858731C}"/>
    <cellStyle name="Vírgula 9 2 2 2 6 3 4 2" xfId="44228" xr:uid="{F248C546-4355-407A-BC4F-55F05980ECD1}"/>
    <cellStyle name="Vírgula 9 2 2 2 6 3 5" xfId="14227" xr:uid="{DA65D1B0-F314-4FBA-85E3-702C45F17C03}"/>
    <cellStyle name="Vírgula 9 2 2 2 6 3 5 2" xfId="34568" xr:uid="{D256750D-6566-4149-B52B-AE013AC9BA88}"/>
    <cellStyle name="Vírgula 9 2 2 2 6 3 6" xfId="10349" xr:uid="{05DD6E10-54FA-4FE5-8CD1-19B21112645B}"/>
    <cellStyle name="Vírgula 9 2 2 2 6 3 6 2" xfId="30692" xr:uid="{B4DE45CA-C9EA-4CD2-B7B0-BD8DA834085A}"/>
    <cellStyle name="Vírgula 9 2 2 2 6 3 7" xfId="27198" xr:uid="{DF9B4D32-DE4E-4873-A082-A4A99AED09D3}"/>
    <cellStyle name="Vírgula 9 2 2 2 6 4" xfId="8014" xr:uid="{62215E14-87E6-45C0-B787-1973A2C791EC}"/>
    <cellStyle name="Vírgula 9 2 2 2 6 4 2" xfId="18299" xr:uid="{3ED8A6E9-5861-4D78-8EAD-AA419695E01D}"/>
    <cellStyle name="Vírgula 9 2 2 2 6 4 2 2" xfId="38639" xr:uid="{97B4CDDF-B540-4334-B3B3-BADD2754288E}"/>
    <cellStyle name="Vírgula 9 2 2 2 6 4 3" xfId="21801" xr:uid="{473310AD-FA4E-4A3C-A850-F2EB6BBE04AC}"/>
    <cellStyle name="Vírgula 9 2 2 2 6 4 3 2" xfId="42140" xr:uid="{A527C0AE-A49C-455D-9709-2800EB42CF51}"/>
    <cellStyle name="Vírgula 9 2 2 2 6 4 4" xfId="25056" xr:uid="{058B2044-5393-43DA-88DA-537BB93E68C0}"/>
    <cellStyle name="Vírgula 9 2 2 2 6 4 4 2" xfId="45391" xr:uid="{91F2ABDB-A7B3-4DD2-8F1C-88584D43004B}"/>
    <cellStyle name="Vírgula 9 2 2 2 6 4 5" xfId="15391" xr:uid="{43E5E5F7-5EE5-4BDF-B631-61070DA6D557}"/>
    <cellStyle name="Vírgula 9 2 2 2 6 4 5 2" xfId="35731" xr:uid="{F88CFB4D-AB6E-4F46-AC30-B86AD1978331}"/>
    <cellStyle name="Vírgula 9 2 2 2 6 4 6" xfId="11512" xr:uid="{6DF3B90E-5BE8-4523-AC8C-9530517EFB67}"/>
    <cellStyle name="Vírgula 9 2 2 2 6 4 6 2" xfId="31855" xr:uid="{20911B97-DD84-4ECF-A1D3-2D300E37CC53}"/>
    <cellStyle name="Vírgula 9 2 2 2 6 4 7" xfId="28361" xr:uid="{03BB338A-8CD9-45FF-A7AB-175D035C78BF}"/>
    <cellStyle name="Vírgula 9 2 2 2 6 5" xfId="13081" xr:uid="{4DE92265-3CB4-4EFB-8ABD-2ADF07921F04}"/>
    <cellStyle name="Vírgula 9 2 2 2 6 5 2" xfId="33422" xr:uid="{4F854BEA-EFCE-43DC-A46E-424CE6457B02}"/>
    <cellStyle name="Vírgula 9 2 2 2 6 6" xfId="15978" xr:uid="{3181613E-FC83-4519-80C0-E37E70A2E753}"/>
    <cellStyle name="Vírgula 9 2 2 2 6 6 2" xfId="36318" xr:uid="{359C7135-0B39-4B2F-BC5C-B6223A61F41B}"/>
    <cellStyle name="Vírgula 9 2 2 2 6 7" xfId="18892" xr:uid="{FFB867C6-978C-42DF-95D0-02A5DBE07C2A}"/>
    <cellStyle name="Vírgula 9 2 2 2 6 7 2" xfId="39232" xr:uid="{F4E50B29-0E4F-4A15-A5F7-B2260B1F8B72}"/>
    <cellStyle name="Vírgula 9 2 2 2 6 8" xfId="19480" xr:uid="{450E1F4E-3BD2-4136-A081-F978AC272E50}"/>
    <cellStyle name="Vírgula 9 2 2 2 6 8 2" xfId="39819" xr:uid="{72A9592A-611A-45BE-A592-2F17998D9FD5}"/>
    <cellStyle name="Vírgula 9 2 2 2 6 9" xfId="22735" xr:uid="{3F03FF62-DF75-437B-991A-6EA7F5FAEAE4}"/>
    <cellStyle name="Vírgula 9 2 2 2 6 9 2" xfId="43070" xr:uid="{C166A9A0-2483-441C-B8B5-D2E35C2A6C26}"/>
    <cellStyle name="Vírgula 9 2 2 2 7" xfId="5831" xr:uid="{4B3E8BB4-B5DA-4A88-8C1C-83F612A80D37}"/>
    <cellStyle name="Vírgula 9 2 2 2 7 2" xfId="6989" xr:uid="{DFFFB93E-84F9-4488-A854-4819935D0A58}"/>
    <cellStyle name="Vírgula 9 2 2 2 7 2 2" xfId="17275" xr:uid="{CBADD83A-37D0-41CB-B89D-C451746DAEC4}"/>
    <cellStyle name="Vírgula 9 2 2 2 7 2 2 2" xfId="37615" xr:uid="{15BFDBD3-EDB2-423F-B4CF-A6E32F7C38CD}"/>
    <cellStyle name="Vírgula 9 2 2 2 7 2 3" xfId="20777" xr:uid="{B4268563-7FD1-473B-A479-558635593112}"/>
    <cellStyle name="Vírgula 9 2 2 2 7 2 3 2" xfId="41116" xr:uid="{B4AD46E4-A679-450F-B880-D518A4D4598F}"/>
    <cellStyle name="Vírgula 9 2 2 2 7 2 4" xfId="24032" xr:uid="{56EBA60E-B544-4D34-83EB-EF1C50C50D9A}"/>
    <cellStyle name="Vírgula 9 2 2 2 7 2 4 2" xfId="44367" xr:uid="{4CC4CE96-C299-4C3A-A73D-7E07E1A7DDF9}"/>
    <cellStyle name="Vírgula 9 2 2 2 7 2 5" xfId="14366" xr:uid="{A41ECB58-16F1-4B75-80AE-8EFF406D8BAF}"/>
    <cellStyle name="Vírgula 9 2 2 2 7 2 5 2" xfId="34707" xr:uid="{6A969CEE-7508-4485-8402-79BA965F4E43}"/>
    <cellStyle name="Vírgula 9 2 2 2 7 2 6" xfId="10488" xr:uid="{B686B2D8-7B1E-4A68-8376-786FDDC74E2E}"/>
    <cellStyle name="Vírgula 9 2 2 2 7 2 6 2" xfId="30831" xr:uid="{19FC2640-2942-48EC-88E2-04203E9D6DAC}"/>
    <cellStyle name="Vírgula 9 2 2 2 7 2 7" xfId="27337" xr:uid="{253414C8-6B82-4829-BDB7-79A4294D398E}"/>
    <cellStyle name="Vírgula 9 2 2 2 7 3" xfId="16117" xr:uid="{2B72CC77-CC34-4563-A41D-12FC696720CC}"/>
    <cellStyle name="Vírgula 9 2 2 2 7 3 2" xfId="36457" xr:uid="{A1020EDC-C737-4E5D-AED1-657E0CD78897}"/>
    <cellStyle name="Vírgula 9 2 2 2 7 4" xfId="19619" xr:uid="{64F7560C-30BB-4245-9F75-F42A302DD3C6}"/>
    <cellStyle name="Vírgula 9 2 2 2 7 4 2" xfId="39958" xr:uid="{3BA315BD-860D-403D-9795-0629E220C47B}"/>
    <cellStyle name="Vírgula 9 2 2 2 7 5" xfId="22874" xr:uid="{65B824E2-CAB6-49DF-8F0A-B4CE39266EF4}"/>
    <cellStyle name="Vírgula 9 2 2 2 7 5 2" xfId="43209" xr:uid="{B21BB543-9E48-4A60-8D8B-3419540E8CE6}"/>
    <cellStyle name="Vírgula 9 2 2 2 7 6" xfId="13210" xr:uid="{80655DA2-3A1F-4026-85C1-834A4B3E9A50}"/>
    <cellStyle name="Vírgula 9 2 2 2 7 6 2" xfId="33551" xr:uid="{2C0E4D23-6CA8-4078-8ACE-897F76B8C170}"/>
    <cellStyle name="Vírgula 9 2 2 2 7 7" xfId="9330" xr:uid="{3447C4BA-B6D6-413F-9E2E-FC9666E671A6}"/>
    <cellStyle name="Vírgula 9 2 2 2 7 7 2" xfId="29673" xr:uid="{611BF84D-2861-4DF4-ABA0-D07DEDA15624}"/>
    <cellStyle name="Vírgula 9 2 2 2 7 8" xfId="26179" xr:uid="{A40B963F-0125-457F-B7A0-72F1A6149EBA}"/>
    <cellStyle name="Vírgula 9 2 2 2 8" xfId="6408" xr:uid="{777BB86A-5C61-4112-9715-ACC05A6E34C1}"/>
    <cellStyle name="Vírgula 9 2 2 2 8 2" xfId="16694" xr:uid="{4C611652-503D-46D3-9376-29F3ECA44CC0}"/>
    <cellStyle name="Vírgula 9 2 2 2 8 2 2" xfId="37034" xr:uid="{DDB03FD9-588B-4D31-A645-8688744ED475}"/>
    <cellStyle name="Vírgula 9 2 2 2 8 3" xfId="20196" xr:uid="{C0D31734-A38B-4D37-8993-C012F16FD72B}"/>
    <cellStyle name="Vírgula 9 2 2 2 8 3 2" xfId="40535" xr:uid="{0C3CE4B1-599C-48CA-B203-770AC28A0FA3}"/>
    <cellStyle name="Vírgula 9 2 2 2 8 4" xfId="23451" xr:uid="{21DAC3C7-5648-4686-9429-885520E00E6E}"/>
    <cellStyle name="Vírgula 9 2 2 2 8 4 2" xfId="43786" xr:uid="{4B3F2E07-32C6-49F2-AC24-D324C6FF5804}"/>
    <cellStyle name="Vírgula 9 2 2 2 8 5" xfId="13785" xr:uid="{CB3B488F-61DF-4E55-A8FF-0553BD648957}"/>
    <cellStyle name="Vírgula 9 2 2 2 8 5 2" xfId="34126" xr:uid="{16799D5D-157E-4744-B5F4-B6F14FAE2E50}"/>
    <cellStyle name="Vírgula 9 2 2 2 8 6" xfId="9907" xr:uid="{E550E56F-2C9F-4461-A29B-78D9F5B4EFA6}"/>
    <cellStyle name="Vírgula 9 2 2 2 8 6 2" xfId="30250" xr:uid="{31DBEC4A-AD0F-494A-B948-4B488C6CE040}"/>
    <cellStyle name="Vírgula 9 2 2 2 8 7" xfId="26756" xr:uid="{1FE96269-3C72-47BE-A557-05F0D88437E4}"/>
    <cellStyle name="Vírgula 9 2 2 2 9" xfId="7572" xr:uid="{90FB1484-54D1-4877-95FE-02AABBFDCC47}"/>
    <cellStyle name="Vírgula 9 2 2 2 9 2" xfId="17857" xr:uid="{BB74A530-273A-464E-9615-C01FBDEEE0B0}"/>
    <cellStyle name="Vírgula 9 2 2 2 9 2 2" xfId="38197" xr:uid="{0FF9B737-B792-41AD-803E-073AFB54E326}"/>
    <cellStyle name="Vírgula 9 2 2 2 9 3" xfId="21359" xr:uid="{CE86408B-BA42-42DB-A6E7-7DB0BECD1688}"/>
    <cellStyle name="Vírgula 9 2 2 2 9 3 2" xfId="41698" xr:uid="{0B425386-10A0-4732-B2E2-C84604F65D91}"/>
    <cellStyle name="Vírgula 9 2 2 2 9 4" xfId="24614" xr:uid="{DB380B43-16F7-44DC-9CED-5503B43D5EB2}"/>
    <cellStyle name="Vírgula 9 2 2 2 9 4 2" xfId="44949" xr:uid="{3E2E37E0-D9B1-4AC5-B396-7996492F930E}"/>
    <cellStyle name="Vírgula 9 2 2 2 9 5" xfId="14949" xr:uid="{53F957BB-B6CC-4457-A291-303D1AD1046B}"/>
    <cellStyle name="Vírgula 9 2 2 2 9 5 2" xfId="35289" xr:uid="{9DC1A105-D398-4BE1-9CED-7BA2E5EB6534}"/>
    <cellStyle name="Vírgula 9 2 2 2 9 6" xfId="11070" xr:uid="{4371D87F-FD1E-4259-89EE-11CDD6202685}"/>
    <cellStyle name="Vírgula 9 2 2 2 9 6 2" xfId="31413" xr:uid="{395D87C1-76AA-4D1E-A104-9DA113C76A99}"/>
    <cellStyle name="Vírgula 9 2 2 2 9 7" xfId="27919" xr:uid="{B0E37F4D-72D5-4E3B-84E3-13A48BB0E9B8}"/>
    <cellStyle name="Vírgula 9 2 2 20" xfId="46320" xr:uid="{206F7623-121D-4273-B873-D433DB852F46}"/>
    <cellStyle name="Vírgula 9 2 2 21" xfId="46812" xr:uid="{BF1CAB6B-1BB0-48AD-B13F-27594C9088C6}"/>
    <cellStyle name="Vírgula 9 2 2 22" xfId="49348" xr:uid="{052A1EE4-9AF6-4BDA-8C8A-71B41DCC32CD}"/>
    <cellStyle name="Vírgula 9 2 2 23" xfId="51018" xr:uid="{750E3495-5182-415F-ABB0-85F322401DE9}"/>
    <cellStyle name="Vírgula 9 2 2 24" xfId="54313" xr:uid="{6AE22B00-05DE-42A4-9953-1041F8A04BA4}"/>
    <cellStyle name="Vírgula 9 2 2 25" xfId="5239" xr:uid="{3C09FD53-3165-4F03-A1F5-55EBBD7F834F}"/>
    <cellStyle name="Vírgula 9 2 2 26" xfId="4807" xr:uid="{687CCC88-9871-4497-AEC9-D19E6356993A}"/>
    <cellStyle name="Vírgula 9 2 2 3" xfId="2835" xr:uid="{FDFBB804-30FE-413E-B937-068FDB56F088}"/>
    <cellStyle name="Vírgula 9 2 2 3 10" xfId="22380" xr:uid="{18F96C5D-8BAA-44C7-B4EE-B76A4C1B87B5}"/>
    <cellStyle name="Vírgula 9 2 2 3 10 2" xfId="42715" xr:uid="{F6F47292-2952-4E55-9922-1C0EC6FF4726}"/>
    <cellStyle name="Vírgula 9 2 2 3 11" xfId="12097" xr:uid="{4F16FFC9-DBAB-451D-BB93-27B42EFE2B8E}"/>
    <cellStyle name="Vírgula 9 2 2 3 11 2" xfId="32438" xr:uid="{C4CA9BF2-9A03-4054-AE30-AEE3A9ED487A}"/>
    <cellStyle name="Vírgula 9 2 2 3 12" xfId="8836" xr:uid="{48110ECA-B335-493D-9B19-FFF2EBF00187}"/>
    <cellStyle name="Vírgula 9 2 2 3 12 2" xfId="29179" xr:uid="{AA9780E4-5A1E-471E-8EB6-D513CFF4DD66}"/>
    <cellStyle name="Vírgula 9 2 2 3 13" xfId="25685" xr:uid="{28053AEA-CA2F-4B56-A99D-EB92CD2B3886}"/>
    <cellStyle name="Vírgula 9 2 2 3 14" xfId="45894" xr:uid="{E9CB020F-22AE-48ED-85B9-B4C35C053D46}"/>
    <cellStyle name="Vírgula 9 2 2 3 15" xfId="46380" xr:uid="{B7D42A83-C74A-4C4F-80CB-004EC9255144}"/>
    <cellStyle name="Vírgula 9 2 2 3 16" xfId="46872" xr:uid="{30191361-7E1C-4FFA-810B-6DC4FE56CFAE}"/>
    <cellStyle name="Vírgula 9 2 2 3 17" xfId="57045" xr:uid="{A7A56DD2-11D4-4DB2-A0A5-F1559CE655B8}"/>
    <cellStyle name="Vírgula 9 2 2 3 18" xfId="5361" xr:uid="{D6622C87-A459-40FE-B7D3-A5594649808E}"/>
    <cellStyle name="Vírgula 9 2 2 3 19" xfId="4938" xr:uid="{D7BC2DA2-6F09-4951-B5F4-8096D3591A80}"/>
    <cellStyle name="Vírgula 9 2 2 3 2" xfId="5157" xr:uid="{365428C2-A656-46B5-974E-371A658552F7}"/>
    <cellStyle name="Vírgula 9 2 2 3 2 10" xfId="12484" xr:uid="{67935167-61DB-49E5-AA96-ED888F464AFE}"/>
    <cellStyle name="Vírgula 9 2 2 3 2 10 2" xfId="32825" xr:uid="{FF242A96-107C-4EDA-93A4-E25745193056}"/>
    <cellStyle name="Vírgula 9 2 2 3 2 11" xfId="9223" xr:uid="{9DAE134A-A02B-40CB-9CC6-89252117855E}"/>
    <cellStyle name="Vírgula 9 2 2 3 2 11 2" xfId="29566" xr:uid="{B30AC340-AD75-4C18-AF42-CDFF26448314}"/>
    <cellStyle name="Vírgula 9 2 2 3 2 12" xfId="26072" xr:uid="{6109DE50-20D5-4004-81E4-8F316684F368}"/>
    <cellStyle name="Vírgula 9 2 2 3 2 13" xfId="46039" xr:uid="{CCB63FBB-C903-40A5-8704-7B69778CEAF5}"/>
    <cellStyle name="Vírgula 9 2 2 3 2 14" xfId="46525" xr:uid="{7394D4AC-1ED6-4751-907C-D0F0CACF4D98}"/>
    <cellStyle name="Vírgula 9 2 2 3 2 15" xfId="47017" xr:uid="{9D7EEC80-BB7D-4FF3-9FED-DDC871D84D60}"/>
    <cellStyle name="Vírgula 9 2 2 3 2 16" xfId="5731" xr:uid="{8B1AA50D-F200-4FED-AA90-4FDB7767E27E}"/>
    <cellStyle name="Vírgula 9 2 2 3 2 2" xfId="6305" xr:uid="{07035DEE-2162-46A1-A45C-7E64963A89F9}"/>
    <cellStyle name="Vírgula 9 2 2 3 2 2 10" xfId="46768" xr:uid="{C2451F2F-546C-4907-A025-BBCBBBFCA32A}"/>
    <cellStyle name="Vírgula 9 2 2 3 2 2 11" xfId="47260" xr:uid="{9E601251-C8BB-4B4F-B6E7-4A8BDE05CAD7}"/>
    <cellStyle name="Vírgula 9 2 2 3 2 2 2" xfId="7463" xr:uid="{47176A84-0D4D-4D38-8E8F-6E29784ACA92}"/>
    <cellStyle name="Vírgula 9 2 2 3 2 2 2 2" xfId="17749" xr:uid="{63B1DC6B-6003-4F32-9BD9-CE62615B879C}"/>
    <cellStyle name="Vírgula 9 2 2 3 2 2 2 2 2" xfId="38089" xr:uid="{4F507803-2D14-4F62-A2A5-682CEE369DCE}"/>
    <cellStyle name="Vírgula 9 2 2 3 2 2 2 3" xfId="21251" xr:uid="{8B494E97-86AD-4C05-AFB3-FA5770AE0BA3}"/>
    <cellStyle name="Vírgula 9 2 2 3 2 2 2 3 2" xfId="41590" xr:uid="{F2178175-EDBF-425C-ADD7-C62F9279451C}"/>
    <cellStyle name="Vírgula 9 2 2 3 2 2 2 4" xfId="24506" xr:uid="{3CEE13FB-37D3-4005-BD9E-26819960C4F6}"/>
    <cellStyle name="Vírgula 9 2 2 3 2 2 2 4 2" xfId="44841" xr:uid="{E234599A-5902-48EA-91C1-0565A4E22A8A}"/>
    <cellStyle name="Vírgula 9 2 2 3 2 2 2 5" xfId="14840" xr:uid="{0B4E1E0D-8A98-44DA-A7EC-A885688F2154}"/>
    <cellStyle name="Vírgula 9 2 2 3 2 2 2 5 2" xfId="35181" xr:uid="{929F6555-81D4-42EA-B798-7664D492B4CE}"/>
    <cellStyle name="Vírgula 9 2 2 3 2 2 2 6" xfId="10962" xr:uid="{15AF242F-79E6-433F-BC3E-F0E9AC2CFE1E}"/>
    <cellStyle name="Vírgula 9 2 2 3 2 2 2 6 2" xfId="31305" xr:uid="{6863F73F-9DF6-4705-BFB1-1163B5C9D390}"/>
    <cellStyle name="Vírgula 9 2 2 3 2 2 2 7" xfId="27811" xr:uid="{8C068CE7-D6B3-4E65-9BF7-8655443F9045}"/>
    <cellStyle name="Vírgula 9 2 2 3 2 2 3" xfId="16591" xr:uid="{C1FD2F0B-2B9B-473B-B22D-1E5B019D334F}"/>
    <cellStyle name="Vírgula 9 2 2 3 2 2 3 2" xfId="36931" xr:uid="{BE269206-D75E-4B1C-93F1-9F99E52CEF00}"/>
    <cellStyle name="Vírgula 9 2 2 3 2 2 4" xfId="20093" xr:uid="{3371C05A-7DF2-4885-95CD-1FA695E87E4C}"/>
    <cellStyle name="Vírgula 9 2 2 3 2 2 4 2" xfId="40432" xr:uid="{34C6A2B9-41D8-4772-AC85-D7DC1007367D}"/>
    <cellStyle name="Vírgula 9 2 2 3 2 2 5" xfId="23348" xr:uid="{4974756B-2BE6-4E97-8B08-C515C3B41DDA}"/>
    <cellStyle name="Vírgula 9 2 2 3 2 2 5 2" xfId="43683" xr:uid="{9EB5A4FC-32DD-4ED4-A30D-FC5BD8D3F857}"/>
    <cellStyle name="Vírgula 9 2 2 3 2 2 6" xfId="13682" xr:uid="{DE267113-FFD0-4A15-9B3A-34ED2A3EFC17}"/>
    <cellStyle name="Vírgula 9 2 2 3 2 2 6 2" xfId="34023" xr:uid="{2F2A41F3-301B-4104-B0AB-F31D7FBB6936}"/>
    <cellStyle name="Vírgula 9 2 2 3 2 2 7" xfId="9804" xr:uid="{440E2F8F-2676-4799-B895-ACB08D0690F3}"/>
    <cellStyle name="Vírgula 9 2 2 3 2 2 7 2" xfId="30147" xr:uid="{1C768A51-2EB2-40A0-A151-0B81314C386B}"/>
    <cellStyle name="Vírgula 9 2 2 3 2 2 8" xfId="26653" xr:uid="{991DBE65-3FB3-4720-992D-85EDE7EF5E9E}"/>
    <cellStyle name="Vírgula 9 2 2 3 2 2 9" xfId="46282" xr:uid="{148A1D00-2484-4625-9202-ABB1C749704F}"/>
    <cellStyle name="Vírgula 9 2 2 3 2 3" xfId="6882" xr:uid="{89234F44-52C4-488E-BA88-4C3565699770}"/>
    <cellStyle name="Vírgula 9 2 2 3 2 3 2" xfId="17168" xr:uid="{A1984E16-EE9A-4C11-95AE-4A4557BBD197}"/>
    <cellStyle name="Vírgula 9 2 2 3 2 3 2 2" xfId="37508" xr:uid="{50FBC8C6-404F-47C9-8E02-541792FE2CF4}"/>
    <cellStyle name="Vírgula 9 2 2 3 2 3 3" xfId="20670" xr:uid="{822D5350-5E05-4E72-9918-B6995BDBC52D}"/>
    <cellStyle name="Vírgula 9 2 2 3 2 3 3 2" xfId="41009" xr:uid="{CC4ACCDD-1AC3-4A94-A596-3B0D5C9B8B05}"/>
    <cellStyle name="Vírgula 9 2 2 3 2 3 4" xfId="23925" xr:uid="{E21406EC-DD56-4F1B-9A63-4CED05DCFC52}"/>
    <cellStyle name="Vírgula 9 2 2 3 2 3 4 2" xfId="44260" xr:uid="{0DBE8A38-9CD0-4A4B-9EC1-2E57C25888B8}"/>
    <cellStyle name="Vírgula 9 2 2 3 2 3 5" xfId="14259" xr:uid="{B8D63D05-81C1-4CFC-87D7-B2DF86516CEA}"/>
    <cellStyle name="Vírgula 9 2 2 3 2 3 5 2" xfId="34600" xr:uid="{E19939B8-D6EB-44DE-9EBC-4BEE6C15B5E1}"/>
    <cellStyle name="Vírgula 9 2 2 3 2 3 6" xfId="10381" xr:uid="{4C259A5F-5BC0-43D7-8BDC-88A28CFBA6BF}"/>
    <cellStyle name="Vírgula 9 2 2 3 2 3 6 2" xfId="30724" xr:uid="{83ABF284-6B41-421F-9858-A3F49C8E119E}"/>
    <cellStyle name="Vírgula 9 2 2 3 2 3 7" xfId="27230" xr:uid="{21BD41B7-EFC2-4FC3-BBBF-4623AB8555C2}"/>
    <cellStyle name="Vírgula 9 2 2 3 2 4" xfId="8046" xr:uid="{5A09DB4F-4226-4568-BC02-F5AF2E6EE85A}"/>
    <cellStyle name="Vírgula 9 2 2 3 2 4 2" xfId="18331" xr:uid="{1DF76BD2-AC48-4DDF-8776-4B9E319C723A}"/>
    <cellStyle name="Vírgula 9 2 2 3 2 4 2 2" xfId="38671" xr:uid="{D3ED4A15-9A35-4C97-B3A1-2B9C337ED6EC}"/>
    <cellStyle name="Vírgula 9 2 2 3 2 4 3" xfId="21833" xr:uid="{10B859EC-C565-4FC5-843D-E9530AAA1F49}"/>
    <cellStyle name="Vírgula 9 2 2 3 2 4 3 2" xfId="42172" xr:uid="{38634614-E61E-4813-8A68-5EC9C483F99A}"/>
    <cellStyle name="Vírgula 9 2 2 3 2 4 4" xfId="25088" xr:uid="{92F995D4-1610-4D6B-B035-55B39B873826}"/>
    <cellStyle name="Vírgula 9 2 2 3 2 4 4 2" xfId="45423" xr:uid="{E1589058-668C-4915-8466-D67B7A18F253}"/>
    <cellStyle name="Vírgula 9 2 2 3 2 4 5" xfId="15423" xr:uid="{6E53B4B4-DF67-4F43-8410-1D9A6C8FDF29}"/>
    <cellStyle name="Vírgula 9 2 2 3 2 4 5 2" xfId="35763" xr:uid="{1B8AF954-E338-4CB0-8A08-25DA570967EA}"/>
    <cellStyle name="Vírgula 9 2 2 3 2 4 6" xfId="11544" xr:uid="{853CF0F2-3181-48A8-866B-70E80EF3CDD0}"/>
    <cellStyle name="Vírgula 9 2 2 3 2 4 6 2" xfId="31887" xr:uid="{53D161E7-B530-402B-B6AB-16AB0CE7AE4B}"/>
    <cellStyle name="Vírgula 9 2 2 3 2 4 7" xfId="28393" xr:uid="{8F0EB0B2-0BEB-4C53-94C2-EF075A1078F9}"/>
    <cellStyle name="Vírgula 9 2 2 3 2 5" xfId="8389" xr:uid="{B0A34F2A-A100-452C-BA9C-84E0DB25D104}"/>
    <cellStyle name="Vírgula 9 2 2 3 2 5 2" xfId="22176" xr:uid="{C2782779-87DA-49B2-85F5-0BE1824BAC3B}"/>
    <cellStyle name="Vírgula 9 2 2 3 2 5 2 2" xfId="42512" xr:uid="{4DA16654-0041-4019-9428-74C89D64FB59}"/>
    <cellStyle name="Vírgula 9 2 2 3 2 5 3" xfId="25428" xr:uid="{35EC51DF-5F58-45B8-A738-79FBBB219970}"/>
    <cellStyle name="Vírgula 9 2 2 3 2 5 3 2" xfId="45763" xr:uid="{3937218C-619E-4433-9124-D113EE679865}"/>
    <cellStyle name="Vírgula 9 2 2 3 2 5 4" xfId="13113" xr:uid="{A68CCCC2-B8A7-438E-B60B-F5FACD82751B}"/>
    <cellStyle name="Vírgula 9 2 2 3 2 5 4 2" xfId="33454" xr:uid="{88F5A914-9426-4973-8A03-E279D97D36AA}"/>
    <cellStyle name="Vírgula 9 2 2 3 2 5 5" xfId="11885" xr:uid="{BB1EA26A-9F55-4919-A87A-8A52595D7C70}"/>
    <cellStyle name="Vírgula 9 2 2 3 2 5 5 2" xfId="32227" xr:uid="{7A43E642-672D-49D0-8E91-D395F6015A82}"/>
    <cellStyle name="Vírgula 9 2 2 3 2 5 6" xfId="28733" xr:uid="{5F84BA0C-F7BA-4479-BDAE-3E98FA169A56}"/>
    <cellStyle name="Vírgula 9 2 2 3 2 6" xfId="8664" xr:uid="{665E6E51-A643-4B88-9E07-3C245271AE41}"/>
    <cellStyle name="Vírgula 9 2 2 3 2 6 2" xfId="16010" xr:uid="{EF2BF223-7CA8-4047-A165-3B11EE9AE159}"/>
    <cellStyle name="Vírgula 9 2 2 3 2 6 2 2" xfId="36350" xr:uid="{DE987498-6BC1-4443-9EFF-EEF69A6728D8}"/>
    <cellStyle name="Vírgula 9 2 2 3 2 6 3" xfId="29007" xr:uid="{0A22048C-7A92-467A-B9D0-41CF498B71D1}"/>
    <cellStyle name="Vírgula 9 2 2 3 2 7" xfId="18924" xr:uid="{964D8D2B-F769-453A-86FD-91A05B82756E}"/>
    <cellStyle name="Vírgula 9 2 2 3 2 7 2" xfId="39264" xr:uid="{8BE6625A-AEED-48CA-B994-D92B33002ADA}"/>
    <cellStyle name="Vírgula 9 2 2 3 2 8" xfId="19512" xr:uid="{9C373002-C92A-4446-BF49-0AA765B4FDBB}"/>
    <cellStyle name="Vírgula 9 2 2 3 2 8 2" xfId="39851" xr:uid="{48B58842-A06C-49D9-8890-C1EA3B2F7895}"/>
    <cellStyle name="Vírgula 9 2 2 3 2 9" xfId="22767" xr:uid="{F2E32D36-82C0-4814-A4B7-5696A75F6AD4}"/>
    <cellStyle name="Vírgula 9 2 2 3 2 9 2" xfId="43102" xr:uid="{7866536F-D269-45D9-92F9-1811CC7F431B}"/>
    <cellStyle name="Vírgula 9 2 2 3 3" xfId="5020" xr:uid="{2F30E68C-BE5C-4EF4-BC33-67E573C1CE5F}"/>
    <cellStyle name="Vírgula 9 2 2 3 3 10" xfId="46623" xr:uid="{1C0EAC41-C452-4FD8-91F0-8F9B4C6E48B2}"/>
    <cellStyle name="Vírgula 9 2 2 3 3 11" xfId="47115" xr:uid="{D6CD7786-4AC5-4237-835E-4B7B98C68A8A}"/>
    <cellStyle name="Vírgula 9 2 2 3 3 12" xfId="5918" xr:uid="{650F468C-C595-4895-8901-CDD445134ECE}"/>
    <cellStyle name="Vírgula 9 2 2 3 3 2" xfId="7076" xr:uid="{E9B567B0-D903-46BB-B6C2-2921F40DBEED}"/>
    <cellStyle name="Vírgula 9 2 2 3 3 2 2" xfId="17362" xr:uid="{77E164B0-C959-49E5-8509-B2E29FDBB27D}"/>
    <cellStyle name="Vírgula 9 2 2 3 3 2 2 2" xfId="37702" xr:uid="{0A7EB1B5-E89B-4D5F-976F-5FD9E3C839D6}"/>
    <cellStyle name="Vírgula 9 2 2 3 3 2 3" xfId="20864" xr:uid="{D3CFFCA3-EC7A-4FFE-AE2C-DA7AB920D8B4}"/>
    <cellStyle name="Vírgula 9 2 2 3 3 2 3 2" xfId="41203" xr:uid="{FD1BFB44-4973-41AC-BD21-A2A1400E34B5}"/>
    <cellStyle name="Vírgula 9 2 2 3 3 2 4" xfId="24119" xr:uid="{5182D827-8A11-4723-8327-A0D3AC732A7A}"/>
    <cellStyle name="Vírgula 9 2 2 3 3 2 4 2" xfId="44454" xr:uid="{7CC807E6-C5D2-406A-B043-E1EF18741E9B}"/>
    <cellStyle name="Vírgula 9 2 2 3 3 2 5" xfId="14453" xr:uid="{03130FEA-184B-409A-B3AF-548684DC40CF}"/>
    <cellStyle name="Vírgula 9 2 2 3 3 2 5 2" xfId="34794" xr:uid="{1A931DA8-90BC-4E29-A590-2599F2C412A0}"/>
    <cellStyle name="Vírgula 9 2 2 3 3 2 6" xfId="10575" xr:uid="{46C9F2F7-9E98-4853-BDF7-044E93676911}"/>
    <cellStyle name="Vírgula 9 2 2 3 3 2 6 2" xfId="30918" xr:uid="{140ED25D-CF6C-42E6-AEEB-82CC0CE9353C}"/>
    <cellStyle name="Vírgula 9 2 2 3 3 2 7" xfId="27424" xr:uid="{EB830498-A17A-4568-870B-6E0984B63519}"/>
    <cellStyle name="Vírgula 9 2 2 3 3 3" xfId="8390" xr:uid="{22475CB5-2F3B-404F-AF11-30B61E5257AF}"/>
    <cellStyle name="Vírgula 9 2 2 3 3 3 2" xfId="22177" xr:uid="{C03968F0-16B8-4D0F-A483-82A0A81A936C}"/>
    <cellStyle name="Vírgula 9 2 2 3 3 3 2 2" xfId="42513" xr:uid="{FC19101A-6817-4D1B-BC41-E9D7ACCA7B2F}"/>
    <cellStyle name="Vírgula 9 2 2 3 3 3 3" xfId="25429" xr:uid="{597689B8-A5BC-4B77-8E6E-8D29A0B62540}"/>
    <cellStyle name="Vírgula 9 2 2 3 3 3 3 2" xfId="45764" xr:uid="{D17DCD90-83D0-483B-8D97-1C2BEF58D132}"/>
    <cellStyle name="Vírgula 9 2 2 3 3 3 4" xfId="16204" xr:uid="{40B06CF3-93A5-468A-B292-2D23FFBC87CD}"/>
    <cellStyle name="Vírgula 9 2 2 3 3 3 4 2" xfId="36544" xr:uid="{E3F8B5F1-6758-4F0E-80E3-D9B9F3A61DC8}"/>
    <cellStyle name="Vírgula 9 2 2 3 3 3 5" xfId="11886" xr:uid="{6389E1C9-5C6E-491A-BA6F-13C4B5381AF1}"/>
    <cellStyle name="Vírgula 9 2 2 3 3 3 5 2" xfId="32228" xr:uid="{C0B7395D-E971-4D24-AD97-A700EC6CDBE3}"/>
    <cellStyle name="Vírgula 9 2 2 3 3 3 6" xfId="28734" xr:uid="{A671A33A-2EC4-444C-9021-4599AFDF6803}"/>
    <cellStyle name="Vírgula 9 2 2 3 3 4" xfId="19706" xr:uid="{5B9EFD5C-98B9-4F1A-8F6E-9E4D9097E3B2}"/>
    <cellStyle name="Vírgula 9 2 2 3 3 4 2" xfId="40045" xr:uid="{D8E3FC11-E453-4900-B046-9F382A12435C}"/>
    <cellStyle name="Vírgula 9 2 2 3 3 5" xfId="22961" xr:uid="{34493549-FF08-4407-B37B-FDB0EA9E7380}"/>
    <cellStyle name="Vírgula 9 2 2 3 3 5 2" xfId="43296" xr:uid="{7C628802-7A0E-414F-B974-8FE2EC49091C}"/>
    <cellStyle name="Vírgula 9 2 2 3 3 6" xfId="13297" xr:uid="{ECA45811-C771-47E5-A21C-3237E688F444}"/>
    <cellStyle name="Vírgula 9 2 2 3 3 6 2" xfId="33638" xr:uid="{576B9093-334D-41E3-ABA9-EAB194417380}"/>
    <cellStyle name="Vírgula 9 2 2 3 3 7" xfId="9417" xr:uid="{19EADD7D-5DEC-45D7-843D-21C1D0F799B0}"/>
    <cellStyle name="Vírgula 9 2 2 3 3 7 2" xfId="29760" xr:uid="{3689076A-1999-47AF-90B9-CC4E991CF42D}"/>
    <cellStyle name="Vírgula 9 2 2 3 3 8" xfId="26266" xr:uid="{02C9EB37-9025-426E-80C0-B196BE5BAD93}"/>
    <cellStyle name="Vírgula 9 2 2 3 3 9" xfId="46137" xr:uid="{2823960E-4D59-47C0-9DF2-5B052563C0CB}"/>
    <cellStyle name="Vírgula 9 2 2 3 4" xfId="6495" xr:uid="{33D00801-4BEF-4741-8172-A57DB39801B1}"/>
    <cellStyle name="Vírgula 9 2 2 3 4 2" xfId="16781" xr:uid="{A8431CB2-A2A6-4D5F-8B0B-8B5D3A70519A}"/>
    <cellStyle name="Vírgula 9 2 2 3 4 2 2" xfId="37121" xr:uid="{61FA65CC-1324-429E-BB0A-CF8DD02DB6F2}"/>
    <cellStyle name="Vírgula 9 2 2 3 4 3" xfId="20283" xr:uid="{2442E9B3-4D4C-4483-9533-22B9CBB2823C}"/>
    <cellStyle name="Vírgula 9 2 2 3 4 3 2" xfId="40622" xr:uid="{A989C2E6-C7B8-4F66-8537-2A841891BC85}"/>
    <cellStyle name="Vírgula 9 2 2 3 4 4" xfId="23538" xr:uid="{E6783191-1D5C-4E3D-AB64-B448D51425DF}"/>
    <cellStyle name="Vírgula 9 2 2 3 4 4 2" xfId="43873" xr:uid="{7901928E-A209-4F0D-87B5-7CEF002A2C12}"/>
    <cellStyle name="Vírgula 9 2 2 3 4 5" xfId="13872" xr:uid="{197330C9-33B8-49DC-B147-296D194CB353}"/>
    <cellStyle name="Vírgula 9 2 2 3 4 5 2" xfId="34213" xr:uid="{0EDD01A9-B058-4710-8073-A9ADD2021485}"/>
    <cellStyle name="Vírgula 9 2 2 3 4 6" xfId="9994" xr:uid="{61076665-54BD-481D-AF5D-AC3DF5780583}"/>
    <cellStyle name="Vírgula 9 2 2 3 4 6 2" xfId="30337" xr:uid="{2DC5B191-0F40-4F60-B05A-51970D7FA623}"/>
    <cellStyle name="Vírgula 9 2 2 3 4 7" xfId="26843" xr:uid="{50E13236-5EE8-4124-9617-38DBE21DFC34}"/>
    <cellStyle name="Vírgula 9 2 2 3 5" xfId="7659" xr:uid="{6835CC4A-9505-4741-AE55-C483E89E642A}"/>
    <cellStyle name="Vírgula 9 2 2 3 5 2" xfId="17944" xr:uid="{EFA56FC7-91E5-44B1-A63B-623FEE86831D}"/>
    <cellStyle name="Vírgula 9 2 2 3 5 2 2" xfId="38284" xr:uid="{C4F2EAEF-1976-4BCF-B3A2-A6B3375E4DC7}"/>
    <cellStyle name="Vírgula 9 2 2 3 5 3" xfId="21446" xr:uid="{C432E055-DA20-48BC-9DC5-248F016CB4F1}"/>
    <cellStyle name="Vírgula 9 2 2 3 5 3 2" xfId="41785" xr:uid="{D26130FB-6256-49C0-BCC3-C6266FDDA6F2}"/>
    <cellStyle name="Vírgula 9 2 2 3 5 4" xfId="24701" xr:uid="{01D7D451-6FB0-42E5-B40F-45F933C3F36D}"/>
    <cellStyle name="Vírgula 9 2 2 3 5 4 2" xfId="45036" xr:uid="{128DAC3E-4E6F-4FC8-A6CB-36458C0CD2F0}"/>
    <cellStyle name="Vírgula 9 2 2 3 5 5" xfId="15036" xr:uid="{7D49320C-2501-452D-9BB5-91170A451DA8}"/>
    <cellStyle name="Vírgula 9 2 2 3 5 5 2" xfId="35376" xr:uid="{063FB9DB-AE25-4A70-AB6B-4A6CBA07B861}"/>
    <cellStyle name="Vírgula 9 2 2 3 5 6" xfId="11157" xr:uid="{793CD6A9-5067-47A4-9452-63A84A635BA5}"/>
    <cellStyle name="Vírgula 9 2 2 3 5 6 2" xfId="31500" xr:uid="{32256045-8AD1-45C0-A431-41522A890F3C}"/>
    <cellStyle name="Vírgula 9 2 2 3 5 7" xfId="28006" xr:uid="{A7D0BFB6-E73A-4DA8-8AC1-D98177BDC3E7}"/>
    <cellStyle name="Vírgula 9 2 2 3 6" xfId="8388" xr:uid="{222DA0DE-DF91-47E3-B2EC-D77FD2A2BFCF}"/>
    <cellStyle name="Vírgula 9 2 2 3 6 2" xfId="22175" xr:uid="{2DC0B6BE-D2E7-45BA-BFC5-6FB1C96C66D6}"/>
    <cellStyle name="Vírgula 9 2 2 3 6 2 2" xfId="42511" xr:uid="{EB8A6CBF-C13A-42B9-BD2D-FB2AB613BE41}"/>
    <cellStyle name="Vírgula 9 2 2 3 6 3" xfId="25427" xr:uid="{6ABD4EDB-D6AD-454F-AF66-FA5741AB9A5D}"/>
    <cellStyle name="Vírgula 9 2 2 3 6 3 2" xfId="45762" xr:uid="{423ED8A6-5A68-42FD-8D16-C57F38F2E7AE}"/>
    <cellStyle name="Vírgula 9 2 2 3 6 4" xfId="12728" xr:uid="{3603A294-1D1B-4D3A-9598-F15EEDB63057}"/>
    <cellStyle name="Vírgula 9 2 2 3 6 4 2" xfId="33069" xr:uid="{281E219E-6621-41E8-AB24-CAD77FB6AE4A}"/>
    <cellStyle name="Vírgula 9 2 2 3 6 5" xfId="11884" xr:uid="{60ED401F-58C6-4570-BA02-741112350AB9}"/>
    <cellStyle name="Vírgula 9 2 2 3 6 5 2" xfId="32226" xr:uid="{0A6C5F77-8451-4FFE-B170-397FCC244A4C}"/>
    <cellStyle name="Vírgula 9 2 2 3 6 6" xfId="28732" xr:uid="{2256C8C7-1CE2-4E75-AC32-10BE3927A59F}"/>
    <cellStyle name="Vírgula 9 2 2 3 7" xfId="8519" xr:uid="{08D0FA8C-8484-4235-B2DA-607C84FD5282}"/>
    <cellStyle name="Vírgula 9 2 2 3 7 2" xfId="15623" xr:uid="{7A64E5D1-045C-4110-9905-25C52285E70A}"/>
    <cellStyle name="Vírgula 9 2 2 3 7 2 2" xfId="35963" xr:uid="{D099177A-F466-4295-8E6F-59858D4DBBC9}"/>
    <cellStyle name="Vírgula 9 2 2 3 7 3" xfId="28862" xr:uid="{BAB14767-A31E-4C55-819A-E06E14D7D4F1}"/>
    <cellStyle name="Vírgula 9 2 2 3 8" xfId="18537" xr:uid="{72AE7FF5-A1C9-46C5-9F7E-A6D18B94764A}"/>
    <cellStyle name="Vírgula 9 2 2 3 8 2" xfId="38877" xr:uid="{2A7919EB-E9A0-4251-9914-9D09F987803B}"/>
    <cellStyle name="Vírgula 9 2 2 3 9" xfId="19125" xr:uid="{E236B876-B21B-4290-9F7B-9B2907FC5928}"/>
    <cellStyle name="Vírgula 9 2 2 3 9 2" xfId="39464" xr:uid="{BDBCACEE-7E5D-429C-BD78-93CE317C6CA0}"/>
    <cellStyle name="Vírgula 9 2 2 4" xfId="4935" xr:uid="{41E1DCF9-89EF-4BC2-958E-F22AB6048CB2}"/>
    <cellStyle name="Vírgula 9 2 2 4 10" xfId="12193" xr:uid="{A1A08DEC-493D-4476-B9BD-B3F33B46D9F6}"/>
    <cellStyle name="Vírgula 9 2 2 4 10 2" xfId="32534" xr:uid="{17E54DB7-D056-424F-A4F6-C6441D704FF2}"/>
    <cellStyle name="Vírgula 9 2 2 4 11" xfId="8932" xr:uid="{22863CD8-21CE-4B48-A0C4-AC5C282CD0A6}"/>
    <cellStyle name="Vírgula 9 2 2 4 11 2" xfId="29275" xr:uid="{F5CC9A31-1CC5-4EDC-AF6D-AC8BD79FAF33}"/>
    <cellStyle name="Vírgula 9 2 2 4 12" xfId="25781" xr:uid="{2B98C8AF-D5DC-41B7-9050-F431A8E1A7DF}"/>
    <cellStyle name="Vírgula 9 2 2 4 13" xfId="46036" xr:uid="{7245CEEA-8E4D-479F-AD87-E2B3205472EE}"/>
    <cellStyle name="Vírgula 9 2 2 4 14" xfId="46522" xr:uid="{52301F30-AD44-430B-8465-47DC110F74D6}"/>
    <cellStyle name="Vírgula 9 2 2 4 15" xfId="47014" xr:uid="{F08BF3DA-4FB7-4C8E-8F6A-1708EF03F522}"/>
    <cellStyle name="Vírgula 9 2 2 4 16" xfId="5448" xr:uid="{D8C5164E-2A1D-4D2A-AEEC-A1EF49F5E0F8}"/>
    <cellStyle name="Vírgula 9 2 2 4 2" xfId="5154" xr:uid="{EDD2F061-8359-4E02-AACE-DD14609EE063}"/>
    <cellStyle name="Vírgula 9 2 2 4 2 10" xfId="46765" xr:uid="{9EF66887-BDAF-4C40-B773-F5C2140D4472}"/>
    <cellStyle name="Vírgula 9 2 2 4 2 11" xfId="47257" xr:uid="{C89B3367-BAAB-49AE-B32F-09B0A90926CC}"/>
    <cellStyle name="Vírgula 9 2 2 4 2 12" xfId="6014" xr:uid="{6B9C66BF-2844-4DCD-812A-4B3B4FEE6D65}"/>
    <cellStyle name="Vírgula 9 2 2 4 2 2" xfId="7172" xr:uid="{BEB5B8C5-4CCD-4CA8-95A7-7FA3B8F79B38}"/>
    <cellStyle name="Vírgula 9 2 2 4 2 2 2" xfId="17458" xr:uid="{F5E6C158-7B55-46AF-AE47-1F492BB326AB}"/>
    <cellStyle name="Vírgula 9 2 2 4 2 2 2 2" xfId="37798" xr:uid="{405D8444-A694-448D-92FF-D170CC4E1BCE}"/>
    <cellStyle name="Vírgula 9 2 2 4 2 2 3" xfId="20960" xr:uid="{847E7F3F-4E4C-4138-8FC8-3C68A591F16D}"/>
    <cellStyle name="Vírgula 9 2 2 4 2 2 3 2" xfId="41299" xr:uid="{9B73C186-8501-40B5-BCF2-BC4AD16F3201}"/>
    <cellStyle name="Vírgula 9 2 2 4 2 2 4" xfId="24215" xr:uid="{5A54B187-D45E-46DB-8BBC-C9516C1EBDDF}"/>
    <cellStyle name="Vírgula 9 2 2 4 2 2 4 2" xfId="44550" xr:uid="{1F2930F8-8870-4A6E-9C24-3EE79240FDA4}"/>
    <cellStyle name="Vírgula 9 2 2 4 2 2 5" xfId="14549" xr:uid="{833F2F4D-2678-45DD-9841-8B5BC9374068}"/>
    <cellStyle name="Vírgula 9 2 2 4 2 2 5 2" xfId="34890" xr:uid="{D903C4A7-F41B-4D2A-B0CD-ACED2DBDC200}"/>
    <cellStyle name="Vírgula 9 2 2 4 2 2 6" xfId="10671" xr:uid="{66EFAC91-6B56-47B8-86D0-9DC3C5FB6C70}"/>
    <cellStyle name="Vírgula 9 2 2 4 2 2 6 2" xfId="31014" xr:uid="{7BE8D5D1-750E-49C6-8A8B-49654164D65E}"/>
    <cellStyle name="Vírgula 9 2 2 4 2 2 7" xfId="27520" xr:uid="{A18BF65C-BE2F-4256-992F-EAC3B5047566}"/>
    <cellStyle name="Vírgula 9 2 2 4 2 3" xfId="16300" xr:uid="{D63C956C-5658-40AE-BFD9-FC63FED729D5}"/>
    <cellStyle name="Vírgula 9 2 2 4 2 3 2" xfId="36640" xr:uid="{C3683211-6020-4159-BF78-C2C6E199FB27}"/>
    <cellStyle name="Vírgula 9 2 2 4 2 4" xfId="19802" xr:uid="{06E95CC7-51DF-40A2-B1C0-D4807ADEB9C4}"/>
    <cellStyle name="Vírgula 9 2 2 4 2 4 2" xfId="40141" xr:uid="{80299FCE-32F3-4290-81C2-8CE62B72F368}"/>
    <cellStyle name="Vírgula 9 2 2 4 2 5" xfId="23057" xr:uid="{F9CEA6CD-768F-4E3D-B7FD-6E9C605591E3}"/>
    <cellStyle name="Vírgula 9 2 2 4 2 5 2" xfId="43392" xr:uid="{36365A32-29DF-4F0A-8743-C0420B0EA06B}"/>
    <cellStyle name="Vírgula 9 2 2 4 2 6" xfId="13391" xr:uid="{C61FA7A1-5745-4B95-9D7A-E972109AFA11}"/>
    <cellStyle name="Vírgula 9 2 2 4 2 6 2" xfId="33732" xr:uid="{A2AB2DB3-E9EF-49FA-87E8-AE9F96D3F787}"/>
    <cellStyle name="Vírgula 9 2 2 4 2 7" xfId="9513" xr:uid="{C17A0976-3B98-4CFE-8C4F-DDFD715670DD}"/>
    <cellStyle name="Vírgula 9 2 2 4 2 7 2" xfId="29856" xr:uid="{845DF18E-007B-433B-A0A3-72C8775A1A60}"/>
    <cellStyle name="Vírgula 9 2 2 4 2 8" xfId="26362" xr:uid="{E631696E-1208-404F-9C0D-3270033FB20C}"/>
    <cellStyle name="Vírgula 9 2 2 4 2 9" xfId="46279" xr:uid="{E46711FD-F4F9-4905-A69D-B4569D805444}"/>
    <cellStyle name="Vírgula 9 2 2 4 3" xfId="6591" xr:uid="{FC14D71B-2C7F-431B-92F8-A7E37095AA27}"/>
    <cellStyle name="Vírgula 9 2 2 4 3 2" xfId="16877" xr:uid="{C279AC0E-8E52-4306-B8C3-7C108976562F}"/>
    <cellStyle name="Vírgula 9 2 2 4 3 2 2" xfId="37217" xr:uid="{B7A50D25-F67F-4E4A-ACFD-124C94354A9A}"/>
    <cellStyle name="Vírgula 9 2 2 4 3 3" xfId="20379" xr:uid="{76E514C8-1C98-414D-A507-80FB68E27AF3}"/>
    <cellStyle name="Vírgula 9 2 2 4 3 3 2" xfId="40718" xr:uid="{B979B0E1-7402-4474-8E34-0BBC2DC847C6}"/>
    <cellStyle name="Vírgula 9 2 2 4 3 4" xfId="23634" xr:uid="{56497DC3-38B9-4C9E-B9C6-C27F32D89089}"/>
    <cellStyle name="Vírgula 9 2 2 4 3 4 2" xfId="43969" xr:uid="{867D9067-648E-4A4A-9C79-B17979DB44BF}"/>
    <cellStyle name="Vírgula 9 2 2 4 3 5" xfId="13968" xr:uid="{60C1B4FE-930C-4DE6-83C8-6D5EE50BA33B}"/>
    <cellStyle name="Vírgula 9 2 2 4 3 5 2" xfId="34309" xr:uid="{EE407C6A-F1D0-4324-93A7-5B5BF3F0FA58}"/>
    <cellStyle name="Vírgula 9 2 2 4 3 6" xfId="10090" xr:uid="{8922A883-EF2D-4DEB-9BC5-64F265B85E62}"/>
    <cellStyle name="Vírgula 9 2 2 4 3 6 2" xfId="30433" xr:uid="{7D4D0CFC-DDA1-4C5C-8D7A-5728D47AAEBF}"/>
    <cellStyle name="Vírgula 9 2 2 4 3 7" xfId="26939" xr:uid="{18C37519-127A-4C46-84AB-A524D8175290}"/>
    <cellStyle name="Vírgula 9 2 2 4 4" xfId="7755" xr:uid="{E191B48B-CE0F-4122-B02A-4863585247D0}"/>
    <cellStyle name="Vírgula 9 2 2 4 4 2" xfId="18040" xr:uid="{500D7AE0-736D-417F-A2DD-E34790DEC42B}"/>
    <cellStyle name="Vírgula 9 2 2 4 4 2 2" xfId="38380" xr:uid="{2188A9E1-F58F-4589-A3CA-19A274900417}"/>
    <cellStyle name="Vírgula 9 2 2 4 4 3" xfId="21542" xr:uid="{6552FFFA-39A1-496B-9A4E-FB07F51847D5}"/>
    <cellStyle name="Vírgula 9 2 2 4 4 3 2" xfId="41881" xr:uid="{BCD02602-6011-4A63-8077-FEB80A9D0A22}"/>
    <cellStyle name="Vírgula 9 2 2 4 4 4" xfId="24797" xr:uid="{B9B74C42-CCE1-4AF3-B12C-9A1FBCAA4E14}"/>
    <cellStyle name="Vírgula 9 2 2 4 4 4 2" xfId="45132" xr:uid="{AB2B79D8-181B-442B-B774-561A4487DD3E}"/>
    <cellStyle name="Vírgula 9 2 2 4 4 5" xfId="15132" xr:uid="{F1FF1F68-A95A-49C0-8547-47C19AD4606D}"/>
    <cellStyle name="Vírgula 9 2 2 4 4 5 2" xfId="35472" xr:uid="{B4E1696D-3C4D-400B-A041-5A15E21E2DD6}"/>
    <cellStyle name="Vírgula 9 2 2 4 4 6" xfId="11253" xr:uid="{FBECC72D-272F-4D25-8642-41DD49338443}"/>
    <cellStyle name="Vírgula 9 2 2 4 4 6 2" xfId="31596" xr:uid="{7504E4AE-2C53-40E6-B4A3-43495B707683}"/>
    <cellStyle name="Vírgula 9 2 2 4 4 7" xfId="28102" xr:uid="{B1F5538E-C988-4F05-AD15-FDFD11A7C22C}"/>
    <cellStyle name="Vírgula 9 2 2 4 5" xfId="8391" xr:uid="{7CAF5E00-CB49-41A5-A447-6C5CF9074DFC}"/>
    <cellStyle name="Vírgula 9 2 2 4 5 2" xfId="22178" xr:uid="{687660DD-1697-4A79-86D0-28AFC6E19C66}"/>
    <cellStyle name="Vírgula 9 2 2 4 5 2 2" xfId="42514" xr:uid="{D5A1E033-CA55-44B0-9804-E6710510F016}"/>
    <cellStyle name="Vírgula 9 2 2 4 5 3" xfId="25430" xr:uid="{71C64E3D-898E-4088-AEAD-4E4FD2B628D3}"/>
    <cellStyle name="Vírgula 9 2 2 4 5 3 2" xfId="45765" xr:uid="{9491D6E5-0AD5-4379-872C-9B156FF9B9CF}"/>
    <cellStyle name="Vírgula 9 2 2 4 5 4" xfId="12822" xr:uid="{C13139C6-591C-4E81-BD86-10185FC3DC55}"/>
    <cellStyle name="Vírgula 9 2 2 4 5 4 2" xfId="33163" xr:uid="{0BECF9C0-34B6-43D3-8DF0-5D1DBBC2932E}"/>
    <cellStyle name="Vírgula 9 2 2 4 5 5" xfId="11887" xr:uid="{75B2886D-7412-47FD-8421-47E65CAC94F4}"/>
    <cellStyle name="Vírgula 9 2 2 4 5 5 2" xfId="32229" xr:uid="{3AA2506B-4CD7-4EC1-8822-59F23C0FCCA8}"/>
    <cellStyle name="Vírgula 9 2 2 4 5 6" xfId="28735" xr:uid="{266B41B0-CB74-4578-97A0-6FCB98FED66A}"/>
    <cellStyle name="Vírgula 9 2 2 4 6" xfId="8661" xr:uid="{A1AA6E49-5C37-4EF4-B374-4BB8EC72E179}"/>
    <cellStyle name="Vírgula 9 2 2 4 6 2" xfId="15719" xr:uid="{37CFA802-E3AA-45FC-8004-93FF1303C4E8}"/>
    <cellStyle name="Vírgula 9 2 2 4 6 2 2" xfId="36059" xr:uid="{7951AD7C-A2D8-464D-81FB-53FA8E763BCA}"/>
    <cellStyle name="Vírgula 9 2 2 4 6 3" xfId="29004" xr:uid="{3240A9D5-A11B-4B7F-A259-605C599D5E1E}"/>
    <cellStyle name="Vírgula 9 2 2 4 7" xfId="18633" xr:uid="{FDFCC4F3-9DFD-4CCC-A012-1DAC72CC0DB1}"/>
    <cellStyle name="Vírgula 9 2 2 4 7 2" xfId="38973" xr:uid="{CC06583E-0FF9-4A38-A0A5-7976272EC4CE}"/>
    <cellStyle name="Vírgula 9 2 2 4 8" xfId="19221" xr:uid="{98AA00A6-F341-4FF7-AF09-46F82BA32BDE}"/>
    <cellStyle name="Vírgula 9 2 2 4 8 2" xfId="39560" xr:uid="{9CE2A650-A1B2-4C12-8AF7-227DE7F50CA8}"/>
    <cellStyle name="Vírgula 9 2 2 4 9" xfId="22476" xr:uid="{C5763780-D10E-4851-9316-5414FB8ACE89}"/>
    <cellStyle name="Vírgula 9 2 2 4 9 2" xfId="42811" xr:uid="{D1BC66B5-FFD5-4C6B-8AC3-5B5C08853BF2}"/>
    <cellStyle name="Vírgula 9 2 2 5" xfId="4975" xr:uid="{D0566861-322C-449E-99E3-912CD8D7E2C0}"/>
    <cellStyle name="Vírgula 9 2 2 5 10" xfId="12251" xr:uid="{C9EBA431-0904-4B1A-A8F3-1546F2BA9E24}"/>
    <cellStyle name="Vírgula 9 2 2 5 10 2" xfId="32592" xr:uid="{23C67F20-51E6-4B6D-9C94-937B7A857D55}"/>
    <cellStyle name="Vírgula 9 2 2 5 11" xfId="8990" xr:uid="{E7008440-8A80-4590-ABF1-44E7994A11B4}"/>
    <cellStyle name="Vírgula 9 2 2 5 11 2" xfId="29333" xr:uid="{68B18391-A32F-4441-AE35-A290F9BB7D6A}"/>
    <cellStyle name="Vírgula 9 2 2 5 12" xfId="25839" xr:uid="{9118A726-A345-463B-BF19-CAF37BE84438}"/>
    <cellStyle name="Vírgula 9 2 2 5 13" xfId="46077" xr:uid="{FE73340A-A3E7-4144-90D0-2B33D8983A8A}"/>
    <cellStyle name="Vírgula 9 2 2 5 14" xfId="46563" xr:uid="{6468143E-ECE2-452E-A481-89A25CE18D86}"/>
    <cellStyle name="Vírgula 9 2 2 5 15" xfId="47055" xr:uid="{7CBBEB2E-DC6F-4EE1-B63B-773FA612EAD8}"/>
    <cellStyle name="Vírgula 9 2 2 5 16" xfId="5500" xr:uid="{AFF67A22-7A31-4BAD-BDA3-A66E29A87A60}"/>
    <cellStyle name="Vírgula 9 2 2 5 2" xfId="6072" xr:uid="{6FF1D6A9-EE98-4FBF-8728-9D029AA61A0E}"/>
    <cellStyle name="Vírgula 9 2 2 5 2 2" xfId="7230" xr:uid="{22E32BC4-8DE7-4132-BE62-EAAD986214E4}"/>
    <cellStyle name="Vírgula 9 2 2 5 2 2 2" xfId="17516" xr:uid="{8AB0A8C8-A4A9-4B82-BAFF-A9A13743ADCE}"/>
    <cellStyle name="Vírgula 9 2 2 5 2 2 2 2" xfId="37856" xr:uid="{72551F08-1F6B-4945-AF26-230926014D85}"/>
    <cellStyle name="Vírgula 9 2 2 5 2 2 3" xfId="21018" xr:uid="{B695891C-3536-4461-8382-FC105644F45F}"/>
    <cellStyle name="Vírgula 9 2 2 5 2 2 3 2" xfId="41357" xr:uid="{FA22B268-4074-47F9-85B2-C960A94FE52F}"/>
    <cellStyle name="Vírgula 9 2 2 5 2 2 4" xfId="24273" xr:uid="{D08823EE-BF6D-4A99-AAB1-9883BDD0B944}"/>
    <cellStyle name="Vírgula 9 2 2 5 2 2 4 2" xfId="44608" xr:uid="{70574A63-2DF3-48A7-8A5A-C5D53E441C32}"/>
    <cellStyle name="Vírgula 9 2 2 5 2 2 5" xfId="14607" xr:uid="{F56CCA7E-A47A-4430-9F11-B60A89F22BC9}"/>
    <cellStyle name="Vírgula 9 2 2 5 2 2 5 2" xfId="34948" xr:uid="{247E9DE5-E0D3-4A05-9C0C-12822ABBF874}"/>
    <cellStyle name="Vírgula 9 2 2 5 2 2 6" xfId="10729" xr:uid="{B4804BDC-6FBC-40F7-B7C7-911ABC1BFD2F}"/>
    <cellStyle name="Vírgula 9 2 2 5 2 2 6 2" xfId="31072" xr:uid="{2D1AC5A7-777A-4927-9C6F-2E6FB601901B}"/>
    <cellStyle name="Vírgula 9 2 2 5 2 2 7" xfId="27578" xr:uid="{8F579F93-2E31-4212-8F59-64D4DC1A70EB}"/>
    <cellStyle name="Vírgula 9 2 2 5 2 3" xfId="16358" xr:uid="{7424C5CE-5628-455D-A202-EAF7490199BE}"/>
    <cellStyle name="Vírgula 9 2 2 5 2 3 2" xfId="36698" xr:uid="{05CD8A9A-9A6C-4A82-BD01-901149AEC5F1}"/>
    <cellStyle name="Vírgula 9 2 2 5 2 4" xfId="19860" xr:uid="{234B711F-C98F-4FEB-A17C-677B38B8ECEA}"/>
    <cellStyle name="Vírgula 9 2 2 5 2 4 2" xfId="40199" xr:uid="{A90FB0A8-18DD-459A-8499-14E190D222C0}"/>
    <cellStyle name="Vírgula 9 2 2 5 2 5" xfId="23115" xr:uid="{2D33C81E-1072-4A0A-BBA4-A7F7F2DED438}"/>
    <cellStyle name="Vírgula 9 2 2 5 2 5 2" xfId="43450" xr:uid="{B04D6BCE-7D2B-4FC1-B3F9-3D9BD3CB9CAE}"/>
    <cellStyle name="Vírgula 9 2 2 5 2 6" xfId="13449" xr:uid="{EBEF6E2C-7EAC-44FB-ACB7-D8ED80C32B98}"/>
    <cellStyle name="Vírgula 9 2 2 5 2 6 2" xfId="33790" xr:uid="{660E647E-7FD8-4C12-9CBD-9BEC77C22104}"/>
    <cellStyle name="Vírgula 9 2 2 5 2 7" xfId="9571" xr:uid="{807017E3-F28D-468C-9DF6-42DB8E38D908}"/>
    <cellStyle name="Vírgula 9 2 2 5 2 7 2" xfId="29914" xr:uid="{7CE24AE8-B6FF-4090-8FF3-7EF689EC8E42}"/>
    <cellStyle name="Vírgula 9 2 2 5 2 8" xfId="26420" xr:uid="{FB512C88-EF97-4B21-AB81-E39220FBA119}"/>
    <cellStyle name="Vírgula 9 2 2 5 3" xfId="6649" xr:uid="{989A1646-2B21-42E6-95C3-5B62B7A56E33}"/>
    <cellStyle name="Vírgula 9 2 2 5 3 2" xfId="16935" xr:uid="{9B8BAD85-B740-4FD4-BC4D-3675778AB160}"/>
    <cellStyle name="Vírgula 9 2 2 5 3 2 2" xfId="37275" xr:uid="{8F36242F-F539-4458-8303-132CA6146B0C}"/>
    <cellStyle name="Vírgula 9 2 2 5 3 3" xfId="20437" xr:uid="{864BB571-E6C8-4184-8E00-79AA1C8C5CAC}"/>
    <cellStyle name="Vírgula 9 2 2 5 3 3 2" xfId="40776" xr:uid="{52451097-8E8D-4940-B0A5-9873F3604E36}"/>
    <cellStyle name="Vírgula 9 2 2 5 3 4" xfId="23692" xr:uid="{39CDDDAF-8EF1-478D-AAD5-BD0D7FAE8662}"/>
    <cellStyle name="Vírgula 9 2 2 5 3 4 2" xfId="44027" xr:uid="{80D25222-A6E0-4BEF-BACE-79782DC896C2}"/>
    <cellStyle name="Vírgula 9 2 2 5 3 5" xfId="14026" xr:uid="{D2406D65-B057-4FEF-A1D2-0E675B254575}"/>
    <cellStyle name="Vírgula 9 2 2 5 3 5 2" xfId="34367" xr:uid="{6BD8B2BE-4CCA-40C3-A9D3-E20FA1D3205F}"/>
    <cellStyle name="Vírgula 9 2 2 5 3 6" xfId="10148" xr:uid="{B3226145-D8CF-493B-9522-BD99E8AF47B4}"/>
    <cellStyle name="Vírgula 9 2 2 5 3 6 2" xfId="30491" xr:uid="{DF811990-BACA-49DD-BF20-61BACB57C53C}"/>
    <cellStyle name="Vírgula 9 2 2 5 3 7" xfId="26997" xr:uid="{3648CF80-EA42-480E-831B-E79F6EE1B10C}"/>
    <cellStyle name="Vírgula 9 2 2 5 4" xfId="7813" xr:uid="{1A8DB1C8-A8DF-41F8-987A-CC844FB893AF}"/>
    <cellStyle name="Vírgula 9 2 2 5 4 2" xfId="18098" xr:uid="{F955DC62-8EBE-4240-AA89-6AE5F429D6CA}"/>
    <cellStyle name="Vírgula 9 2 2 5 4 2 2" xfId="38438" xr:uid="{8DAA5BD7-8A60-43E6-A51E-95DB0D86B7A1}"/>
    <cellStyle name="Vírgula 9 2 2 5 4 3" xfId="21600" xr:uid="{0DA71797-EE62-4CCF-9B02-AE137A53493F}"/>
    <cellStyle name="Vírgula 9 2 2 5 4 3 2" xfId="41939" xr:uid="{919F1F04-756C-4330-BD70-D4E6506CD270}"/>
    <cellStyle name="Vírgula 9 2 2 5 4 4" xfId="24855" xr:uid="{90B3EB76-DB3D-4E6B-A516-479BD54BEE0F}"/>
    <cellStyle name="Vírgula 9 2 2 5 4 4 2" xfId="45190" xr:uid="{D1AF7DE0-A733-4539-84D1-44CAA2F53661}"/>
    <cellStyle name="Vírgula 9 2 2 5 4 5" xfId="15190" xr:uid="{69370581-9589-468E-B0EC-F686F9C08241}"/>
    <cellStyle name="Vírgula 9 2 2 5 4 5 2" xfId="35530" xr:uid="{8972E979-952B-40AE-833C-E826FB298C01}"/>
    <cellStyle name="Vírgula 9 2 2 5 4 6" xfId="11311" xr:uid="{AFC09F6D-8E39-422C-9C2E-360520DFEF07}"/>
    <cellStyle name="Vírgula 9 2 2 5 4 6 2" xfId="31654" xr:uid="{277F565D-868C-42D0-AE0A-A29782F6E547}"/>
    <cellStyle name="Vírgula 9 2 2 5 4 7" xfId="28160" xr:uid="{515291CF-1EC5-486F-90BB-0BB4D4291700}"/>
    <cellStyle name="Vírgula 9 2 2 5 5" xfId="8392" xr:uid="{20E92D3D-6AF9-4347-A4D6-471008F7C0CF}"/>
    <cellStyle name="Vírgula 9 2 2 5 5 2" xfId="22179" xr:uid="{67341590-BBC7-4251-90F9-2C4DC8969CB5}"/>
    <cellStyle name="Vírgula 9 2 2 5 5 2 2" xfId="42515" xr:uid="{70022327-C002-4CF1-8FA4-887CE9E9EA65}"/>
    <cellStyle name="Vírgula 9 2 2 5 5 3" xfId="25431" xr:uid="{ADFEE2E3-2EB5-48D2-B35B-EE58F64BF085}"/>
    <cellStyle name="Vírgula 9 2 2 5 5 3 2" xfId="45766" xr:uid="{2DD88075-FB41-4541-862C-70852F3B816D}"/>
    <cellStyle name="Vírgula 9 2 2 5 5 4" xfId="12880" xr:uid="{C5CA782D-D6B4-438B-A206-16346E7D4AD1}"/>
    <cellStyle name="Vírgula 9 2 2 5 5 4 2" xfId="33221" xr:uid="{330A20AE-7110-468E-AB18-89AB8CA47DFD}"/>
    <cellStyle name="Vírgula 9 2 2 5 5 5" xfId="11888" xr:uid="{B6F6A3B0-4957-4105-93FA-C9785BF36317}"/>
    <cellStyle name="Vírgula 9 2 2 5 5 5 2" xfId="32230" xr:uid="{CDC278AC-DB00-4711-952A-369B0B1F808F}"/>
    <cellStyle name="Vírgula 9 2 2 5 5 6" xfId="28736" xr:uid="{0C5B2163-77CE-4C15-A6F3-51C3B9675F4F}"/>
    <cellStyle name="Vírgula 9 2 2 5 6" xfId="15777" xr:uid="{7C3CF7EB-846C-43C2-8297-52A20AF28DE2}"/>
    <cellStyle name="Vírgula 9 2 2 5 6 2" xfId="36117" xr:uid="{74A08549-1A53-4740-B043-324AC4C66BFF}"/>
    <cellStyle name="Vírgula 9 2 2 5 7" xfId="18691" xr:uid="{00938B73-4306-4A06-9F43-26A7111E5F62}"/>
    <cellStyle name="Vírgula 9 2 2 5 7 2" xfId="39031" xr:uid="{F4980D37-4B6D-4759-A5CB-9AA70CFF62A7}"/>
    <cellStyle name="Vírgula 9 2 2 5 8" xfId="19279" xr:uid="{3D049622-712F-44C5-9B11-BED288ED03BA}"/>
    <cellStyle name="Vírgula 9 2 2 5 8 2" xfId="39618" xr:uid="{55293337-C436-40DA-BA57-129A872D14D0}"/>
    <cellStyle name="Vírgula 9 2 2 5 9" xfId="22534" xr:uid="{6A3F73BE-A57E-43C6-816F-8642D78DC1E4}"/>
    <cellStyle name="Vírgula 9 2 2 5 9 2" xfId="42869" xr:uid="{88B8D352-FAEA-434D-BDD0-C042B017EEDD}"/>
    <cellStyle name="Vírgula 9 2 2 6" xfId="5575" xr:uid="{387D954D-4566-4CD6-A40F-B4D07745B139}"/>
    <cellStyle name="Vírgula 9 2 2 6 10" xfId="12326" xr:uid="{E0C4EAB5-B785-4062-B004-51FA4E8D70DF}"/>
    <cellStyle name="Vírgula 9 2 2 6 10 2" xfId="32667" xr:uid="{152DF1E1-9AA4-41A2-82DE-F8F1F661B129}"/>
    <cellStyle name="Vírgula 9 2 2 6 11" xfId="9065" xr:uid="{EC732F24-1341-4469-B7F6-AA291E072A9B}"/>
    <cellStyle name="Vírgula 9 2 2 6 11 2" xfId="29408" xr:uid="{53B08A7E-0C33-4F78-806F-D00B2AB4F790}"/>
    <cellStyle name="Vírgula 9 2 2 6 12" xfId="25914" xr:uid="{990431ED-FE7A-4A87-873C-444C11AFA503}"/>
    <cellStyle name="Vírgula 9 2 2 6 2" xfId="6147" xr:uid="{9B2CC8C2-E805-430E-A30F-246D3D473F18}"/>
    <cellStyle name="Vírgula 9 2 2 6 2 2" xfId="7305" xr:uid="{DC36B169-11B3-4C3F-9471-E162E89CDEDC}"/>
    <cellStyle name="Vírgula 9 2 2 6 2 2 2" xfId="17591" xr:uid="{D85ABD9C-8225-4260-A7C4-D2FE57075429}"/>
    <cellStyle name="Vírgula 9 2 2 6 2 2 2 2" xfId="37931" xr:uid="{4A443890-C129-41B5-AA73-B31D100D20E8}"/>
    <cellStyle name="Vírgula 9 2 2 6 2 2 3" xfId="21093" xr:uid="{08E0945F-FDC9-4A13-AAD9-2B87FDB4EF82}"/>
    <cellStyle name="Vírgula 9 2 2 6 2 2 3 2" xfId="41432" xr:uid="{CD968F7C-551E-40AC-AA5C-3608BA902DE0}"/>
    <cellStyle name="Vírgula 9 2 2 6 2 2 4" xfId="24348" xr:uid="{A893F839-BEFE-4780-A5C3-6255ABE65838}"/>
    <cellStyle name="Vírgula 9 2 2 6 2 2 4 2" xfId="44683" xr:uid="{B3E65CD8-92AC-448E-8F3B-322BC6DF5203}"/>
    <cellStyle name="Vírgula 9 2 2 6 2 2 5" xfId="14682" xr:uid="{72C1D369-FF31-47AD-AB21-02AE470BE615}"/>
    <cellStyle name="Vírgula 9 2 2 6 2 2 5 2" xfId="35023" xr:uid="{86576170-6542-43C2-8F32-98E28D83FE68}"/>
    <cellStyle name="Vírgula 9 2 2 6 2 2 6" xfId="10804" xr:uid="{DA9D66A0-6F6D-410A-BC75-E0DAFD7D0230}"/>
    <cellStyle name="Vírgula 9 2 2 6 2 2 6 2" xfId="31147" xr:uid="{52FC91F4-7EA1-49AE-982C-8476710E4795}"/>
    <cellStyle name="Vírgula 9 2 2 6 2 2 7" xfId="27653" xr:uid="{3ECE1C47-8339-4515-9639-A17CA380C8C8}"/>
    <cellStyle name="Vírgula 9 2 2 6 2 3" xfId="16433" xr:uid="{BF1C6ECC-FD07-45B6-B740-5279691911D3}"/>
    <cellStyle name="Vírgula 9 2 2 6 2 3 2" xfId="36773" xr:uid="{7248D514-074B-4DBA-BF17-19E799F8495A}"/>
    <cellStyle name="Vírgula 9 2 2 6 2 4" xfId="19935" xr:uid="{705560DF-A989-4F57-A805-E55EE092EB17}"/>
    <cellStyle name="Vírgula 9 2 2 6 2 4 2" xfId="40274" xr:uid="{669F5760-7A99-4CE4-B5AD-6EB127FF2A62}"/>
    <cellStyle name="Vírgula 9 2 2 6 2 5" xfId="23190" xr:uid="{779B3AA3-EF50-473A-A108-33DE74166343}"/>
    <cellStyle name="Vírgula 9 2 2 6 2 5 2" xfId="43525" xr:uid="{6D661196-6F6C-4C0D-94A3-775593A2CD15}"/>
    <cellStyle name="Vírgula 9 2 2 6 2 6" xfId="13524" xr:uid="{796A5E9B-2289-406A-AF5B-1861150C63FC}"/>
    <cellStyle name="Vírgula 9 2 2 6 2 6 2" xfId="33865" xr:uid="{FC90F6B8-8311-4B58-B703-AD8C5013E63A}"/>
    <cellStyle name="Vírgula 9 2 2 6 2 7" xfId="9646" xr:uid="{43A44A32-B598-4BA0-B73B-3C7DB74685D5}"/>
    <cellStyle name="Vírgula 9 2 2 6 2 7 2" xfId="29989" xr:uid="{D05072A7-FF21-41F2-9C1D-7A13EFC10564}"/>
    <cellStyle name="Vírgula 9 2 2 6 2 8" xfId="26495" xr:uid="{03C8128F-19AD-4013-882E-64AD33B16335}"/>
    <cellStyle name="Vírgula 9 2 2 6 3" xfId="6724" xr:uid="{01B61FF0-4FF8-493B-9BCD-AD6AD3F11B76}"/>
    <cellStyle name="Vírgula 9 2 2 6 3 2" xfId="17010" xr:uid="{A6D6BA9D-A34A-4DF0-B4DB-69E3DF7A6D29}"/>
    <cellStyle name="Vírgula 9 2 2 6 3 2 2" xfId="37350" xr:uid="{D27B7782-8806-4CBD-A2F8-EA00018D8903}"/>
    <cellStyle name="Vírgula 9 2 2 6 3 3" xfId="20512" xr:uid="{77D0BFE1-7F62-426D-80D4-35D6450996A0}"/>
    <cellStyle name="Vírgula 9 2 2 6 3 3 2" xfId="40851" xr:uid="{CED24FFE-2281-4753-ABF9-475DBA1A79E2}"/>
    <cellStyle name="Vírgula 9 2 2 6 3 4" xfId="23767" xr:uid="{1AA14D0A-68B6-4E43-A042-B7A6149BF3C8}"/>
    <cellStyle name="Vírgula 9 2 2 6 3 4 2" xfId="44102" xr:uid="{1AC0AA42-55D7-483B-A527-16EBA3247428}"/>
    <cellStyle name="Vírgula 9 2 2 6 3 5" xfId="14101" xr:uid="{3621D958-8715-4ED6-84BC-D99AF83DA2C7}"/>
    <cellStyle name="Vírgula 9 2 2 6 3 5 2" xfId="34442" xr:uid="{85C13926-F479-47AD-A887-3CC70E55BC5D}"/>
    <cellStyle name="Vírgula 9 2 2 6 3 6" xfId="10223" xr:uid="{E13AAF10-BFD2-4548-A6A3-655D3CAC66DF}"/>
    <cellStyle name="Vírgula 9 2 2 6 3 6 2" xfId="30566" xr:uid="{362FA35F-3DD9-4F42-B701-CE56017D966D}"/>
    <cellStyle name="Vírgula 9 2 2 6 3 7" xfId="27072" xr:uid="{48D8110F-18FA-412D-B80D-45CDB8A6C57E}"/>
    <cellStyle name="Vírgula 9 2 2 6 4" xfId="7888" xr:uid="{1E4F2ED2-32B2-4148-AFC2-6814406EE83E}"/>
    <cellStyle name="Vírgula 9 2 2 6 4 2" xfId="18173" xr:uid="{E3933F67-8ED8-4B8F-AB44-5855B55E8904}"/>
    <cellStyle name="Vírgula 9 2 2 6 4 2 2" xfId="38513" xr:uid="{0F4AA307-B20C-499B-9800-B7AA1D4069E6}"/>
    <cellStyle name="Vírgula 9 2 2 6 4 3" xfId="21675" xr:uid="{E0F8A291-321F-48B7-A1FD-4A1E0AC23E29}"/>
    <cellStyle name="Vírgula 9 2 2 6 4 3 2" xfId="42014" xr:uid="{9C60C7FA-1AA9-4348-BF4D-EAE2C3F29B93}"/>
    <cellStyle name="Vírgula 9 2 2 6 4 4" xfId="24930" xr:uid="{D8956858-D0CB-4677-97E9-6F7EAF7CF119}"/>
    <cellStyle name="Vírgula 9 2 2 6 4 4 2" xfId="45265" xr:uid="{6409997D-CF6E-427C-BFC3-00A716D4FCDC}"/>
    <cellStyle name="Vírgula 9 2 2 6 4 5" xfId="15265" xr:uid="{C11EBE31-E302-456D-A7B0-76A372163B2D}"/>
    <cellStyle name="Vírgula 9 2 2 6 4 5 2" xfId="35605" xr:uid="{1FC58CC0-9588-41AF-90AB-142A8C5D62F9}"/>
    <cellStyle name="Vírgula 9 2 2 6 4 6" xfId="11386" xr:uid="{C270469E-0FE0-47B0-97CE-E025C9A29844}"/>
    <cellStyle name="Vírgula 9 2 2 6 4 6 2" xfId="31729" xr:uid="{7C53170C-8728-427D-A90F-86D5A7583B8F}"/>
    <cellStyle name="Vírgula 9 2 2 6 4 7" xfId="28235" xr:uid="{BA7087D3-783A-464C-A067-C18F925C776A}"/>
    <cellStyle name="Vírgula 9 2 2 6 5" xfId="12955" xr:uid="{862FCCA5-E0FF-4B4E-A301-FFFEFB2EA131}"/>
    <cellStyle name="Vírgula 9 2 2 6 5 2" xfId="33296" xr:uid="{725E63A1-6CB5-4B66-88DF-751097A62CA4}"/>
    <cellStyle name="Vírgula 9 2 2 6 6" xfId="15852" xr:uid="{25771238-ECC2-462F-BE84-080BF9709326}"/>
    <cellStyle name="Vírgula 9 2 2 6 6 2" xfId="36192" xr:uid="{2564993A-0B7A-40D6-B124-FACEC7BB296D}"/>
    <cellStyle name="Vírgula 9 2 2 6 7" xfId="18766" xr:uid="{77B5B200-DE97-4963-96CF-905C8E6031A4}"/>
    <cellStyle name="Vírgula 9 2 2 6 7 2" xfId="39106" xr:uid="{91EB1D1B-108F-4E75-AD48-A658B8BB5C42}"/>
    <cellStyle name="Vírgula 9 2 2 6 8" xfId="19354" xr:uid="{5059AD1A-F98C-4073-AFF6-91FF7AA2EED8}"/>
    <cellStyle name="Vírgula 9 2 2 6 8 2" xfId="39693" xr:uid="{81E565C7-61EA-4A41-8798-DDC086AA4852}"/>
    <cellStyle name="Vírgula 9 2 2 6 9" xfId="22609" xr:uid="{7F37338A-F594-42CD-9740-CDEB094C20C0}"/>
    <cellStyle name="Vírgula 9 2 2 6 9 2" xfId="42944" xr:uid="{CAD279B1-A9B4-4945-9256-1BA01402A4E9}"/>
    <cellStyle name="Vírgula 9 2 2 7" xfId="5673" xr:uid="{9E2C213A-0B38-4FD9-9F6E-230A22FA07B7}"/>
    <cellStyle name="Vírgula 9 2 2 7 10" xfId="12424" xr:uid="{2C9DE284-BC92-449F-AB03-9B114D6C9B95}"/>
    <cellStyle name="Vírgula 9 2 2 7 10 2" xfId="32765" xr:uid="{EF68F021-18EA-4E75-9609-87AA99167C6A}"/>
    <cellStyle name="Vírgula 9 2 2 7 11" xfId="9163" xr:uid="{DD7569F8-FF18-4DA6-9FFC-D93F7879F185}"/>
    <cellStyle name="Vírgula 9 2 2 7 11 2" xfId="29506" xr:uid="{B40BE54D-18CD-400D-92F0-9B9B4AFEACAC}"/>
    <cellStyle name="Vírgula 9 2 2 7 12" xfId="26012" xr:uid="{DE680A53-A532-4D7B-A2DA-9FC48886E4D2}"/>
    <cellStyle name="Vírgula 9 2 2 7 2" xfId="6245" xr:uid="{5D032688-1742-4AFD-B5EF-BF27C87A8903}"/>
    <cellStyle name="Vírgula 9 2 2 7 2 2" xfId="7403" xr:uid="{E1F2BCAF-C943-4519-A85A-9C18F73FF984}"/>
    <cellStyle name="Vírgula 9 2 2 7 2 2 2" xfId="17689" xr:uid="{3DF0BCF4-188E-4CC7-B010-F885D075C2A7}"/>
    <cellStyle name="Vírgula 9 2 2 7 2 2 2 2" xfId="38029" xr:uid="{86B9430C-EC05-437D-B27B-3117D420BCA8}"/>
    <cellStyle name="Vírgula 9 2 2 7 2 2 3" xfId="21191" xr:uid="{066C17AE-7E0A-4887-888C-2291DB4019B0}"/>
    <cellStyle name="Vírgula 9 2 2 7 2 2 3 2" xfId="41530" xr:uid="{308D03AF-6031-475A-B24D-58A13BEDC919}"/>
    <cellStyle name="Vírgula 9 2 2 7 2 2 4" xfId="24446" xr:uid="{D9F8C77C-A2AD-4C40-8D82-8219C30F50E8}"/>
    <cellStyle name="Vírgula 9 2 2 7 2 2 4 2" xfId="44781" xr:uid="{2B76B7CC-B055-4884-B61A-658C33571067}"/>
    <cellStyle name="Vírgula 9 2 2 7 2 2 5" xfId="14780" xr:uid="{86DDAA20-1649-4037-9E6A-B9EB8B89112D}"/>
    <cellStyle name="Vírgula 9 2 2 7 2 2 5 2" xfId="35121" xr:uid="{7ABED7EA-EBE2-47E7-9544-E31799C6F09A}"/>
    <cellStyle name="Vírgula 9 2 2 7 2 2 6" xfId="10902" xr:uid="{8F18A153-3C8B-4ED2-B8BD-2BA6A26EAB9F}"/>
    <cellStyle name="Vírgula 9 2 2 7 2 2 6 2" xfId="31245" xr:uid="{E2517A85-AB23-45AF-875B-2F00E9655B11}"/>
    <cellStyle name="Vírgula 9 2 2 7 2 2 7" xfId="27751" xr:uid="{61E55792-92C8-433C-B9C8-4C7D334E4778}"/>
    <cellStyle name="Vírgula 9 2 2 7 2 3" xfId="16531" xr:uid="{D30E4037-8D44-4EB7-BFBA-B319B5FC0BF4}"/>
    <cellStyle name="Vírgula 9 2 2 7 2 3 2" xfId="36871" xr:uid="{2BC18E34-905C-4509-BF86-809E4B7E822D}"/>
    <cellStyle name="Vírgula 9 2 2 7 2 4" xfId="20033" xr:uid="{A9AAE15E-AA5F-4D4E-A8FB-F92F7DF1F6CB}"/>
    <cellStyle name="Vírgula 9 2 2 7 2 4 2" xfId="40372" xr:uid="{920D69D4-D92C-425F-864C-643D692D2F1B}"/>
    <cellStyle name="Vírgula 9 2 2 7 2 5" xfId="23288" xr:uid="{B8F95F61-EB6D-454C-8E43-D3722E2C2D18}"/>
    <cellStyle name="Vírgula 9 2 2 7 2 5 2" xfId="43623" xr:uid="{F37C38B3-D3D9-4CA3-92F4-A600D2D924E8}"/>
    <cellStyle name="Vírgula 9 2 2 7 2 6" xfId="13622" xr:uid="{1D84A26A-2B22-4938-8F1F-D303A93AF09C}"/>
    <cellStyle name="Vírgula 9 2 2 7 2 6 2" xfId="33963" xr:uid="{90A980D2-DA14-477C-9BC7-55CFFD36ADCE}"/>
    <cellStyle name="Vírgula 9 2 2 7 2 7" xfId="9744" xr:uid="{3BF5C5A3-C8EC-4851-A8D0-96B4299374BE}"/>
    <cellStyle name="Vírgula 9 2 2 7 2 7 2" xfId="30087" xr:uid="{B0308798-A265-4028-A5A7-1E3AF22B4270}"/>
    <cellStyle name="Vírgula 9 2 2 7 2 8" xfId="26593" xr:uid="{E576F3C6-D236-47DD-BE99-BB2E42E327AF}"/>
    <cellStyle name="Vírgula 9 2 2 7 3" xfId="6822" xr:uid="{B42B8F2D-5B96-44F0-85C2-73989C8FA892}"/>
    <cellStyle name="Vírgula 9 2 2 7 3 2" xfId="17108" xr:uid="{EA26237B-A01E-473F-8B3C-CB2E3EAF7458}"/>
    <cellStyle name="Vírgula 9 2 2 7 3 2 2" xfId="37448" xr:uid="{63EC0901-E34E-4E00-B90E-C6A329B340A7}"/>
    <cellStyle name="Vírgula 9 2 2 7 3 3" xfId="20610" xr:uid="{EABDF0E4-DEDB-4412-9829-20670C26AE93}"/>
    <cellStyle name="Vírgula 9 2 2 7 3 3 2" xfId="40949" xr:uid="{0B24241D-213E-44CC-BE11-B3714C622C3F}"/>
    <cellStyle name="Vírgula 9 2 2 7 3 4" xfId="23865" xr:uid="{74D4E77B-ADFC-4456-8655-6C43F57D9E8C}"/>
    <cellStyle name="Vírgula 9 2 2 7 3 4 2" xfId="44200" xr:uid="{08961C12-33C5-4999-B400-FEBEDF549301}"/>
    <cellStyle name="Vírgula 9 2 2 7 3 5" xfId="14199" xr:uid="{7A47A08F-B8CB-45F2-88F6-0952170F7660}"/>
    <cellStyle name="Vírgula 9 2 2 7 3 5 2" xfId="34540" xr:uid="{55AF2880-6619-460F-B307-3D1E8F623616}"/>
    <cellStyle name="Vírgula 9 2 2 7 3 6" xfId="10321" xr:uid="{2A892096-A74D-4C29-B8B0-D22611D70A4D}"/>
    <cellStyle name="Vírgula 9 2 2 7 3 6 2" xfId="30664" xr:uid="{995EE7E8-29A6-4DE6-B5A1-F991DDC4BF27}"/>
    <cellStyle name="Vírgula 9 2 2 7 3 7" xfId="27170" xr:uid="{BDBA86D0-85E3-4021-9E66-3B86D141388A}"/>
    <cellStyle name="Vírgula 9 2 2 7 4" xfId="7986" xr:uid="{83681BD2-D195-4FFC-B1F0-0D23BA035B26}"/>
    <cellStyle name="Vírgula 9 2 2 7 4 2" xfId="18271" xr:uid="{708EDBBF-0911-4B03-8DC6-CA0C7AF14CAB}"/>
    <cellStyle name="Vírgula 9 2 2 7 4 2 2" xfId="38611" xr:uid="{207E38BF-72DC-4516-9E9B-9D087D24021F}"/>
    <cellStyle name="Vírgula 9 2 2 7 4 3" xfId="21773" xr:uid="{6B921840-F343-4335-8B8E-6404BCA631FA}"/>
    <cellStyle name="Vírgula 9 2 2 7 4 3 2" xfId="42112" xr:uid="{8D2B0EDF-B5CF-4FEC-80D2-A081B62E994E}"/>
    <cellStyle name="Vírgula 9 2 2 7 4 4" xfId="25028" xr:uid="{4A2706C3-284C-43A6-A7F1-ED7232C3ED8D}"/>
    <cellStyle name="Vírgula 9 2 2 7 4 4 2" xfId="45363" xr:uid="{F4B994C3-CAF6-4454-9B20-16D1EABE1648}"/>
    <cellStyle name="Vírgula 9 2 2 7 4 5" xfId="15363" xr:uid="{ACBB5A0A-B1C8-46A8-B702-C7B1359CA161}"/>
    <cellStyle name="Vírgula 9 2 2 7 4 5 2" xfId="35703" xr:uid="{61423167-0791-4966-918D-B3E7C94DD478}"/>
    <cellStyle name="Vírgula 9 2 2 7 4 6" xfId="11484" xr:uid="{230B7EF8-48B7-4C70-B5FD-CF8E3B8B2677}"/>
    <cellStyle name="Vírgula 9 2 2 7 4 6 2" xfId="31827" xr:uid="{D7DDA080-9071-4BC5-8080-A44EFB71E359}"/>
    <cellStyle name="Vírgula 9 2 2 7 4 7" xfId="28333" xr:uid="{4B0A8651-4155-4154-A409-92F6290D0816}"/>
    <cellStyle name="Vírgula 9 2 2 7 5" xfId="13053" xr:uid="{D6589A17-FBEA-42E2-A551-07BA3375DFD2}"/>
    <cellStyle name="Vírgula 9 2 2 7 5 2" xfId="33394" xr:uid="{0921C0EB-C06F-4731-8FEC-77670CBF13ED}"/>
    <cellStyle name="Vírgula 9 2 2 7 6" xfId="15950" xr:uid="{E8B2EA02-4C3B-465D-84C7-F0250299CDAE}"/>
    <cellStyle name="Vírgula 9 2 2 7 6 2" xfId="36290" xr:uid="{7A5D5643-33AD-4570-9EA1-D4C5CC73F750}"/>
    <cellStyle name="Vírgula 9 2 2 7 7" xfId="18864" xr:uid="{404479C4-7E7C-424D-94B4-2AEAEF1FA1D4}"/>
    <cellStyle name="Vírgula 9 2 2 7 7 2" xfId="39204" xr:uid="{403ED961-5692-4017-BF1D-2E7A22F84CCF}"/>
    <cellStyle name="Vírgula 9 2 2 7 8" xfId="19452" xr:uid="{FAC05721-7968-4A66-9FF6-B984F63249F2}"/>
    <cellStyle name="Vírgula 9 2 2 7 8 2" xfId="39791" xr:uid="{DF1FF07F-C2E4-426C-B1D5-CBFE29376573}"/>
    <cellStyle name="Vírgula 9 2 2 7 9" xfId="22707" xr:uid="{9D0E2691-3902-4D7A-8DAE-629C13529671}"/>
    <cellStyle name="Vírgula 9 2 2 7 9 2" xfId="43042" xr:uid="{B828B619-2D95-4374-9F91-5A44F69B6CE1}"/>
    <cellStyle name="Vírgula 9 2 2 8" xfId="5803" xr:uid="{F41F37BF-7F39-40C6-A7C4-F39179A94253}"/>
    <cellStyle name="Vírgula 9 2 2 8 2" xfId="6961" xr:uid="{7A68F625-6993-4449-85F6-1D14E0D668B9}"/>
    <cellStyle name="Vírgula 9 2 2 8 2 2" xfId="17247" xr:uid="{9A50E3ED-8C75-4DEA-AE00-2FB681E48948}"/>
    <cellStyle name="Vírgula 9 2 2 8 2 2 2" xfId="37587" xr:uid="{395C37FA-A40C-4FFD-BE3B-506E59EBF83B}"/>
    <cellStyle name="Vírgula 9 2 2 8 2 3" xfId="20749" xr:uid="{C527DEA9-564A-4020-A352-9FB6F162EF42}"/>
    <cellStyle name="Vírgula 9 2 2 8 2 3 2" xfId="41088" xr:uid="{AC16A8D2-0302-4218-B026-2978BAC169FD}"/>
    <cellStyle name="Vírgula 9 2 2 8 2 4" xfId="24004" xr:uid="{08D11E40-4E49-436A-AE31-2ADD9D87AA17}"/>
    <cellStyle name="Vírgula 9 2 2 8 2 4 2" xfId="44339" xr:uid="{32F2E3AB-9B21-492A-95BF-C294D07369A2}"/>
    <cellStyle name="Vírgula 9 2 2 8 2 5" xfId="14338" xr:uid="{9E975912-FEC2-4915-B210-C47F1A5F3A60}"/>
    <cellStyle name="Vírgula 9 2 2 8 2 5 2" xfId="34679" xr:uid="{DD487FCE-EA7F-4D39-BDC3-5D12F5DFB1F9}"/>
    <cellStyle name="Vírgula 9 2 2 8 2 6" xfId="10460" xr:uid="{23A60348-3259-4526-951F-FD419F13717C}"/>
    <cellStyle name="Vírgula 9 2 2 8 2 6 2" xfId="30803" xr:uid="{9747987F-9D09-40B0-AE81-CBEBB6BF5DD7}"/>
    <cellStyle name="Vírgula 9 2 2 8 2 7" xfId="27309" xr:uid="{F23D69FD-60B7-495A-8C7C-5BBBE9D09A98}"/>
    <cellStyle name="Vírgula 9 2 2 8 3" xfId="16089" xr:uid="{C77DE3CF-B290-4DA9-ACCE-7F8D026C7B9C}"/>
    <cellStyle name="Vírgula 9 2 2 8 3 2" xfId="36429" xr:uid="{9DEDA354-9D65-4074-BDA6-649083272B1F}"/>
    <cellStyle name="Vírgula 9 2 2 8 4" xfId="19591" xr:uid="{0259C8DF-24F3-48D3-93E3-B4B875FD009C}"/>
    <cellStyle name="Vírgula 9 2 2 8 4 2" xfId="39930" xr:uid="{032C1AFA-72D8-4C30-AF99-95E9D44FB3ED}"/>
    <cellStyle name="Vírgula 9 2 2 8 5" xfId="22846" xr:uid="{7599D560-3A3F-40F7-BFB9-C7FDAB2B0894}"/>
    <cellStyle name="Vírgula 9 2 2 8 5 2" xfId="43181" xr:uid="{C8A9E907-B375-4184-99F2-81F396AC6E6F}"/>
    <cellStyle name="Vírgula 9 2 2 8 6" xfId="13187" xr:uid="{755372F7-FA8E-4936-8812-7329A9A6586F}"/>
    <cellStyle name="Vírgula 9 2 2 8 6 2" xfId="33528" xr:uid="{8922FC2D-26AD-4512-AF2A-6DE250EC965B}"/>
    <cellStyle name="Vírgula 9 2 2 8 7" xfId="9302" xr:uid="{60B023DB-F5C5-4A55-AF79-8EF39C6EB7FA}"/>
    <cellStyle name="Vírgula 9 2 2 8 7 2" xfId="29645" xr:uid="{1D341E92-8122-430D-B56C-3F0EED891AB0}"/>
    <cellStyle name="Vírgula 9 2 2 8 8" xfId="26151" xr:uid="{0A0C438A-958A-4204-9A4A-225D4D99B58A}"/>
    <cellStyle name="Vírgula 9 2 2 9" xfId="6380" xr:uid="{3395E9ED-D5D0-41DD-8C66-FF6A5A66D8B0}"/>
    <cellStyle name="Vírgula 9 2 2 9 2" xfId="16666" xr:uid="{CD1F56EC-DB0E-43A3-9861-3AE3C38B35D7}"/>
    <cellStyle name="Vírgula 9 2 2 9 2 2" xfId="37006" xr:uid="{A4B97F70-870E-46E1-AA5B-48DC60B33E97}"/>
    <cellStyle name="Vírgula 9 2 2 9 3" xfId="20168" xr:uid="{908FDB6F-BD40-42F0-AC26-D430510A4F9F}"/>
    <cellStyle name="Vírgula 9 2 2 9 3 2" xfId="40507" xr:uid="{E0A9CED6-C15C-41C3-BDBD-750D53E8719F}"/>
    <cellStyle name="Vírgula 9 2 2 9 4" xfId="23423" xr:uid="{AC34BD0D-E23C-4F0A-9EA1-FC1C3AFCADAB}"/>
    <cellStyle name="Vírgula 9 2 2 9 4 2" xfId="43758" xr:uid="{7CEAAE06-A211-478E-BDD6-7EA706D52823}"/>
    <cellStyle name="Vírgula 9 2 2 9 5" xfId="13757" xr:uid="{9ED4FD8A-8292-4367-BD2F-0518220CBFF8}"/>
    <cellStyle name="Vírgula 9 2 2 9 5 2" xfId="34098" xr:uid="{7A038A04-C77D-4FE1-A910-458CBC718E56}"/>
    <cellStyle name="Vírgula 9 2 2 9 6" xfId="9879" xr:uid="{4A4A7D9E-8BD3-4F2F-849F-A41B8B5FFFDF}"/>
    <cellStyle name="Vírgula 9 2 2 9 6 2" xfId="30222" xr:uid="{097B65B0-1B8F-417C-B0CE-0CF12DE3C2ED}"/>
    <cellStyle name="Vírgula 9 2 2 9 7" xfId="26728" xr:uid="{6DC49816-8FCA-423A-8AC9-D43183FADC78}"/>
    <cellStyle name="Vírgula 9 2 20" xfId="45821" xr:uid="{4C7E7DFF-6BB8-4B49-9B66-23E4FDFEFDCE}"/>
    <cellStyle name="Vírgula 9 2 21" xfId="46307" xr:uid="{66050523-8BFA-44F4-B886-9C2EA4C7EBF3}"/>
    <cellStyle name="Vírgula 9 2 22" xfId="46799" xr:uid="{7651AD9A-66F2-47E0-B1C3-84E0B87A9891}"/>
    <cellStyle name="Vírgula 9 2 23" xfId="49347" xr:uid="{8A8336EE-0FBB-4903-8CB4-34F8CE7FFD5C}"/>
    <cellStyle name="Vírgula 9 2 24" xfId="51017" xr:uid="{FAFE1B74-8A75-4A74-9109-20D5EBAE56BC}"/>
    <cellStyle name="Vírgula 9 2 25" xfId="54312" xr:uid="{A1B71442-8257-4A75-9979-C243FF03376A}"/>
    <cellStyle name="Vírgula 9 2 26" xfId="5229" xr:uid="{CC744CEA-13E0-4CD2-AA83-2608C7CF7F49}"/>
    <cellStyle name="Vírgula 9 2 27" xfId="4639" xr:uid="{2B60475D-F825-484D-ACE2-2891EB2A38F6}"/>
    <cellStyle name="Vírgula 9 2 3" xfId="1580" xr:uid="{9E6B7942-B5A0-4BC8-B348-137C1481FC2D}"/>
    <cellStyle name="Vírgula 9 2 3 10" xfId="8393" xr:uid="{CF98880B-E3D2-48E4-8D6F-9FE0C43CD831}"/>
    <cellStyle name="Vírgula 9 2 3 10 2" xfId="22180" xr:uid="{2FEABE4E-EC7C-499C-8146-D6F959E8982F}"/>
    <cellStyle name="Vírgula 9 2 3 10 2 2" xfId="42516" xr:uid="{8ACF15E6-83FB-430E-B276-B1D8D8380C06}"/>
    <cellStyle name="Vírgula 9 2 3 10 3" xfId="25432" xr:uid="{170834DF-8134-4284-BEED-70233DD19EF8}"/>
    <cellStyle name="Vírgula 9 2 3 10 3 2" xfId="45767" xr:uid="{B9D45F0A-95A3-4F07-9A19-B02BF01AF690}"/>
    <cellStyle name="Vírgula 9 2 3 10 4" xfId="12630" xr:uid="{540B848A-FA1D-4FA2-82E6-B5AC52D3B47B}"/>
    <cellStyle name="Vírgula 9 2 3 10 4 2" xfId="32971" xr:uid="{3A50242D-0796-4930-8462-AEFE752C14AB}"/>
    <cellStyle name="Vírgula 9 2 3 10 5" xfId="11889" xr:uid="{8F7361BF-71B3-47BF-AFCF-2649316C44A4}"/>
    <cellStyle name="Vírgula 9 2 3 10 5 2" xfId="32231" xr:uid="{B8B7AD0C-B72F-4CAA-BB71-FB79C48FDA03}"/>
    <cellStyle name="Vírgula 9 2 3 10 6" xfId="28737" xr:uid="{98FF0B4B-F9F7-4034-9BF5-F673CB84E749}"/>
    <cellStyle name="Vírgula 9 2 3 11" xfId="8474" xr:uid="{9812C5B9-9687-428D-B0D1-6DA4E5E35ACE}"/>
    <cellStyle name="Vírgula 9 2 3 11 2" xfId="15523" xr:uid="{F47C808B-92D8-4780-8267-B02F6F3C4443}"/>
    <cellStyle name="Vírgula 9 2 3 11 2 2" xfId="35863" xr:uid="{C86D25CF-E07C-40DC-B11C-C5FDF7584F14}"/>
    <cellStyle name="Vírgula 9 2 3 11 3" xfId="28817" xr:uid="{22E39C2E-B993-416C-B7D4-54A2888031DB}"/>
    <cellStyle name="Vírgula 9 2 3 12" xfId="18437" xr:uid="{1C12513C-A16D-46DB-B69A-0798060C4499}"/>
    <cellStyle name="Vírgula 9 2 3 12 2" xfId="38777" xr:uid="{7F8A335E-CB63-45CA-BC42-F888174E7B3A}"/>
    <cellStyle name="Vírgula 9 2 3 13" xfId="19025" xr:uid="{A77A28FA-C30E-4843-8674-7E4DB7972A12}"/>
    <cellStyle name="Vírgula 9 2 3 13 2" xfId="39364" xr:uid="{3676EB46-E198-42D7-97DB-C056B8FB1989}"/>
    <cellStyle name="Vírgula 9 2 3 14" xfId="22280" xr:uid="{A9799335-D6A7-4679-BEDC-8635792BACBF}"/>
    <cellStyle name="Vírgula 9 2 3 14 2" xfId="42615" xr:uid="{F9AF9420-8185-4267-90DA-B6133C60B651}"/>
    <cellStyle name="Vírgula 9 2 3 15" xfId="11997" xr:uid="{BA08D389-CE53-43FD-B104-0E4D65BBB811}"/>
    <cellStyle name="Vírgula 9 2 3 15 2" xfId="32338" xr:uid="{0DAD1BBD-3448-4691-B195-D5D5C587652A}"/>
    <cellStyle name="Vírgula 9 2 3 16" xfId="8736" xr:uid="{31BA0098-286C-4D8F-996B-B152608CC61D}"/>
    <cellStyle name="Vírgula 9 2 3 16 2" xfId="29079" xr:uid="{82ED983D-D3A7-4672-AFE9-0289F9204401}"/>
    <cellStyle name="Vírgula 9 2 3 17" xfId="25581" xr:uid="{52130791-1112-4E82-936A-A0914841E760}"/>
    <cellStyle name="Vírgula 9 2 3 18" xfId="45849" xr:uid="{59CF4E60-2137-4027-8C58-7179CC68000B}"/>
    <cellStyle name="Vírgula 9 2 3 19" xfId="46335" xr:uid="{39BB40EB-4A37-43AE-AFD4-BE86FE2FE194}"/>
    <cellStyle name="Vírgula 9 2 3 2" xfId="4228" xr:uid="{A310459C-24B6-4F4B-AF84-243B68110AD9}"/>
    <cellStyle name="Vírgula 9 2 3 2 10" xfId="22395" xr:uid="{DBFF439E-E231-4F74-860B-AE79E7917E36}"/>
    <cellStyle name="Vírgula 9 2 3 2 10 2" xfId="42730" xr:uid="{54045921-EDB1-4948-A0F0-D9E7AC0D8954}"/>
    <cellStyle name="Vírgula 9 2 3 2 11" xfId="12112" xr:uid="{755FB878-C223-456C-9AEA-4C9D8B6C5650}"/>
    <cellStyle name="Vírgula 9 2 3 2 11 2" xfId="32453" xr:uid="{1C31E431-F158-47D9-A4A1-62C28D8262DA}"/>
    <cellStyle name="Vírgula 9 2 3 2 12" xfId="8851" xr:uid="{BCEBF2FE-DEBB-4CB0-B867-0EDE4230A27E}"/>
    <cellStyle name="Vírgula 9 2 3 2 12 2" xfId="29194" xr:uid="{AF9A07B3-D501-4209-9FB3-898D95FC9939}"/>
    <cellStyle name="Vírgula 9 2 3 2 13" xfId="25700" xr:uid="{CACC36C5-7459-435F-BE21-8EB05483C26F}"/>
    <cellStyle name="Vírgula 9 2 3 2 14" xfId="45909" xr:uid="{192EBB10-53CF-432F-8F6D-94740AE009D4}"/>
    <cellStyle name="Vírgula 9 2 3 2 15" xfId="46395" xr:uid="{2F5F0B21-87A2-4BED-8759-974177E618A6}"/>
    <cellStyle name="Vírgula 9 2 3 2 16" xfId="46887" xr:uid="{5C6A53FB-C4C0-4D2A-B4CF-871B422DDC5E}"/>
    <cellStyle name="Vírgula 9 2 3 2 17" xfId="52651" xr:uid="{2BB92994-584A-4D6A-A857-83EE9D8EAF86}"/>
    <cellStyle name="Vírgula 9 2 3 2 18" xfId="55945" xr:uid="{0031C69A-FFFB-4FED-B4C6-C3CF5B738D57}"/>
    <cellStyle name="Vírgula 9 2 3 2 19" xfId="5373" xr:uid="{CADE3A0C-D4D3-4D8C-B664-070D01611019}"/>
    <cellStyle name="Vírgula 9 2 3 2 2" xfId="5159" xr:uid="{88D024DE-08D3-4EBA-8A5B-E035653C6001}"/>
    <cellStyle name="Vírgula 9 2 3 2 2 10" xfId="12499" xr:uid="{83320C19-F474-4D3C-B68F-A6D4235AD57A}"/>
    <cellStyle name="Vírgula 9 2 3 2 2 10 2" xfId="32840" xr:uid="{4A5D41CE-7E76-4456-8805-95349BCA0A7E}"/>
    <cellStyle name="Vírgula 9 2 3 2 2 11" xfId="9238" xr:uid="{DC89E2A5-56A0-4FA3-859C-1D13853B408D}"/>
    <cellStyle name="Vírgula 9 2 3 2 2 11 2" xfId="29581" xr:uid="{84DCD364-F073-4DE9-BB85-BE517E95FD00}"/>
    <cellStyle name="Vírgula 9 2 3 2 2 12" xfId="26087" xr:uid="{129BCF23-66E7-40A0-86C4-329D15A3E237}"/>
    <cellStyle name="Vírgula 9 2 3 2 2 13" xfId="46041" xr:uid="{569B1333-8D8F-417D-A15F-BB51ECFD5210}"/>
    <cellStyle name="Vírgula 9 2 3 2 2 14" xfId="46527" xr:uid="{ECA04F14-6F26-4F19-A675-97B0D9E5DF9B}"/>
    <cellStyle name="Vírgula 9 2 3 2 2 15" xfId="47019" xr:uid="{3FF92B49-1765-43D1-800D-511E151411F5}"/>
    <cellStyle name="Vírgula 9 2 3 2 2 16" xfId="5744" xr:uid="{DFB26037-58EC-4D59-BBB6-7F470C87AEE2}"/>
    <cellStyle name="Vírgula 9 2 3 2 2 2" xfId="6320" xr:uid="{8539ED36-1219-4F11-95D0-D307ECE4879F}"/>
    <cellStyle name="Vírgula 9 2 3 2 2 2 10" xfId="46770" xr:uid="{F3BB5FFA-79A3-40FA-AFF4-2D88CA52E449}"/>
    <cellStyle name="Vírgula 9 2 3 2 2 2 11" xfId="47262" xr:uid="{5C066908-1E98-4328-BFBC-8D40F1B9BED9}"/>
    <cellStyle name="Vírgula 9 2 3 2 2 2 2" xfId="7478" xr:uid="{C0532F0A-90F6-4CEE-9E01-BD41F596DFFA}"/>
    <cellStyle name="Vírgula 9 2 3 2 2 2 2 2" xfId="17764" xr:uid="{692D4D81-C75A-44A9-A919-6A6E6CB50231}"/>
    <cellStyle name="Vírgula 9 2 3 2 2 2 2 2 2" xfId="38104" xr:uid="{50C5232B-B330-4C93-9328-C852CB462B12}"/>
    <cellStyle name="Vírgula 9 2 3 2 2 2 2 3" xfId="21266" xr:uid="{8550C18B-D6ED-48EA-A4DB-E097469E05E1}"/>
    <cellStyle name="Vírgula 9 2 3 2 2 2 2 3 2" xfId="41605" xr:uid="{2E8C5053-6C22-4789-86F8-3DAA72640DA9}"/>
    <cellStyle name="Vírgula 9 2 3 2 2 2 2 4" xfId="24521" xr:uid="{5DA6792C-5769-4B06-923B-C1C8917C6423}"/>
    <cellStyle name="Vírgula 9 2 3 2 2 2 2 4 2" xfId="44856" xr:uid="{D4F772FD-7AF3-43E2-A905-7CDA01F290DD}"/>
    <cellStyle name="Vírgula 9 2 3 2 2 2 2 5" xfId="14855" xr:uid="{60F785B1-4ECB-413D-91D5-26FF8EBCADDC}"/>
    <cellStyle name="Vírgula 9 2 3 2 2 2 2 5 2" xfId="35196" xr:uid="{A4AC1654-2CED-4A38-B745-C6EBE7669EAD}"/>
    <cellStyle name="Vírgula 9 2 3 2 2 2 2 6" xfId="10977" xr:uid="{D2C017CF-1629-4B19-80B6-ABC17AB9CD29}"/>
    <cellStyle name="Vírgula 9 2 3 2 2 2 2 6 2" xfId="31320" xr:uid="{014BFE62-5A8D-40B7-A298-1A9A663B9DB9}"/>
    <cellStyle name="Vírgula 9 2 3 2 2 2 2 7" xfId="27826" xr:uid="{C97D52CD-873B-4228-A759-801683D111EF}"/>
    <cellStyle name="Vírgula 9 2 3 2 2 2 3" xfId="16606" xr:uid="{340343C6-6308-4668-BFDC-9CF46A36998D}"/>
    <cellStyle name="Vírgula 9 2 3 2 2 2 3 2" xfId="36946" xr:uid="{BC274777-F089-415F-8632-985B9D135EC4}"/>
    <cellStyle name="Vírgula 9 2 3 2 2 2 4" xfId="20108" xr:uid="{CCD6CC29-4D93-4E6C-8552-FD968797814B}"/>
    <cellStyle name="Vírgula 9 2 3 2 2 2 4 2" xfId="40447" xr:uid="{A8D0CC9B-3507-4D9D-AB42-9E7F9BA09ECF}"/>
    <cellStyle name="Vírgula 9 2 3 2 2 2 5" xfId="23363" xr:uid="{8509EB4B-5EC6-4D7C-B0EB-BB7F8025507B}"/>
    <cellStyle name="Vírgula 9 2 3 2 2 2 5 2" xfId="43698" xr:uid="{32C98BFB-D500-4B02-BD51-36DF3DA7A3EB}"/>
    <cellStyle name="Vírgula 9 2 3 2 2 2 6" xfId="13697" xr:uid="{68687BE4-8F30-4A4C-9BC1-8522BA191DDE}"/>
    <cellStyle name="Vírgula 9 2 3 2 2 2 6 2" xfId="34038" xr:uid="{94395E56-23AC-48A2-9337-DAD42D87C43A}"/>
    <cellStyle name="Vírgula 9 2 3 2 2 2 7" xfId="9819" xr:uid="{5676EDAF-C3F6-4C09-88B5-17E61F8208E9}"/>
    <cellStyle name="Vírgula 9 2 3 2 2 2 7 2" xfId="30162" xr:uid="{288B736A-3E87-4797-AF4A-10DB1F227980}"/>
    <cellStyle name="Vírgula 9 2 3 2 2 2 8" xfId="26668" xr:uid="{6FF9E426-6204-4837-B1E9-38189DC72FD0}"/>
    <cellStyle name="Vírgula 9 2 3 2 2 2 9" xfId="46284" xr:uid="{D5FEA837-DF30-48D3-8C0D-B8B0E5F99DD8}"/>
    <cellStyle name="Vírgula 9 2 3 2 2 3" xfId="6897" xr:uid="{CFABDC30-C7BB-4C0C-B3C3-58EC66DB1196}"/>
    <cellStyle name="Vírgula 9 2 3 2 2 3 2" xfId="17183" xr:uid="{EC03B8C2-5C0B-494A-BF9E-5FE7D40B7F2C}"/>
    <cellStyle name="Vírgula 9 2 3 2 2 3 2 2" xfId="37523" xr:uid="{2C1FFFD6-49BD-4616-A578-ADFD2D8FF970}"/>
    <cellStyle name="Vírgula 9 2 3 2 2 3 3" xfId="20685" xr:uid="{DBCA5AC1-D63F-4086-B9B4-255D045EFBC3}"/>
    <cellStyle name="Vírgula 9 2 3 2 2 3 3 2" xfId="41024" xr:uid="{5D6784E3-EAA9-463B-99DE-1415B3B939E9}"/>
    <cellStyle name="Vírgula 9 2 3 2 2 3 4" xfId="23940" xr:uid="{DBA368D6-9AD5-45AE-B10C-2A469FA15468}"/>
    <cellStyle name="Vírgula 9 2 3 2 2 3 4 2" xfId="44275" xr:uid="{E9E1DBAC-A498-4F1C-8BCF-6FB8FD56CA71}"/>
    <cellStyle name="Vírgula 9 2 3 2 2 3 5" xfId="14274" xr:uid="{2029595B-4737-4F55-BD5F-7CAE1918A751}"/>
    <cellStyle name="Vírgula 9 2 3 2 2 3 5 2" xfId="34615" xr:uid="{137ACEC1-BD08-49A2-BEA6-D7995BB6F583}"/>
    <cellStyle name="Vírgula 9 2 3 2 2 3 6" xfId="10396" xr:uid="{5101F6D2-0147-4A49-89B5-0ACF6965B96B}"/>
    <cellStyle name="Vírgula 9 2 3 2 2 3 6 2" xfId="30739" xr:uid="{FBB7DE9B-0DB9-4EAE-A328-50E95D004E78}"/>
    <cellStyle name="Vírgula 9 2 3 2 2 3 7" xfId="27245" xr:uid="{3A8EA15C-5840-4E44-A51A-A4E434DE41EE}"/>
    <cellStyle name="Vírgula 9 2 3 2 2 4" xfId="8061" xr:uid="{49D4E0D8-0C56-48BE-9D94-F4ABE8529E6D}"/>
    <cellStyle name="Vírgula 9 2 3 2 2 4 2" xfId="18346" xr:uid="{163CA0A3-F493-4ED6-9921-B453B5EE0CE4}"/>
    <cellStyle name="Vírgula 9 2 3 2 2 4 2 2" xfId="38686" xr:uid="{01057206-1195-45A2-99CA-EDFBC9CC894E}"/>
    <cellStyle name="Vírgula 9 2 3 2 2 4 3" xfId="21848" xr:uid="{ED2B20A4-75B1-42ED-86D8-2FAA49017572}"/>
    <cellStyle name="Vírgula 9 2 3 2 2 4 3 2" xfId="42187" xr:uid="{C7BC0DF6-C54B-4F14-A1CE-67912D404C60}"/>
    <cellStyle name="Vírgula 9 2 3 2 2 4 4" xfId="25103" xr:uid="{B9201172-CD6D-4774-8692-E083DA93359C}"/>
    <cellStyle name="Vírgula 9 2 3 2 2 4 4 2" xfId="45438" xr:uid="{BA43A873-C75D-40E1-8005-FC8395AB4254}"/>
    <cellStyle name="Vírgula 9 2 3 2 2 4 5" xfId="15438" xr:uid="{2AAB6460-EE34-4F27-916B-1EB5C145804C}"/>
    <cellStyle name="Vírgula 9 2 3 2 2 4 5 2" xfId="35778" xr:uid="{BBDEF0AE-EC4C-4CA0-B1ED-8D308F1E915D}"/>
    <cellStyle name="Vírgula 9 2 3 2 2 4 6" xfId="11559" xr:uid="{D516E258-DA0E-4683-AB9E-38AFCBD88D27}"/>
    <cellStyle name="Vírgula 9 2 3 2 2 4 6 2" xfId="31902" xr:uid="{79405D12-71EA-4298-BCE9-9B19A4014C85}"/>
    <cellStyle name="Vírgula 9 2 3 2 2 4 7" xfId="28408" xr:uid="{B798A5F5-3D97-4C83-A99B-B11047632058}"/>
    <cellStyle name="Vírgula 9 2 3 2 2 5" xfId="8395" xr:uid="{98F8E4B1-8DCC-4DE8-BA4C-2E5B045817E0}"/>
    <cellStyle name="Vírgula 9 2 3 2 2 5 2" xfId="22182" xr:uid="{D2C29CDB-5EC7-4BE4-BD4E-964729194A60}"/>
    <cellStyle name="Vírgula 9 2 3 2 2 5 2 2" xfId="42518" xr:uid="{C66DC47A-407A-49DE-8B3C-BA7D7EC58E47}"/>
    <cellStyle name="Vírgula 9 2 3 2 2 5 3" xfId="25434" xr:uid="{8A014210-8E40-425A-AF52-9BEACB696825}"/>
    <cellStyle name="Vírgula 9 2 3 2 2 5 3 2" xfId="45769" xr:uid="{BC6D1F2F-A52F-456E-9A4C-2D97D7A86E5C}"/>
    <cellStyle name="Vírgula 9 2 3 2 2 5 4" xfId="13128" xr:uid="{39AD84A5-DD75-4174-92BC-1681E3987870}"/>
    <cellStyle name="Vírgula 9 2 3 2 2 5 4 2" xfId="33469" xr:uid="{0842B002-89F7-4673-B1E8-FA34FC02DCD5}"/>
    <cellStyle name="Vírgula 9 2 3 2 2 5 5" xfId="11891" xr:uid="{F71E53BF-1A34-48E4-B8AD-2BE2196AF902}"/>
    <cellStyle name="Vírgula 9 2 3 2 2 5 5 2" xfId="32233" xr:uid="{DF5226EA-36FA-46AF-9804-5378BE42CE15}"/>
    <cellStyle name="Vírgula 9 2 3 2 2 5 6" xfId="28739" xr:uid="{3B457A64-725F-4562-AF15-C09B3913702C}"/>
    <cellStyle name="Vírgula 9 2 3 2 2 6" xfId="8666" xr:uid="{00282C88-B0C1-4D79-9F40-717747F1471A}"/>
    <cellStyle name="Vírgula 9 2 3 2 2 6 2" xfId="16025" xr:uid="{94895B1F-528C-4F13-8AFB-326DEB6B8923}"/>
    <cellStyle name="Vírgula 9 2 3 2 2 6 2 2" xfId="36365" xr:uid="{0223120B-BF98-45F9-8D20-1CC09BC13B45}"/>
    <cellStyle name="Vírgula 9 2 3 2 2 6 3" xfId="29009" xr:uid="{D4768611-B194-4EBF-895F-BCD45A65C929}"/>
    <cellStyle name="Vírgula 9 2 3 2 2 7" xfId="18939" xr:uid="{D391A4E6-2B5E-4A91-A3BE-7107CBB97874}"/>
    <cellStyle name="Vírgula 9 2 3 2 2 7 2" xfId="39279" xr:uid="{4BA8885B-8075-45B7-BA3F-AF755D2CA5B9}"/>
    <cellStyle name="Vírgula 9 2 3 2 2 8" xfId="19527" xr:uid="{D635A9FF-2657-46A7-B869-71F807BD2EF3}"/>
    <cellStyle name="Vírgula 9 2 3 2 2 8 2" xfId="39866" xr:uid="{49388756-2BD9-4252-9740-6679B1F94AEF}"/>
    <cellStyle name="Vírgula 9 2 3 2 2 9" xfId="22782" xr:uid="{E127AE02-BAA4-49AB-B0DB-4FBC91B26D8B}"/>
    <cellStyle name="Vírgula 9 2 3 2 2 9 2" xfId="43117" xr:uid="{75C8A0FE-D1B4-4E88-81DB-B0722E381C9B}"/>
    <cellStyle name="Vírgula 9 2 3 2 20" xfId="4940" xr:uid="{CDA1AA40-CA2F-4C42-85F0-EBE21A3C8912}"/>
    <cellStyle name="Vírgula 9 2 3 2 3" xfId="5031" xr:uid="{778C925A-94CC-4441-A74C-F4C7B505ED61}"/>
    <cellStyle name="Vírgula 9 2 3 2 3 10" xfId="46638" xr:uid="{D839B523-4475-4896-93E2-927DC6470B89}"/>
    <cellStyle name="Vírgula 9 2 3 2 3 11" xfId="47130" xr:uid="{188C67DB-325D-4FED-A0D3-236CBE0E8038}"/>
    <cellStyle name="Vírgula 9 2 3 2 3 12" xfId="5933" xr:uid="{CDD9573B-318E-4F1E-813A-63CBA4B1DECD}"/>
    <cellStyle name="Vírgula 9 2 3 2 3 2" xfId="7091" xr:uid="{1B51F231-AE25-4802-A462-6917D7B8F1D1}"/>
    <cellStyle name="Vírgula 9 2 3 2 3 2 2" xfId="17377" xr:uid="{BBFAD59D-D3EE-4643-9872-51F76CD0803D}"/>
    <cellStyle name="Vírgula 9 2 3 2 3 2 2 2" xfId="37717" xr:uid="{83DF0800-2749-40C5-9ED0-CD684287D22A}"/>
    <cellStyle name="Vírgula 9 2 3 2 3 2 3" xfId="20879" xr:uid="{28EB25C2-2141-44CE-AC2B-72BC946CE70A}"/>
    <cellStyle name="Vírgula 9 2 3 2 3 2 3 2" xfId="41218" xr:uid="{1663D3A0-3649-4315-9217-9B7F8D6C0AED}"/>
    <cellStyle name="Vírgula 9 2 3 2 3 2 4" xfId="24134" xr:uid="{45DB7707-0750-4EFC-9D51-26585971912C}"/>
    <cellStyle name="Vírgula 9 2 3 2 3 2 4 2" xfId="44469" xr:uid="{E0845C33-06E5-4F86-80FD-A7554DC0DFD4}"/>
    <cellStyle name="Vírgula 9 2 3 2 3 2 5" xfId="14468" xr:uid="{CBB71B7E-DE36-43B5-A9B2-9B1F539E8740}"/>
    <cellStyle name="Vírgula 9 2 3 2 3 2 5 2" xfId="34809" xr:uid="{8C9FDFEF-CB5F-4BA8-B6C8-9C40E3A5BDAE}"/>
    <cellStyle name="Vírgula 9 2 3 2 3 2 6" xfId="10590" xr:uid="{7A199E83-DD19-46B3-BD25-5DD10E88E92C}"/>
    <cellStyle name="Vírgula 9 2 3 2 3 2 6 2" xfId="30933" xr:uid="{9ACD87EF-18EF-452A-84D8-30720B80AE7E}"/>
    <cellStyle name="Vírgula 9 2 3 2 3 2 7" xfId="27439" xr:uid="{E5C92852-BD77-4430-B8AB-CCB42ABBC8C6}"/>
    <cellStyle name="Vírgula 9 2 3 2 3 3" xfId="8396" xr:uid="{1C055B4F-134C-46FB-B411-CDA6F6B1D08C}"/>
    <cellStyle name="Vírgula 9 2 3 2 3 3 2" xfId="22183" xr:uid="{A74EC061-C202-4FC9-AF20-9F0A42AD7987}"/>
    <cellStyle name="Vírgula 9 2 3 2 3 3 2 2" xfId="42519" xr:uid="{A5390BD8-EDEA-4290-8A31-EAA73EC5205C}"/>
    <cellStyle name="Vírgula 9 2 3 2 3 3 3" xfId="25435" xr:uid="{74210537-AF36-4406-88C1-A2425113BC3F}"/>
    <cellStyle name="Vírgula 9 2 3 2 3 3 3 2" xfId="45770" xr:uid="{3665BFC1-46FC-442F-9CC9-96274CC5180A}"/>
    <cellStyle name="Vírgula 9 2 3 2 3 3 4" xfId="16219" xr:uid="{3B903F91-665C-49ED-A37D-A012E82741FB}"/>
    <cellStyle name="Vírgula 9 2 3 2 3 3 4 2" xfId="36559" xr:uid="{38B90AF2-9233-4A26-856E-B12BFDD921A6}"/>
    <cellStyle name="Vírgula 9 2 3 2 3 3 5" xfId="11892" xr:uid="{E2131A9F-8818-4E43-82AE-5E69C3548444}"/>
    <cellStyle name="Vírgula 9 2 3 2 3 3 5 2" xfId="32234" xr:uid="{8FF6A604-2625-4522-9614-10C2095C3A02}"/>
    <cellStyle name="Vírgula 9 2 3 2 3 3 6" xfId="28740" xr:uid="{08A1C54A-3BEA-48AA-9312-A62B152A3DFF}"/>
    <cellStyle name="Vírgula 9 2 3 2 3 4" xfId="19721" xr:uid="{CB5F57EE-9386-4B03-9084-84F10AB487C6}"/>
    <cellStyle name="Vírgula 9 2 3 2 3 4 2" xfId="40060" xr:uid="{3F70A61D-1B6E-42F0-93B4-4BB2A4AF615B}"/>
    <cellStyle name="Vírgula 9 2 3 2 3 5" xfId="22976" xr:uid="{67F0636A-34DF-4971-AAAE-055C89EE4D2E}"/>
    <cellStyle name="Vírgula 9 2 3 2 3 5 2" xfId="43311" xr:uid="{C81844C7-5A88-43D7-ACBE-8126FEE6F29C}"/>
    <cellStyle name="Vírgula 9 2 3 2 3 6" xfId="13311" xr:uid="{450543F9-8122-4722-8A35-0C4A97FBB9B0}"/>
    <cellStyle name="Vírgula 9 2 3 2 3 6 2" xfId="33652" xr:uid="{31FD529E-E57D-48B9-819A-C63896E53395}"/>
    <cellStyle name="Vírgula 9 2 3 2 3 7" xfId="9432" xr:uid="{A2C43C6A-23E1-47AF-AAB4-23230C2ED284}"/>
    <cellStyle name="Vírgula 9 2 3 2 3 7 2" xfId="29775" xr:uid="{CFB83CFE-0ADD-4619-9218-C29F5F97A3A8}"/>
    <cellStyle name="Vírgula 9 2 3 2 3 8" xfId="26281" xr:uid="{C281D59D-66AE-48F4-B7F0-3AA4CFE39002}"/>
    <cellStyle name="Vírgula 9 2 3 2 3 9" xfId="46152" xr:uid="{7B849295-4BC3-4108-BA9D-D03CAA0F268D}"/>
    <cellStyle name="Vírgula 9 2 3 2 4" xfId="6510" xr:uid="{A7E9A06E-C35F-4322-8AE6-3832A7960D95}"/>
    <cellStyle name="Vírgula 9 2 3 2 4 2" xfId="16796" xr:uid="{B1956E93-72DA-42AD-BD52-156D6DE94815}"/>
    <cellStyle name="Vírgula 9 2 3 2 4 2 2" xfId="37136" xr:uid="{BBA7B93F-7CE0-46F7-BDF3-35F2F78D1BAA}"/>
    <cellStyle name="Vírgula 9 2 3 2 4 3" xfId="20298" xr:uid="{845344CF-89A8-4311-A703-D3940B67EF95}"/>
    <cellStyle name="Vírgula 9 2 3 2 4 3 2" xfId="40637" xr:uid="{473B15AA-6B2D-43A4-8D50-85013F433DBF}"/>
    <cellStyle name="Vírgula 9 2 3 2 4 4" xfId="23553" xr:uid="{39273049-E459-45C3-B1DD-A2A5EF892588}"/>
    <cellStyle name="Vírgula 9 2 3 2 4 4 2" xfId="43888" xr:uid="{259BCAAE-C10A-4420-9AE0-F9C07C0A7BA1}"/>
    <cellStyle name="Vírgula 9 2 3 2 4 5" xfId="13887" xr:uid="{C5A04D1C-58B8-4596-9FB8-42489A56C680}"/>
    <cellStyle name="Vírgula 9 2 3 2 4 5 2" xfId="34228" xr:uid="{A9F244C0-FDBD-4E24-8DB7-75CA46CE25A9}"/>
    <cellStyle name="Vírgula 9 2 3 2 4 6" xfId="10009" xr:uid="{38FDB725-8716-43D5-BAA0-9F9EE293BDAF}"/>
    <cellStyle name="Vírgula 9 2 3 2 4 6 2" xfId="30352" xr:uid="{9840813F-DA22-41A4-A3D0-0CFC577572F8}"/>
    <cellStyle name="Vírgula 9 2 3 2 4 7" xfId="26858" xr:uid="{803D7893-4060-4C56-B4C9-DF13C22FBDE3}"/>
    <cellStyle name="Vírgula 9 2 3 2 5" xfId="7674" xr:uid="{C105A236-2C80-4EF5-BA8D-9D6EE0B2925B}"/>
    <cellStyle name="Vírgula 9 2 3 2 5 2" xfId="17959" xr:uid="{DC4C27F1-5E48-471C-BD0A-DEC0C9AA3553}"/>
    <cellStyle name="Vírgula 9 2 3 2 5 2 2" xfId="38299" xr:uid="{1CF4693B-B0C2-46F3-ABC2-7F72EF89A60E}"/>
    <cellStyle name="Vírgula 9 2 3 2 5 3" xfId="21461" xr:uid="{91F1C615-9CC7-4B50-8FFA-6AA7A8910275}"/>
    <cellStyle name="Vírgula 9 2 3 2 5 3 2" xfId="41800" xr:uid="{C7C9BC46-61B5-425B-B89C-CCD04141EFFB}"/>
    <cellStyle name="Vírgula 9 2 3 2 5 4" xfId="24716" xr:uid="{2BFAB1FC-D0FF-4909-932C-A5F296050E8F}"/>
    <cellStyle name="Vírgula 9 2 3 2 5 4 2" xfId="45051" xr:uid="{7F7E6B3B-2C1A-4C9C-BDB3-F1AFE4CD7A98}"/>
    <cellStyle name="Vírgula 9 2 3 2 5 5" xfId="15051" xr:uid="{2D04229A-34EC-4013-92FD-602A3C07AAB6}"/>
    <cellStyle name="Vírgula 9 2 3 2 5 5 2" xfId="35391" xr:uid="{FDF9764A-675E-4070-8530-CB265723F44C}"/>
    <cellStyle name="Vírgula 9 2 3 2 5 6" xfId="11172" xr:uid="{D034D04E-B4D8-4779-B828-9414F57E54A9}"/>
    <cellStyle name="Vírgula 9 2 3 2 5 6 2" xfId="31515" xr:uid="{933E68E6-C098-4A80-99F2-2A010EF89B8A}"/>
    <cellStyle name="Vírgula 9 2 3 2 5 7" xfId="28021" xr:uid="{DDE2B83B-2BAA-4615-BF39-288289FBC04C}"/>
    <cellStyle name="Vírgula 9 2 3 2 6" xfId="8394" xr:uid="{6CCA49EA-4C15-4CC5-90CA-572C66AEB954}"/>
    <cellStyle name="Vírgula 9 2 3 2 6 2" xfId="22181" xr:uid="{6F7A4B21-DB01-43A9-9608-FDBC57E59F6D}"/>
    <cellStyle name="Vírgula 9 2 3 2 6 2 2" xfId="42517" xr:uid="{92735563-E06B-41C9-A7AB-53A9402D14B3}"/>
    <cellStyle name="Vírgula 9 2 3 2 6 3" xfId="25433" xr:uid="{5D6B1B64-3FF5-4164-A5A4-F0CE49D3C23F}"/>
    <cellStyle name="Vírgula 9 2 3 2 6 3 2" xfId="45768" xr:uid="{8849DABB-A6AF-4328-B141-CC38E9F39A09}"/>
    <cellStyle name="Vírgula 9 2 3 2 6 4" xfId="12742" xr:uid="{2F705CAD-682E-4A1E-B927-53C7C0A6F485}"/>
    <cellStyle name="Vírgula 9 2 3 2 6 4 2" xfId="33083" xr:uid="{29E2953F-E251-4D01-8D4A-9FA2FEECC514}"/>
    <cellStyle name="Vírgula 9 2 3 2 6 5" xfId="11890" xr:uid="{7CB65B07-53A5-49D5-A261-8E93B32AB7E6}"/>
    <cellStyle name="Vírgula 9 2 3 2 6 5 2" xfId="32232" xr:uid="{4721FAE1-084C-4455-9458-3984E9987917}"/>
    <cellStyle name="Vírgula 9 2 3 2 6 6" xfId="28738" xr:uid="{64365DB1-F215-4C91-AB4C-72C98FBB4DC0}"/>
    <cellStyle name="Vírgula 9 2 3 2 7" xfId="8534" xr:uid="{400BB677-2184-4B97-BFFB-97E9D36AE550}"/>
    <cellStyle name="Vírgula 9 2 3 2 7 2" xfId="15638" xr:uid="{A089B184-BFF1-4905-BA03-C43815EA1070}"/>
    <cellStyle name="Vírgula 9 2 3 2 7 2 2" xfId="35978" xr:uid="{1B4E80C4-DAD3-4B39-829B-2950081F9EDB}"/>
    <cellStyle name="Vírgula 9 2 3 2 7 3" xfId="28877" xr:uid="{F19DD6C0-BC6D-4255-8738-D8EFD1DB196B}"/>
    <cellStyle name="Vírgula 9 2 3 2 8" xfId="18552" xr:uid="{047B735A-6615-4215-81CF-42B57D414A17}"/>
    <cellStyle name="Vírgula 9 2 3 2 8 2" xfId="38892" xr:uid="{28ACD961-F861-4AFC-AB85-F35D41F7AF84}"/>
    <cellStyle name="Vírgula 9 2 3 2 9" xfId="19140" xr:uid="{2940C7A7-89C4-4A8F-8CAF-FFFE90255042}"/>
    <cellStyle name="Vírgula 9 2 3 2 9 2" xfId="39479" xr:uid="{8FCDAFEE-4DA2-4C1E-A3E7-741DEE0FC93F}"/>
    <cellStyle name="Vírgula 9 2 3 20" xfId="46827" xr:uid="{A2128682-1FAD-4D89-A0F6-73B13A468FD8}"/>
    <cellStyle name="Vírgula 9 2 3 21" xfId="49349" xr:uid="{8EB5227F-A6C4-4266-9ACB-EC145B61A1D7}"/>
    <cellStyle name="Vírgula 9 2 3 22" xfId="51019" xr:uid="{ABEF71D4-AD27-4BB5-9628-AEFE036ABBFC}"/>
    <cellStyle name="Vírgula 9 2 3 23" xfId="54314" xr:uid="{44048870-A752-43B7-964F-C1EBA6D54D75}"/>
    <cellStyle name="Vírgula 9 2 3 24" xfId="5250" xr:uid="{92971DEF-8D9A-4817-AF56-2FC69D7BD6F4}"/>
    <cellStyle name="Vírgula 9 2 3 25" xfId="4821" xr:uid="{5C89B0EB-3F50-451E-BCFD-586F1985A9D6}"/>
    <cellStyle name="Vírgula 9 2 3 3" xfId="3240" xr:uid="{302FF479-41E2-46E2-9D6D-564D4A7D1CD9}"/>
    <cellStyle name="Vírgula 9 2 3 3 10" xfId="12208" xr:uid="{955B1562-35EB-438B-BCBF-41F996B073CD}"/>
    <cellStyle name="Vírgula 9 2 3 3 10 2" xfId="32549" xr:uid="{8E3EFE9C-297C-4C8A-AA9F-0A412227093F}"/>
    <cellStyle name="Vírgula 9 2 3 3 11" xfId="8947" xr:uid="{EC8F36F7-5AF7-4457-B492-94DB110B7DB0}"/>
    <cellStyle name="Vírgula 9 2 3 3 11 2" xfId="29290" xr:uid="{FF013CC1-2784-4C36-8A41-91EE3ADA1414}"/>
    <cellStyle name="Vírgula 9 2 3 3 12" xfId="25796" xr:uid="{A988E29F-6841-48D0-97EB-9DE998B0CFDF}"/>
    <cellStyle name="Vírgula 9 2 3 3 13" xfId="46040" xr:uid="{0A764D66-3416-4F33-95EC-680AE5C3E523}"/>
    <cellStyle name="Vírgula 9 2 3 3 14" xfId="46526" xr:uid="{4922A4D9-B3F2-421A-82ED-B995F8F1E39F}"/>
    <cellStyle name="Vírgula 9 2 3 3 15" xfId="47018" xr:uid="{F8DF43FC-B4E1-47D8-B480-2782AE3AA0F9}"/>
    <cellStyle name="Vírgula 9 2 3 3 16" xfId="57451" xr:uid="{8B1CDCDF-4AC2-4C64-B29B-AE66F654E8B3}"/>
    <cellStyle name="Vírgula 9 2 3 3 17" xfId="5461" xr:uid="{7922E8DC-26F0-4940-9275-1399246A8169}"/>
    <cellStyle name="Vírgula 9 2 3 3 18" xfId="4939" xr:uid="{0ADF1982-8E8C-4B4D-B5E4-8815B3B3F3EA}"/>
    <cellStyle name="Vírgula 9 2 3 3 2" xfId="5158" xr:uid="{2B3AA592-503F-4139-906D-9650CCE0BAB1}"/>
    <cellStyle name="Vírgula 9 2 3 3 2 10" xfId="46769" xr:uid="{584A6F65-2F4D-4FAD-B3CA-2CC7BCBC9FBB}"/>
    <cellStyle name="Vírgula 9 2 3 3 2 11" xfId="47261" xr:uid="{841B3C88-279E-425E-98C3-5FD2AF07DA9D}"/>
    <cellStyle name="Vírgula 9 2 3 3 2 12" xfId="6029" xr:uid="{E7E55E48-B27E-45A0-AED8-685513ABFA2B}"/>
    <cellStyle name="Vírgula 9 2 3 3 2 2" xfId="7187" xr:uid="{A3E3CD6D-8B11-45FC-B970-1602D708FD26}"/>
    <cellStyle name="Vírgula 9 2 3 3 2 2 2" xfId="17473" xr:uid="{505B2CF4-E407-46AC-BC2E-E18B4809B113}"/>
    <cellStyle name="Vírgula 9 2 3 3 2 2 2 2" xfId="37813" xr:uid="{BEB40EFA-DB58-4035-93C5-010409D0BE69}"/>
    <cellStyle name="Vírgula 9 2 3 3 2 2 3" xfId="20975" xr:uid="{52D807C6-097E-478E-BA9F-56C53C992D95}"/>
    <cellStyle name="Vírgula 9 2 3 3 2 2 3 2" xfId="41314" xr:uid="{7DA86318-EC32-4864-A8A4-161525848A3E}"/>
    <cellStyle name="Vírgula 9 2 3 3 2 2 4" xfId="24230" xr:uid="{80B77323-7637-450D-AAA8-79E95CB38BB5}"/>
    <cellStyle name="Vírgula 9 2 3 3 2 2 4 2" xfId="44565" xr:uid="{22BB8CB3-B1AD-417D-9E96-FE631DF252A1}"/>
    <cellStyle name="Vírgula 9 2 3 3 2 2 5" xfId="14564" xr:uid="{3CA83A29-0054-4F55-936B-3278B4596934}"/>
    <cellStyle name="Vírgula 9 2 3 3 2 2 5 2" xfId="34905" xr:uid="{95E663C3-D457-413E-87A4-A8AA274FF9A7}"/>
    <cellStyle name="Vírgula 9 2 3 3 2 2 6" xfId="10686" xr:uid="{FF15B4D3-297E-46C7-BB94-7D90116EB997}"/>
    <cellStyle name="Vírgula 9 2 3 3 2 2 6 2" xfId="31029" xr:uid="{04A13F14-0839-45AA-98D5-4368E372F90B}"/>
    <cellStyle name="Vírgula 9 2 3 3 2 2 7" xfId="27535" xr:uid="{0C0F5C17-5AC7-4CA3-A32C-015A4A2D3F11}"/>
    <cellStyle name="Vírgula 9 2 3 3 2 3" xfId="16315" xr:uid="{A2AF2F17-1009-43C3-9098-990F8D15E72C}"/>
    <cellStyle name="Vírgula 9 2 3 3 2 3 2" xfId="36655" xr:uid="{FA471351-EC5F-4CDC-AD6D-032DBEE16703}"/>
    <cellStyle name="Vírgula 9 2 3 3 2 4" xfId="19817" xr:uid="{4ED96BA6-26E2-48AC-B7FF-FA04A3DEE726}"/>
    <cellStyle name="Vírgula 9 2 3 3 2 4 2" xfId="40156" xr:uid="{4882F383-FCAC-4D75-83D2-16BFB4324A9B}"/>
    <cellStyle name="Vírgula 9 2 3 3 2 5" xfId="23072" xr:uid="{26773565-1386-4EE8-A07E-36A716907D1F}"/>
    <cellStyle name="Vírgula 9 2 3 3 2 5 2" xfId="43407" xr:uid="{61622BDA-6788-46E4-A129-E22660A6946E}"/>
    <cellStyle name="Vírgula 9 2 3 3 2 6" xfId="13406" xr:uid="{F3230855-8A4A-4952-B3AF-0493566E5B16}"/>
    <cellStyle name="Vírgula 9 2 3 3 2 6 2" xfId="33747" xr:uid="{2BE5D1F0-9AFB-4839-9878-571A4DC0F488}"/>
    <cellStyle name="Vírgula 9 2 3 3 2 7" xfId="9528" xr:uid="{B0EA28FE-087C-4AFC-A065-3B232CA8B25E}"/>
    <cellStyle name="Vírgula 9 2 3 3 2 7 2" xfId="29871" xr:uid="{2A2F11AE-DDBA-493E-A9E3-48DE40BA7C4A}"/>
    <cellStyle name="Vírgula 9 2 3 3 2 8" xfId="26377" xr:uid="{2165DFF5-7835-4072-8DF4-6590451298D0}"/>
    <cellStyle name="Vírgula 9 2 3 3 2 9" xfId="46283" xr:uid="{47F9AD32-4A09-4415-B364-4A22E2241002}"/>
    <cellStyle name="Vírgula 9 2 3 3 3" xfId="6606" xr:uid="{F91E610D-EEB3-477B-AB9C-C1C621FA5400}"/>
    <cellStyle name="Vírgula 9 2 3 3 3 2" xfId="16892" xr:uid="{E973D4D1-CE96-4381-AAD3-C56867F0F872}"/>
    <cellStyle name="Vírgula 9 2 3 3 3 2 2" xfId="37232" xr:uid="{32436E19-C76F-49F6-B163-9C4BD54C61EC}"/>
    <cellStyle name="Vírgula 9 2 3 3 3 3" xfId="20394" xr:uid="{3ACFAFA2-D959-4FAB-AB3F-BB2A9E23BE87}"/>
    <cellStyle name="Vírgula 9 2 3 3 3 3 2" xfId="40733" xr:uid="{A525355D-1E64-4CFF-A632-73B202518ECE}"/>
    <cellStyle name="Vírgula 9 2 3 3 3 4" xfId="23649" xr:uid="{F3644C5F-FADC-492E-9342-488C66F86A17}"/>
    <cellStyle name="Vírgula 9 2 3 3 3 4 2" xfId="43984" xr:uid="{532B18D5-1A78-46A7-84F1-C0DF283312AE}"/>
    <cellStyle name="Vírgula 9 2 3 3 3 5" xfId="13983" xr:uid="{FCFF4C11-0ABA-46C4-8C01-E793D1226A95}"/>
    <cellStyle name="Vírgula 9 2 3 3 3 5 2" xfId="34324" xr:uid="{8DDF245C-CED0-4EE4-AEB4-D8B81A770535}"/>
    <cellStyle name="Vírgula 9 2 3 3 3 6" xfId="10105" xr:uid="{18C7FFEF-91E0-4B31-ADF0-8EC0E74B0BA6}"/>
    <cellStyle name="Vírgula 9 2 3 3 3 6 2" xfId="30448" xr:uid="{B4D1DB89-CF1E-430F-9DCB-4C5740E7D6DC}"/>
    <cellStyle name="Vírgula 9 2 3 3 3 7" xfId="26954" xr:uid="{53C3A2B1-110F-4B91-851D-A62E648B4AE3}"/>
    <cellStyle name="Vírgula 9 2 3 3 4" xfId="7770" xr:uid="{9FE7F7AA-6302-4C6F-AD95-7429D65BC6E2}"/>
    <cellStyle name="Vírgula 9 2 3 3 4 2" xfId="18055" xr:uid="{72198217-CCFE-40BB-BE58-2E3A052C82C1}"/>
    <cellStyle name="Vírgula 9 2 3 3 4 2 2" xfId="38395" xr:uid="{D9E50877-77AC-44FB-9E27-7AFFB1764275}"/>
    <cellStyle name="Vírgula 9 2 3 3 4 3" xfId="21557" xr:uid="{85FE3252-E093-4832-A704-FB1F97281619}"/>
    <cellStyle name="Vírgula 9 2 3 3 4 3 2" xfId="41896" xr:uid="{1796A25A-6FF3-4006-99F0-1F3986DC7E6E}"/>
    <cellStyle name="Vírgula 9 2 3 3 4 4" xfId="24812" xr:uid="{A53F1335-0D24-4ECE-B4F7-A10D5C8E3406}"/>
    <cellStyle name="Vírgula 9 2 3 3 4 4 2" xfId="45147" xr:uid="{313317E0-F213-4E0B-B366-1AF4EBB07536}"/>
    <cellStyle name="Vírgula 9 2 3 3 4 5" xfId="15147" xr:uid="{AF923AF8-F47A-4C55-8192-4FB02A5E89C9}"/>
    <cellStyle name="Vírgula 9 2 3 3 4 5 2" xfId="35487" xr:uid="{2AE5C944-1FAC-484B-9C19-BA0F381991DF}"/>
    <cellStyle name="Vírgula 9 2 3 3 4 6" xfId="11268" xr:uid="{CCE12D91-4BD6-477D-AB2B-C8FC38067668}"/>
    <cellStyle name="Vírgula 9 2 3 3 4 6 2" xfId="31611" xr:uid="{C5CE221F-5153-47FD-950A-A6F059D12E63}"/>
    <cellStyle name="Vírgula 9 2 3 3 4 7" xfId="28117" xr:uid="{3C796058-575A-4062-AD07-1723C1AEB9BE}"/>
    <cellStyle name="Vírgula 9 2 3 3 5" xfId="8397" xr:uid="{12B6D56E-38F5-4196-AA60-905A8411156C}"/>
    <cellStyle name="Vírgula 9 2 3 3 5 2" xfId="22184" xr:uid="{F810D26B-70D1-4590-88C1-A05ED3D581E1}"/>
    <cellStyle name="Vírgula 9 2 3 3 5 2 2" xfId="42520" xr:uid="{F6075A4E-529D-43A8-8483-882378D4550C}"/>
    <cellStyle name="Vírgula 9 2 3 3 5 3" xfId="25436" xr:uid="{16AA2736-849B-4FAF-976A-A5FB2F03368D}"/>
    <cellStyle name="Vírgula 9 2 3 3 5 3 2" xfId="45771" xr:uid="{58931973-0166-4923-811A-E60837356BDA}"/>
    <cellStyle name="Vírgula 9 2 3 3 5 4" xfId="12837" xr:uid="{1C11FB17-367D-4DDE-8257-1D0DB1AC7D74}"/>
    <cellStyle name="Vírgula 9 2 3 3 5 4 2" xfId="33178" xr:uid="{5E3F4570-94CC-476C-AB12-A5F30610EB62}"/>
    <cellStyle name="Vírgula 9 2 3 3 5 5" xfId="11893" xr:uid="{360B1CAF-C9F4-4D3F-AC19-0097C42B1BBA}"/>
    <cellStyle name="Vírgula 9 2 3 3 5 5 2" xfId="32235" xr:uid="{FE9C5BD1-BEFF-411B-A2A0-946FFA2B6E89}"/>
    <cellStyle name="Vírgula 9 2 3 3 5 6" xfId="28741" xr:uid="{300C6437-7B41-47B3-A323-EA71F8BA87EB}"/>
    <cellStyle name="Vírgula 9 2 3 3 6" xfId="8665" xr:uid="{3A195A4A-AC0B-4A96-8ADC-CC5D2A1B7FE2}"/>
    <cellStyle name="Vírgula 9 2 3 3 6 2" xfId="15734" xr:uid="{B85E9B1C-E16C-4196-B9AF-5205396056D4}"/>
    <cellStyle name="Vírgula 9 2 3 3 6 2 2" xfId="36074" xr:uid="{5A63D840-B364-4210-AD31-7136DD11F711}"/>
    <cellStyle name="Vírgula 9 2 3 3 6 3" xfId="29008" xr:uid="{BB3018BB-F88F-436E-9C38-2F8295AF0D35}"/>
    <cellStyle name="Vírgula 9 2 3 3 7" xfId="18648" xr:uid="{C0E54798-A383-4A19-A18C-CE5546C950F6}"/>
    <cellStyle name="Vírgula 9 2 3 3 7 2" xfId="38988" xr:uid="{1BAE1B93-6AAE-49E0-894E-C920836C150B}"/>
    <cellStyle name="Vírgula 9 2 3 3 8" xfId="19236" xr:uid="{9CF72D63-756B-4734-ACE1-E02FCCD16E07}"/>
    <cellStyle name="Vírgula 9 2 3 3 8 2" xfId="39575" xr:uid="{31C31DFD-8C5E-442A-9062-ADD740B6C0E9}"/>
    <cellStyle name="Vírgula 9 2 3 3 9" xfId="22491" xr:uid="{CAB3C590-C3A9-4393-A375-30C085FBA561}"/>
    <cellStyle name="Vírgula 9 2 3 3 9 2" xfId="42826" xr:uid="{C08214B4-04B2-4285-9471-8B20007EC7BF}"/>
    <cellStyle name="Vírgula 9 2 3 4" xfId="4986" xr:uid="{E0899F9D-AAEC-42FA-A13A-52984B6918A2}"/>
    <cellStyle name="Vírgula 9 2 3 4 10" xfId="12266" xr:uid="{91162EC9-A357-4779-9D0D-56B6D050E50A}"/>
    <cellStyle name="Vírgula 9 2 3 4 10 2" xfId="32607" xr:uid="{05FAE979-B940-4013-AC6F-3E8EE506E018}"/>
    <cellStyle name="Vírgula 9 2 3 4 11" xfId="9005" xr:uid="{78670EDC-7E43-49C7-8D3C-4C5B030FC366}"/>
    <cellStyle name="Vírgula 9 2 3 4 11 2" xfId="29348" xr:uid="{FDDE0F1D-A628-4E9A-A70A-3031362AECC9}"/>
    <cellStyle name="Vírgula 9 2 3 4 12" xfId="25854" xr:uid="{1DE68035-DA6A-43FF-8CFD-A20E9BD78599}"/>
    <cellStyle name="Vírgula 9 2 3 4 13" xfId="46092" xr:uid="{8FE5C27B-381D-470B-AC55-3A9E2A0D2FD4}"/>
    <cellStyle name="Vírgula 9 2 3 4 14" xfId="46578" xr:uid="{5C85FB53-8543-4047-9D5B-821DCD3925D9}"/>
    <cellStyle name="Vírgula 9 2 3 4 15" xfId="47070" xr:uid="{DB34887C-C0FD-4CD1-BDF3-9A2C5CF01A00}"/>
    <cellStyle name="Vírgula 9 2 3 4 16" xfId="5515" xr:uid="{35D47369-83D6-4541-9153-1AF4D9F4D862}"/>
    <cellStyle name="Vírgula 9 2 3 4 2" xfId="6087" xr:uid="{FEBD28C0-6927-45B0-B29B-87AC0E063B83}"/>
    <cellStyle name="Vírgula 9 2 3 4 2 2" xfId="7245" xr:uid="{51FC63AA-EE3E-436C-98FF-F6938D98CEC0}"/>
    <cellStyle name="Vírgula 9 2 3 4 2 2 2" xfId="17531" xr:uid="{C7766FC6-1EAE-45AC-B73A-5B5C3CC2E5F2}"/>
    <cellStyle name="Vírgula 9 2 3 4 2 2 2 2" xfId="37871" xr:uid="{97700F3C-0E03-4DA7-B956-735EA4B15A00}"/>
    <cellStyle name="Vírgula 9 2 3 4 2 2 3" xfId="21033" xr:uid="{18940559-77B6-4369-B62F-0BC7CF7398AF}"/>
    <cellStyle name="Vírgula 9 2 3 4 2 2 3 2" xfId="41372" xr:uid="{FB9EEFBC-F8EA-4A8B-BB49-8FAD14C5CCCF}"/>
    <cellStyle name="Vírgula 9 2 3 4 2 2 4" xfId="24288" xr:uid="{B62D96CD-BE1A-4A77-8DEE-23EA9A2125A5}"/>
    <cellStyle name="Vírgula 9 2 3 4 2 2 4 2" xfId="44623" xr:uid="{D9B140EA-1E77-4DE3-867C-7AA85DD05F77}"/>
    <cellStyle name="Vírgula 9 2 3 4 2 2 5" xfId="14622" xr:uid="{D06DFCD3-2964-4120-B230-AB0110DE3856}"/>
    <cellStyle name="Vírgula 9 2 3 4 2 2 5 2" xfId="34963" xr:uid="{799651FA-A7DE-42EA-81DE-FE3B4362CD39}"/>
    <cellStyle name="Vírgula 9 2 3 4 2 2 6" xfId="10744" xr:uid="{EEBACB6C-0C1D-49D3-A9C0-3E9CB46F0F17}"/>
    <cellStyle name="Vírgula 9 2 3 4 2 2 6 2" xfId="31087" xr:uid="{C8A08767-B49E-488D-A7FB-5A804576030E}"/>
    <cellStyle name="Vírgula 9 2 3 4 2 2 7" xfId="27593" xr:uid="{2AB12A26-C5FF-407F-BBB9-CBCB83DEC65E}"/>
    <cellStyle name="Vírgula 9 2 3 4 2 3" xfId="16373" xr:uid="{18807346-3C42-4231-9EE3-E277AB62D5EA}"/>
    <cellStyle name="Vírgula 9 2 3 4 2 3 2" xfId="36713" xr:uid="{2DF739C4-0D07-4BEF-AAFD-3E581F7C056E}"/>
    <cellStyle name="Vírgula 9 2 3 4 2 4" xfId="19875" xr:uid="{D2E4ADCB-2E3C-47EC-B74E-FD595E7B52FD}"/>
    <cellStyle name="Vírgula 9 2 3 4 2 4 2" xfId="40214" xr:uid="{9139A91B-1AD2-455E-BED3-BD20B2EE91BE}"/>
    <cellStyle name="Vírgula 9 2 3 4 2 5" xfId="23130" xr:uid="{52C5F574-638A-480B-A5C0-F1EABFFFFB63}"/>
    <cellStyle name="Vírgula 9 2 3 4 2 5 2" xfId="43465" xr:uid="{5D117130-C7D3-4578-9658-5F555420EEA6}"/>
    <cellStyle name="Vírgula 9 2 3 4 2 6" xfId="13464" xr:uid="{174661BA-921B-4394-9FE3-952FCDEDA1B1}"/>
    <cellStyle name="Vírgula 9 2 3 4 2 6 2" xfId="33805" xr:uid="{E0B04FF9-3BBD-451A-AF3E-F11BBDD69AEF}"/>
    <cellStyle name="Vírgula 9 2 3 4 2 7" xfId="9586" xr:uid="{D63B8311-0780-4418-B7D2-E4E4966A3F16}"/>
    <cellStyle name="Vírgula 9 2 3 4 2 7 2" xfId="29929" xr:uid="{475F3E68-4CD7-431A-A345-D582115B305D}"/>
    <cellStyle name="Vírgula 9 2 3 4 2 8" xfId="26435" xr:uid="{563729B3-17DD-4E29-84B9-8664D9480ADE}"/>
    <cellStyle name="Vírgula 9 2 3 4 3" xfId="6664" xr:uid="{AE21EF74-4599-48A8-944F-F8CD0EA06D1C}"/>
    <cellStyle name="Vírgula 9 2 3 4 3 2" xfId="16950" xr:uid="{2228F4B7-18F4-4C7C-8845-BFBF3CFA922B}"/>
    <cellStyle name="Vírgula 9 2 3 4 3 2 2" xfId="37290" xr:uid="{2BD14E73-B6AB-473A-91DD-090235A539AB}"/>
    <cellStyle name="Vírgula 9 2 3 4 3 3" xfId="20452" xr:uid="{433D567E-9BF8-4BF9-AA8B-926C5239408A}"/>
    <cellStyle name="Vírgula 9 2 3 4 3 3 2" xfId="40791" xr:uid="{273F6842-6CCB-4677-ABE3-A3D1C5305CDC}"/>
    <cellStyle name="Vírgula 9 2 3 4 3 4" xfId="23707" xr:uid="{3BB2C049-8D61-43BD-97EB-96AE81264D3E}"/>
    <cellStyle name="Vírgula 9 2 3 4 3 4 2" xfId="44042" xr:uid="{F0E3AD0E-F94F-4CEC-A36C-8CE9934DC18B}"/>
    <cellStyle name="Vírgula 9 2 3 4 3 5" xfId="14041" xr:uid="{E07ED08D-0E80-43F8-AAD2-07C3419AF605}"/>
    <cellStyle name="Vírgula 9 2 3 4 3 5 2" xfId="34382" xr:uid="{8F275151-DBBD-46B1-953C-AA33AFF47E98}"/>
    <cellStyle name="Vírgula 9 2 3 4 3 6" xfId="10163" xr:uid="{05499727-E5B5-4B7A-9D1B-41B1BC6C2415}"/>
    <cellStyle name="Vírgula 9 2 3 4 3 6 2" xfId="30506" xr:uid="{4840BB54-1E34-40E8-AD50-8D864D4DCA1F}"/>
    <cellStyle name="Vírgula 9 2 3 4 3 7" xfId="27012" xr:uid="{B2B8C463-8E07-4BA4-8DED-2F15319A57DA}"/>
    <cellStyle name="Vírgula 9 2 3 4 4" xfId="7828" xr:uid="{7B928637-7164-4CC8-BDCF-11657D9C8DEF}"/>
    <cellStyle name="Vírgula 9 2 3 4 4 2" xfId="18113" xr:uid="{0059D748-0855-438E-A8B9-FD04980265E8}"/>
    <cellStyle name="Vírgula 9 2 3 4 4 2 2" xfId="38453" xr:uid="{69CB68CA-4D6E-45B0-B4B8-98F1A66421B4}"/>
    <cellStyle name="Vírgula 9 2 3 4 4 3" xfId="21615" xr:uid="{2067CEF1-9789-4F1D-940B-A9EE5A09FE63}"/>
    <cellStyle name="Vírgula 9 2 3 4 4 3 2" xfId="41954" xr:uid="{A2CD562C-0008-4843-ACEE-B6E5523A17B6}"/>
    <cellStyle name="Vírgula 9 2 3 4 4 4" xfId="24870" xr:uid="{BBF70A7A-A9A3-4CA3-918E-4910E8DAA647}"/>
    <cellStyle name="Vírgula 9 2 3 4 4 4 2" xfId="45205" xr:uid="{D614E41E-15BA-4BB9-968E-B13DF68A2858}"/>
    <cellStyle name="Vírgula 9 2 3 4 4 5" xfId="15205" xr:uid="{08A86CCA-1215-4046-B0CB-59BB94DB9F5C}"/>
    <cellStyle name="Vírgula 9 2 3 4 4 5 2" xfId="35545" xr:uid="{3CE5F864-22DB-42B6-B831-E9490E218DF7}"/>
    <cellStyle name="Vírgula 9 2 3 4 4 6" xfId="11326" xr:uid="{CB3D240A-E5EA-45C2-B212-7253C337E790}"/>
    <cellStyle name="Vírgula 9 2 3 4 4 6 2" xfId="31669" xr:uid="{AA332C90-FC4F-4AA0-889F-85286B89EE3F}"/>
    <cellStyle name="Vírgula 9 2 3 4 4 7" xfId="28175" xr:uid="{51B07B21-6995-4167-B344-5F84C581FE78}"/>
    <cellStyle name="Vírgula 9 2 3 4 5" xfId="8398" xr:uid="{312800E0-95C8-4E45-8FF7-E3B431751E8A}"/>
    <cellStyle name="Vírgula 9 2 3 4 5 2" xfId="22185" xr:uid="{013516BD-79E8-47F4-BC8E-3989145E0D26}"/>
    <cellStyle name="Vírgula 9 2 3 4 5 2 2" xfId="42521" xr:uid="{ECDF6315-A7B4-44DC-9FB7-CB01FBD0BA50}"/>
    <cellStyle name="Vírgula 9 2 3 4 5 3" xfId="25437" xr:uid="{F9C5F5A4-578E-4B30-8EF9-8342EDB1C369}"/>
    <cellStyle name="Vírgula 9 2 3 4 5 3 2" xfId="45772" xr:uid="{F872172F-1351-4496-857D-C8DA32DE7DE7}"/>
    <cellStyle name="Vírgula 9 2 3 4 5 4" xfId="12895" xr:uid="{815B7140-F1BD-485D-9462-FB0EE7D20BB6}"/>
    <cellStyle name="Vírgula 9 2 3 4 5 4 2" xfId="33236" xr:uid="{A661DFF4-5605-4538-BF01-D84550CB1DCF}"/>
    <cellStyle name="Vírgula 9 2 3 4 5 5" xfId="11894" xr:uid="{402E088A-72C6-41D5-82D9-FC28A8AA2061}"/>
    <cellStyle name="Vírgula 9 2 3 4 5 5 2" xfId="32236" xr:uid="{42A05D8E-4131-4324-826D-F94B724F5A8C}"/>
    <cellStyle name="Vírgula 9 2 3 4 5 6" xfId="28742" xr:uid="{17F6D015-0F7F-4B85-A42B-2D1DECECD7F0}"/>
    <cellStyle name="Vírgula 9 2 3 4 6" xfId="15792" xr:uid="{AD72928B-94BD-469C-AD95-B54A3BA3A11F}"/>
    <cellStyle name="Vírgula 9 2 3 4 6 2" xfId="36132" xr:uid="{E9042C46-0720-42CA-82B6-07E99543052B}"/>
    <cellStyle name="Vírgula 9 2 3 4 7" xfId="18706" xr:uid="{2A20BE8F-DFC7-4356-84F8-7C2E0079844D}"/>
    <cellStyle name="Vírgula 9 2 3 4 7 2" xfId="39046" xr:uid="{095B3B19-8E9B-4331-BA29-6C14C4E349BA}"/>
    <cellStyle name="Vírgula 9 2 3 4 8" xfId="19294" xr:uid="{C538AEDD-5A71-4482-A9B0-A27D26CDB56F}"/>
    <cellStyle name="Vírgula 9 2 3 4 8 2" xfId="39633" xr:uid="{9B42433C-AEEB-4C0F-9839-459DCEF55114}"/>
    <cellStyle name="Vírgula 9 2 3 4 9" xfId="22549" xr:uid="{E27B65C1-67EB-47DA-B0F8-47F13CCF4677}"/>
    <cellStyle name="Vírgula 9 2 3 4 9 2" xfId="42884" xr:uid="{4FF8BBB6-2891-407B-AFD9-9061FB15C0E1}"/>
    <cellStyle name="Vírgula 9 2 3 5" xfId="5590" xr:uid="{3106C7C5-6C53-4A93-A762-6E236D0BA209}"/>
    <cellStyle name="Vírgula 9 2 3 5 10" xfId="12341" xr:uid="{D54F3011-30AE-40C0-A229-10E62B2FE8BC}"/>
    <cellStyle name="Vírgula 9 2 3 5 10 2" xfId="32682" xr:uid="{B9B2FC93-197F-4A18-999C-FC21EAB90E2A}"/>
    <cellStyle name="Vírgula 9 2 3 5 11" xfId="9080" xr:uid="{7656022F-59EF-4A17-896C-7858557BBCF2}"/>
    <cellStyle name="Vírgula 9 2 3 5 11 2" xfId="29423" xr:uid="{B8C16A41-D92E-4CD7-8559-E6A415F5F7D4}"/>
    <cellStyle name="Vírgula 9 2 3 5 12" xfId="25929" xr:uid="{E2EC4425-5D70-4FFD-8E00-EB4F47A079C5}"/>
    <cellStyle name="Vírgula 9 2 3 5 2" xfId="6162" xr:uid="{0572BDDC-EFC1-486E-9A56-525BA4DAB051}"/>
    <cellStyle name="Vírgula 9 2 3 5 2 2" xfId="7320" xr:uid="{FBAFDC99-CF88-4BC5-B6E2-5BE1840FB760}"/>
    <cellStyle name="Vírgula 9 2 3 5 2 2 2" xfId="17606" xr:uid="{D413B160-2801-47B3-84F3-C12855235942}"/>
    <cellStyle name="Vírgula 9 2 3 5 2 2 2 2" xfId="37946" xr:uid="{8CD2B9B1-963A-4797-91B4-A2423E155E9D}"/>
    <cellStyle name="Vírgula 9 2 3 5 2 2 3" xfId="21108" xr:uid="{3B0AAE31-4A5A-449F-996F-EAE02DDEF8E6}"/>
    <cellStyle name="Vírgula 9 2 3 5 2 2 3 2" xfId="41447" xr:uid="{4BBC1715-A656-4EB4-BE98-8A0A7AB8CA62}"/>
    <cellStyle name="Vírgula 9 2 3 5 2 2 4" xfId="24363" xr:uid="{2734B3D1-96FA-4B87-9BFF-48F4E92C2647}"/>
    <cellStyle name="Vírgula 9 2 3 5 2 2 4 2" xfId="44698" xr:uid="{493AE045-4DCA-494C-9901-40463DE0F48B}"/>
    <cellStyle name="Vírgula 9 2 3 5 2 2 5" xfId="14697" xr:uid="{E4391158-5E70-4346-A596-3B73F9FC9274}"/>
    <cellStyle name="Vírgula 9 2 3 5 2 2 5 2" xfId="35038" xr:uid="{F154C709-05F7-4B3F-A133-6AFA2F57CD0E}"/>
    <cellStyle name="Vírgula 9 2 3 5 2 2 6" xfId="10819" xr:uid="{2B63920C-8192-4DFB-8C35-BC4279EBA514}"/>
    <cellStyle name="Vírgula 9 2 3 5 2 2 6 2" xfId="31162" xr:uid="{2743E528-8A62-4DF1-99BD-FAD979FD62EE}"/>
    <cellStyle name="Vírgula 9 2 3 5 2 2 7" xfId="27668" xr:uid="{FF083CBF-9B61-4A8B-BD16-244C0AF52B37}"/>
    <cellStyle name="Vírgula 9 2 3 5 2 3" xfId="16448" xr:uid="{4C8F977E-14F5-4A2E-8D58-17531C7D33FA}"/>
    <cellStyle name="Vírgula 9 2 3 5 2 3 2" xfId="36788" xr:uid="{AB6A15EF-BEF9-40E0-9D3B-AB9A26B1FA23}"/>
    <cellStyle name="Vírgula 9 2 3 5 2 4" xfId="19950" xr:uid="{D9A8C9EE-9B45-4300-B3CD-DA141EC8DBA0}"/>
    <cellStyle name="Vírgula 9 2 3 5 2 4 2" xfId="40289" xr:uid="{630EF6F3-5DE3-49D4-86D8-3C53453DFDB8}"/>
    <cellStyle name="Vírgula 9 2 3 5 2 5" xfId="23205" xr:uid="{7F858CCD-730E-4A63-893D-DEC82FC97539}"/>
    <cellStyle name="Vírgula 9 2 3 5 2 5 2" xfId="43540" xr:uid="{33E057D0-3438-4042-83FC-1E731CCBA1A6}"/>
    <cellStyle name="Vírgula 9 2 3 5 2 6" xfId="13539" xr:uid="{BF2869CB-1CDF-4F76-B630-8A8928478B8D}"/>
    <cellStyle name="Vírgula 9 2 3 5 2 6 2" xfId="33880" xr:uid="{71964B77-1AD0-4751-8663-E61D816120D3}"/>
    <cellStyle name="Vírgula 9 2 3 5 2 7" xfId="9661" xr:uid="{44CC94B2-6682-4C0A-A0C6-85D40D50F92A}"/>
    <cellStyle name="Vírgula 9 2 3 5 2 7 2" xfId="30004" xr:uid="{8BE56B6F-FF7D-4062-A1B2-247ED95FB8C4}"/>
    <cellStyle name="Vírgula 9 2 3 5 2 8" xfId="26510" xr:uid="{6C9D6BA0-FA7E-4D2B-86D4-D81C44CF290C}"/>
    <cellStyle name="Vírgula 9 2 3 5 3" xfId="6739" xr:uid="{D4594625-CAEE-4BCA-9214-FE313BB02F96}"/>
    <cellStyle name="Vírgula 9 2 3 5 3 2" xfId="17025" xr:uid="{E2FD2DB2-0516-4B9A-A369-3F6DD5777F7F}"/>
    <cellStyle name="Vírgula 9 2 3 5 3 2 2" xfId="37365" xr:uid="{42A32AEB-315B-4C48-BE02-D437F7FDDD91}"/>
    <cellStyle name="Vírgula 9 2 3 5 3 3" xfId="20527" xr:uid="{CE86723F-3F2C-47E4-B909-53F1A5CA7B18}"/>
    <cellStyle name="Vírgula 9 2 3 5 3 3 2" xfId="40866" xr:uid="{F7EE45A4-C184-4981-AD45-738683901FB6}"/>
    <cellStyle name="Vírgula 9 2 3 5 3 4" xfId="23782" xr:uid="{25084D6C-235D-4CB7-AABC-EAEFB425E966}"/>
    <cellStyle name="Vírgula 9 2 3 5 3 4 2" xfId="44117" xr:uid="{B2D26415-7405-4E83-8EA9-7B8D66410CB1}"/>
    <cellStyle name="Vírgula 9 2 3 5 3 5" xfId="14116" xr:uid="{76A3CE4A-EFAE-4A01-8169-E1FA001225D5}"/>
    <cellStyle name="Vírgula 9 2 3 5 3 5 2" xfId="34457" xr:uid="{FFD552D7-7203-4C07-9E4D-422EAEB3F4A7}"/>
    <cellStyle name="Vírgula 9 2 3 5 3 6" xfId="10238" xr:uid="{167F7979-29BA-4745-9FDF-EF7233B3A107}"/>
    <cellStyle name="Vírgula 9 2 3 5 3 6 2" xfId="30581" xr:uid="{431C9828-4BC1-4AE1-8465-186711DD63D7}"/>
    <cellStyle name="Vírgula 9 2 3 5 3 7" xfId="27087" xr:uid="{7F49EA84-B049-474E-8E5C-C2565CBCE5C2}"/>
    <cellStyle name="Vírgula 9 2 3 5 4" xfId="7903" xr:uid="{95CC7FFD-C631-433E-92C8-C6B04D82D763}"/>
    <cellStyle name="Vírgula 9 2 3 5 4 2" xfId="18188" xr:uid="{9EF817C0-A799-4451-A0FC-2629447C7B81}"/>
    <cellStyle name="Vírgula 9 2 3 5 4 2 2" xfId="38528" xr:uid="{13B06BB9-6E07-486E-AD4B-8AD21C21C6C5}"/>
    <cellStyle name="Vírgula 9 2 3 5 4 3" xfId="21690" xr:uid="{CDC57DED-0150-4950-A435-A6CE39D5D3B0}"/>
    <cellStyle name="Vírgula 9 2 3 5 4 3 2" xfId="42029" xr:uid="{A75D873F-EBA6-4F2D-B3EB-D9841C149F58}"/>
    <cellStyle name="Vírgula 9 2 3 5 4 4" xfId="24945" xr:uid="{54435438-9A34-4D7D-B787-8A3893A35A3E}"/>
    <cellStyle name="Vírgula 9 2 3 5 4 4 2" xfId="45280" xr:uid="{1785C423-973C-4B95-AF6F-47DA702F009B}"/>
    <cellStyle name="Vírgula 9 2 3 5 4 5" xfId="15280" xr:uid="{CFF0A9AA-92DC-48BF-956F-172DF17ABF61}"/>
    <cellStyle name="Vírgula 9 2 3 5 4 5 2" xfId="35620" xr:uid="{BE28DE6F-8AE0-4A91-B56C-D512EAF40984}"/>
    <cellStyle name="Vírgula 9 2 3 5 4 6" xfId="11401" xr:uid="{3FEB51F1-18C4-48E6-8CBB-575CE17F8308}"/>
    <cellStyle name="Vírgula 9 2 3 5 4 6 2" xfId="31744" xr:uid="{D18F8812-26B2-4ED3-A6F8-D853E8CD9682}"/>
    <cellStyle name="Vírgula 9 2 3 5 4 7" xfId="28250" xr:uid="{357C2B42-0241-4511-AF8F-FF9085A989C6}"/>
    <cellStyle name="Vírgula 9 2 3 5 5" xfId="12970" xr:uid="{E96BA470-2266-47FB-9761-881947E451F9}"/>
    <cellStyle name="Vírgula 9 2 3 5 5 2" xfId="33311" xr:uid="{B947CFB6-74C5-418F-826B-2B269358BA95}"/>
    <cellStyle name="Vírgula 9 2 3 5 6" xfId="15867" xr:uid="{4F77ECAD-61D2-4903-AC74-94B4B7BC4ADE}"/>
    <cellStyle name="Vírgula 9 2 3 5 6 2" xfId="36207" xr:uid="{F057D17C-482F-4CE0-B71E-1DD0111DDCFE}"/>
    <cellStyle name="Vírgula 9 2 3 5 7" xfId="18781" xr:uid="{6DE63D63-26D9-477E-894E-F49A22CB985A}"/>
    <cellStyle name="Vírgula 9 2 3 5 7 2" xfId="39121" xr:uid="{4EC5EC4B-BE94-4697-A663-2E38E59B40B2}"/>
    <cellStyle name="Vírgula 9 2 3 5 8" xfId="19369" xr:uid="{BBCB74EC-509B-485B-AA56-7FDB1F22AC31}"/>
    <cellStyle name="Vírgula 9 2 3 5 8 2" xfId="39708" xr:uid="{B2889808-84D7-40C9-AA91-A19EA5961C88}"/>
    <cellStyle name="Vírgula 9 2 3 5 9" xfId="22624" xr:uid="{68310CB5-A630-4C36-BD77-0597937E5393}"/>
    <cellStyle name="Vírgula 9 2 3 5 9 2" xfId="42959" xr:uid="{7F517539-03A2-495A-BA82-716518D96635}"/>
    <cellStyle name="Vírgula 9 2 3 6" xfId="5688" xr:uid="{8712C3FE-CCED-4A30-ACAA-84B5A0C4D18F}"/>
    <cellStyle name="Vírgula 9 2 3 6 10" xfId="12439" xr:uid="{75882DAD-F385-40B0-BC25-9DC6744183C8}"/>
    <cellStyle name="Vírgula 9 2 3 6 10 2" xfId="32780" xr:uid="{9FBA4B17-CA1D-4492-B505-2A7084DFFB22}"/>
    <cellStyle name="Vírgula 9 2 3 6 11" xfId="9178" xr:uid="{C544E583-9FBD-46F2-88F0-99EE036B1C96}"/>
    <cellStyle name="Vírgula 9 2 3 6 11 2" xfId="29521" xr:uid="{3AC81989-54E5-4642-8E62-6C0B26F21E27}"/>
    <cellStyle name="Vírgula 9 2 3 6 12" xfId="26027" xr:uid="{A9B2412A-12AF-4493-ABA6-4ACACA67BB36}"/>
    <cellStyle name="Vírgula 9 2 3 6 2" xfId="6260" xr:uid="{23CC06AC-04AA-4056-A3CD-6A18D00A6AFC}"/>
    <cellStyle name="Vírgula 9 2 3 6 2 2" xfId="7418" xr:uid="{8D680E16-5CE4-4F2F-9545-E4F6E293B514}"/>
    <cellStyle name="Vírgula 9 2 3 6 2 2 2" xfId="17704" xr:uid="{1E9131DB-9C0E-4435-8834-4C71329AF442}"/>
    <cellStyle name="Vírgula 9 2 3 6 2 2 2 2" xfId="38044" xr:uid="{8567406C-48B9-44D5-85AE-6D35C2FF9B9D}"/>
    <cellStyle name="Vírgula 9 2 3 6 2 2 3" xfId="21206" xr:uid="{E847214F-E8AF-45B8-BBF0-9CDF639EFD87}"/>
    <cellStyle name="Vírgula 9 2 3 6 2 2 3 2" xfId="41545" xr:uid="{40969DF5-6DC2-40D3-B1BD-44FE0664A2A8}"/>
    <cellStyle name="Vírgula 9 2 3 6 2 2 4" xfId="24461" xr:uid="{DEB26E68-2C4A-4D5F-944E-4CB6A96063A3}"/>
    <cellStyle name="Vírgula 9 2 3 6 2 2 4 2" xfId="44796" xr:uid="{3F6AC757-EEFB-4B43-A772-A56C5A31CF94}"/>
    <cellStyle name="Vírgula 9 2 3 6 2 2 5" xfId="14795" xr:uid="{EAA0039D-3822-4F68-A26C-3B56AB62CC66}"/>
    <cellStyle name="Vírgula 9 2 3 6 2 2 5 2" xfId="35136" xr:uid="{2744AAE5-C935-44FA-884D-612E4368BDDA}"/>
    <cellStyle name="Vírgula 9 2 3 6 2 2 6" xfId="10917" xr:uid="{59639D49-022F-45A2-8E73-6A9BDB106108}"/>
    <cellStyle name="Vírgula 9 2 3 6 2 2 6 2" xfId="31260" xr:uid="{C3DDACCF-64B0-49DD-85A4-82A028638F47}"/>
    <cellStyle name="Vírgula 9 2 3 6 2 2 7" xfId="27766" xr:uid="{97A2F978-CE71-4AE6-90FB-E4873EFE0C9A}"/>
    <cellStyle name="Vírgula 9 2 3 6 2 3" xfId="16546" xr:uid="{D43B50D4-7D24-43CF-B93D-7E0434BC650C}"/>
    <cellStyle name="Vírgula 9 2 3 6 2 3 2" xfId="36886" xr:uid="{EB4072A5-DB9B-4114-8E3E-86C4E92AC166}"/>
    <cellStyle name="Vírgula 9 2 3 6 2 4" xfId="20048" xr:uid="{80D4E362-9CCD-4398-8AA7-7DF153448194}"/>
    <cellStyle name="Vírgula 9 2 3 6 2 4 2" xfId="40387" xr:uid="{A69773B6-6F56-42D8-A06D-00E0AF9FEBEA}"/>
    <cellStyle name="Vírgula 9 2 3 6 2 5" xfId="23303" xr:uid="{64821C47-6895-44A9-B1A3-5585A0E16B81}"/>
    <cellStyle name="Vírgula 9 2 3 6 2 5 2" xfId="43638" xr:uid="{04E4DB1B-AF6B-413E-B521-03CA96B3E212}"/>
    <cellStyle name="Vírgula 9 2 3 6 2 6" xfId="13637" xr:uid="{C7AD5DB9-9184-47CF-9E94-172D3504E8CB}"/>
    <cellStyle name="Vírgula 9 2 3 6 2 6 2" xfId="33978" xr:uid="{8CEB6293-3BC8-408F-8F4D-90A580B72E0A}"/>
    <cellStyle name="Vírgula 9 2 3 6 2 7" xfId="9759" xr:uid="{E50922ED-6B23-4556-9B02-8158A59F2A99}"/>
    <cellStyle name="Vírgula 9 2 3 6 2 7 2" xfId="30102" xr:uid="{5EEF4A69-4E5E-417F-9AD7-E895482E06AF}"/>
    <cellStyle name="Vírgula 9 2 3 6 2 8" xfId="26608" xr:uid="{51E7F8DA-8407-4C6E-9BB5-491BF2512FA7}"/>
    <cellStyle name="Vírgula 9 2 3 6 3" xfId="6837" xr:uid="{47FE935B-445D-4CC0-8D9E-4C9D87075E07}"/>
    <cellStyle name="Vírgula 9 2 3 6 3 2" xfId="17123" xr:uid="{2B6FC7D0-2108-4F0D-BB6C-001BF3568F1C}"/>
    <cellStyle name="Vírgula 9 2 3 6 3 2 2" xfId="37463" xr:uid="{368EA7D9-5959-4D30-990A-A039A2A24F84}"/>
    <cellStyle name="Vírgula 9 2 3 6 3 3" xfId="20625" xr:uid="{23598E1D-3333-47CF-B181-66994BEA741E}"/>
    <cellStyle name="Vírgula 9 2 3 6 3 3 2" xfId="40964" xr:uid="{9B4BB48C-48E8-4FFB-8D36-BC8B392FAADD}"/>
    <cellStyle name="Vírgula 9 2 3 6 3 4" xfId="23880" xr:uid="{4692D5B0-2621-4CC0-9CB3-2887D4518F2A}"/>
    <cellStyle name="Vírgula 9 2 3 6 3 4 2" xfId="44215" xr:uid="{3F9E916E-6ABF-46C6-B0A8-9CE75A3E7E79}"/>
    <cellStyle name="Vírgula 9 2 3 6 3 5" xfId="14214" xr:uid="{C5167B11-9768-446A-A40B-738EF4E8FC6C}"/>
    <cellStyle name="Vírgula 9 2 3 6 3 5 2" xfId="34555" xr:uid="{58463DFC-8A88-444C-A793-74CBC50A8D43}"/>
    <cellStyle name="Vírgula 9 2 3 6 3 6" xfId="10336" xr:uid="{94A6FB38-5175-49C0-913E-58FB56D40F82}"/>
    <cellStyle name="Vírgula 9 2 3 6 3 6 2" xfId="30679" xr:uid="{84EEEC3D-3714-4545-90E9-0455BD9CA44B}"/>
    <cellStyle name="Vírgula 9 2 3 6 3 7" xfId="27185" xr:uid="{BD5575B8-FA90-4AD4-8E4F-19FC991DE5AD}"/>
    <cellStyle name="Vírgula 9 2 3 6 4" xfId="8001" xr:uid="{21177CAB-66E2-463E-8CE4-0636BB3F4806}"/>
    <cellStyle name="Vírgula 9 2 3 6 4 2" xfId="18286" xr:uid="{A8F5F275-588A-49A1-98DD-9543DA9B739B}"/>
    <cellStyle name="Vírgula 9 2 3 6 4 2 2" xfId="38626" xr:uid="{D19B1250-B28E-410A-B8AA-87D2A82F1EB2}"/>
    <cellStyle name="Vírgula 9 2 3 6 4 3" xfId="21788" xr:uid="{64AEEA3E-3ABD-4163-90B6-A1A87BE04137}"/>
    <cellStyle name="Vírgula 9 2 3 6 4 3 2" xfId="42127" xr:uid="{CA478284-AEE5-4C15-B092-FB4E13E4AC53}"/>
    <cellStyle name="Vírgula 9 2 3 6 4 4" xfId="25043" xr:uid="{F27D82E0-9A7D-463B-A813-5E9269621800}"/>
    <cellStyle name="Vírgula 9 2 3 6 4 4 2" xfId="45378" xr:uid="{E7B56E67-AE10-411E-8945-F9FECA803903}"/>
    <cellStyle name="Vírgula 9 2 3 6 4 5" xfId="15378" xr:uid="{34382D02-8E6A-44CB-9A06-B41D8C18EFE1}"/>
    <cellStyle name="Vírgula 9 2 3 6 4 5 2" xfId="35718" xr:uid="{524CCEBE-47D3-4E54-A8DB-44FA803A7E26}"/>
    <cellStyle name="Vírgula 9 2 3 6 4 6" xfId="11499" xr:uid="{C110A9D6-08DA-4450-B88D-6A492CD77932}"/>
    <cellStyle name="Vírgula 9 2 3 6 4 6 2" xfId="31842" xr:uid="{62B4C15D-5E88-43E4-B1F8-472F64751611}"/>
    <cellStyle name="Vírgula 9 2 3 6 4 7" xfId="28348" xr:uid="{2BD383D1-50CB-431B-9817-DB9203A31BC8}"/>
    <cellStyle name="Vírgula 9 2 3 6 5" xfId="13068" xr:uid="{99E477F2-8453-4999-BF36-D8D910BA6D04}"/>
    <cellStyle name="Vírgula 9 2 3 6 5 2" xfId="33409" xr:uid="{BEE0ED12-8A8E-4AAD-AC8D-6D3856083F61}"/>
    <cellStyle name="Vírgula 9 2 3 6 6" xfId="15965" xr:uid="{BEED0B49-E6C9-486D-8929-247C150FF582}"/>
    <cellStyle name="Vírgula 9 2 3 6 6 2" xfId="36305" xr:uid="{4B724195-A1E9-48A9-A778-33A29C1D31EC}"/>
    <cellStyle name="Vírgula 9 2 3 6 7" xfId="18879" xr:uid="{3C3D9A82-A6FE-4329-B385-D3805C6257C6}"/>
    <cellStyle name="Vírgula 9 2 3 6 7 2" xfId="39219" xr:uid="{27AA2256-04AE-4387-AE4B-0488E96BD6BF}"/>
    <cellStyle name="Vírgula 9 2 3 6 8" xfId="19467" xr:uid="{5EAE1B03-E93E-4173-8C5F-6549A5C06920}"/>
    <cellStyle name="Vírgula 9 2 3 6 8 2" xfId="39806" xr:uid="{A512E3D4-680C-4420-A6F2-E61372316622}"/>
    <cellStyle name="Vírgula 9 2 3 6 9" xfId="22722" xr:uid="{896F3E43-D167-4CB9-9DC1-9E8FBCB2B3CE}"/>
    <cellStyle name="Vírgula 9 2 3 6 9 2" xfId="43057" xr:uid="{1452FC1C-D3E7-4BF7-A484-CC2CC75A40C7}"/>
    <cellStyle name="Vírgula 9 2 3 7" xfId="5818" xr:uid="{AD64F878-EA3C-4E46-BEB4-6172AFD04D93}"/>
    <cellStyle name="Vírgula 9 2 3 7 2" xfId="6976" xr:uid="{3CF0ED30-EBD2-46B2-85D6-D8657D02B542}"/>
    <cellStyle name="Vírgula 9 2 3 7 2 2" xfId="17262" xr:uid="{A32D60FF-153C-4427-9997-DA0E357D1929}"/>
    <cellStyle name="Vírgula 9 2 3 7 2 2 2" xfId="37602" xr:uid="{FD3FDBBD-CB70-41F7-A1CD-B23429A9CBFF}"/>
    <cellStyle name="Vírgula 9 2 3 7 2 3" xfId="20764" xr:uid="{D060E7B1-6E55-483C-A46C-4FC7699E7BDC}"/>
    <cellStyle name="Vírgula 9 2 3 7 2 3 2" xfId="41103" xr:uid="{4CF8E901-B2AB-49A6-A04D-E5E3633EA788}"/>
    <cellStyle name="Vírgula 9 2 3 7 2 4" xfId="24019" xr:uid="{E090CF63-F269-4515-B80A-1BAFD5E23131}"/>
    <cellStyle name="Vírgula 9 2 3 7 2 4 2" xfId="44354" xr:uid="{7E1D3C96-90BE-4BB7-9959-5A8F6C189ED0}"/>
    <cellStyle name="Vírgula 9 2 3 7 2 5" xfId="14353" xr:uid="{85BA30B7-AABA-40AC-A896-59FF008D5392}"/>
    <cellStyle name="Vírgula 9 2 3 7 2 5 2" xfId="34694" xr:uid="{1FFA00BF-3B44-4FDD-B381-FDC833F91261}"/>
    <cellStyle name="Vírgula 9 2 3 7 2 6" xfId="10475" xr:uid="{D642B3A3-46A8-49E4-8697-A0217F062DF7}"/>
    <cellStyle name="Vírgula 9 2 3 7 2 6 2" xfId="30818" xr:uid="{E0ED0480-198D-40DF-A575-7B17B6899874}"/>
    <cellStyle name="Vírgula 9 2 3 7 2 7" xfId="27324" xr:uid="{445D2FFB-15C3-422F-B0F8-7367BE00CFAB}"/>
    <cellStyle name="Vírgula 9 2 3 7 3" xfId="16104" xr:uid="{05DD0205-C3BC-4F4D-B140-32E8AF2AB3D4}"/>
    <cellStyle name="Vírgula 9 2 3 7 3 2" xfId="36444" xr:uid="{456BE848-32AF-4597-B83D-8EE4B408505C}"/>
    <cellStyle name="Vírgula 9 2 3 7 4" xfId="19606" xr:uid="{030E7C8E-7AE5-4809-BE48-C30FA1A4660E}"/>
    <cellStyle name="Vírgula 9 2 3 7 4 2" xfId="39945" xr:uid="{38B5DD72-2305-4DBC-9E0C-EADE94DEABE8}"/>
    <cellStyle name="Vírgula 9 2 3 7 5" xfId="22861" xr:uid="{34CD7B33-D1CE-4860-BCF5-A8373DF0E282}"/>
    <cellStyle name="Vírgula 9 2 3 7 5 2" xfId="43196" xr:uid="{CD21155E-A001-4857-B009-7BACE4285F88}"/>
    <cellStyle name="Vírgula 9 2 3 7 6" xfId="13199" xr:uid="{49B3AA5E-0C42-4255-AB6A-5FBE4D7EDDFA}"/>
    <cellStyle name="Vírgula 9 2 3 7 6 2" xfId="33540" xr:uid="{33E2458D-E52F-4939-9A53-CA812A252614}"/>
    <cellStyle name="Vírgula 9 2 3 7 7" xfId="9317" xr:uid="{241EFEA9-7881-4613-A746-9E9941FE6E60}"/>
    <cellStyle name="Vírgula 9 2 3 7 7 2" xfId="29660" xr:uid="{F8140044-E812-4996-B382-704DF932563C}"/>
    <cellStyle name="Vírgula 9 2 3 7 8" xfId="26166" xr:uid="{484B0F7C-A998-4369-AD2B-CD43F373A999}"/>
    <cellStyle name="Vírgula 9 2 3 8" xfId="6395" xr:uid="{E3E0CCFC-2FFE-4159-8B38-A5B953629E96}"/>
    <cellStyle name="Vírgula 9 2 3 8 2" xfId="16681" xr:uid="{C471ED6B-E2BE-4F45-A2CB-DB6C6E2040C3}"/>
    <cellStyle name="Vírgula 9 2 3 8 2 2" xfId="37021" xr:uid="{C4636C43-6309-4064-8A82-3D70443DDD57}"/>
    <cellStyle name="Vírgula 9 2 3 8 3" xfId="20183" xr:uid="{A04A0124-85D2-4A85-A5DF-3C8FB53440C1}"/>
    <cellStyle name="Vírgula 9 2 3 8 3 2" xfId="40522" xr:uid="{0B4D83B8-1599-4909-9375-8F19C6A665B8}"/>
    <cellStyle name="Vírgula 9 2 3 8 4" xfId="23438" xr:uid="{30BA984D-E967-44FB-8BB4-27D818E1BF50}"/>
    <cellStyle name="Vírgula 9 2 3 8 4 2" xfId="43773" xr:uid="{7E8C26D2-702F-49DE-8B29-494B7EA41973}"/>
    <cellStyle name="Vírgula 9 2 3 8 5" xfId="13772" xr:uid="{F86075ED-6575-40F6-9379-6BD88D0CB0D8}"/>
    <cellStyle name="Vírgula 9 2 3 8 5 2" xfId="34113" xr:uid="{2ACD30C3-D5F0-40FB-A82F-4D896AB7D709}"/>
    <cellStyle name="Vírgula 9 2 3 8 6" xfId="9894" xr:uid="{3DE9F36C-EB85-4ED2-8C4E-B98A1A24BFE1}"/>
    <cellStyle name="Vírgula 9 2 3 8 6 2" xfId="30237" xr:uid="{F1D6AD95-EF7B-495B-8CDB-9E09BD13DC1A}"/>
    <cellStyle name="Vírgula 9 2 3 8 7" xfId="26743" xr:uid="{4AB6F9C6-0359-43F3-8822-A10F310DF5D8}"/>
    <cellStyle name="Vírgula 9 2 3 9" xfId="7559" xr:uid="{380711AF-65EA-4B1A-886C-168369FD473E}"/>
    <cellStyle name="Vírgula 9 2 3 9 2" xfId="17844" xr:uid="{3C3532E8-FB19-4593-8079-587E51C2998F}"/>
    <cellStyle name="Vírgula 9 2 3 9 2 2" xfId="38184" xr:uid="{6D77A9D8-1455-4F90-B456-DB343581FD5B}"/>
    <cellStyle name="Vírgula 9 2 3 9 3" xfId="21346" xr:uid="{5313BC15-40AF-42DE-AD74-BFA94374266A}"/>
    <cellStyle name="Vírgula 9 2 3 9 3 2" xfId="41685" xr:uid="{2E450F93-4543-45A1-B5AF-3E2C452C3E2E}"/>
    <cellStyle name="Vírgula 9 2 3 9 4" xfId="24601" xr:uid="{05FF9E32-E6FF-4F2A-9863-EEAE9A85E295}"/>
    <cellStyle name="Vírgula 9 2 3 9 4 2" xfId="44936" xr:uid="{F1DB479D-6103-46D9-902B-0FD6A743BA12}"/>
    <cellStyle name="Vírgula 9 2 3 9 5" xfId="14936" xr:uid="{401AFA0C-A5AB-4171-A44F-DF332E4A2C4B}"/>
    <cellStyle name="Vírgula 9 2 3 9 5 2" xfId="35276" xr:uid="{D2F919B3-DDF7-4F5D-BFA4-816A22A1D983}"/>
    <cellStyle name="Vírgula 9 2 3 9 6" xfId="11057" xr:uid="{670D1B89-2575-437F-AE2A-7C1003334E01}"/>
    <cellStyle name="Vírgula 9 2 3 9 6 2" xfId="31400" xr:uid="{C73FF068-4E64-4A0E-965B-B9CA2E9DB34C}"/>
    <cellStyle name="Vírgula 9 2 3 9 7" xfId="27906" xr:uid="{302B4D48-9C3D-4589-A16B-CE711468E572}"/>
    <cellStyle name="Vírgula 9 2 4" xfId="767" xr:uid="{8DF62ABA-4A34-4FEE-B0AA-6E0053F620F6}"/>
    <cellStyle name="Vírgula 9 2 4 10" xfId="22367" xr:uid="{884E68B0-788F-417F-ABDD-872C9B510F7E}"/>
    <cellStyle name="Vírgula 9 2 4 10 2" xfId="42702" xr:uid="{31F4F0A3-AA3A-4964-B5C9-6E7A152379ED}"/>
    <cellStyle name="Vírgula 9 2 4 11" xfId="12084" xr:uid="{D81945F0-514E-4DD8-9A2A-A2452AE794D9}"/>
    <cellStyle name="Vírgula 9 2 4 11 2" xfId="32425" xr:uid="{531B3305-B6AF-426A-A067-0524013DAC8B}"/>
    <cellStyle name="Vírgula 9 2 4 12" xfId="8823" xr:uid="{24A6E47D-533A-4D2E-B5F0-176BB859F087}"/>
    <cellStyle name="Vírgula 9 2 4 12 2" xfId="29166" xr:uid="{7D279395-7649-42D0-AB77-6592D59AB16C}"/>
    <cellStyle name="Vírgula 9 2 4 13" xfId="25672" xr:uid="{5CEC333D-D996-4260-B5E8-B8A5F2195070}"/>
    <cellStyle name="Vírgula 9 2 4 14" xfId="45881" xr:uid="{93485E8E-65E2-4654-BA01-7481AE5D4736}"/>
    <cellStyle name="Vírgula 9 2 4 15" xfId="46367" xr:uid="{22C76E61-4AF6-4510-8E04-0028EAB64B6D}"/>
    <cellStyle name="Vírgula 9 2 4 16" xfId="46859" xr:uid="{F41DF5D0-D1EA-49DC-8F5D-498F396EDCEF}"/>
    <cellStyle name="Vírgula 9 2 4 17" xfId="49350" xr:uid="{0149D3C6-2094-4C7B-B187-94E88E48E7E4}"/>
    <cellStyle name="Vírgula 9 2 4 18" xfId="51020" xr:uid="{7942F53D-5E60-4ABF-9587-41BFD1BB6155}"/>
    <cellStyle name="Vírgula 9 2 4 19" xfId="54315" xr:uid="{9D69F083-6C7E-44E2-8DA8-3C1D6CBBECCE}"/>
    <cellStyle name="Vírgula 9 2 4 2" xfId="2483" xr:uid="{49DB0DAA-77BF-46BD-A355-092C570A38C5}"/>
    <cellStyle name="Vírgula 9 2 4 2 10" xfId="12471" xr:uid="{63B68BA3-9EA7-4CFC-82FC-A7D2EA623FD2}"/>
    <cellStyle name="Vírgula 9 2 4 2 10 2" xfId="32812" xr:uid="{40C94A27-3286-459E-8949-41EA5BBF17DD}"/>
    <cellStyle name="Vírgula 9 2 4 2 11" xfId="9210" xr:uid="{FCA73C22-1A55-4566-A22F-FB04BF2BC8C3}"/>
    <cellStyle name="Vírgula 9 2 4 2 11 2" xfId="29553" xr:uid="{F6ED6AD6-5304-4B08-8011-7E5A8FD6569F}"/>
    <cellStyle name="Vírgula 9 2 4 2 12" xfId="26059" xr:uid="{86183B45-4120-48C8-8ED3-CB118B085336}"/>
    <cellStyle name="Vírgula 9 2 4 2 13" xfId="46042" xr:uid="{2A15A7A3-D3D5-4AC9-8C3B-48FF08E0009E}"/>
    <cellStyle name="Vírgula 9 2 4 2 14" xfId="46528" xr:uid="{3D314607-F2A5-47DB-BC24-F7BC4C9E262E}"/>
    <cellStyle name="Vírgula 9 2 4 2 15" xfId="47020" xr:uid="{7449C6D9-9B90-4CF4-A86F-68579851CBF1}"/>
    <cellStyle name="Vírgula 9 2 4 2 16" xfId="52652" xr:uid="{E337A09D-D975-44AE-AA57-54F839690B8B}"/>
    <cellStyle name="Vírgula 9 2 4 2 17" xfId="55946" xr:uid="{9B304E49-4AF5-421E-B9BC-26BE8DC92AD2}"/>
    <cellStyle name="Vírgula 9 2 4 2 18" xfId="5720" xr:uid="{2ACE2106-18B2-4912-A233-264D867FF2DD}"/>
    <cellStyle name="Vírgula 9 2 4 2 19" xfId="5160" xr:uid="{93F3AA24-9EC9-445B-B0B8-76D3DE6290BC}"/>
    <cellStyle name="Vírgula 9 2 4 2 2" xfId="6292" xr:uid="{BAB91257-9BC6-4EC9-948F-2CC8CD2D2CF3}"/>
    <cellStyle name="Vírgula 9 2 4 2 2 10" xfId="46771" xr:uid="{1D716289-071F-49AA-AB3B-D61F5D85BFE2}"/>
    <cellStyle name="Vírgula 9 2 4 2 2 11" xfId="47263" xr:uid="{0939D0A3-4B87-4270-AC6D-C94CD5ECAF0A}"/>
    <cellStyle name="Vírgula 9 2 4 2 2 2" xfId="7450" xr:uid="{A1DCD252-FEEB-4D01-846B-26C71EE54CA3}"/>
    <cellStyle name="Vírgula 9 2 4 2 2 2 2" xfId="17736" xr:uid="{7D8BD0C0-AA30-4D54-90FA-CC1645789180}"/>
    <cellStyle name="Vírgula 9 2 4 2 2 2 2 2" xfId="38076" xr:uid="{19AE8909-B834-42BA-B4AF-893D81825750}"/>
    <cellStyle name="Vírgula 9 2 4 2 2 2 3" xfId="21238" xr:uid="{3B1248F5-1A91-47F8-9F82-ADF2F77BDD29}"/>
    <cellStyle name="Vírgula 9 2 4 2 2 2 3 2" xfId="41577" xr:uid="{79DD872C-04B0-4BF1-9371-238A85C4A814}"/>
    <cellStyle name="Vírgula 9 2 4 2 2 2 4" xfId="24493" xr:uid="{CE063D7F-4E43-4BA2-B000-7FAA5FC37837}"/>
    <cellStyle name="Vírgula 9 2 4 2 2 2 4 2" xfId="44828" xr:uid="{0FD8767A-E80B-482B-9452-272226777ADE}"/>
    <cellStyle name="Vírgula 9 2 4 2 2 2 5" xfId="14827" xr:uid="{AB32782B-6A75-4556-93E3-0EBB2B99410C}"/>
    <cellStyle name="Vírgula 9 2 4 2 2 2 5 2" xfId="35168" xr:uid="{F42F9BF9-4F17-4606-9DA8-C07157DA3D8F}"/>
    <cellStyle name="Vírgula 9 2 4 2 2 2 6" xfId="10949" xr:uid="{0DCAB584-1C88-4BF8-8F12-0672AA9E4EC7}"/>
    <cellStyle name="Vírgula 9 2 4 2 2 2 6 2" xfId="31292" xr:uid="{E20C7E4A-90EB-4234-9E2D-4AEA51444CD3}"/>
    <cellStyle name="Vírgula 9 2 4 2 2 2 7" xfId="27798" xr:uid="{4BD4D124-F200-4465-BD5F-FA199CAED7F5}"/>
    <cellStyle name="Vírgula 9 2 4 2 2 3" xfId="16578" xr:uid="{10D60512-454E-49CD-A877-8C8CB56E87FD}"/>
    <cellStyle name="Vírgula 9 2 4 2 2 3 2" xfId="36918" xr:uid="{C0A8423A-AA4F-4C73-A729-D2DEFF1721DD}"/>
    <cellStyle name="Vírgula 9 2 4 2 2 4" xfId="20080" xr:uid="{4ABB6C93-7858-4013-AE38-D2D8041918F4}"/>
    <cellStyle name="Vírgula 9 2 4 2 2 4 2" xfId="40419" xr:uid="{7A8860BE-7C78-4D2E-B642-5EFA91DA8140}"/>
    <cellStyle name="Vírgula 9 2 4 2 2 5" xfId="23335" xr:uid="{1E431AB8-3095-49B1-A432-B944A86899E6}"/>
    <cellStyle name="Vírgula 9 2 4 2 2 5 2" xfId="43670" xr:uid="{307FF789-D4AE-4EB8-AF69-B211B4C9AE2E}"/>
    <cellStyle name="Vírgula 9 2 4 2 2 6" xfId="13669" xr:uid="{BB90E8AA-4DB6-499F-A588-BEE621C4E9F3}"/>
    <cellStyle name="Vírgula 9 2 4 2 2 6 2" xfId="34010" xr:uid="{4A23C352-1534-495A-94B0-263A835CDF50}"/>
    <cellStyle name="Vírgula 9 2 4 2 2 7" xfId="9791" xr:uid="{3A734996-212F-4744-A88E-F9F72B35855F}"/>
    <cellStyle name="Vírgula 9 2 4 2 2 7 2" xfId="30134" xr:uid="{74BE6C52-B335-4F65-81A7-08F5303097C2}"/>
    <cellStyle name="Vírgula 9 2 4 2 2 8" xfId="26640" xr:uid="{F0AEB52B-EB66-4D36-9FB5-E94155A3A702}"/>
    <cellStyle name="Vírgula 9 2 4 2 2 9" xfId="46285" xr:uid="{E14F7C9F-7412-4534-BF2D-F330082C9632}"/>
    <cellStyle name="Vírgula 9 2 4 2 3" xfId="6869" xr:uid="{87CE57A3-E5C2-46C5-953A-3E7E0AB51E95}"/>
    <cellStyle name="Vírgula 9 2 4 2 3 2" xfId="17155" xr:uid="{FA8F2727-AA22-4B42-810F-93E401312F82}"/>
    <cellStyle name="Vírgula 9 2 4 2 3 2 2" xfId="37495" xr:uid="{83467339-5074-4FCB-81EE-9226EB09DF60}"/>
    <cellStyle name="Vírgula 9 2 4 2 3 3" xfId="20657" xr:uid="{A32F7DE6-A8A6-4DA6-8071-E4ADA5A3A24F}"/>
    <cellStyle name="Vírgula 9 2 4 2 3 3 2" xfId="40996" xr:uid="{63D3B064-D2E4-4334-B22E-C631E393B1A9}"/>
    <cellStyle name="Vírgula 9 2 4 2 3 4" xfId="23912" xr:uid="{9FD3C650-E246-405F-AA7E-7F2FA3A79C09}"/>
    <cellStyle name="Vírgula 9 2 4 2 3 4 2" xfId="44247" xr:uid="{B7832912-9002-4553-B421-1B702D993B62}"/>
    <cellStyle name="Vírgula 9 2 4 2 3 5" xfId="14246" xr:uid="{297ED298-F1D6-4BA7-9764-B87659143E4C}"/>
    <cellStyle name="Vírgula 9 2 4 2 3 5 2" xfId="34587" xr:uid="{6E46775E-C877-4423-9B8B-6014E3E0AADB}"/>
    <cellStyle name="Vírgula 9 2 4 2 3 6" xfId="10368" xr:uid="{A322439E-9E3D-4CEC-AF0B-AC4E14378665}"/>
    <cellStyle name="Vírgula 9 2 4 2 3 6 2" xfId="30711" xr:uid="{B566A5C8-96D3-47BC-821A-7AEEBB544887}"/>
    <cellStyle name="Vírgula 9 2 4 2 3 7" xfId="27217" xr:uid="{11926E93-93C3-4BDE-8A7D-CADB1D29B6F4}"/>
    <cellStyle name="Vírgula 9 2 4 2 4" xfId="8033" xr:uid="{29FFB1D3-F994-46DC-86B2-70F07EB03CEE}"/>
    <cellStyle name="Vírgula 9 2 4 2 4 2" xfId="18318" xr:uid="{B3CFECA9-18F8-42DE-8993-0C32416C123F}"/>
    <cellStyle name="Vírgula 9 2 4 2 4 2 2" xfId="38658" xr:uid="{DCFDD237-3EDE-47C0-95F4-620425D252E7}"/>
    <cellStyle name="Vírgula 9 2 4 2 4 3" xfId="21820" xr:uid="{7E0ED5B2-EFF5-4F55-9A56-B80ED326043F}"/>
    <cellStyle name="Vírgula 9 2 4 2 4 3 2" xfId="42159" xr:uid="{22EC5B30-BAF5-48F7-81AC-FA442160FE10}"/>
    <cellStyle name="Vírgula 9 2 4 2 4 4" xfId="25075" xr:uid="{A2966282-35B1-4926-8E5B-2BE785461945}"/>
    <cellStyle name="Vírgula 9 2 4 2 4 4 2" xfId="45410" xr:uid="{108EDA6F-2E7F-4ECD-88C5-05204F372279}"/>
    <cellStyle name="Vírgula 9 2 4 2 4 5" xfId="15410" xr:uid="{DDF2F03D-ACC8-4FC3-97DE-B19398D113FA}"/>
    <cellStyle name="Vírgula 9 2 4 2 4 5 2" xfId="35750" xr:uid="{0C0BF75D-DEE0-4909-B9EE-05B5F4FDBD51}"/>
    <cellStyle name="Vírgula 9 2 4 2 4 6" xfId="11531" xr:uid="{24412D4E-84C8-4DCD-9BA2-878ED87CE225}"/>
    <cellStyle name="Vírgula 9 2 4 2 4 6 2" xfId="31874" xr:uid="{ABB8A80E-12B0-4FD9-9B5D-644C1306C244}"/>
    <cellStyle name="Vírgula 9 2 4 2 4 7" xfId="28380" xr:uid="{D56D7FA2-24C4-4BFA-B2A4-0C088FFAD949}"/>
    <cellStyle name="Vírgula 9 2 4 2 5" xfId="8400" xr:uid="{DD53F756-2EEC-472E-82BD-DDE6C2D35305}"/>
    <cellStyle name="Vírgula 9 2 4 2 5 2" xfId="22187" xr:uid="{A7B59213-7CE9-4EEC-86E8-5EC8A709BA4B}"/>
    <cellStyle name="Vírgula 9 2 4 2 5 2 2" xfId="42523" xr:uid="{FA5D9135-FEA4-47E5-AE22-4FCC747BE2C5}"/>
    <cellStyle name="Vírgula 9 2 4 2 5 3" xfId="25439" xr:uid="{7BB770C6-C395-48A6-A48B-BF6E384E8406}"/>
    <cellStyle name="Vírgula 9 2 4 2 5 3 2" xfId="45774" xr:uid="{67CBF3C8-028C-433E-B305-ADD2090DA9B4}"/>
    <cellStyle name="Vírgula 9 2 4 2 5 4" xfId="13100" xr:uid="{77819C4C-9EFA-4973-ADA7-06A64619FE1D}"/>
    <cellStyle name="Vírgula 9 2 4 2 5 4 2" xfId="33441" xr:uid="{3ADA2040-8FCB-494C-BAB4-C41C3AE58BE9}"/>
    <cellStyle name="Vírgula 9 2 4 2 5 5" xfId="11896" xr:uid="{F46CD0DD-6036-4423-9217-4EEC187B26B6}"/>
    <cellStyle name="Vírgula 9 2 4 2 5 5 2" xfId="32238" xr:uid="{1E3C9503-CD0B-4C7E-97C0-6559FD2CA5A6}"/>
    <cellStyle name="Vírgula 9 2 4 2 5 6" xfId="28744" xr:uid="{630CCD4B-18E1-49A2-8F9E-B3605CAC45C7}"/>
    <cellStyle name="Vírgula 9 2 4 2 6" xfId="8667" xr:uid="{BA97D365-ABE0-47E9-8B28-0D0A22C45DA1}"/>
    <cellStyle name="Vírgula 9 2 4 2 6 2" xfId="15997" xr:uid="{6CAEF560-9254-4624-B929-F6C3588ABB04}"/>
    <cellStyle name="Vírgula 9 2 4 2 6 2 2" xfId="36337" xr:uid="{B97BBFD4-081E-4C24-A35C-BFB96FD505E9}"/>
    <cellStyle name="Vírgula 9 2 4 2 6 3" xfId="29010" xr:uid="{05AC662B-49CF-4E14-A3B1-EFA45FBBF7B9}"/>
    <cellStyle name="Vírgula 9 2 4 2 7" xfId="18911" xr:uid="{97D5F31A-C0D2-445E-947C-6C1BADFF0D01}"/>
    <cellStyle name="Vírgula 9 2 4 2 7 2" xfId="39251" xr:uid="{C3C6250B-9EB0-4C62-A5FC-91866CE03402}"/>
    <cellStyle name="Vírgula 9 2 4 2 8" xfId="19499" xr:uid="{23E5DEAB-D081-4FAD-B05B-D2C29DE662E2}"/>
    <cellStyle name="Vírgula 9 2 4 2 8 2" xfId="39838" xr:uid="{F0CF9DE6-D039-46B4-BCE0-18443B20C38E}"/>
    <cellStyle name="Vírgula 9 2 4 2 9" xfId="22754" xr:uid="{AA08410A-8AA8-4CFA-B7E9-974EABCCB89D}"/>
    <cellStyle name="Vírgula 9 2 4 2 9 2" xfId="43089" xr:uid="{ED86C5BB-A5FC-413F-95FE-86E6DFE1CAEE}"/>
    <cellStyle name="Vírgula 9 2 4 20" xfId="5351" xr:uid="{27F52734-ED44-4BBF-AEC5-1B1D99A6F086}"/>
    <cellStyle name="Vírgula 9 2 4 21" xfId="4941" xr:uid="{24357AE1-BEE6-43F3-893E-7AF92D2454BD}"/>
    <cellStyle name="Vírgula 9 2 4 3" xfId="5010" xr:uid="{40C21555-3AE9-4596-9A94-B09355AE6A03}"/>
    <cellStyle name="Vírgula 9 2 4 3 10" xfId="46610" xr:uid="{75B75D83-7E18-4258-A5DA-98EB263028FF}"/>
    <cellStyle name="Vírgula 9 2 4 3 11" xfId="47102" xr:uid="{A3F446E8-86E1-4C2D-BA77-675B6DB1E4FA}"/>
    <cellStyle name="Vírgula 9 2 4 3 12" xfId="56638" xr:uid="{CFC4FB98-CBEC-4751-824E-4FB9290DDEA7}"/>
    <cellStyle name="Vírgula 9 2 4 3 13" xfId="5905" xr:uid="{258AF9AD-53BF-43A8-9055-B8170BD724C7}"/>
    <cellStyle name="Vírgula 9 2 4 3 2" xfId="7063" xr:uid="{5E756E35-1872-48E3-81FC-63D0A8F8679F}"/>
    <cellStyle name="Vírgula 9 2 4 3 2 2" xfId="17349" xr:uid="{57B865ED-43F7-4901-8FA5-CD193732BEAD}"/>
    <cellStyle name="Vírgula 9 2 4 3 2 2 2" xfId="37689" xr:uid="{EAF9D07A-CA05-4373-8EF0-4138C639DA5B}"/>
    <cellStyle name="Vírgula 9 2 4 3 2 3" xfId="20851" xr:uid="{E772DD4A-D2B2-4D45-AD08-4FBAE2457906}"/>
    <cellStyle name="Vírgula 9 2 4 3 2 3 2" xfId="41190" xr:uid="{69F786DF-04FF-4DBD-99E5-F21C909024F6}"/>
    <cellStyle name="Vírgula 9 2 4 3 2 4" xfId="24106" xr:uid="{E973D79F-17EC-452C-A387-89DF121B201F}"/>
    <cellStyle name="Vírgula 9 2 4 3 2 4 2" xfId="44441" xr:uid="{59C7273B-D114-418B-8ACB-66E3756F11BC}"/>
    <cellStyle name="Vírgula 9 2 4 3 2 5" xfId="14440" xr:uid="{6CDB91DE-E678-4267-8825-0948C314E757}"/>
    <cellStyle name="Vírgula 9 2 4 3 2 5 2" xfId="34781" xr:uid="{FB737F65-22E2-40E1-B38A-120734A656BB}"/>
    <cellStyle name="Vírgula 9 2 4 3 2 6" xfId="10562" xr:uid="{25F0C42D-3B43-4A43-A4C7-DE9F708AD440}"/>
    <cellStyle name="Vírgula 9 2 4 3 2 6 2" xfId="30905" xr:uid="{4887EA6F-7B86-4D6A-B48B-FB176519A520}"/>
    <cellStyle name="Vírgula 9 2 4 3 2 7" xfId="27411" xr:uid="{32B9E076-3261-4B52-B031-56B4A26F9DCA}"/>
    <cellStyle name="Vírgula 9 2 4 3 3" xfId="8401" xr:uid="{D4FBC62D-9D88-4C9E-8EFF-6B6D4CC68248}"/>
    <cellStyle name="Vírgula 9 2 4 3 3 2" xfId="22188" xr:uid="{9DB07192-6B1F-4D7F-B78E-1E3E61839383}"/>
    <cellStyle name="Vírgula 9 2 4 3 3 2 2" xfId="42524" xr:uid="{E4BB8A8A-6F63-4BAB-89E4-EE89BF7B826F}"/>
    <cellStyle name="Vírgula 9 2 4 3 3 3" xfId="25440" xr:uid="{2DB8547A-D897-4601-83EF-8BDF3BC934A1}"/>
    <cellStyle name="Vírgula 9 2 4 3 3 3 2" xfId="45775" xr:uid="{82CB30EB-9BEF-4D51-8665-A5B46A7EB6F7}"/>
    <cellStyle name="Vírgula 9 2 4 3 3 4" xfId="16191" xr:uid="{09402558-5A4F-4A96-9526-B26B45EB8C0D}"/>
    <cellStyle name="Vírgula 9 2 4 3 3 4 2" xfId="36531" xr:uid="{74662DA4-FFF9-4530-89AA-DF842FF0DFC9}"/>
    <cellStyle name="Vírgula 9 2 4 3 3 5" xfId="11897" xr:uid="{E77D18A4-7E93-4C47-A601-3CFC257EC4DA}"/>
    <cellStyle name="Vírgula 9 2 4 3 3 5 2" xfId="32239" xr:uid="{CEDD01AB-53A2-476F-B7E9-CFD5C63199BB}"/>
    <cellStyle name="Vírgula 9 2 4 3 3 6" xfId="28745" xr:uid="{C48C1305-8A9D-4310-A7DE-F4A83EBA1087}"/>
    <cellStyle name="Vírgula 9 2 4 3 4" xfId="19693" xr:uid="{B7E169F7-0852-4C6F-BD94-763B7770D83E}"/>
    <cellStyle name="Vírgula 9 2 4 3 4 2" xfId="40032" xr:uid="{E020590F-596D-4EE6-BDA8-43523E696E78}"/>
    <cellStyle name="Vírgula 9 2 4 3 5" xfId="22948" xr:uid="{2995F7E5-5189-4FD5-ADF1-8C48D3E9C3EF}"/>
    <cellStyle name="Vírgula 9 2 4 3 5 2" xfId="43283" xr:uid="{C84FB230-5135-43A8-890F-E8173335D545}"/>
    <cellStyle name="Vírgula 9 2 4 3 6" xfId="13284" xr:uid="{B8CD0F32-5687-484A-96C3-D18B7BD66A9D}"/>
    <cellStyle name="Vírgula 9 2 4 3 6 2" xfId="33625" xr:uid="{77B24BB0-9F23-4FD0-BA54-C12722A74D49}"/>
    <cellStyle name="Vírgula 9 2 4 3 7" xfId="9404" xr:uid="{7B38F5F1-9759-469C-AA8F-64A8508DD776}"/>
    <cellStyle name="Vírgula 9 2 4 3 7 2" xfId="29747" xr:uid="{D1972109-ED30-48EC-B013-EE70D441DBA5}"/>
    <cellStyle name="Vírgula 9 2 4 3 8" xfId="26253" xr:uid="{944DEB80-E63E-44BB-A3B0-DF7A5B9DB8BD}"/>
    <cellStyle name="Vírgula 9 2 4 3 9" xfId="46124" xr:uid="{B726D0E4-AF82-4D98-AAC6-F43E2AF3924F}"/>
    <cellStyle name="Vírgula 9 2 4 4" xfId="6482" xr:uid="{D87752C8-6065-481E-8694-8AE53948BC46}"/>
    <cellStyle name="Vírgula 9 2 4 4 2" xfId="16768" xr:uid="{51BA7488-5E8A-49B2-8790-99148C16F213}"/>
    <cellStyle name="Vírgula 9 2 4 4 2 2" xfId="37108" xr:uid="{73D75D05-D9C0-4944-9AD4-D3F489B89A34}"/>
    <cellStyle name="Vírgula 9 2 4 4 3" xfId="20270" xr:uid="{DFD05A16-49C9-4460-80D7-863593F4440D}"/>
    <cellStyle name="Vírgula 9 2 4 4 3 2" xfId="40609" xr:uid="{E6EF7624-91E9-4022-9285-3A2D86E60FF8}"/>
    <cellStyle name="Vírgula 9 2 4 4 4" xfId="23525" xr:uid="{E0764664-A7D8-4562-B8E2-F339AF594705}"/>
    <cellStyle name="Vírgula 9 2 4 4 4 2" xfId="43860" xr:uid="{B259E7BE-A069-4F60-B556-45AB37CF8B71}"/>
    <cellStyle name="Vírgula 9 2 4 4 5" xfId="13859" xr:uid="{978C255C-62C4-4784-8185-00142A4D3FF7}"/>
    <cellStyle name="Vírgula 9 2 4 4 5 2" xfId="34200" xr:uid="{DF181350-9C30-44F0-81A0-ED5B6C40CD2C}"/>
    <cellStyle name="Vírgula 9 2 4 4 6" xfId="9981" xr:uid="{8331E1D5-B7C3-4590-B6CC-677D772B1490}"/>
    <cellStyle name="Vírgula 9 2 4 4 6 2" xfId="30324" xr:uid="{778BDEF6-BDDF-4CDD-A6CA-BDDCCABF0295}"/>
    <cellStyle name="Vírgula 9 2 4 4 7" xfId="26830" xr:uid="{566B1C74-4764-490C-A699-6102452798AE}"/>
    <cellStyle name="Vírgula 9 2 4 5" xfId="7646" xr:uid="{55E7C649-A7DF-4FD8-9200-99C2EE82DF47}"/>
    <cellStyle name="Vírgula 9 2 4 5 2" xfId="17931" xr:uid="{3D69FB1C-03CA-423C-BDF1-0E154B7F993A}"/>
    <cellStyle name="Vírgula 9 2 4 5 2 2" xfId="38271" xr:uid="{C3C5FD31-6297-4D3D-A169-5BE219857852}"/>
    <cellStyle name="Vírgula 9 2 4 5 3" xfId="21433" xr:uid="{9F4DFA9C-C825-4586-B51F-E740DBFA9B7D}"/>
    <cellStyle name="Vírgula 9 2 4 5 3 2" xfId="41772" xr:uid="{ACC0ECE5-2993-4D88-B5C8-F178A3B4B36C}"/>
    <cellStyle name="Vírgula 9 2 4 5 4" xfId="24688" xr:uid="{FC44B8C8-4D7B-4324-A5ED-093D1BA5865C}"/>
    <cellStyle name="Vírgula 9 2 4 5 4 2" xfId="45023" xr:uid="{CC897277-8350-4DC9-8CF1-10A606DB834D}"/>
    <cellStyle name="Vírgula 9 2 4 5 5" xfId="15023" xr:uid="{57887A14-409F-4F4F-B2BB-63ED11FF0A2C}"/>
    <cellStyle name="Vírgula 9 2 4 5 5 2" xfId="35363" xr:uid="{39463BF1-B3A3-446E-8351-25998B69F5EA}"/>
    <cellStyle name="Vírgula 9 2 4 5 6" xfId="11144" xr:uid="{5E7FCC31-1641-4979-B6D7-09A4882C04FB}"/>
    <cellStyle name="Vírgula 9 2 4 5 6 2" xfId="31487" xr:uid="{0A0E2A4C-72CD-422F-A6A1-B9C153CE239D}"/>
    <cellStyle name="Vírgula 9 2 4 5 7" xfId="27993" xr:uid="{BFB1D205-1D37-46C6-A72C-34B766017A58}"/>
    <cellStyle name="Vírgula 9 2 4 6" xfId="8399" xr:uid="{23D04E71-82BC-445A-82C2-887B84E5B00A}"/>
    <cellStyle name="Vírgula 9 2 4 6 2" xfId="22186" xr:uid="{75E8CBB7-5D89-470E-A9FC-CFAE3D30F636}"/>
    <cellStyle name="Vírgula 9 2 4 6 2 2" xfId="42522" xr:uid="{03C319EE-5056-42E2-B2CE-3DBDFCBDF126}"/>
    <cellStyle name="Vírgula 9 2 4 6 3" xfId="25438" xr:uid="{80749780-E8A6-479D-B9C4-E80DC10FD2A5}"/>
    <cellStyle name="Vírgula 9 2 4 6 3 2" xfId="45773" xr:uid="{1045EB8D-1F57-4453-89CE-9F5D792B7D61}"/>
    <cellStyle name="Vírgula 9 2 4 6 4" xfId="12715" xr:uid="{D7234EE3-1DBE-483A-96CC-25AD874E9FD7}"/>
    <cellStyle name="Vírgula 9 2 4 6 4 2" xfId="33056" xr:uid="{0C5DC316-CA56-47C8-88A9-224D12C58CC5}"/>
    <cellStyle name="Vírgula 9 2 4 6 5" xfId="11895" xr:uid="{C01BFBD3-B27C-433B-AA48-6510D63F0E9D}"/>
    <cellStyle name="Vírgula 9 2 4 6 5 2" xfId="32237" xr:uid="{1DC7530C-FA5C-4390-95FE-E14FFCC13FDB}"/>
    <cellStyle name="Vírgula 9 2 4 6 6" xfId="28743" xr:uid="{D9A4D312-E556-418E-AD3B-9706942D2953}"/>
    <cellStyle name="Vírgula 9 2 4 7" xfId="8506" xr:uid="{2FC2ACA4-9E30-4328-9735-87695981B884}"/>
    <cellStyle name="Vírgula 9 2 4 7 2" xfId="15610" xr:uid="{DA73071E-C4F4-4A90-97E6-DC4559DE3CAF}"/>
    <cellStyle name="Vírgula 9 2 4 7 2 2" xfId="35950" xr:uid="{72B830FE-1D72-4152-9FD2-F20F9268BEBF}"/>
    <cellStyle name="Vírgula 9 2 4 7 3" xfId="28849" xr:uid="{6315E667-3494-48A0-8372-665199D15CCB}"/>
    <cellStyle name="Vírgula 9 2 4 8" xfId="18524" xr:uid="{B1E8F3F7-46A5-4536-AA6F-A412E106BA38}"/>
    <cellStyle name="Vírgula 9 2 4 8 2" xfId="38864" xr:uid="{F2D00B80-02ED-4585-A2D4-DA9955534C9A}"/>
    <cellStyle name="Vírgula 9 2 4 9" xfId="19112" xr:uid="{8239C500-BD06-4BFF-BD3A-BBFAF3948EB5}"/>
    <cellStyle name="Vírgula 9 2 4 9 2" xfId="39451" xr:uid="{9559CE75-C8E0-4E5A-BAB4-33D77FFDB843}"/>
    <cellStyle name="Vírgula 9 2 5" xfId="3646" xr:uid="{0C1AF0DB-2063-48FE-9014-3C9B70D30840}"/>
    <cellStyle name="Vírgula 9 2 5 10" xfId="12180" xr:uid="{A36648B2-ECBA-4C6B-A0B7-9ABD71899599}"/>
    <cellStyle name="Vírgula 9 2 5 10 2" xfId="32521" xr:uid="{55030814-4740-40F7-A18A-6489AE644B07}"/>
    <cellStyle name="Vírgula 9 2 5 11" xfId="8919" xr:uid="{C8B8F55D-C327-4303-AA78-A936D5C1EE6D}"/>
    <cellStyle name="Vírgula 9 2 5 11 2" xfId="29262" xr:uid="{ADE69EBE-7487-4406-B65D-893977F85493}"/>
    <cellStyle name="Vírgula 9 2 5 12" xfId="25768" xr:uid="{DF81EEAD-2E39-4FC0-8097-9087E3A554D6}"/>
    <cellStyle name="Vírgula 9 2 5 13" xfId="46043" xr:uid="{4A79F856-13FF-4E66-A5D9-4586668D93C5}"/>
    <cellStyle name="Vírgula 9 2 5 14" xfId="46529" xr:uid="{9F615D7C-F0BD-44A5-B6DA-A732E3EAE611}"/>
    <cellStyle name="Vírgula 9 2 5 15" xfId="47021" xr:uid="{BF9750E3-73E8-4096-82D0-727A8E21D0E6}"/>
    <cellStyle name="Vírgula 9 2 5 16" xfId="52649" xr:uid="{878AC1FE-221D-484E-B664-CDF2AF273700}"/>
    <cellStyle name="Vírgula 9 2 5 17" xfId="55943" xr:uid="{97D9C025-95BA-4646-A859-6A09B664DE79}"/>
    <cellStyle name="Vírgula 9 2 5 18" xfId="5436" xr:uid="{99B0B716-E0BD-4B74-9DBF-C133BC28787B}"/>
    <cellStyle name="Vírgula 9 2 5 19" xfId="4942" xr:uid="{9C9E4623-9DC6-41F5-AD6A-EE7464C669B5}"/>
    <cellStyle name="Vírgula 9 2 5 2" xfId="5161" xr:uid="{7AA81770-E04C-4EBE-8DFC-268D942A599C}"/>
    <cellStyle name="Vírgula 9 2 5 2 10" xfId="46772" xr:uid="{C0B667AF-FBC7-4865-88C7-59D31E4A7C08}"/>
    <cellStyle name="Vírgula 9 2 5 2 11" xfId="47264" xr:uid="{5359E491-41F6-4544-81FF-1946B74FE445}"/>
    <cellStyle name="Vírgula 9 2 5 2 12" xfId="6001" xr:uid="{F7E494CC-64EF-4D64-8B2C-7DBFC0F4DFBA}"/>
    <cellStyle name="Vírgula 9 2 5 2 2" xfId="7159" xr:uid="{FED8C434-C379-450B-9A7E-20045AACAD69}"/>
    <cellStyle name="Vírgula 9 2 5 2 2 2" xfId="17445" xr:uid="{43D3F4EE-9E20-474B-932C-17C660D348FF}"/>
    <cellStyle name="Vírgula 9 2 5 2 2 2 2" xfId="37785" xr:uid="{02E5DC13-243F-4A17-AA15-7FA4345B63CB}"/>
    <cellStyle name="Vírgula 9 2 5 2 2 3" xfId="20947" xr:uid="{3AA4B502-B828-44F2-90D4-6910BF083F49}"/>
    <cellStyle name="Vírgula 9 2 5 2 2 3 2" xfId="41286" xr:uid="{8236A972-55D2-4A44-9AE7-16A15DDFD5EA}"/>
    <cellStyle name="Vírgula 9 2 5 2 2 4" xfId="24202" xr:uid="{448E81BC-D5DC-4838-B49C-1E79CB3B94B0}"/>
    <cellStyle name="Vírgula 9 2 5 2 2 4 2" xfId="44537" xr:uid="{3DC95BC1-26FB-4BBE-AE5D-6CEDA5D105B0}"/>
    <cellStyle name="Vírgula 9 2 5 2 2 5" xfId="14536" xr:uid="{EDFF5A2A-A05C-4AB4-9D70-41B6123D2F91}"/>
    <cellStyle name="Vírgula 9 2 5 2 2 5 2" xfId="34877" xr:uid="{FC1A0E7A-1830-4822-BEFF-4F5331A0A36D}"/>
    <cellStyle name="Vírgula 9 2 5 2 2 6" xfId="10658" xr:uid="{D26F0540-FA36-40C3-8468-0F4B7B875C17}"/>
    <cellStyle name="Vírgula 9 2 5 2 2 6 2" xfId="31001" xr:uid="{10DDF7C5-5805-467D-92A3-DBADD1A25A53}"/>
    <cellStyle name="Vírgula 9 2 5 2 2 7" xfId="27507" xr:uid="{3C0779FD-94F9-4923-9F11-3AE08DDA5BA5}"/>
    <cellStyle name="Vírgula 9 2 5 2 3" xfId="8403" xr:uid="{24775AB4-5438-4E42-8676-D74BCA02FB10}"/>
    <cellStyle name="Vírgula 9 2 5 2 3 2" xfId="22190" xr:uid="{3AF595C4-A61A-4A26-BB12-7E327C756950}"/>
    <cellStyle name="Vírgula 9 2 5 2 3 2 2" xfId="42526" xr:uid="{C1698EC7-F9A6-45A1-9CBC-9707F33424D7}"/>
    <cellStyle name="Vírgula 9 2 5 2 3 3" xfId="25442" xr:uid="{6022220F-F143-4F0A-9CC4-C0062E1BB598}"/>
    <cellStyle name="Vírgula 9 2 5 2 3 3 2" xfId="45777" xr:uid="{B12465B1-6F58-4B83-94AC-5E86127C3920}"/>
    <cellStyle name="Vírgula 9 2 5 2 3 4" xfId="16287" xr:uid="{9475D0AE-E42D-4E1F-922C-FD4722CAE566}"/>
    <cellStyle name="Vírgula 9 2 5 2 3 4 2" xfId="36627" xr:uid="{937DDA62-A689-43A5-8403-DC358E374223}"/>
    <cellStyle name="Vírgula 9 2 5 2 3 5" xfId="11899" xr:uid="{5372A0C2-2587-4964-9146-9BCA6F9BC31E}"/>
    <cellStyle name="Vírgula 9 2 5 2 3 5 2" xfId="32241" xr:uid="{05EDD358-F4E9-4531-AA5C-54A701975680}"/>
    <cellStyle name="Vírgula 9 2 5 2 3 6" xfId="28747" xr:uid="{835E72CF-ADB1-4837-803A-C50E5948E738}"/>
    <cellStyle name="Vírgula 9 2 5 2 4" xfId="19789" xr:uid="{B4A7722A-84DF-4737-AB34-9E662A736F66}"/>
    <cellStyle name="Vírgula 9 2 5 2 4 2" xfId="40128" xr:uid="{C8220293-27DB-4F2A-A9D7-5B47D0422123}"/>
    <cellStyle name="Vírgula 9 2 5 2 5" xfId="23044" xr:uid="{B63BC6B7-783A-4BF4-8FA8-32CC51137A9B}"/>
    <cellStyle name="Vírgula 9 2 5 2 5 2" xfId="43379" xr:uid="{C37F1B67-7ABE-4789-B885-2F800B94F887}"/>
    <cellStyle name="Vírgula 9 2 5 2 6" xfId="13378" xr:uid="{7B3B7A53-AF18-4434-AE02-AD0AA45B1AC4}"/>
    <cellStyle name="Vírgula 9 2 5 2 6 2" xfId="33719" xr:uid="{15FB7B8A-8AC7-48D7-A0C2-EB4EF7BE4AD4}"/>
    <cellStyle name="Vírgula 9 2 5 2 7" xfId="9500" xr:uid="{B9DD6A52-2C20-4CED-9763-850B0EE7891A}"/>
    <cellStyle name="Vírgula 9 2 5 2 7 2" xfId="29843" xr:uid="{2FB145ED-E890-4254-8B9A-A7DF9E045C0F}"/>
    <cellStyle name="Vírgula 9 2 5 2 8" xfId="26349" xr:uid="{09C81403-0E38-436E-A3E2-284D62952E58}"/>
    <cellStyle name="Vírgula 9 2 5 2 9" xfId="46286" xr:uid="{5C04BE23-0918-442D-A030-877D8BA5F905}"/>
    <cellStyle name="Vírgula 9 2 5 3" xfId="6578" xr:uid="{E9E4E948-98C5-4C9B-800F-A93ABA481D93}"/>
    <cellStyle name="Vírgula 9 2 5 3 2" xfId="16864" xr:uid="{A7B756B3-DF15-4270-8A5E-CE110B603805}"/>
    <cellStyle name="Vírgula 9 2 5 3 2 2" xfId="37204" xr:uid="{F4A24C90-C737-4F24-A607-1358344F1E46}"/>
    <cellStyle name="Vírgula 9 2 5 3 3" xfId="20366" xr:uid="{532B8C1F-58DC-4C2F-90EE-235935E2A6C8}"/>
    <cellStyle name="Vírgula 9 2 5 3 3 2" xfId="40705" xr:uid="{D03B8312-28DF-4946-8278-395B4CD45193}"/>
    <cellStyle name="Vírgula 9 2 5 3 4" xfId="23621" xr:uid="{AF66C2F1-C96A-49F9-8563-AC2305D607DC}"/>
    <cellStyle name="Vírgula 9 2 5 3 4 2" xfId="43956" xr:uid="{BC247457-CC1C-4060-9CEF-723BA104F3E5}"/>
    <cellStyle name="Vírgula 9 2 5 3 5" xfId="13955" xr:uid="{BC134EF8-99ED-46B3-AD45-489F12A3CC52}"/>
    <cellStyle name="Vírgula 9 2 5 3 5 2" xfId="34296" xr:uid="{CF7238D1-3702-49EC-AF71-4308B584383F}"/>
    <cellStyle name="Vírgula 9 2 5 3 6" xfId="10077" xr:uid="{65361D5E-8711-4EED-BA9A-99968EF5F4FD}"/>
    <cellStyle name="Vírgula 9 2 5 3 6 2" xfId="30420" xr:uid="{BAD3B8B1-5860-4F96-B7D9-23F3C299FE8B}"/>
    <cellStyle name="Vírgula 9 2 5 3 7" xfId="26926" xr:uid="{CF174581-81FE-410E-8BFA-F8E25AF4BC98}"/>
    <cellStyle name="Vírgula 9 2 5 4" xfId="7742" xr:uid="{6F8DCB7C-97E9-4EC9-BB24-E6D8D75D6AEF}"/>
    <cellStyle name="Vírgula 9 2 5 4 2" xfId="18027" xr:uid="{7F018E98-CF17-4B5D-920B-BE45229AE5CC}"/>
    <cellStyle name="Vírgula 9 2 5 4 2 2" xfId="38367" xr:uid="{060A8834-496B-4C52-BE5D-4CDD9B577A39}"/>
    <cellStyle name="Vírgula 9 2 5 4 3" xfId="21529" xr:uid="{45738928-C271-455D-BD43-E2D6F610BAF7}"/>
    <cellStyle name="Vírgula 9 2 5 4 3 2" xfId="41868" xr:uid="{B9E5C1A3-801C-4F43-9202-030F26151F91}"/>
    <cellStyle name="Vírgula 9 2 5 4 4" xfId="24784" xr:uid="{8D96636C-9D71-4D77-8A34-79D64D422E5E}"/>
    <cellStyle name="Vírgula 9 2 5 4 4 2" xfId="45119" xr:uid="{D9203F4A-B490-4F12-BE94-E6225E9EC563}"/>
    <cellStyle name="Vírgula 9 2 5 4 5" xfId="15119" xr:uid="{2A2D0784-2D90-4FBC-8DB9-789E351A4BC0}"/>
    <cellStyle name="Vírgula 9 2 5 4 5 2" xfId="35459" xr:uid="{33408FB8-FB9B-47D8-BFD6-DDEAB6D4B016}"/>
    <cellStyle name="Vírgula 9 2 5 4 6" xfId="11240" xr:uid="{97C10A90-BAF9-45F0-91C4-3F22882BDBD0}"/>
    <cellStyle name="Vírgula 9 2 5 4 6 2" xfId="31583" xr:uid="{59A7E110-1FEF-4D52-88A1-DED7D01987FF}"/>
    <cellStyle name="Vírgula 9 2 5 4 7" xfId="28089" xr:uid="{FF88DC9F-ECE6-458D-B705-9DE34556E3FD}"/>
    <cellStyle name="Vírgula 9 2 5 5" xfId="8402" xr:uid="{F764A197-C64E-4DC4-9DEC-EDCEB8E706DF}"/>
    <cellStyle name="Vírgula 9 2 5 5 2" xfId="22189" xr:uid="{DFC82875-FA0A-40A5-AFF9-C557D5750D6B}"/>
    <cellStyle name="Vírgula 9 2 5 5 2 2" xfId="42525" xr:uid="{EC025847-FCD1-4F6E-9156-47757B6EB83C}"/>
    <cellStyle name="Vírgula 9 2 5 5 3" xfId="25441" xr:uid="{B0C7D9AF-CEAA-416B-B92C-7CB0DF067E7D}"/>
    <cellStyle name="Vírgula 9 2 5 5 3 2" xfId="45776" xr:uid="{C47D5E8E-B187-4095-9FC2-3FC10DD324FC}"/>
    <cellStyle name="Vírgula 9 2 5 5 4" xfId="12809" xr:uid="{DEED26A3-AFEF-42DA-8CBE-03A264641508}"/>
    <cellStyle name="Vírgula 9 2 5 5 4 2" xfId="33150" xr:uid="{2F6B2E6F-B97E-425B-905B-A9FEA08282DA}"/>
    <cellStyle name="Vírgula 9 2 5 5 5" xfId="11898" xr:uid="{B645657C-F3C7-42A5-8FD9-067C7D51AE09}"/>
    <cellStyle name="Vírgula 9 2 5 5 5 2" xfId="32240" xr:uid="{CBA1A35E-A929-4886-9219-716D8C8B0361}"/>
    <cellStyle name="Vírgula 9 2 5 5 6" xfId="28746" xr:uid="{743D68D9-5C6E-4B7C-AF26-6FCF34E9CDF9}"/>
    <cellStyle name="Vírgula 9 2 5 6" xfId="8668" xr:uid="{51C67D88-70F4-46CB-9478-884B45411F63}"/>
    <cellStyle name="Vírgula 9 2 5 6 2" xfId="15706" xr:uid="{13129396-E793-41E3-9427-0D54DA438A71}"/>
    <cellStyle name="Vírgula 9 2 5 6 2 2" xfId="36046" xr:uid="{86970BBF-77D5-4F84-A347-0B347FA04C0E}"/>
    <cellStyle name="Vírgula 9 2 5 6 3" xfId="29011" xr:uid="{295752AC-363B-4F40-81AF-5E71EEC3A0A0}"/>
    <cellStyle name="Vírgula 9 2 5 7" xfId="18620" xr:uid="{F0D54ACF-A0C3-42CB-8CC1-5696587B4F26}"/>
    <cellStyle name="Vírgula 9 2 5 7 2" xfId="38960" xr:uid="{39C5CAAE-18EE-45D5-B1E2-0635A818E4A8}"/>
    <cellStyle name="Vírgula 9 2 5 8" xfId="19208" xr:uid="{49899CE4-B635-43D2-B9C8-ABC672840FAB}"/>
    <cellStyle name="Vírgula 9 2 5 8 2" xfId="39547" xr:uid="{E7DE0E45-0F0C-4FC9-99E4-BACEC1FD3831}"/>
    <cellStyle name="Vírgula 9 2 5 9" xfId="22463" xr:uid="{C30A9255-72AC-4E6F-8654-0A7EDC314BEA}"/>
    <cellStyle name="Vírgula 9 2 5 9 2" xfId="42798" xr:uid="{A7485192-50EB-4355-815E-F37F6E12CD4D}"/>
    <cellStyle name="Vírgula 9 2 6" xfId="3885" xr:uid="{216C9D4B-FA8D-41EE-A592-1C3721C64953}"/>
    <cellStyle name="Vírgula 9 2 6 10" xfId="12238" xr:uid="{7D974CCD-97CF-416B-A7AA-32CB6A06A1F0}"/>
    <cellStyle name="Vírgula 9 2 6 10 2" xfId="32579" xr:uid="{EF94B2C6-BC44-46A9-B128-C9C51D2770F4}"/>
    <cellStyle name="Vírgula 9 2 6 11" xfId="8977" xr:uid="{00D2592C-4B0E-4307-A91E-1B30340C1278}"/>
    <cellStyle name="Vírgula 9 2 6 11 2" xfId="29320" xr:uid="{51F8C305-D088-4D5C-B048-DA2BAB224C91}"/>
    <cellStyle name="Vírgula 9 2 6 12" xfId="25826" xr:uid="{DF940F80-7671-4444-AE34-AE742CCCC4F0}"/>
    <cellStyle name="Vírgula 9 2 6 13" xfId="46035" xr:uid="{C9333BEA-9DEC-431A-A49E-88BE53AE4F00}"/>
    <cellStyle name="Vírgula 9 2 6 14" xfId="46521" xr:uid="{DF02E5DC-402C-43AB-9AE8-0419F03B4D62}"/>
    <cellStyle name="Vírgula 9 2 6 15" xfId="47013" xr:uid="{14266080-A763-47D6-AF2A-6D4B9DA2278A}"/>
    <cellStyle name="Vírgula 9 2 6 16" xfId="56229" xr:uid="{43633BF5-5FB7-402E-B740-F217FB5F4333}"/>
    <cellStyle name="Vírgula 9 2 6 17" xfId="5487" xr:uid="{AE55298D-CEDA-4CB9-86B6-0C8448B440DB}"/>
    <cellStyle name="Vírgula 9 2 6 18" xfId="4934" xr:uid="{B7732FF2-E75A-4C8A-B291-BF23665129DC}"/>
    <cellStyle name="Vírgula 9 2 6 2" xfId="5153" xr:uid="{3B5B975F-82A7-4281-A146-C7924D4C11F6}"/>
    <cellStyle name="Vírgula 9 2 6 2 10" xfId="46764" xr:uid="{6B6A5BB6-A22F-41BE-9DBB-592B07A9D02D}"/>
    <cellStyle name="Vírgula 9 2 6 2 11" xfId="47256" xr:uid="{1FC0DC8F-1C22-4877-944F-4D58D6D7B22F}"/>
    <cellStyle name="Vírgula 9 2 6 2 12" xfId="6059" xr:uid="{87ED70DA-327F-40B3-B24B-C78C4E2F867C}"/>
    <cellStyle name="Vírgula 9 2 6 2 2" xfId="7217" xr:uid="{4921E6CB-E048-468D-9F6D-68D0CE74D019}"/>
    <cellStyle name="Vírgula 9 2 6 2 2 2" xfId="17503" xr:uid="{E07FEA1A-7A92-491E-8B4A-CCD581546B00}"/>
    <cellStyle name="Vírgula 9 2 6 2 2 2 2" xfId="37843" xr:uid="{7B6330CE-AFCE-4480-9028-17552D564B9B}"/>
    <cellStyle name="Vírgula 9 2 6 2 2 3" xfId="21005" xr:uid="{DCEA8E6C-763F-4F77-B237-28648C36E11D}"/>
    <cellStyle name="Vírgula 9 2 6 2 2 3 2" xfId="41344" xr:uid="{88EA3C11-7EFD-4FA3-8167-7F468D7748C1}"/>
    <cellStyle name="Vírgula 9 2 6 2 2 4" xfId="24260" xr:uid="{88CC51C3-9146-479E-95A2-E956BCBD04A7}"/>
    <cellStyle name="Vírgula 9 2 6 2 2 4 2" xfId="44595" xr:uid="{28ACB346-8BE5-41B8-8241-16434881668E}"/>
    <cellStyle name="Vírgula 9 2 6 2 2 5" xfId="14594" xr:uid="{11D86529-5724-4E8F-BB6E-8877254FA5DB}"/>
    <cellStyle name="Vírgula 9 2 6 2 2 5 2" xfId="34935" xr:uid="{F7FCC6F9-90D2-40C8-9489-65A2FF4FDBE9}"/>
    <cellStyle name="Vírgula 9 2 6 2 2 6" xfId="10716" xr:uid="{44AD1AF3-1891-4357-97AA-C043D01DB35C}"/>
    <cellStyle name="Vírgula 9 2 6 2 2 6 2" xfId="31059" xr:uid="{614560FD-DD9B-4A22-8324-8368E1E54098}"/>
    <cellStyle name="Vírgula 9 2 6 2 2 7" xfId="27565" xr:uid="{F4CDAE84-C976-4711-9A91-046E04283EA8}"/>
    <cellStyle name="Vírgula 9 2 6 2 3" xfId="16345" xr:uid="{ADA298F1-8D1E-42C8-8CBB-674557C97F6E}"/>
    <cellStyle name="Vírgula 9 2 6 2 3 2" xfId="36685" xr:uid="{B25ABCB9-065D-4648-8034-20A4B7D77F26}"/>
    <cellStyle name="Vírgula 9 2 6 2 4" xfId="19847" xr:uid="{2C2FF8AB-D2BB-470E-9E77-40CFF39EDF56}"/>
    <cellStyle name="Vírgula 9 2 6 2 4 2" xfId="40186" xr:uid="{5477FCB9-7FFE-45F1-A764-D755E7283CBB}"/>
    <cellStyle name="Vírgula 9 2 6 2 5" xfId="23102" xr:uid="{961D5BD9-062E-417B-8AD8-4D3E0BAC6698}"/>
    <cellStyle name="Vírgula 9 2 6 2 5 2" xfId="43437" xr:uid="{E8B592B2-A898-48E2-A3C4-EA0EB60884DC}"/>
    <cellStyle name="Vírgula 9 2 6 2 6" xfId="13436" xr:uid="{D6D97874-557A-4F0C-97EA-FD1D5B526432}"/>
    <cellStyle name="Vírgula 9 2 6 2 6 2" xfId="33777" xr:uid="{1C08F99A-0430-4E36-A350-FC57994C38C1}"/>
    <cellStyle name="Vírgula 9 2 6 2 7" xfId="9558" xr:uid="{39E0E153-9A13-4401-B530-05F4F11AEF4B}"/>
    <cellStyle name="Vírgula 9 2 6 2 7 2" xfId="29901" xr:uid="{4524F3BC-44B6-43B6-9F63-E14052357768}"/>
    <cellStyle name="Vírgula 9 2 6 2 8" xfId="26407" xr:uid="{4AC24BC6-54FA-4FF5-8332-854639A65AF3}"/>
    <cellStyle name="Vírgula 9 2 6 2 9" xfId="46278" xr:uid="{97867AA4-548C-438E-9F00-9869BB14B01D}"/>
    <cellStyle name="Vírgula 9 2 6 3" xfId="6636" xr:uid="{4C46C129-F48B-4B60-9EF0-228E81A4A928}"/>
    <cellStyle name="Vírgula 9 2 6 3 2" xfId="16922" xr:uid="{FCF703CA-EE0E-4B8A-BFD7-B033E398F1CB}"/>
    <cellStyle name="Vírgula 9 2 6 3 2 2" xfId="37262" xr:uid="{4F4EEE5E-2F1B-4573-88E7-FFC34962EE0A}"/>
    <cellStyle name="Vírgula 9 2 6 3 3" xfId="20424" xr:uid="{0EB758EE-9248-4A7E-BAB7-AFE4C72F4357}"/>
    <cellStyle name="Vírgula 9 2 6 3 3 2" xfId="40763" xr:uid="{273D35B0-546D-46BD-BE02-F06A9CCF29A9}"/>
    <cellStyle name="Vírgula 9 2 6 3 4" xfId="23679" xr:uid="{8800035D-87F4-4992-89B1-6FE821DF05BA}"/>
    <cellStyle name="Vírgula 9 2 6 3 4 2" xfId="44014" xr:uid="{3B045015-CA74-4C5D-B0A2-1E2E987455FA}"/>
    <cellStyle name="Vírgula 9 2 6 3 5" xfId="14013" xr:uid="{A978C829-24BA-47C9-9E4C-B729BB7C0B35}"/>
    <cellStyle name="Vírgula 9 2 6 3 5 2" xfId="34354" xr:uid="{4C283C40-B2E1-4F81-A590-240014A8DE4D}"/>
    <cellStyle name="Vírgula 9 2 6 3 6" xfId="10135" xr:uid="{F3DFA96F-C46A-4A9E-8DC0-266FFDBB6043}"/>
    <cellStyle name="Vírgula 9 2 6 3 6 2" xfId="30478" xr:uid="{2A69796D-F0BE-4AC4-90E1-C0A43FE9981F}"/>
    <cellStyle name="Vírgula 9 2 6 3 7" xfId="26984" xr:uid="{1BAEC4E5-C501-4C2A-A4DD-8C72A8088B43}"/>
    <cellStyle name="Vírgula 9 2 6 4" xfId="7800" xr:uid="{141A31E6-2116-4966-81F0-37A9054E36C6}"/>
    <cellStyle name="Vírgula 9 2 6 4 2" xfId="18085" xr:uid="{38831DD2-D88D-4304-B82C-B0438AC16E6A}"/>
    <cellStyle name="Vírgula 9 2 6 4 2 2" xfId="38425" xr:uid="{C28EC630-EA37-4694-8FC6-A821D7AA5913}"/>
    <cellStyle name="Vírgula 9 2 6 4 3" xfId="21587" xr:uid="{467ECAE2-65F9-40F6-8CE2-492980B0D5C7}"/>
    <cellStyle name="Vírgula 9 2 6 4 3 2" xfId="41926" xr:uid="{87D71609-8B10-4E9F-8122-7E5A8C776FF3}"/>
    <cellStyle name="Vírgula 9 2 6 4 4" xfId="24842" xr:uid="{FE563FFF-FC0C-410F-A37B-A72DD03453D8}"/>
    <cellStyle name="Vírgula 9 2 6 4 4 2" xfId="45177" xr:uid="{DFCFC813-F59B-478D-BF72-C755AA683230}"/>
    <cellStyle name="Vírgula 9 2 6 4 5" xfId="15177" xr:uid="{BF821C33-027F-438D-9647-DC815D7F40C2}"/>
    <cellStyle name="Vírgula 9 2 6 4 5 2" xfId="35517" xr:uid="{535685B2-7129-4850-9C46-A3764D13A912}"/>
    <cellStyle name="Vírgula 9 2 6 4 6" xfId="11298" xr:uid="{0232CB9D-6318-44AF-A9ED-6F09D83C2B25}"/>
    <cellStyle name="Vírgula 9 2 6 4 6 2" xfId="31641" xr:uid="{74ABB67C-C7D5-467E-8A4A-CA29A8AAEC7C}"/>
    <cellStyle name="Vírgula 9 2 6 4 7" xfId="28147" xr:uid="{9B681428-42A2-43BD-9915-125B8153BBC4}"/>
    <cellStyle name="Vírgula 9 2 6 5" xfId="8404" xr:uid="{2A98E294-889B-4659-98A2-83CC1FF7926D}"/>
    <cellStyle name="Vírgula 9 2 6 5 2" xfId="22191" xr:uid="{64B61807-6876-4A6F-8A24-10CC5D377925}"/>
    <cellStyle name="Vírgula 9 2 6 5 2 2" xfId="42527" xr:uid="{E8DFE3A5-CE19-4881-ACAF-9B0F71443633}"/>
    <cellStyle name="Vírgula 9 2 6 5 3" xfId="25443" xr:uid="{ED4E06F9-8CE9-4D5C-B22B-DE94A727CBD6}"/>
    <cellStyle name="Vírgula 9 2 6 5 3 2" xfId="45778" xr:uid="{CFCB24CB-7A81-4C35-9E99-AD982A21FDCF}"/>
    <cellStyle name="Vírgula 9 2 6 5 4" xfId="12867" xr:uid="{7609AEBC-1EE9-4B70-800E-EF95D552107C}"/>
    <cellStyle name="Vírgula 9 2 6 5 4 2" xfId="33208" xr:uid="{45E647E5-2759-490D-B676-03AB9CA5B66E}"/>
    <cellStyle name="Vírgula 9 2 6 5 5" xfId="11900" xr:uid="{9ACE8784-2A18-445D-8F7B-23247592F148}"/>
    <cellStyle name="Vírgula 9 2 6 5 5 2" xfId="32242" xr:uid="{D3D1D921-7C0C-4DA3-A399-63BC42C745E4}"/>
    <cellStyle name="Vírgula 9 2 6 5 6" xfId="28748" xr:uid="{3022762D-8423-4975-B5F3-5AFDAB9E5106}"/>
    <cellStyle name="Vírgula 9 2 6 6" xfId="8660" xr:uid="{5C2B1A1D-E571-40E1-8EFA-3EAB8FB56F21}"/>
    <cellStyle name="Vírgula 9 2 6 6 2" xfId="15764" xr:uid="{01F3B051-005F-45E3-915F-1385C4D2D105}"/>
    <cellStyle name="Vírgula 9 2 6 6 2 2" xfId="36104" xr:uid="{58B0A095-582C-40A3-BBB0-ABD5D4DFA3B7}"/>
    <cellStyle name="Vírgula 9 2 6 6 3" xfId="29003" xr:uid="{0C5988BF-FB4D-4771-8219-DF824E729823}"/>
    <cellStyle name="Vírgula 9 2 6 7" xfId="18678" xr:uid="{3BA0EE9A-5116-46BB-9561-6E09B50CD028}"/>
    <cellStyle name="Vírgula 9 2 6 7 2" xfId="39018" xr:uid="{0E5BE80E-6E50-409D-A4AF-B0D472946B32}"/>
    <cellStyle name="Vírgula 9 2 6 8" xfId="19266" xr:uid="{ACCA5CB3-32E8-4A3A-8994-B983D5C13274}"/>
    <cellStyle name="Vírgula 9 2 6 8 2" xfId="39605" xr:uid="{9B71E33E-E085-424D-9A64-8DF269A53B15}"/>
    <cellStyle name="Vírgula 9 2 6 9" xfId="22521" xr:uid="{0EA91905-EF6C-46FC-B900-20EA7E654567}"/>
    <cellStyle name="Vírgula 9 2 6 9 2" xfId="42856" xr:uid="{99D58C8D-4388-465A-BC74-1FA74896DA87}"/>
    <cellStyle name="Vírgula 9 2 7" xfId="1995" xr:uid="{8C786094-CD6E-41F0-81C1-3CBF0E0513D7}"/>
    <cellStyle name="Vírgula 9 2 7 10" xfId="12313" xr:uid="{A65EFDF2-316D-40BA-B988-E021561865D7}"/>
    <cellStyle name="Vírgula 9 2 7 10 2" xfId="32654" xr:uid="{79CFF6A2-C284-4252-9A8B-90851D4F0FDE}"/>
    <cellStyle name="Vírgula 9 2 7 11" xfId="9052" xr:uid="{E81FE29A-03E8-42CC-9620-148C595F8B33}"/>
    <cellStyle name="Vírgula 9 2 7 11 2" xfId="29395" xr:uid="{275FE735-0429-4F9B-BED5-9A0FCF540C73}"/>
    <cellStyle name="Vírgula 9 2 7 12" xfId="25901" xr:uid="{2D15C852-F2E9-4E32-8FC5-50B6A3C6CE6E}"/>
    <cellStyle name="Vírgula 9 2 7 13" xfId="46064" xr:uid="{1F0C7114-EA6F-4B6A-876D-7C005944919F}"/>
    <cellStyle name="Vírgula 9 2 7 14" xfId="46550" xr:uid="{B0E261CC-A11A-4F44-B829-7DC6E99DB465}"/>
    <cellStyle name="Vírgula 9 2 7 15" xfId="47042" xr:uid="{1B2EB087-4473-4531-ACC0-ABFD56C8FB3D}"/>
    <cellStyle name="Vírgula 9 2 7 16" xfId="5562" xr:uid="{E3339057-C708-4A80-B5BB-04276BE17A07}"/>
    <cellStyle name="Vírgula 9 2 7 17" xfId="4965" xr:uid="{3442096C-3B5E-4F89-B937-2283FE44F427}"/>
    <cellStyle name="Vírgula 9 2 7 2" xfId="6134" xr:uid="{B59D1B32-B99B-4EAF-8B58-D571ABD4F7B7}"/>
    <cellStyle name="Vírgula 9 2 7 2 2" xfId="7292" xr:uid="{9727604F-D927-43CF-863A-9993635A0498}"/>
    <cellStyle name="Vírgula 9 2 7 2 2 2" xfId="17578" xr:uid="{5F7E93D9-7D48-44C1-8D0F-CFBE916D3098}"/>
    <cellStyle name="Vírgula 9 2 7 2 2 2 2" xfId="37918" xr:uid="{8E8A71F8-BD16-497B-AF8F-243AE053EA98}"/>
    <cellStyle name="Vírgula 9 2 7 2 2 3" xfId="21080" xr:uid="{D91C9FC1-F078-41E2-B572-6B90A04F40B1}"/>
    <cellStyle name="Vírgula 9 2 7 2 2 3 2" xfId="41419" xr:uid="{3D69C89F-35B7-462C-9A33-B716C0742B39}"/>
    <cellStyle name="Vírgula 9 2 7 2 2 4" xfId="24335" xr:uid="{7E14ED75-5025-4179-BFD3-63C33394E192}"/>
    <cellStyle name="Vírgula 9 2 7 2 2 4 2" xfId="44670" xr:uid="{3755340C-6C19-4101-A26F-8D8DB11B0A16}"/>
    <cellStyle name="Vírgula 9 2 7 2 2 5" xfId="14669" xr:uid="{BAC2F3A6-92A7-4F4E-8D42-DE7E7EFDE30E}"/>
    <cellStyle name="Vírgula 9 2 7 2 2 5 2" xfId="35010" xr:uid="{70EDC07F-70D5-4E48-B244-145E4452A492}"/>
    <cellStyle name="Vírgula 9 2 7 2 2 6" xfId="10791" xr:uid="{B4DE928A-C852-436D-A487-F0D470826882}"/>
    <cellStyle name="Vírgula 9 2 7 2 2 6 2" xfId="31134" xr:uid="{131A727D-6F78-42BC-8CFA-DB321709F5B9}"/>
    <cellStyle name="Vírgula 9 2 7 2 2 7" xfId="27640" xr:uid="{961DC332-10D8-4587-822D-96BC4DCA3399}"/>
    <cellStyle name="Vírgula 9 2 7 2 3" xfId="16420" xr:uid="{65F0608C-DEFE-4FD1-B201-8680EEA01935}"/>
    <cellStyle name="Vírgula 9 2 7 2 3 2" xfId="36760" xr:uid="{2D948A61-71FE-42DA-B52C-A271A50968FD}"/>
    <cellStyle name="Vírgula 9 2 7 2 4" xfId="19922" xr:uid="{7D8CA471-2B45-44B8-8649-6379ED30620E}"/>
    <cellStyle name="Vírgula 9 2 7 2 4 2" xfId="40261" xr:uid="{3D27E8AE-B404-4C5A-A520-39301D830A91}"/>
    <cellStyle name="Vírgula 9 2 7 2 5" xfId="23177" xr:uid="{80284238-5021-469C-BCDD-E50D8BF3AE45}"/>
    <cellStyle name="Vírgula 9 2 7 2 5 2" xfId="43512" xr:uid="{6C9E0A1E-13E8-4810-8AE7-942133988CB0}"/>
    <cellStyle name="Vírgula 9 2 7 2 6" xfId="13511" xr:uid="{734B2CDC-392A-48D6-9718-BFD171239159}"/>
    <cellStyle name="Vírgula 9 2 7 2 6 2" xfId="33852" xr:uid="{BD95AE9D-8D87-4F25-BE15-FFC7D01A6D3C}"/>
    <cellStyle name="Vírgula 9 2 7 2 7" xfId="9633" xr:uid="{3EDC7CB6-1068-4E6F-A2DC-A2FEB30B2557}"/>
    <cellStyle name="Vírgula 9 2 7 2 7 2" xfId="29976" xr:uid="{C88F7A1F-2119-4456-86C7-12A895345621}"/>
    <cellStyle name="Vírgula 9 2 7 2 8" xfId="26482" xr:uid="{F912145A-7906-4B1A-9B16-A9DB9E62DC39}"/>
    <cellStyle name="Vírgula 9 2 7 3" xfId="6711" xr:uid="{393AE172-B34F-4F51-A5A7-694FDD86EDBD}"/>
    <cellStyle name="Vírgula 9 2 7 3 2" xfId="16997" xr:uid="{E79FF7CD-83C5-4581-A55A-587386222B14}"/>
    <cellStyle name="Vírgula 9 2 7 3 2 2" xfId="37337" xr:uid="{D55553C6-7EE6-4684-AD84-39E6EADBCAC0}"/>
    <cellStyle name="Vírgula 9 2 7 3 3" xfId="20499" xr:uid="{071A3049-2313-4741-BAA2-36A7BDC8DE61}"/>
    <cellStyle name="Vírgula 9 2 7 3 3 2" xfId="40838" xr:uid="{1581DDE3-A52C-49F4-B341-CC347CFB7E3B}"/>
    <cellStyle name="Vírgula 9 2 7 3 4" xfId="23754" xr:uid="{DB806929-0A2C-44CC-B2AA-D67F80690837}"/>
    <cellStyle name="Vírgula 9 2 7 3 4 2" xfId="44089" xr:uid="{BC6EB2C7-A8B0-4130-AA18-E2C6F2371495}"/>
    <cellStyle name="Vírgula 9 2 7 3 5" xfId="14088" xr:uid="{CE545F51-ACE5-4EFF-ACD0-0EC102D9B04A}"/>
    <cellStyle name="Vírgula 9 2 7 3 5 2" xfId="34429" xr:uid="{6CCBDF2B-A4D7-4062-847C-A7A968FF8CD7}"/>
    <cellStyle name="Vírgula 9 2 7 3 6" xfId="10210" xr:uid="{8959DEA0-3AD6-4587-96F2-AEBD3C11E273}"/>
    <cellStyle name="Vírgula 9 2 7 3 6 2" xfId="30553" xr:uid="{AE3FC608-7726-4142-8DB8-BB4F37887299}"/>
    <cellStyle name="Vírgula 9 2 7 3 7" xfId="27059" xr:uid="{D2B03D80-F725-4CA2-8B3D-919DD38CA69A}"/>
    <cellStyle name="Vírgula 9 2 7 4" xfId="7875" xr:uid="{B9D707FC-E666-4DF4-85C3-BE40CBA8B248}"/>
    <cellStyle name="Vírgula 9 2 7 4 2" xfId="18160" xr:uid="{D8838912-CA9F-46C6-B98A-9B6B048C70A4}"/>
    <cellStyle name="Vírgula 9 2 7 4 2 2" xfId="38500" xr:uid="{DCB1F85A-1A86-4EB0-B40F-A0AAE260761F}"/>
    <cellStyle name="Vírgula 9 2 7 4 3" xfId="21662" xr:uid="{8ABB9E64-CFF9-43FA-9132-474C7E514B07}"/>
    <cellStyle name="Vírgula 9 2 7 4 3 2" xfId="42001" xr:uid="{D80E70B6-E404-4C74-9D78-D17448D54098}"/>
    <cellStyle name="Vírgula 9 2 7 4 4" xfId="24917" xr:uid="{2BF1AED1-B891-4078-8205-F713AD202776}"/>
    <cellStyle name="Vírgula 9 2 7 4 4 2" xfId="45252" xr:uid="{366C73F1-2747-42D0-AA5A-EB254502C248}"/>
    <cellStyle name="Vírgula 9 2 7 4 5" xfId="15252" xr:uid="{CD8496FE-53A1-43E5-8D87-75EBFB5F4D81}"/>
    <cellStyle name="Vírgula 9 2 7 4 5 2" xfId="35592" xr:uid="{A4A7F453-4FF2-458B-AC68-32503DE6E328}"/>
    <cellStyle name="Vírgula 9 2 7 4 6" xfId="11373" xr:uid="{78791603-40BA-4558-AAEE-60DA473E01C6}"/>
    <cellStyle name="Vírgula 9 2 7 4 6 2" xfId="31716" xr:uid="{DB3096EE-28AE-432E-AEA7-015797106FA6}"/>
    <cellStyle name="Vírgula 9 2 7 4 7" xfId="28222" xr:uid="{448AF7F8-FF71-4E34-B814-35D7824B6677}"/>
    <cellStyle name="Vírgula 9 2 7 5" xfId="8405" xr:uid="{C89158B1-BB6C-4C89-839D-251529E76293}"/>
    <cellStyle name="Vírgula 9 2 7 5 2" xfId="22192" xr:uid="{DECABC7F-AAFE-46A1-87CB-07A18BE811F1}"/>
    <cellStyle name="Vírgula 9 2 7 5 2 2" xfId="42528" xr:uid="{6483309D-369D-4DD6-8C50-F7E638D7A9AE}"/>
    <cellStyle name="Vírgula 9 2 7 5 3" xfId="25444" xr:uid="{D8CA6E6A-265A-4DE7-81C0-1AFD3F192D74}"/>
    <cellStyle name="Vírgula 9 2 7 5 3 2" xfId="45779" xr:uid="{82DF5E34-E654-425B-A97E-CC3102CBCF8E}"/>
    <cellStyle name="Vírgula 9 2 7 5 4" xfId="12942" xr:uid="{4B090736-85DD-4E36-98DF-7DDEF13811AC}"/>
    <cellStyle name="Vírgula 9 2 7 5 4 2" xfId="33283" xr:uid="{9C5DD9D3-82F1-4133-BD48-C1216401BADB}"/>
    <cellStyle name="Vírgula 9 2 7 5 5" xfId="11901" xr:uid="{3975A69A-3795-4791-94A6-50E44DEF979B}"/>
    <cellStyle name="Vírgula 9 2 7 5 5 2" xfId="32243" xr:uid="{51CBE104-5B18-4237-8641-71C44FA1D170}"/>
    <cellStyle name="Vírgula 9 2 7 5 6" xfId="28749" xr:uid="{957CF794-E794-48E6-8094-30A73A2C633A}"/>
    <cellStyle name="Vírgula 9 2 7 6" xfId="15839" xr:uid="{4FB84508-0272-4AC6-A26B-BD02A5DBBD41}"/>
    <cellStyle name="Vírgula 9 2 7 6 2" xfId="36179" xr:uid="{F7937CE5-6898-47F7-9838-1FE09D23153D}"/>
    <cellStyle name="Vírgula 9 2 7 7" xfId="18753" xr:uid="{FC9F2EAA-A8D7-4878-A8A3-B1D935A8285A}"/>
    <cellStyle name="Vírgula 9 2 7 7 2" xfId="39093" xr:uid="{71EF9675-6768-438B-B36D-EDD650DEE77E}"/>
    <cellStyle name="Vírgula 9 2 7 8" xfId="19341" xr:uid="{55D67A90-2516-48CA-B6BD-040FEB72A7AB}"/>
    <cellStyle name="Vírgula 9 2 7 8 2" xfId="39680" xr:uid="{9998C972-4B8D-4E19-849D-26E4CA4859DF}"/>
    <cellStyle name="Vírgula 9 2 7 9" xfId="22596" xr:uid="{ECDBCA42-E41B-435E-B076-4EF5844FA558}"/>
    <cellStyle name="Vírgula 9 2 7 9 2" xfId="42931" xr:uid="{FD1E134D-8F0B-4441-AF92-A2F088D98E02}"/>
    <cellStyle name="Vírgula 9 2 8" xfId="4795" xr:uid="{85CE0B47-79E2-4C50-89A9-596EFAE750C2}"/>
    <cellStyle name="Vírgula 9 2 8 10" xfId="12411" xr:uid="{103CBFC7-C01B-4D65-A6B3-990CC9C1C433}"/>
    <cellStyle name="Vírgula 9 2 8 10 2" xfId="32752" xr:uid="{8AF46D9E-F9EA-46A7-B1AA-684CA4D47D68}"/>
    <cellStyle name="Vírgula 9 2 8 11" xfId="9150" xr:uid="{D1E05461-845E-4B69-8317-374B6135106A}"/>
    <cellStyle name="Vírgula 9 2 8 11 2" xfId="29493" xr:uid="{2282F69A-F8C2-4195-BBB2-DF1C9E747FA2}"/>
    <cellStyle name="Vírgula 9 2 8 12" xfId="25999" xr:uid="{46BB51A0-BA69-41AA-AB85-58C14CF4B2C9}"/>
    <cellStyle name="Vírgula 9 2 8 13" xfId="5660" xr:uid="{2253681B-EA8C-4173-8C94-AA84A4BEA255}"/>
    <cellStyle name="Vírgula 9 2 8 2" xfId="6232" xr:uid="{A50C68C7-6B60-4B71-8A9B-F7624A02C135}"/>
    <cellStyle name="Vírgula 9 2 8 2 2" xfId="7390" xr:uid="{CBAD16CF-8910-4A61-BE64-D08A25623634}"/>
    <cellStyle name="Vírgula 9 2 8 2 2 2" xfId="17676" xr:uid="{5F6B62E1-9D17-4B25-A87C-C3745C8C0D09}"/>
    <cellStyle name="Vírgula 9 2 8 2 2 2 2" xfId="38016" xr:uid="{318BCFC3-37FA-434A-9B8F-07923984B076}"/>
    <cellStyle name="Vírgula 9 2 8 2 2 3" xfId="21178" xr:uid="{8E308BE9-0A47-44BC-A4C6-E1F65559A856}"/>
    <cellStyle name="Vírgula 9 2 8 2 2 3 2" xfId="41517" xr:uid="{1CDC1649-D659-41AC-A239-B8A396E140E9}"/>
    <cellStyle name="Vírgula 9 2 8 2 2 4" xfId="24433" xr:uid="{7A5D6BC3-E374-4B30-B70E-C7E46173FC39}"/>
    <cellStyle name="Vírgula 9 2 8 2 2 4 2" xfId="44768" xr:uid="{7C3ED341-3823-46F2-99D1-6AD2AD5759CD}"/>
    <cellStyle name="Vírgula 9 2 8 2 2 5" xfId="14767" xr:uid="{59D9CE3F-A8FD-4F35-AD66-81113BD0281E}"/>
    <cellStyle name="Vírgula 9 2 8 2 2 5 2" xfId="35108" xr:uid="{9F6F894E-1D34-4E7D-AFF9-DAD83D3FCE29}"/>
    <cellStyle name="Vírgula 9 2 8 2 2 6" xfId="10889" xr:uid="{C253C048-3C9B-4DE3-97A7-1ED50EC54435}"/>
    <cellStyle name="Vírgula 9 2 8 2 2 6 2" xfId="31232" xr:uid="{44DFFE2B-1502-41B0-A40A-7B7FE8ACF29B}"/>
    <cellStyle name="Vírgula 9 2 8 2 2 7" xfId="27738" xr:uid="{BDD186D0-5846-4F1A-8424-0F07FC08A56E}"/>
    <cellStyle name="Vírgula 9 2 8 2 3" xfId="16518" xr:uid="{AC7E30FB-5D3B-4EFC-B3CE-A389D92861A6}"/>
    <cellStyle name="Vírgula 9 2 8 2 3 2" xfId="36858" xr:uid="{C51F52A4-B5E7-4C33-A4F4-8B5FECA89803}"/>
    <cellStyle name="Vírgula 9 2 8 2 4" xfId="20020" xr:uid="{FF8B4A02-E031-4AFC-B3BE-BBBEF74CD5F5}"/>
    <cellStyle name="Vírgula 9 2 8 2 4 2" xfId="40359" xr:uid="{1F8A9B9F-B144-4F62-8FC4-220DD2C00C54}"/>
    <cellStyle name="Vírgula 9 2 8 2 5" xfId="23275" xr:uid="{9F99197E-F812-4B25-BAC7-340D6D17639F}"/>
    <cellStyle name="Vírgula 9 2 8 2 5 2" xfId="43610" xr:uid="{358DD877-B65A-47E9-8C32-5AACB86EDC60}"/>
    <cellStyle name="Vírgula 9 2 8 2 6" xfId="13609" xr:uid="{2C95E028-DB36-422E-BB9A-960CC425F9EF}"/>
    <cellStyle name="Vírgula 9 2 8 2 6 2" xfId="33950" xr:uid="{FA6A19ED-FB6D-473A-8305-EE68702FF6B5}"/>
    <cellStyle name="Vírgula 9 2 8 2 7" xfId="9731" xr:uid="{4FB4EBA3-5378-4BB3-97F2-F981C041D57C}"/>
    <cellStyle name="Vírgula 9 2 8 2 7 2" xfId="30074" xr:uid="{9AC014EC-7DEA-40F1-9123-0CAC153D5B00}"/>
    <cellStyle name="Vírgula 9 2 8 2 8" xfId="26580" xr:uid="{D72E203C-3344-4DD8-86B7-EA6771D4113A}"/>
    <cellStyle name="Vírgula 9 2 8 3" xfId="6809" xr:uid="{AF4940DE-9830-4CA8-9CD0-0DD5C0A59603}"/>
    <cellStyle name="Vírgula 9 2 8 3 2" xfId="17095" xr:uid="{43EF82B5-6F7A-4739-AB67-F6E6B82F8502}"/>
    <cellStyle name="Vírgula 9 2 8 3 2 2" xfId="37435" xr:uid="{39DB70B4-2688-4F76-A1C9-DE6392584B05}"/>
    <cellStyle name="Vírgula 9 2 8 3 3" xfId="20597" xr:uid="{DB8C919A-1BAA-4CE6-89EF-038869A6BEB0}"/>
    <cellStyle name="Vírgula 9 2 8 3 3 2" xfId="40936" xr:uid="{1B168A6B-581F-4755-9A58-B4452F2B0F70}"/>
    <cellStyle name="Vírgula 9 2 8 3 4" xfId="23852" xr:uid="{28C26EF2-B0B9-46B8-8BC7-5486A9E05C20}"/>
    <cellStyle name="Vírgula 9 2 8 3 4 2" xfId="44187" xr:uid="{28206AC4-10E5-46FB-8F34-0005C5A19AA2}"/>
    <cellStyle name="Vírgula 9 2 8 3 5" xfId="14186" xr:uid="{8274D6F2-BA0D-4AE9-8A2B-E7A25A44051A}"/>
    <cellStyle name="Vírgula 9 2 8 3 5 2" xfId="34527" xr:uid="{89562F49-7476-490F-9F26-4C10BB5F0FC7}"/>
    <cellStyle name="Vírgula 9 2 8 3 6" xfId="10308" xr:uid="{755A2557-3279-43B6-B8C5-DC194648C11F}"/>
    <cellStyle name="Vírgula 9 2 8 3 6 2" xfId="30651" xr:uid="{88AD9942-CB6A-4890-AA76-AE1EC87AEE06}"/>
    <cellStyle name="Vírgula 9 2 8 3 7" xfId="27157" xr:uid="{04A256FB-94CD-4968-BF58-332D4E31959E}"/>
    <cellStyle name="Vírgula 9 2 8 4" xfId="7973" xr:uid="{10B6924D-A3AD-4F0C-9410-92C58E1FA2D7}"/>
    <cellStyle name="Vírgula 9 2 8 4 2" xfId="18258" xr:uid="{6A0F42C6-925B-4770-B566-75C8AA3BD085}"/>
    <cellStyle name="Vírgula 9 2 8 4 2 2" xfId="38598" xr:uid="{F98001D8-FAC2-49F7-BA18-42DC354D0B20}"/>
    <cellStyle name="Vírgula 9 2 8 4 3" xfId="21760" xr:uid="{FCED671E-C50E-4A5D-BC6D-146C4D26E4AE}"/>
    <cellStyle name="Vírgula 9 2 8 4 3 2" xfId="42099" xr:uid="{DCC6B743-8931-431D-B88A-76BAD2AAF378}"/>
    <cellStyle name="Vírgula 9 2 8 4 4" xfId="25015" xr:uid="{BC9F7244-326B-4930-96B6-3A1E990DC5E7}"/>
    <cellStyle name="Vírgula 9 2 8 4 4 2" xfId="45350" xr:uid="{B4B445FA-DB9D-466F-96A6-4F7D0EBDED24}"/>
    <cellStyle name="Vírgula 9 2 8 4 5" xfId="15350" xr:uid="{7BD5A3A3-78D7-47AB-96CF-6842485392F0}"/>
    <cellStyle name="Vírgula 9 2 8 4 5 2" xfId="35690" xr:uid="{2E8BE861-BF4A-4493-B6A4-3E72D7E0D47B}"/>
    <cellStyle name="Vírgula 9 2 8 4 6" xfId="11471" xr:uid="{D6398E7D-BEFB-45CA-B0CD-9A8CEDEF88B8}"/>
    <cellStyle name="Vírgula 9 2 8 4 6 2" xfId="31814" xr:uid="{C5DF6F34-474E-4EBD-B260-C875D35B4AE3}"/>
    <cellStyle name="Vírgula 9 2 8 4 7" xfId="28320" xr:uid="{342A3FF1-B7E5-4D65-AF39-935AD21DAE2E}"/>
    <cellStyle name="Vírgula 9 2 8 5" xfId="13040" xr:uid="{34CE2B65-CFB9-4197-9FB5-82DC40ACE7C7}"/>
    <cellStyle name="Vírgula 9 2 8 5 2" xfId="33381" xr:uid="{7D7C79FE-FA4D-45A8-9BF3-26FEE3A58133}"/>
    <cellStyle name="Vírgula 9 2 8 6" xfId="15937" xr:uid="{3F464C75-4A54-4DA0-AFFD-731F5667C850}"/>
    <cellStyle name="Vírgula 9 2 8 6 2" xfId="36277" xr:uid="{A60FC974-9FD2-46E9-A33B-B5653CB50116}"/>
    <cellStyle name="Vírgula 9 2 8 7" xfId="18851" xr:uid="{6CAD59D5-6CF5-47CD-9D99-F7CC46C1BE1C}"/>
    <cellStyle name="Vírgula 9 2 8 7 2" xfId="39191" xr:uid="{A5E228FD-15C4-4718-8EEC-30151A81148F}"/>
    <cellStyle name="Vírgula 9 2 8 8" xfId="19439" xr:uid="{FE218936-17D2-402F-B653-E2F1E7670C24}"/>
    <cellStyle name="Vírgula 9 2 8 8 2" xfId="39778" xr:uid="{DF6E1ACA-7A13-4482-AF81-54AAB0FF9662}"/>
    <cellStyle name="Vírgula 9 2 8 9" xfId="22694" xr:uid="{0E97630C-7F1F-4928-B9AC-AE080B93973F}"/>
    <cellStyle name="Vírgula 9 2 8 9 2" xfId="43029" xr:uid="{7042AB32-B35D-45AA-BAF3-0995580B7A98}"/>
    <cellStyle name="Vírgula 9 2 9" xfId="5790" xr:uid="{25039E78-DF20-42CE-9702-9636421B75F0}"/>
    <cellStyle name="Vírgula 9 2 9 2" xfId="6948" xr:uid="{4CD18461-FD57-430D-9AAC-8193E546D0CF}"/>
    <cellStyle name="Vírgula 9 2 9 2 2" xfId="17234" xr:uid="{987BEED0-9472-4BAC-AFA5-A12FD5FFC958}"/>
    <cellStyle name="Vírgula 9 2 9 2 2 2" xfId="37574" xr:uid="{64F124BA-5202-47E7-88B7-590B84DD38F2}"/>
    <cellStyle name="Vírgula 9 2 9 2 3" xfId="20736" xr:uid="{F951E34A-7D40-479B-91AE-DF0F72D58D1D}"/>
    <cellStyle name="Vírgula 9 2 9 2 3 2" xfId="41075" xr:uid="{462AC131-92A2-46FD-930C-2F63676E63E5}"/>
    <cellStyle name="Vírgula 9 2 9 2 4" xfId="23991" xr:uid="{7E77BE7A-7DCD-48C4-B9E1-C6CCD66165E1}"/>
    <cellStyle name="Vírgula 9 2 9 2 4 2" xfId="44326" xr:uid="{7D9E14A8-A08C-4337-855A-7728AD295A58}"/>
    <cellStyle name="Vírgula 9 2 9 2 5" xfId="14325" xr:uid="{8FA85F90-DFA7-48C7-AD88-EC567C8E4429}"/>
    <cellStyle name="Vírgula 9 2 9 2 5 2" xfId="34666" xr:uid="{C4C3E08B-D62C-4FB4-B382-8FFB50C6AB8E}"/>
    <cellStyle name="Vírgula 9 2 9 2 6" xfId="10447" xr:uid="{DA4D545E-2AF1-4800-BAAE-76077A326D15}"/>
    <cellStyle name="Vírgula 9 2 9 2 6 2" xfId="30790" xr:uid="{18DF8FA8-16BE-4C5C-82C2-ECE53CDF8B90}"/>
    <cellStyle name="Vírgula 9 2 9 2 7" xfId="27296" xr:uid="{6B017FC9-69CB-4D4C-AAB6-0CBE412705A8}"/>
    <cellStyle name="Vírgula 9 2 9 3" xfId="16076" xr:uid="{802A04FE-3EF3-4C9E-94FB-B19FA8E002DD}"/>
    <cellStyle name="Vírgula 9 2 9 3 2" xfId="36416" xr:uid="{4B6D1EBA-AAF3-4206-8010-4D5D95A32DE2}"/>
    <cellStyle name="Vírgula 9 2 9 4" xfId="19578" xr:uid="{5B856C04-A160-4F55-82D6-0DE5A2A184E0}"/>
    <cellStyle name="Vírgula 9 2 9 4 2" xfId="39917" xr:uid="{D5CA0BD9-8FE3-4860-A3B1-3B0030120D9A}"/>
    <cellStyle name="Vírgula 9 2 9 5" xfId="22833" xr:uid="{397D6907-F4C8-44B1-A0FB-662477F0211E}"/>
    <cellStyle name="Vírgula 9 2 9 5 2" xfId="43168" xr:uid="{66A4BF6F-9272-42E4-8433-FE25CF8B979B}"/>
    <cellStyle name="Vírgula 9 2 9 6" xfId="13176" xr:uid="{1B3FF2D1-669B-4EE2-9AAB-8BE16B91D027}"/>
    <cellStyle name="Vírgula 9 2 9 6 2" xfId="33517" xr:uid="{40F599AC-172E-45D3-A4D4-8967C5987110}"/>
    <cellStyle name="Vírgula 9 2 9 7" xfId="9289" xr:uid="{3FF3E64C-CF24-45D7-800F-FC6E21B6A27D}"/>
    <cellStyle name="Vírgula 9 2 9 7 2" xfId="29632" xr:uid="{FF574E41-2C7F-4FD5-AF78-59357108B987}"/>
    <cellStyle name="Vírgula 9 2 9 8" xfId="26138" xr:uid="{209E80E3-65AE-42D9-A6F9-10C784096142}"/>
    <cellStyle name="Vírgula 9 20" xfId="8697" xr:uid="{86B8DFEB-062C-4238-8072-4C26DB5946AA}"/>
    <cellStyle name="Vírgula 9 20 2" xfId="29040" xr:uid="{9B79B0C4-508C-45B3-98AE-5B76B9F4FA76}"/>
    <cellStyle name="Vírgula 9 21" xfId="25542" xr:uid="{FD5F1A12-24F1-42CF-8B7A-DCBE56514BFB}"/>
    <cellStyle name="Vírgula 9 22" xfId="25517" xr:uid="{1A4D666F-458B-49EB-8764-1C26FA6E4409}"/>
    <cellStyle name="Vírgula 9 23" xfId="45810" xr:uid="{5173A4F2-04F8-471E-A024-C5B76F16649D}"/>
    <cellStyle name="Vírgula 9 24" xfId="46296" xr:uid="{D35D22C9-B34B-4A09-B4C2-1ABDFA4B34E9}"/>
    <cellStyle name="Vírgula 9 25" xfId="46788" xr:uid="{DA595890-08F9-4C8F-AA75-C458028F603D}"/>
    <cellStyle name="Vírgula 9 26" xfId="47360" xr:uid="{08C5E42A-8D2D-4329-8CE8-E937E5E37771}"/>
    <cellStyle name="Vírgula 9 27" xfId="47486" xr:uid="{85E3D5B5-A043-44E7-8993-643194C6ED41}"/>
    <cellStyle name="Vírgula 9 28" xfId="47612" xr:uid="{E4C7956D-757C-43CD-B51C-6A46317C93B5}"/>
    <cellStyle name="Vírgula 9 29" xfId="49346" xr:uid="{BBF5E113-DD03-4E09-A224-7FCCF8EA8FC2}"/>
    <cellStyle name="Vírgula 9 3" xfId="169" xr:uid="{CA148B9E-2DBC-48AE-B0A9-FE05FF6194EB}"/>
    <cellStyle name="Vírgula 9 3 10" xfId="7533" xr:uid="{30BEBE28-8995-4715-B56C-83395FFC7839}"/>
    <cellStyle name="Vírgula 9 3 10 2" xfId="17818" xr:uid="{93DAF14A-0A05-466D-8C01-BA962A0F2249}"/>
    <cellStyle name="Vírgula 9 3 10 2 2" xfId="38158" xr:uid="{B70D72FB-ED15-492F-868C-AD50FFD4DB57}"/>
    <cellStyle name="Vírgula 9 3 10 3" xfId="21320" xr:uid="{007F429B-BDD4-48EB-9C24-601579A10DD5}"/>
    <cellStyle name="Vírgula 9 3 10 3 2" xfId="41659" xr:uid="{52F7A184-29B5-44DE-B7A3-63A0AD20E66F}"/>
    <cellStyle name="Vírgula 9 3 10 4" xfId="24575" xr:uid="{1F481EFE-B3A4-4E29-A8EA-03651F76C4C8}"/>
    <cellStyle name="Vírgula 9 3 10 4 2" xfId="44910" xr:uid="{613FC469-B956-4B58-A758-D8BABEE14929}"/>
    <cellStyle name="Vírgula 9 3 10 5" xfId="14910" xr:uid="{0A306248-2978-4D71-B65E-42CEF705CD19}"/>
    <cellStyle name="Vírgula 9 3 10 5 2" xfId="35250" xr:uid="{7344606E-EBD6-4E1C-92B8-F4E98415963C}"/>
    <cellStyle name="Vírgula 9 3 10 6" xfId="11031" xr:uid="{6FA37740-85C5-45E6-BC2A-D19D50F7431B}"/>
    <cellStyle name="Vírgula 9 3 10 6 2" xfId="31374" xr:uid="{4468A467-5237-49C7-AA9C-547133FD4ECE}"/>
    <cellStyle name="Vírgula 9 3 10 7" xfId="27880" xr:uid="{B25601AD-3BDE-474A-8BA9-11F08B7112F4}"/>
    <cellStyle name="Vírgula 9 3 11" xfId="8406" xr:uid="{BCABBDB8-3B42-4C56-B90E-16C81FECED49}"/>
    <cellStyle name="Vírgula 9 3 11 2" xfId="22193" xr:uid="{10180AC1-5CB0-421E-ABAD-AFD16423B2CE}"/>
    <cellStyle name="Vírgula 9 3 11 2 2" xfId="42529" xr:uid="{20651721-23E7-4A05-B4EE-8D1D3FB9F029}"/>
    <cellStyle name="Vírgula 9 3 11 3" xfId="25445" xr:uid="{3DC7B3BB-A3CD-4025-A8E6-314CE1629579}"/>
    <cellStyle name="Vírgula 9 3 11 3 2" xfId="45780" xr:uid="{6FA0D30D-08F7-4FB5-AB6A-3C378A124468}"/>
    <cellStyle name="Vírgula 9 3 11 4" xfId="12609" xr:uid="{58B4C8B7-F6CF-488E-86D4-F9319107202B}"/>
    <cellStyle name="Vírgula 9 3 11 4 2" xfId="32950" xr:uid="{3BE29F22-A423-411B-BE8D-7FAFD17CC92D}"/>
    <cellStyle name="Vírgula 9 3 11 5" xfId="11902" xr:uid="{D5707EE4-1C35-4E71-A588-9A00AE4AF11D}"/>
    <cellStyle name="Vírgula 9 3 11 5 2" xfId="32244" xr:uid="{F077EA2D-D027-4319-9AB3-BCFE881C04F5}"/>
    <cellStyle name="Vírgula 9 3 11 6" xfId="28750" xr:uid="{EA6D7150-C640-4787-985E-050E4EAE0E8D}"/>
    <cellStyle name="Vírgula 9 3 12" xfId="8448" xr:uid="{5588C2E8-5210-4F52-A160-508C8492B869}"/>
    <cellStyle name="Vírgula 9 3 12 2" xfId="15497" xr:uid="{97C17C27-4EA7-4BA1-A54B-6107D5F79D32}"/>
    <cellStyle name="Vírgula 9 3 12 2 2" xfId="35837" xr:uid="{09C85B60-6A4E-4EA4-BC5A-65556F9A6D51}"/>
    <cellStyle name="Vírgula 9 3 12 3" xfId="28791" xr:uid="{9EB8CC3B-8E83-4C70-9866-2B2424198CEB}"/>
    <cellStyle name="Vírgula 9 3 13" xfId="18411" xr:uid="{81C577AC-3555-4654-8441-2C6D4A7EA19A}"/>
    <cellStyle name="Vírgula 9 3 13 2" xfId="38751" xr:uid="{CD97009E-D6CD-442C-B2A1-6D424575296F}"/>
    <cellStyle name="Vírgula 9 3 14" xfId="18999" xr:uid="{371F365F-9097-43D6-9D8D-D0F971FDD6B1}"/>
    <cellStyle name="Vírgula 9 3 14 2" xfId="39338" xr:uid="{A5DBCE23-BBC2-4A45-A3E0-372B0FA979EE}"/>
    <cellStyle name="Vírgula 9 3 15" xfId="22254" xr:uid="{DB24B087-307F-4DE6-8384-E7271FB96201}"/>
    <cellStyle name="Vírgula 9 3 15 2" xfId="42589" xr:uid="{6B6E0A87-E353-4170-BABD-FB234A3FB73A}"/>
    <cellStyle name="Vírgula 9 3 16" xfId="11971" xr:uid="{83F88654-65FF-40B5-AD5D-10649D719A4B}"/>
    <cellStyle name="Vírgula 9 3 16 2" xfId="32312" xr:uid="{99CF4CF3-74E9-46D0-9F61-E0F60BA95C3B}"/>
    <cellStyle name="Vírgula 9 3 17" xfId="8710" xr:uid="{17C6FF26-6003-411F-BC83-5819A7D451B9}"/>
    <cellStyle name="Vírgula 9 3 17 2" xfId="29053" xr:uid="{8259D3A5-7D6C-44FA-BF62-7427C7DAEE04}"/>
    <cellStyle name="Vírgula 9 3 18" xfId="25555" xr:uid="{2D984297-D250-4692-89F4-97859F5F4DC6}"/>
    <cellStyle name="Vírgula 9 3 19" xfId="45823" xr:uid="{81B0644E-C386-4B56-BF59-2C57D34A3F19}"/>
    <cellStyle name="Vírgula 9 3 2" xfId="985" xr:uid="{2C38DB84-61F0-4B88-BD20-AB6088FE217A}"/>
    <cellStyle name="Vírgula 9 3 2 10" xfId="8407" xr:uid="{AD2E6AE7-0F12-4A8C-8246-6AEF17384C7E}"/>
    <cellStyle name="Vírgula 9 3 2 10 2" xfId="22194" xr:uid="{92E4153A-6175-48B3-BACC-2D2F0D473CD3}"/>
    <cellStyle name="Vírgula 9 3 2 10 2 2" xfId="42530" xr:uid="{A65BF146-DE1B-4DD9-B24A-7654A58FDFA5}"/>
    <cellStyle name="Vírgula 9 3 2 10 3" xfId="25446" xr:uid="{61FD3F70-E180-457C-9AE4-6BAD5E4EA694}"/>
    <cellStyle name="Vírgula 9 3 2 10 3 2" xfId="45781" xr:uid="{064B910B-5F50-41E4-B88A-214757587942}"/>
    <cellStyle name="Vírgula 9 3 2 10 4" xfId="12632" xr:uid="{1636F845-E5A7-4A4A-B5A6-465FC1ECC67C}"/>
    <cellStyle name="Vírgula 9 3 2 10 4 2" xfId="32973" xr:uid="{E17CCA34-8F5A-4561-8581-5BD30B0F0E52}"/>
    <cellStyle name="Vírgula 9 3 2 10 5" xfId="11903" xr:uid="{521AFF9F-455E-4DF8-B68B-3EC926A34D2A}"/>
    <cellStyle name="Vírgula 9 3 2 10 5 2" xfId="32245" xr:uid="{52698E40-928C-496A-A649-E499D6720B09}"/>
    <cellStyle name="Vírgula 9 3 2 10 6" xfId="28751" xr:uid="{127FC608-2C22-4338-ADFA-8011E3EAFCC2}"/>
    <cellStyle name="Vírgula 9 3 2 11" xfId="8476" xr:uid="{A3F102D4-EF31-4570-886D-D2C180D8924C}"/>
    <cellStyle name="Vírgula 9 3 2 11 2" xfId="15525" xr:uid="{8A8E37D4-18AA-428D-A93B-2AD2142D1877}"/>
    <cellStyle name="Vírgula 9 3 2 11 2 2" xfId="35865" xr:uid="{A3BC614D-5A65-4A8F-8E75-65D30211FC8F}"/>
    <cellStyle name="Vírgula 9 3 2 11 3" xfId="28819" xr:uid="{9F3032E8-6125-40F0-99E4-56B84995E56D}"/>
    <cellStyle name="Vírgula 9 3 2 12" xfId="18439" xr:uid="{C938CF16-CC40-4BAE-A27D-5466088E5198}"/>
    <cellStyle name="Vírgula 9 3 2 12 2" xfId="38779" xr:uid="{17415D0F-2530-4E2F-9C62-812CA1E42427}"/>
    <cellStyle name="Vírgula 9 3 2 13" xfId="19027" xr:uid="{2DD1FAF3-46E5-4531-916D-D6981721B63E}"/>
    <cellStyle name="Vírgula 9 3 2 13 2" xfId="39366" xr:uid="{6FCD7C64-EBAA-463E-8743-B322BEB1B65D}"/>
    <cellStyle name="Vírgula 9 3 2 14" xfId="22282" xr:uid="{859716DA-B2C5-44D8-8675-97B203FAD005}"/>
    <cellStyle name="Vírgula 9 3 2 14 2" xfId="42617" xr:uid="{FED52F91-9105-430D-8B4D-5DC081D5F8B6}"/>
    <cellStyle name="Vírgula 9 3 2 15" xfId="11999" xr:uid="{487B8C98-4376-4291-9A73-2E2B8B2BC207}"/>
    <cellStyle name="Vírgula 9 3 2 15 2" xfId="32340" xr:uid="{E744DE8E-8455-4DBA-9B62-1F791A1A5208}"/>
    <cellStyle name="Vírgula 9 3 2 16" xfId="8738" xr:uid="{4D60FB0E-1A6D-4D38-A440-6C8AEAFEE4EB}"/>
    <cellStyle name="Vírgula 9 3 2 16 2" xfId="29081" xr:uid="{729AF022-DD19-46BC-B0C6-F3A1D7DBCE20}"/>
    <cellStyle name="Vírgula 9 3 2 17" xfId="25583" xr:uid="{D21F9F62-4CAF-4185-AD11-6B3C2EB53246}"/>
    <cellStyle name="Vírgula 9 3 2 18" xfId="45851" xr:uid="{C58FDCF1-A422-4C82-9591-DD417D20730A}"/>
    <cellStyle name="Vírgula 9 3 2 19" xfId="46337" xr:uid="{BC19BE36-94F7-4803-82D4-683E291BB668}"/>
    <cellStyle name="Vírgula 9 3 2 2" xfId="4129" xr:uid="{CD64CF05-71F9-4166-8A22-6DED0F2187F1}"/>
    <cellStyle name="Vírgula 9 3 2 2 10" xfId="22397" xr:uid="{F04CBB9C-ED6B-49F4-9502-C48370B0955D}"/>
    <cellStyle name="Vírgula 9 3 2 2 10 2" xfId="42732" xr:uid="{B32F483C-FB8B-4047-9075-9FFB652E0B3A}"/>
    <cellStyle name="Vírgula 9 3 2 2 11" xfId="12114" xr:uid="{089AD890-F80D-4534-9C1B-F4A453EA3633}"/>
    <cellStyle name="Vírgula 9 3 2 2 11 2" xfId="32455" xr:uid="{0A34DF91-171C-4704-852C-103FA999ABE2}"/>
    <cellStyle name="Vírgula 9 3 2 2 12" xfId="8853" xr:uid="{96B68E3C-DE66-44BE-913B-C1708EE71064}"/>
    <cellStyle name="Vírgula 9 3 2 2 12 2" xfId="29196" xr:uid="{310D0DDF-0D80-4204-878F-948788149E9B}"/>
    <cellStyle name="Vírgula 9 3 2 2 13" xfId="25702" xr:uid="{52E3CD21-D0E6-482D-8F99-F075F02B2AF5}"/>
    <cellStyle name="Vírgula 9 3 2 2 14" xfId="45911" xr:uid="{1E8B6A1B-AA8F-4AF7-B7A5-AB287473D333}"/>
    <cellStyle name="Vírgula 9 3 2 2 15" xfId="46397" xr:uid="{8DB76C35-1F74-4BE4-A121-60B6566FA84B}"/>
    <cellStyle name="Vírgula 9 3 2 2 16" xfId="46889" xr:uid="{5BC8B0A0-5F83-4392-9858-7CD83CF3BCDF}"/>
    <cellStyle name="Vírgula 9 3 2 2 17" xfId="52654" xr:uid="{15142EDA-839B-4BEC-B34C-F7B47FE0EBFB}"/>
    <cellStyle name="Vírgula 9 3 2 2 18" xfId="55948" xr:uid="{78CF5E9E-0C7D-4428-9589-9BCFAE53FE0F}"/>
    <cellStyle name="Vírgula 9 3 2 2 19" xfId="5375" xr:uid="{E2F8ABA1-EB4B-4C76-B6A0-F90D86EDB0D8}"/>
    <cellStyle name="Vírgula 9 3 2 2 2" xfId="5164" xr:uid="{BB785A9D-754B-44F4-BA61-1F85B82E3CC8}"/>
    <cellStyle name="Vírgula 9 3 2 2 2 10" xfId="12501" xr:uid="{63B5BCCD-3D0E-452C-8C1E-726F2320D480}"/>
    <cellStyle name="Vírgula 9 3 2 2 2 10 2" xfId="32842" xr:uid="{2E3BFF70-ADA6-410E-9EAD-BCBA46800ADB}"/>
    <cellStyle name="Vírgula 9 3 2 2 2 11" xfId="9240" xr:uid="{0793CE06-395C-422C-8B73-34B16A21B7E6}"/>
    <cellStyle name="Vírgula 9 3 2 2 2 11 2" xfId="29583" xr:uid="{E04243C7-5A48-44F4-AEE1-64DF0FBDA47E}"/>
    <cellStyle name="Vírgula 9 3 2 2 2 12" xfId="26089" xr:uid="{9447EE28-B10A-4D1F-9688-43110FB31861}"/>
    <cellStyle name="Vírgula 9 3 2 2 2 13" xfId="46046" xr:uid="{B9EF0311-4DA0-4C9F-B140-AFEE976C5F6C}"/>
    <cellStyle name="Vírgula 9 3 2 2 2 14" xfId="46532" xr:uid="{0AD812F5-D2EC-4292-A9BA-28562DAF125B}"/>
    <cellStyle name="Vírgula 9 3 2 2 2 15" xfId="47024" xr:uid="{F3A059D7-3D01-42AB-96F2-80C2FD35DA5F}"/>
    <cellStyle name="Vírgula 9 3 2 2 2 16" xfId="5746" xr:uid="{E8D4B80E-000E-4695-AC5C-8F08B1245D7E}"/>
    <cellStyle name="Vírgula 9 3 2 2 2 2" xfId="6322" xr:uid="{88824A37-5C7B-48E4-B397-680344EEBF61}"/>
    <cellStyle name="Vírgula 9 3 2 2 2 2 10" xfId="46775" xr:uid="{7DA62E7E-8C77-4511-ADB5-EA138AA3D530}"/>
    <cellStyle name="Vírgula 9 3 2 2 2 2 11" xfId="47267" xr:uid="{C1AEFDB1-4F9D-4F00-BFBE-98F3FF86D307}"/>
    <cellStyle name="Vírgula 9 3 2 2 2 2 2" xfId="7480" xr:uid="{BD47FECB-1F83-40B4-9460-EB05DC6C9E84}"/>
    <cellStyle name="Vírgula 9 3 2 2 2 2 2 2" xfId="17766" xr:uid="{0FFC4E02-9477-44C0-B6FA-AD36C6CBEAE8}"/>
    <cellStyle name="Vírgula 9 3 2 2 2 2 2 2 2" xfId="38106" xr:uid="{B1C01098-F0B8-49F8-B286-7DD8F422918B}"/>
    <cellStyle name="Vírgula 9 3 2 2 2 2 2 3" xfId="21268" xr:uid="{F8D11A98-A6DA-4435-A735-934A8D8E66AE}"/>
    <cellStyle name="Vírgula 9 3 2 2 2 2 2 3 2" xfId="41607" xr:uid="{D6C8E54D-3DC6-4A2C-BF02-2EF048789447}"/>
    <cellStyle name="Vírgula 9 3 2 2 2 2 2 4" xfId="24523" xr:uid="{420E85BB-BED6-431B-AE98-2E533F423F6E}"/>
    <cellStyle name="Vírgula 9 3 2 2 2 2 2 4 2" xfId="44858" xr:uid="{4C568B2A-B1FF-467D-A08E-DA3F41EDF9D0}"/>
    <cellStyle name="Vírgula 9 3 2 2 2 2 2 5" xfId="14857" xr:uid="{3E9D51E5-2559-4BCF-990A-D48F7EF83FF1}"/>
    <cellStyle name="Vírgula 9 3 2 2 2 2 2 5 2" xfId="35198" xr:uid="{FAB9607F-E041-4C2A-8F2B-C5259C6EB047}"/>
    <cellStyle name="Vírgula 9 3 2 2 2 2 2 6" xfId="10979" xr:uid="{9E04097F-B929-4BD0-91F5-A415A4EDDAF0}"/>
    <cellStyle name="Vírgula 9 3 2 2 2 2 2 6 2" xfId="31322" xr:uid="{D08E5B44-76BC-47E4-BCF6-5BFEB94DDF3C}"/>
    <cellStyle name="Vírgula 9 3 2 2 2 2 2 7" xfId="27828" xr:uid="{F91B2E32-3C2A-45B6-A93D-99C11477EAD1}"/>
    <cellStyle name="Vírgula 9 3 2 2 2 2 3" xfId="16608" xr:uid="{66209D79-EDA4-4AA1-85BC-B3DBAEDE1020}"/>
    <cellStyle name="Vírgula 9 3 2 2 2 2 3 2" xfId="36948" xr:uid="{F1B1E511-A356-4104-8B38-470964B3A0A1}"/>
    <cellStyle name="Vírgula 9 3 2 2 2 2 4" xfId="20110" xr:uid="{9BE7FF6F-C1A7-4980-A0FC-AB7142F078D6}"/>
    <cellStyle name="Vírgula 9 3 2 2 2 2 4 2" xfId="40449" xr:uid="{81E77EF3-9BB4-4E5F-920A-987F5618AEAE}"/>
    <cellStyle name="Vírgula 9 3 2 2 2 2 5" xfId="23365" xr:uid="{87F57B23-BFD9-42DB-9B39-BBB956532A06}"/>
    <cellStyle name="Vírgula 9 3 2 2 2 2 5 2" xfId="43700" xr:uid="{5CFB18D3-4E38-468D-AD2D-31BDA2E36A78}"/>
    <cellStyle name="Vírgula 9 3 2 2 2 2 6" xfId="13699" xr:uid="{E464CE32-5373-4F1D-86E1-387B204E3E05}"/>
    <cellStyle name="Vírgula 9 3 2 2 2 2 6 2" xfId="34040" xr:uid="{0C1418C7-6BDE-4009-A4C7-69DA7AB45765}"/>
    <cellStyle name="Vírgula 9 3 2 2 2 2 7" xfId="9821" xr:uid="{8E16D6BF-5759-489F-8892-207D624BEB7C}"/>
    <cellStyle name="Vírgula 9 3 2 2 2 2 7 2" xfId="30164" xr:uid="{E5D13A98-6539-48C8-B844-4EFA0258C463}"/>
    <cellStyle name="Vírgula 9 3 2 2 2 2 8" xfId="26670" xr:uid="{84EBE859-0B29-4345-BF26-3C5ABEE28EDB}"/>
    <cellStyle name="Vírgula 9 3 2 2 2 2 9" xfId="46289" xr:uid="{F67AA222-8B48-41B3-A33D-75A63FB8F162}"/>
    <cellStyle name="Vírgula 9 3 2 2 2 3" xfId="6899" xr:uid="{924884DF-E369-48C7-9A6F-10C39E1C2221}"/>
    <cellStyle name="Vírgula 9 3 2 2 2 3 2" xfId="17185" xr:uid="{D08D4E73-5F20-4C13-8CC2-F22AB7E2F656}"/>
    <cellStyle name="Vírgula 9 3 2 2 2 3 2 2" xfId="37525" xr:uid="{358DB1FC-D285-441F-B010-26500230CB5F}"/>
    <cellStyle name="Vírgula 9 3 2 2 2 3 3" xfId="20687" xr:uid="{EB8EDBF5-CF40-4C2B-811C-E03875A145F7}"/>
    <cellStyle name="Vírgula 9 3 2 2 2 3 3 2" xfId="41026" xr:uid="{CDDC7E4F-128A-407D-BE54-9157C0BC1F90}"/>
    <cellStyle name="Vírgula 9 3 2 2 2 3 4" xfId="23942" xr:uid="{BD61D292-0AA6-4890-AF67-DA0F734D071A}"/>
    <cellStyle name="Vírgula 9 3 2 2 2 3 4 2" xfId="44277" xr:uid="{194E55BB-F8DE-4520-91D8-CDBE3A154BDE}"/>
    <cellStyle name="Vírgula 9 3 2 2 2 3 5" xfId="14276" xr:uid="{3F992604-F56F-44B8-AA3E-0F8B1B3DCA5C}"/>
    <cellStyle name="Vírgula 9 3 2 2 2 3 5 2" xfId="34617" xr:uid="{F171CC81-48EF-49A4-B768-BCB4DB7F1702}"/>
    <cellStyle name="Vírgula 9 3 2 2 2 3 6" xfId="10398" xr:uid="{6C36C01A-B49E-4AA8-BD90-C51BCBC36811}"/>
    <cellStyle name="Vírgula 9 3 2 2 2 3 6 2" xfId="30741" xr:uid="{8118417B-9A30-4DC6-8E6E-222BB22C6639}"/>
    <cellStyle name="Vírgula 9 3 2 2 2 3 7" xfId="27247" xr:uid="{685DDF2F-13E1-44C6-9F74-6C356D2789F1}"/>
    <cellStyle name="Vírgula 9 3 2 2 2 4" xfId="8063" xr:uid="{E941BBAD-B923-4692-8C93-56A4231072B2}"/>
    <cellStyle name="Vírgula 9 3 2 2 2 4 2" xfId="18348" xr:uid="{BC05282F-DAD0-49C4-BB86-4D28DC7AA1ED}"/>
    <cellStyle name="Vírgula 9 3 2 2 2 4 2 2" xfId="38688" xr:uid="{CCFB449A-C66B-49B0-BC4B-7CDB94CB2CAF}"/>
    <cellStyle name="Vírgula 9 3 2 2 2 4 3" xfId="21850" xr:uid="{CF26C848-CDF9-4515-B40F-D3CD3E7FD663}"/>
    <cellStyle name="Vírgula 9 3 2 2 2 4 3 2" xfId="42189" xr:uid="{E6ECC367-5E03-4688-91DB-42B82762D28D}"/>
    <cellStyle name="Vírgula 9 3 2 2 2 4 4" xfId="25105" xr:uid="{914092D6-3944-40AD-BA12-A36C439F6B30}"/>
    <cellStyle name="Vírgula 9 3 2 2 2 4 4 2" xfId="45440" xr:uid="{5E92DFDF-BF96-45FD-93BE-2684EB9A0FD2}"/>
    <cellStyle name="Vírgula 9 3 2 2 2 4 5" xfId="15440" xr:uid="{EE74A4B5-BD94-489F-9185-790BCDDE9F74}"/>
    <cellStyle name="Vírgula 9 3 2 2 2 4 5 2" xfId="35780" xr:uid="{443C996F-28FB-4CD9-A0C7-516B236CECFA}"/>
    <cellStyle name="Vírgula 9 3 2 2 2 4 6" xfId="11561" xr:uid="{C56EAB09-026C-487A-95F0-FF4B797B512F}"/>
    <cellStyle name="Vírgula 9 3 2 2 2 4 6 2" xfId="31904" xr:uid="{348E08A5-C84F-475F-AF86-7454C9C3FD94}"/>
    <cellStyle name="Vírgula 9 3 2 2 2 4 7" xfId="28410" xr:uid="{558B4174-D389-4185-89EE-0ED68AD2ADC8}"/>
    <cellStyle name="Vírgula 9 3 2 2 2 5" xfId="8409" xr:uid="{CFF6D67B-D6EB-4DD4-91DD-7432EEB0D779}"/>
    <cellStyle name="Vírgula 9 3 2 2 2 5 2" xfId="22196" xr:uid="{BC1ACEEA-2B65-48D3-AEFD-A60EC59D59AB}"/>
    <cellStyle name="Vírgula 9 3 2 2 2 5 2 2" xfId="42532" xr:uid="{9549B7E4-051E-45E6-AC1E-376A8AD05254}"/>
    <cellStyle name="Vírgula 9 3 2 2 2 5 3" xfId="25448" xr:uid="{37A5585D-B744-4EB8-BB8D-5699B2D656F7}"/>
    <cellStyle name="Vírgula 9 3 2 2 2 5 3 2" xfId="45783" xr:uid="{FA2AD6D1-FCE3-4170-B5A5-89444B1983D8}"/>
    <cellStyle name="Vírgula 9 3 2 2 2 5 4" xfId="13130" xr:uid="{AB773070-EE98-4322-B834-232D43312A85}"/>
    <cellStyle name="Vírgula 9 3 2 2 2 5 4 2" xfId="33471" xr:uid="{2F6C67FC-7A43-4117-AB18-3DFE69103859}"/>
    <cellStyle name="Vírgula 9 3 2 2 2 5 5" xfId="11905" xr:uid="{F48A2728-6444-4BC8-9EF3-A098E61751D1}"/>
    <cellStyle name="Vírgula 9 3 2 2 2 5 5 2" xfId="32247" xr:uid="{8C31C32B-6981-4724-85D6-F1C5A4C8F765}"/>
    <cellStyle name="Vírgula 9 3 2 2 2 5 6" xfId="28753" xr:uid="{606FD1DE-A4FD-4E7C-ADBF-2BEB1063AC40}"/>
    <cellStyle name="Vírgula 9 3 2 2 2 6" xfId="8671" xr:uid="{4F3D9B6E-EAD3-4229-9E42-FEAF15436DB9}"/>
    <cellStyle name="Vírgula 9 3 2 2 2 6 2" xfId="16027" xr:uid="{ED203378-26D0-4AA6-9F1F-9EB5915F2E52}"/>
    <cellStyle name="Vírgula 9 3 2 2 2 6 2 2" xfId="36367" xr:uid="{3356BFE2-BF52-4661-AF2A-997D46C97410}"/>
    <cellStyle name="Vírgula 9 3 2 2 2 6 3" xfId="29014" xr:uid="{A35AFC98-7D8F-49EB-8498-47E5D4E95ED5}"/>
    <cellStyle name="Vírgula 9 3 2 2 2 7" xfId="18941" xr:uid="{ED2CE990-C350-4031-8903-B22A7DAB0288}"/>
    <cellStyle name="Vírgula 9 3 2 2 2 7 2" xfId="39281" xr:uid="{20EBD1CD-8D6A-4E01-870C-CFEDF296820F}"/>
    <cellStyle name="Vírgula 9 3 2 2 2 8" xfId="19529" xr:uid="{0A869215-3227-48AE-9B70-F6704A0E5313}"/>
    <cellStyle name="Vírgula 9 3 2 2 2 8 2" xfId="39868" xr:uid="{51B9DCF7-18D6-42FA-8413-F319D405EB2E}"/>
    <cellStyle name="Vírgula 9 3 2 2 2 9" xfId="22784" xr:uid="{E272B4F8-B21B-43EC-B9ED-C17610E3B8E4}"/>
    <cellStyle name="Vírgula 9 3 2 2 2 9 2" xfId="43119" xr:uid="{CFFEEE80-F89F-4DE1-8465-4DC99AEF2B8C}"/>
    <cellStyle name="Vírgula 9 3 2 2 20" xfId="4945" xr:uid="{59D878F1-1EF9-43ED-8CBD-31318B6EB6AE}"/>
    <cellStyle name="Vírgula 9 3 2 2 3" xfId="5033" xr:uid="{96A4DE35-8721-478A-851F-6D890985A92F}"/>
    <cellStyle name="Vírgula 9 3 2 2 3 10" xfId="46640" xr:uid="{47536ED1-6820-40B0-A215-DBBBFEAC2351}"/>
    <cellStyle name="Vírgula 9 3 2 2 3 11" xfId="47132" xr:uid="{0A691D8E-2B0A-4770-ADF3-D8D929B54189}"/>
    <cellStyle name="Vírgula 9 3 2 2 3 12" xfId="5935" xr:uid="{BA43D6D4-E4A5-4459-B940-6C3F42297ED2}"/>
    <cellStyle name="Vírgula 9 3 2 2 3 2" xfId="7093" xr:uid="{C4DA508E-F6E3-4C36-98C8-52EC0C6FAB59}"/>
    <cellStyle name="Vírgula 9 3 2 2 3 2 2" xfId="17379" xr:uid="{C29F53D0-A5FD-446C-BBB5-6E5666142FC4}"/>
    <cellStyle name="Vírgula 9 3 2 2 3 2 2 2" xfId="37719" xr:uid="{A53EAEA5-8003-4378-8812-A61CD623457A}"/>
    <cellStyle name="Vírgula 9 3 2 2 3 2 3" xfId="20881" xr:uid="{6CD64AA2-D48E-49D3-B34E-8B41840254D0}"/>
    <cellStyle name="Vírgula 9 3 2 2 3 2 3 2" xfId="41220" xr:uid="{75D4E0A7-2346-44AE-968B-95AEDB04E5B0}"/>
    <cellStyle name="Vírgula 9 3 2 2 3 2 4" xfId="24136" xr:uid="{4E2B59A5-77DB-45D0-96ED-9AEEF5F00044}"/>
    <cellStyle name="Vírgula 9 3 2 2 3 2 4 2" xfId="44471" xr:uid="{7AD7159C-E67B-4D9A-8942-A63676BC334E}"/>
    <cellStyle name="Vírgula 9 3 2 2 3 2 5" xfId="14470" xr:uid="{7D2DC3DB-011E-4C15-9B80-5A734BEEA4D8}"/>
    <cellStyle name="Vírgula 9 3 2 2 3 2 5 2" xfId="34811" xr:uid="{1FD7F8A6-4597-4AE9-B370-C12C932E2267}"/>
    <cellStyle name="Vírgula 9 3 2 2 3 2 6" xfId="10592" xr:uid="{D5777A9C-6E02-4E15-BAEA-58056E33F503}"/>
    <cellStyle name="Vírgula 9 3 2 2 3 2 6 2" xfId="30935" xr:uid="{64DF2368-6113-4561-BF62-E64E2EDDF5AC}"/>
    <cellStyle name="Vírgula 9 3 2 2 3 2 7" xfId="27441" xr:uid="{C2878798-D040-448E-800A-510EF48203BB}"/>
    <cellStyle name="Vírgula 9 3 2 2 3 3" xfId="8410" xr:uid="{B5739E05-9C32-49BF-911F-F422D5C152E3}"/>
    <cellStyle name="Vírgula 9 3 2 2 3 3 2" xfId="22197" xr:uid="{74B49CCF-58B2-425D-9068-6D1279DE144B}"/>
    <cellStyle name="Vírgula 9 3 2 2 3 3 2 2" xfId="42533" xr:uid="{E9D030FF-E456-44C2-8F78-2042C4B51913}"/>
    <cellStyle name="Vírgula 9 3 2 2 3 3 3" xfId="25449" xr:uid="{D7F966BA-4DD9-45E2-BFB8-E9C7893AA6DD}"/>
    <cellStyle name="Vírgula 9 3 2 2 3 3 3 2" xfId="45784" xr:uid="{4AB9327E-1C9F-4700-847F-D2486D1C960F}"/>
    <cellStyle name="Vírgula 9 3 2 2 3 3 4" xfId="16221" xr:uid="{A8539EFC-A980-4675-8753-3701741BF954}"/>
    <cellStyle name="Vírgula 9 3 2 2 3 3 4 2" xfId="36561" xr:uid="{6A2BC9BA-4B69-4AD3-8264-1D86D2B772C5}"/>
    <cellStyle name="Vírgula 9 3 2 2 3 3 5" xfId="11906" xr:uid="{55B39493-1C7F-4C4A-9BD5-F4510B6773B4}"/>
    <cellStyle name="Vírgula 9 3 2 2 3 3 5 2" xfId="32248" xr:uid="{3250AA70-46C8-4369-9367-63CDEB485D8D}"/>
    <cellStyle name="Vírgula 9 3 2 2 3 3 6" xfId="28754" xr:uid="{1713D8CE-0674-4363-805F-29CB5FE617C7}"/>
    <cellStyle name="Vírgula 9 3 2 2 3 4" xfId="19723" xr:uid="{91493026-6701-4398-9B5F-E7D46386E218}"/>
    <cellStyle name="Vírgula 9 3 2 2 3 4 2" xfId="40062" xr:uid="{09F9CC58-C217-4270-8C78-D1A566D4EB6E}"/>
    <cellStyle name="Vírgula 9 3 2 2 3 5" xfId="22978" xr:uid="{D837992B-B2E2-4457-9654-B4346A4AD20A}"/>
    <cellStyle name="Vírgula 9 3 2 2 3 5 2" xfId="43313" xr:uid="{67F625B5-79E3-4909-9F51-3E8608097E18}"/>
    <cellStyle name="Vírgula 9 3 2 2 3 6" xfId="13313" xr:uid="{B0AC58BD-3699-4AD0-B48F-5AE89AC89C97}"/>
    <cellStyle name="Vírgula 9 3 2 2 3 6 2" xfId="33654" xr:uid="{289148AB-9FB3-4FCB-B470-0C45AF8A9790}"/>
    <cellStyle name="Vírgula 9 3 2 2 3 7" xfId="9434" xr:uid="{FA20B327-F139-47CB-A636-96373F38AC1B}"/>
    <cellStyle name="Vírgula 9 3 2 2 3 7 2" xfId="29777" xr:uid="{3FF052CC-4469-4E8C-B794-E0B26CEC57BA}"/>
    <cellStyle name="Vírgula 9 3 2 2 3 8" xfId="26283" xr:uid="{B567064A-DF5A-4D1E-BECF-D9F3055B243F}"/>
    <cellStyle name="Vírgula 9 3 2 2 3 9" xfId="46154" xr:uid="{66CF5B8D-16C3-4134-B5C5-EFAAAADAE347}"/>
    <cellStyle name="Vírgula 9 3 2 2 4" xfId="6512" xr:uid="{708162E0-D525-440D-A985-B55FBD388A5D}"/>
    <cellStyle name="Vírgula 9 3 2 2 4 2" xfId="16798" xr:uid="{98A45180-8CDE-4231-99E4-617D8AB1B38A}"/>
    <cellStyle name="Vírgula 9 3 2 2 4 2 2" xfId="37138" xr:uid="{4DA1F727-06E6-457D-86B0-BBC5D4905E12}"/>
    <cellStyle name="Vírgula 9 3 2 2 4 3" xfId="20300" xr:uid="{CCED2E3E-E2B7-4F4F-897C-DF65BFF89597}"/>
    <cellStyle name="Vírgula 9 3 2 2 4 3 2" xfId="40639" xr:uid="{2D7D85B0-5133-48D2-8B23-FDB56DC3A643}"/>
    <cellStyle name="Vírgula 9 3 2 2 4 4" xfId="23555" xr:uid="{FDDBF557-FC84-407B-8727-9FE3213AD9BC}"/>
    <cellStyle name="Vírgula 9 3 2 2 4 4 2" xfId="43890" xr:uid="{F68C0738-7F8B-4008-9D25-1B368868F287}"/>
    <cellStyle name="Vírgula 9 3 2 2 4 5" xfId="13889" xr:uid="{03A5E6D1-9421-498F-BDA8-B8243DB66666}"/>
    <cellStyle name="Vírgula 9 3 2 2 4 5 2" xfId="34230" xr:uid="{2B6F5E5F-BC33-44C0-A3E4-C3FA33AF82CC}"/>
    <cellStyle name="Vírgula 9 3 2 2 4 6" xfId="10011" xr:uid="{067B654B-9279-4C10-A90E-3AFB1445AECE}"/>
    <cellStyle name="Vírgula 9 3 2 2 4 6 2" xfId="30354" xr:uid="{E7087730-58C1-4285-8DCF-4BD68CEB8572}"/>
    <cellStyle name="Vírgula 9 3 2 2 4 7" xfId="26860" xr:uid="{60C30078-5601-4F50-8F5A-312C592A7115}"/>
    <cellStyle name="Vírgula 9 3 2 2 5" xfId="7676" xr:uid="{3DA0A26F-EEC4-414A-897C-4BABD07F4522}"/>
    <cellStyle name="Vírgula 9 3 2 2 5 2" xfId="17961" xr:uid="{705654D6-BB3B-4409-AACA-2496D82C229C}"/>
    <cellStyle name="Vírgula 9 3 2 2 5 2 2" xfId="38301" xr:uid="{D68C1702-9944-47AF-9727-A6D5A5A3FFDC}"/>
    <cellStyle name="Vírgula 9 3 2 2 5 3" xfId="21463" xr:uid="{BC4F9BCA-6AA3-4FD0-A4E2-0C804500E2CA}"/>
    <cellStyle name="Vírgula 9 3 2 2 5 3 2" xfId="41802" xr:uid="{61F59D26-2244-4D95-8DA7-56252B15783A}"/>
    <cellStyle name="Vírgula 9 3 2 2 5 4" xfId="24718" xr:uid="{7FF8305F-FE3A-4180-8946-2B75DBB35AB4}"/>
    <cellStyle name="Vírgula 9 3 2 2 5 4 2" xfId="45053" xr:uid="{9815A012-CE4E-4AA9-B181-39D1554E7EEB}"/>
    <cellStyle name="Vírgula 9 3 2 2 5 5" xfId="15053" xr:uid="{1BE13D0E-0A63-4388-91C9-975FE64C3AC3}"/>
    <cellStyle name="Vírgula 9 3 2 2 5 5 2" xfId="35393" xr:uid="{E045D4C9-61AB-4EC6-AC21-62792A47F8B3}"/>
    <cellStyle name="Vírgula 9 3 2 2 5 6" xfId="11174" xr:uid="{7497AAFF-ED07-456A-AD52-FF423B131BC9}"/>
    <cellStyle name="Vírgula 9 3 2 2 5 6 2" xfId="31517" xr:uid="{87073271-22AB-42A9-BB36-E9B1B2775C1D}"/>
    <cellStyle name="Vírgula 9 3 2 2 5 7" xfId="28023" xr:uid="{BB8223D5-20CA-4762-A7D5-A0680AF78F18}"/>
    <cellStyle name="Vírgula 9 3 2 2 6" xfId="8408" xr:uid="{FA5AD8BA-00BD-4CE7-AB02-441730A7CB39}"/>
    <cellStyle name="Vírgula 9 3 2 2 6 2" xfId="22195" xr:uid="{DBF51163-2941-4EE0-83F1-2F051141AFAE}"/>
    <cellStyle name="Vírgula 9 3 2 2 6 2 2" xfId="42531" xr:uid="{2521D377-13BD-4CB5-990D-690D0A138FF1}"/>
    <cellStyle name="Vírgula 9 3 2 2 6 3" xfId="25447" xr:uid="{005611F6-11B3-4047-9FDF-100D2AD10FB2}"/>
    <cellStyle name="Vírgula 9 3 2 2 6 3 2" xfId="45782" xr:uid="{929E9447-22CB-44F6-B80B-623B1C72C4A7}"/>
    <cellStyle name="Vírgula 9 3 2 2 6 4" xfId="12744" xr:uid="{69A0D09A-34A9-4240-B8A7-DDA0E534378E}"/>
    <cellStyle name="Vírgula 9 3 2 2 6 4 2" xfId="33085" xr:uid="{3CC19EFA-A7BA-4E2C-9591-73F3D05D06BF}"/>
    <cellStyle name="Vírgula 9 3 2 2 6 5" xfId="11904" xr:uid="{A2CCE280-7B06-4E36-BF64-C84886BF7533}"/>
    <cellStyle name="Vírgula 9 3 2 2 6 5 2" xfId="32246" xr:uid="{61843B5F-B78F-4EE3-BD9D-19DF6E947AE3}"/>
    <cellStyle name="Vírgula 9 3 2 2 6 6" xfId="28752" xr:uid="{8E1A25FC-3987-48E9-B30D-A55B7432139C}"/>
    <cellStyle name="Vírgula 9 3 2 2 7" xfId="8536" xr:uid="{5C5159CB-9828-4ECA-A0E5-ACBCC6BD0B1B}"/>
    <cellStyle name="Vírgula 9 3 2 2 7 2" xfId="15640" xr:uid="{F4532984-C845-4E35-B55A-A09653E5B3FE}"/>
    <cellStyle name="Vírgula 9 3 2 2 7 2 2" xfId="35980" xr:uid="{26ADA6E0-9510-4241-B63B-18312441F198}"/>
    <cellStyle name="Vírgula 9 3 2 2 7 3" xfId="28879" xr:uid="{70BF7300-1BCE-4071-8ACF-FDABBAFD0072}"/>
    <cellStyle name="Vírgula 9 3 2 2 8" xfId="18554" xr:uid="{AD563D08-228A-468E-84E1-A7F311F574D2}"/>
    <cellStyle name="Vírgula 9 3 2 2 8 2" xfId="38894" xr:uid="{8C83AA2A-5137-481C-BD7A-673819E675EB}"/>
    <cellStyle name="Vírgula 9 3 2 2 9" xfId="19142" xr:uid="{24E2DD60-EAA4-44C0-A92D-B4878FA64A84}"/>
    <cellStyle name="Vírgula 9 3 2 2 9 2" xfId="39481" xr:uid="{11FC0EF7-6937-4604-B223-03969839BAED}"/>
    <cellStyle name="Vírgula 9 3 2 20" xfId="46829" xr:uid="{A0BB0B92-88E5-4541-AF2B-72529ADB533A}"/>
    <cellStyle name="Vírgula 9 3 2 21" xfId="49352" xr:uid="{539885FA-AD79-4717-AB67-A6BA6C8BB267}"/>
    <cellStyle name="Vírgula 9 3 2 22" xfId="51022" xr:uid="{E1462E87-7904-415B-B4E2-A06D8EC38E44}"/>
    <cellStyle name="Vírgula 9 3 2 23" xfId="54317" xr:uid="{6E478E2C-2564-49E1-AEA9-7AB12DB2E407}"/>
    <cellStyle name="Vírgula 9 3 2 24" xfId="5252" xr:uid="{DE2FF2C5-C79A-431E-B13D-4501D1387DA0}"/>
    <cellStyle name="Vírgula 9 3 2 25" xfId="4823" xr:uid="{C98DA3F1-1A7B-4C11-9E02-898CB0BD8A95}"/>
    <cellStyle name="Vírgula 9 3 2 3" xfId="2698" xr:uid="{71AE1757-42C7-4296-B544-46182ABF7043}"/>
    <cellStyle name="Vírgula 9 3 2 3 10" xfId="12210" xr:uid="{A3BA5D70-0519-4519-AAAF-03A750DD7915}"/>
    <cellStyle name="Vírgula 9 3 2 3 10 2" xfId="32551" xr:uid="{5583666C-DBC4-4048-9A7C-B002EF341898}"/>
    <cellStyle name="Vírgula 9 3 2 3 11" xfId="8949" xr:uid="{BB2CA16D-5415-404E-9EB7-30DE8EE68552}"/>
    <cellStyle name="Vírgula 9 3 2 3 11 2" xfId="29292" xr:uid="{C231A9B3-5272-4223-9303-4850DDA65C12}"/>
    <cellStyle name="Vírgula 9 3 2 3 12" xfId="25798" xr:uid="{ADA92529-3150-4AF6-9956-8124AE3EF0CB}"/>
    <cellStyle name="Vírgula 9 3 2 3 13" xfId="46045" xr:uid="{5F9F05AC-3141-4D3E-A16F-BC0F6F43A2F1}"/>
    <cellStyle name="Vírgula 9 3 2 3 14" xfId="46531" xr:uid="{14A828E5-4EDD-4B16-8EBF-9B7A85751F71}"/>
    <cellStyle name="Vírgula 9 3 2 3 15" xfId="47023" xr:uid="{9FCA0695-992E-48A1-BAEB-F80508B76B8C}"/>
    <cellStyle name="Vírgula 9 3 2 3 16" xfId="56856" xr:uid="{21989838-4E8E-40DE-AEA0-D0A8BCD8A406}"/>
    <cellStyle name="Vírgula 9 3 2 3 17" xfId="5463" xr:uid="{95EC01B5-2915-4CC1-948D-E566CD1BE88D}"/>
    <cellStyle name="Vírgula 9 3 2 3 18" xfId="4944" xr:uid="{2654841C-C779-4167-B00A-29AE28B07A2F}"/>
    <cellStyle name="Vírgula 9 3 2 3 2" xfId="5163" xr:uid="{D3DD360B-BA18-4EC5-A231-58F08528042C}"/>
    <cellStyle name="Vírgula 9 3 2 3 2 10" xfId="46774" xr:uid="{04BD08C0-4AB9-4802-9618-07C2B1841A71}"/>
    <cellStyle name="Vírgula 9 3 2 3 2 11" xfId="47266" xr:uid="{31ADFB83-5F48-407B-9FE3-88C0FA5EF934}"/>
    <cellStyle name="Vírgula 9 3 2 3 2 12" xfId="6031" xr:uid="{20184255-E407-4339-97DA-FA67EB48B13F}"/>
    <cellStyle name="Vírgula 9 3 2 3 2 2" xfId="7189" xr:uid="{0209FFAF-384F-421A-A022-1BF0AE9D9C18}"/>
    <cellStyle name="Vírgula 9 3 2 3 2 2 2" xfId="17475" xr:uid="{A3277C28-D507-4E1A-98F2-F6BC36A1C4E3}"/>
    <cellStyle name="Vírgula 9 3 2 3 2 2 2 2" xfId="37815" xr:uid="{585B2A8C-31D0-47BC-8ADD-DD2C8782B5C8}"/>
    <cellStyle name="Vírgula 9 3 2 3 2 2 3" xfId="20977" xr:uid="{16B427B0-7CCF-4DA2-B720-4E2BDF8414BA}"/>
    <cellStyle name="Vírgula 9 3 2 3 2 2 3 2" xfId="41316" xr:uid="{CC59AF44-D4D2-4EF0-B1A7-B95F78F8C265}"/>
    <cellStyle name="Vírgula 9 3 2 3 2 2 4" xfId="24232" xr:uid="{3803A221-2908-465E-99A6-E481B16872CA}"/>
    <cellStyle name="Vírgula 9 3 2 3 2 2 4 2" xfId="44567" xr:uid="{596F7E19-3FF8-455C-8C38-C8E1009FF379}"/>
    <cellStyle name="Vírgula 9 3 2 3 2 2 5" xfId="14566" xr:uid="{C0A4AE37-7319-4E52-9543-77ED3B45E25F}"/>
    <cellStyle name="Vírgula 9 3 2 3 2 2 5 2" xfId="34907" xr:uid="{460FC5DC-DB4B-42F9-A21D-356B0ED037CA}"/>
    <cellStyle name="Vírgula 9 3 2 3 2 2 6" xfId="10688" xr:uid="{0510C001-B45C-4006-8B02-6B9EAE8E5BBA}"/>
    <cellStyle name="Vírgula 9 3 2 3 2 2 6 2" xfId="31031" xr:uid="{FF6429BB-D423-4781-B1AF-DB413FC67128}"/>
    <cellStyle name="Vírgula 9 3 2 3 2 2 7" xfId="27537" xr:uid="{48935240-5F40-4757-8ABF-DC2FD147AD35}"/>
    <cellStyle name="Vírgula 9 3 2 3 2 3" xfId="16317" xr:uid="{B836EF2D-20C8-4C64-B667-20AB16C0CE36}"/>
    <cellStyle name="Vírgula 9 3 2 3 2 3 2" xfId="36657" xr:uid="{D3F5CC00-F059-4C32-8B0D-295E8DE8D570}"/>
    <cellStyle name="Vírgula 9 3 2 3 2 4" xfId="19819" xr:uid="{6004F5AE-2BDA-43B0-9B66-AA8D18FBEBD6}"/>
    <cellStyle name="Vírgula 9 3 2 3 2 4 2" xfId="40158" xr:uid="{74A1DAE8-48E2-4524-847A-0E0B38EE0E6D}"/>
    <cellStyle name="Vírgula 9 3 2 3 2 5" xfId="23074" xr:uid="{722FFC51-D36B-46F0-BA17-8625AED70B9F}"/>
    <cellStyle name="Vírgula 9 3 2 3 2 5 2" xfId="43409" xr:uid="{019C9EF7-61F8-44BC-81BF-6A7BBB28A38A}"/>
    <cellStyle name="Vírgula 9 3 2 3 2 6" xfId="13408" xr:uid="{C4EEDB62-BA22-4806-92B8-F7EC1DD8E78D}"/>
    <cellStyle name="Vírgula 9 3 2 3 2 6 2" xfId="33749" xr:uid="{B5D4F522-924C-4A45-B60E-563635A80BF9}"/>
    <cellStyle name="Vírgula 9 3 2 3 2 7" xfId="9530" xr:uid="{5A04636D-6A04-4C29-AB5E-05EE5A8C33FA}"/>
    <cellStyle name="Vírgula 9 3 2 3 2 7 2" xfId="29873" xr:uid="{4BA2D257-A637-49FD-A238-656BC18E8240}"/>
    <cellStyle name="Vírgula 9 3 2 3 2 8" xfId="26379" xr:uid="{96D8C4AA-6BCB-4676-ABFA-D740441341A3}"/>
    <cellStyle name="Vírgula 9 3 2 3 2 9" xfId="46288" xr:uid="{EB24AA80-2352-4A03-B1EE-BC5600F4F52B}"/>
    <cellStyle name="Vírgula 9 3 2 3 3" xfId="6608" xr:uid="{853DCF5B-16DC-42F2-A6B6-1060CCA29FC0}"/>
    <cellStyle name="Vírgula 9 3 2 3 3 2" xfId="16894" xr:uid="{C7142FFA-27DF-45FB-A46F-40AA943A0D0A}"/>
    <cellStyle name="Vírgula 9 3 2 3 3 2 2" xfId="37234" xr:uid="{7A817976-4CC1-47B5-8606-A99CF2662C4D}"/>
    <cellStyle name="Vírgula 9 3 2 3 3 3" xfId="20396" xr:uid="{77AA6355-0D3D-45D0-A0A1-D061A0FC0890}"/>
    <cellStyle name="Vírgula 9 3 2 3 3 3 2" xfId="40735" xr:uid="{DFE43DE8-E4E9-47BA-B35B-7C03F1958FA4}"/>
    <cellStyle name="Vírgula 9 3 2 3 3 4" xfId="23651" xr:uid="{DEF72A16-DD95-4D11-B56B-7C239F12EE3E}"/>
    <cellStyle name="Vírgula 9 3 2 3 3 4 2" xfId="43986" xr:uid="{64F37A6F-360F-40DE-9B4E-CD96CF1270A8}"/>
    <cellStyle name="Vírgula 9 3 2 3 3 5" xfId="13985" xr:uid="{53B6B65B-C4F9-46D8-9DC6-D09220510F29}"/>
    <cellStyle name="Vírgula 9 3 2 3 3 5 2" xfId="34326" xr:uid="{4BE1B225-603F-4082-83D0-A021BE7F7E63}"/>
    <cellStyle name="Vírgula 9 3 2 3 3 6" xfId="10107" xr:uid="{EEEA775D-53C6-4CA6-B355-A8FEEA2E1BAE}"/>
    <cellStyle name="Vírgula 9 3 2 3 3 6 2" xfId="30450" xr:uid="{CC079CD5-0ADB-4624-8581-C83411037F1E}"/>
    <cellStyle name="Vírgula 9 3 2 3 3 7" xfId="26956" xr:uid="{BC7F6445-E8AF-428E-A588-D514A5E10E4F}"/>
    <cellStyle name="Vírgula 9 3 2 3 4" xfId="7772" xr:uid="{CAA69FE1-1A8B-4C11-BB86-0993FF1B6F82}"/>
    <cellStyle name="Vírgula 9 3 2 3 4 2" xfId="18057" xr:uid="{561863C8-3230-4EDC-BB4F-212C96D06F66}"/>
    <cellStyle name="Vírgula 9 3 2 3 4 2 2" xfId="38397" xr:uid="{81DBF89A-C6DD-4ED1-A6BC-AD52AE2539AA}"/>
    <cellStyle name="Vírgula 9 3 2 3 4 3" xfId="21559" xr:uid="{FCC1B032-E659-4762-B03F-0820CA53D9EE}"/>
    <cellStyle name="Vírgula 9 3 2 3 4 3 2" xfId="41898" xr:uid="{B1CB759B-BA7D-4D4F-8774-15047C3C9F4C}"/>
    <cellStyle name="Vírgula 9 3 2 3 4 4" xfId="24814" xr:uid="{4A097F94-5FE6-4A6E-B590-E3705FBFF796}"/>
    <cellStyle name="Vírgula 9 3 2 3 4 4 2" xfId="45149" xr:uid="{6BEFE046-AAAA-4516-A35C-D1F4C6D4EA1B}"/>
    <cellStyle name="Vírgula 9 3 2 3 4 5" xfId="15149" xr:uid="{483061D4-E0E8-4813-97BF-79DD5B49B763}"/>
    <cellStyle name="Vírgula 9 3 2 3 4 5 2" xfId="35489" xr:uid="{B71BBD94-B638-4749-B3D2-590DE46114DA}"/>
    <cellStyle name="Vírgula 9 3 2 3 4 6" xfId="11270" xr:uid="{E9307985-312C-44C5-9B55-C23F75EC2D3D}"/>
    <cellStyle name="Vírgula 9 3 2 3 4 6 2" xfId="31613" xr:uid="{E95CAE3E-9277-410E-BCA9-8078511A5EE6}"/>
    <cellStyle name="Vírgula 9 3 2 3 4 7" xfId="28119" xr:uid="{85929300-B594-40F8-BD58-55ECB8FA7973}"/>
    <cellStyle name="Vírgula 9 3 2 3 5" xfId="8411" xr:uid="{B3E60D80-7FCF-46F0-A7FC-E87BD87F9B8B}"/>
    <cellStyle name="Vírgula 9 3 2 3 5 2" xfId="22198" xr:uid="{C265D5F9-EF0D-4A99-A006-3319AC502AE2}"/>
    <cellStyle name="Vírgula 9 3 2 3 5 2 2" xfId="42534" xr:uid="{4E5A9AD7-FD3E-42C8-B6D6-63F25D0E8E39}"/>
    <cellStyle name="Vírgula 9 3 2 3 5 3" xfId="25450" xr:uid="{BC7A7013-24C9-4EDE-A313-525B30ECE7C8}"/>
    <cellStyle name="Vírgula 9 3 2 3 5 3 2" xfId="45785" xr:uid="{4E3453FC-A431-4F1E-A368-5BE21E8057C9}"/>
    <cellStyle name="Vírgula 9 3 2 3 5 4" xfId="12839" xr:uid="{59E9846E-D71A-4F3A-9E95-994BC6D11428}"/>
    <cellStyle name="Vírgula 9 3 2 3 5 4 2" xfId="33180" xr:uid="{D02D92C4-3F2A-4ED3-840A-6BC53A4ED133}"/>
    <cellStyle name="Vírgula 9 3 2 3 5 5" xfId="11907" xr:uid="{18EE7B3D-6A93-4A26-8AB9-6331FAF84810}"/>
    <cellStyle name="Vírgula 9 3 2 3 5 5 2" xfId="32249" xr:uid="{97D367A9-993D-4178-94A3-AE3E65C0560A}"/>
    <cellStyle name="Vírgula 9 3 2 3 5 6" xfId="28755" xr:uid="{0110E9E8-A77F-4275-8CE6-AE84F32B7ACC}"/>
    <cellStyle name="Vírgula 9 3 2 3 6" xfId="8670" xr:uid="{10CD70D3-143B-4E60-80D4-B6D292975932}"/>
    <cellStyle name="Vírgula 9 3 2 3 6 2" xfId="15736" xr:uid="{B6C949E7-2A6E-46A7-A33F-8707B69C4992}"/>
    <cellStyle name="Vírgula 9 3 2 3 6 2 2" xfId="36076" xr:uid="{C92E8495-18F9-487B-9001-858DF1BC2081}"/>
    <cellStyle name="Vírgula 9 3 2 3 6 3" xfId="29013" xr:uid="{80A5F36E-86CA-454E-9DAC-9700742E1082}"/>
    <cellStyle name="Vírgula 9 3 2 3 7" xfId="18650" xr:uid="{E8087E35-47C2-4067-AF3D-DA2A7CE69D6F}"/>
    <cellStyle name="Vírgula 9 3 2 3 7 2" xfId="38990" xr:uid="{BCA253ED-1AD8-4711-8D45-9DD415565CDC}"/>
    <cellStyle name="Vírgula 9 3 2 3 8" xfId="19238" xr:uid="{7A7D3E57-29B2-409F-9338-642098341FDC}"/>
    <cellStyle name="Vírgula 9 3 2 3 8 2" xfId="39577" xr:uid="{5D0381F7-F8E0-4016-B4D1-20010DB71E80}"/>
    <cellStyle name="Vírgula 9 3 2 3 9" xfId="22493" xr:uid="{E9CB5407-3AD2-4F9D-AE2C-7928B5FBC21C}"/>
    <cellStyle name="Vírgula 9 3 2 3 9 2" xfId="42828" xr:uid="{0F04DBA0-F62D-4C3A-BED6-BF0F914F5779}"/>
    <cellStyle name="Vírgula 9 3 2 4" xfId="4988" xr:uid="{C6964639-4F8B-4A57-BFD4-31288A144AD6}"/>
    <cellStyle name="Vírgula 9 3 2 4 10" xfId="12268" xr:uid="{B791373B-DA35-411F-ADBA-B1D1260D9667}"/>
    <cellStyle name="Vírgula 9 3 2 4 10 2" xfId="32609" xr:uid="{02429BC3-C5B3-4197-9B35-231A3DC466A9}"/>
    <cellStyle name="Vírgula 9 3 2 4 11" xfId="9007" xr:uid="{6B5BC560-7278-4189-A716-EBBB33E4DC7B}"/>
    <cellStyle name="Vírgula 9 3 2 4 11 2" xfId="29350" xr:uid="{6EE5FDD0-67EE-4032-A318-6F115F8FCB2F}"/>
    <cellStyle name="Vírgula 9 3 2 4 12" xfId="25856" xr:uid="{588FABF7-51D8-499E-85AA-120C1631E49B}"/>
    <cellStyle name="Vírgula 9 3 2 4 13" xfId="46094" xr:uid="{9DEB5512-206A-4A22-8B54-2FAE74334488}"/>
    <cellStyle name="Vírgula 9 3 2 4 14" xfId="46580" xr:uid="{99A4E3F2-E528-4A5C-9D3C-5B41F7D5A49A}"/>
    <cellStyle name="Vírgula 9 3 2 4 15" xfId="47072" xr:uid="{CC0E016D-4421-424E-A59B-13358F470DC5}"/>
    <cellStyle name="Vírgula 9 3 2 4 16" xfId="5517" xr:uid="{A08881CA-4CAD-44B9-914F-0775ED09257D}"/>
    <cellStyle name="Vírgula 9 3 2 4 2" xfId="6089" xr:uid="{B46202A2-244C-4FEB-B3EB-53398BE93E9F}"/>
    <cellStyle name="Vírgula 9 3 2 4 2 2" xfId="7247" xr:uid="{99C9B5D5-66A0-4F40-9BFE-25551347DC11}"/>
    <cellStyle name="Vírgula 9 3 2 4 2 2 2" xfId="17533" xr:uid="{A083066A-DFBC-4590-A13D-14372F7DC09A}"/>
    <cellStyle name="Vírgula 9 3 2 4 2 2 2 2" xfId="37873" xr:uid="{F9573332-ED52-44E8-812B-1764201297D9}"/>
    <cellStyle name="Vírgula 9 3 2 4 2 2 3" xfId="21035" xr:uid="{98C04528-FFD7-4C33-B19E-6D3477998777}"/>
    <cellStyle name="Vírgula 9 3 2 4 2 2 3 2" xfId="41374" xr:uid="{B5C4E125-4309-419F-B216-D23C81779613}"/>
    <cellStyle name="Vírgula 9 3 2 4 2 2 4" xfId="24290" xr:uid="{CF424A64-035E-4653-9C49-D8E475ABC288}"/>
    <cellStyle name="Vírgula 9 3 2 4 2 2 4 2" xfId="44625" xr:uid="{6C73759B-2273-4252-A776-89927CDC446E}"/>
    <cellStyle name="Vírgula 9 3 2 4 2 2 5" xfId="14624" xr:uid="{DCEBABAD-5317-4EBF-957E-B6A465DAB4D9}"/>
    <cellStyle name="Vírgula 9 3 2 4 2 2 5 2" xfId="34965" xr:uid="{54DC6B1B-FC24-4BAF-8C6D-34B9ED1BE204}"/>
    <cellStyle name="Vírgula 9 3 2 4 2 2 6" xfId="10746" xr:uid="{42A18717-F497-48E9-9B9C-1A9913FEE3EE}"/>
    <cellStyle name="Vírgula 9 3 2 4 2 2 6 2" xfId="31089" xr:uid="{A32BA99D-F56A-4D00-835A-13670025D26B}"/>
    <cellStyle name="Vírgula 9 3 2 4 2 2 7" xfId="27595" xr:uid="{437B5B22-14F5-470D-B979-7B085FECFB5C}"/>
    <cellStyle name="Vírgula 9 3 2 4 2 3" xfId="16375" xr:uid="{852E363C-4FF6-4A32-9929-1767296D02A9}"/>
    <cellStyle name="Vírgula 9 3 2 4 2 3 2" xfId="36715" xr:uid="{9A448D7A-4AE1-4A3D-B3C5-F68BDA80416E}"/>
    <cellStyle name="Vírgula 9 3 2 4 2 4" xfId="19877" xr:uid="{B548FB0A-D3E2-44D5-A68A-27004FC6D03A}"/>
    <cellStyle name="Vírgula 9 3 2 4 2 4 2" xfId="40216" xr:uid="{C611C0AC-D3D6-4EA5-AEC2-6D5FB43F4E1F}"/>
    <cellStyle name="Vírgula 9 3 2 4 2 5" xfId="23132" xr:uid="{36C53D9D-08A3-4D04-968C-87728EEFFE47}"/>
    <cellStyle name="Vírgula 9 3 2 4 2 5 2" xfId="43467" xr:uid="{EE750FBD-9F49-4A92-8336-35CFA7C9E347}"/>
    <cellStyle name="Vírgula 9 3 2 4 2 6" xfId="13466" xr:uid="{843D4A4F-AB1C-43AF-BE05-22BF144461B0}"/>
    <cellStyle name="Vírgula 9 3 2 4 2 6 2" xfId="33807" xr:uid="{7C755788-78AF-44CD-98A9-293E90A17E87}"/>
    <cellStyle name="Vírgula 9 3 2 4 2 7" xfId="9588" xr:uid="{976C4AF1-52C7-48BC-83CB-5A28E272ECAC}"/>
    <cellStyle name="Vírgula 9 3 2 4 2 7 2" xfId="29931" xr:uid="{3A61678A-D995-4808-9FB1-BC2957AF4D6E}"/>
    <cellStyle name="Vírgula 9 3 2 4 2 8" xfId="26437" xr:uid="{6B98231F-114D-41D8-8931-DA6FC269596E}"/>
    <cellStyle name="Vírgula 9 3 2 4 3" xfId="6666" xr:uid="{8832D17F-F4F3-4673-9B06-A9FDFF90ADCF}"/>
    <cellStyle name="Vírgula 9 3 2 4 3 2" xfId="16952" xr:uid="{18D52645-DF4E-492B-A446-A3C1B48E8EB8}"/>
    <cellStyle name="Vírgula 9 3 2 4 3 2 2" xfId="37292" xr:uid="{11042854-2140-4276-B857-45BAD0067DDC}"/>
    <cellStyle name="Vírgula 9 3 2 4 3 3" xfId="20454" xr:uid="{ACE46A1B-60AD-4DA2-91ED-34826B56F7C3}"/>
    <cellStyle name="Vírgula 9 3 2 4 3 3 2" xfId="40793" xr:uid="{7066C8FF-F648-4BA1-9B91-B4E47236B9CA}"/>
    <cellStyle name="Vírgula 9 3 2 4 3 4" xfId="23709" xr:uid="{3A84570D-6CF8-4630-8736-0E991B817464}"/>
    <cellStyle name="Vírgula 9 3 2 4 3 4 2" xfId="44044" xr:uid="{446A0691-CB52-4B94-BDC5-462C5F29DFC2}"/>
    <cellStyle name="Vírgula 9 3 2 4 3 5" xfId="14043" xr:uid="{C06839D5-534F-4391-A16A-B6FCE064CD32}"/>
    <cellStyle name="Vírgula 9 3 2 4 3 5 2" xfId="34384" xr:uid="{82A871D6-5068-4596-8B46-285E9AA9913B}"/>
    <cellStyle name="Vírgula 9 3 2 4 3 6" xfId="10165" xr:uid="{66CB7B2F-6E8D-4591-9FB1-579E4C354965}"/>
    <cellStyle name="Vírgula 9 3 2 4 3 6 2" xfId="30508" xr:uid="{DF5FA8EE-1379-4803-94FF-BD9857C16C45}"/>
    <cellStyle name="Vírgula 9 3 2 4 3 7" xfId="27014" xr:uid="{7DFC3329-36C0-4796-8AF1-6CE27E24009F}"/>
    <cellStyle name="Vírgula 9 3 2 4 4" xfId="7830" xr:uid="{A97169D6-57A6-42DC-B8F4-53C2DB65AF3B}"/>
    <cellStyle name="Vírgula 9 3 2 4 4 2" xfId="18115" xr:uid="{5652B894-A306-4E5C-A2B7-2812E3CBAC36}"/>
    <cellStyle name="Vírgula 9 3 2 4 4 2 2" xfId="38455" xr:uid="{142B87D8-1DB0-46C9-957F-7C4C9FD2E0A6}"/>
    <cellStyle name="Vírgula 9 3 2 4 4 3" xfId="21617" xr:uid="{12F2F5BF-3BCE-4319-9BA0-C2CFEC6EF4BC}"/>
    <cellStyle name="Vírgula 9 3 2 4 4 3 2" xfId="41956" xr:uid="{189EF7CC-51B2-47B5-A45C-E24CC421168F}"/>
    <cellStyle name="Vírgula 9 3 2 4 4 4" xfId="24872" xr:uid="{5F36A0CD-5155-419C-A325-563BDAA2758C}"/>
    <cellStyle name="Vírgula 9 3 2 4 4 4 2" xfId="45207" xr:uid="{E06B58F8-BCD6-4824-A20D-0BD88FEFED9D}"/>
    <cellStyle name="Vírgula 9 3 2 4 4 5" xfId="15207" xr:uid="{CF1DFD21-6679-4C14-B9D9-06F35044D998}"/>
    <cellStyle name="Vírgula 9 3 2 4 4 5 2" xfId="35547" xr:uid="{48232DEE-3F9A-4C0C-AEF5-1E1DCF3DDDDE}"/>
    <cellStyle name="Vírgula 9 3 2 4 4 6" xfId="11328" xr:uid="{31BA4FBA-F195-442E-9DC9-E54F56D7B83E}"/>
    <cellStyle name="Vírgula 9 3 2 4 4 6 2" xfId="31671" xr:uid="{9015776A-16CA-460B-B995-222A6A2F07DF}"/>
    <cellStyle name="Vírgula 9 3 2 4 4 7" xfId="28177" xr:uid="{C1F553D2-3896-4600-97DA-908F0E49C658}"/>
    <cellStyle name="Vírgula 9 3 2 4 5" xfId="8412" xr:uid="{A5FCF03F-56D7-4E3A-A582-F6A87F2D5EB9}"/>
    <cellStyle name="Vírgula 9 3 2 4 5 2" xfId="22199" xr:uid="{6FFE218D-A411-4842-99F0-C4B7F0BDA972}"/>
    <cellStyle name="Vírgula 9 3 2 4 5 2 2" xfId="42535" xr:uid="{6E6E6E81-694F-4DCC-B50A-7F51E6E78237}"/>
    <cellStyle name="Vírgula 9 3 2 4 5 3" xfId="25451" xr:uid="{2AC8B9D8-91AE-406A-BBCF-364AABF36522}"/>
    <cellStyle name="Vírgula 9 3 2 4 5 3 2" xfId="45786" xr:uid="{F58EDBE4-8C91-449D-BD1C-D2C5A5B4ADC2}"/>
    <cellStyle name="Vírgula 9 3 2 4 5 4" xfId="12897" xr:uid="{47264E77-9D4C-4723-AE9D-31AE499ACE5C}"/>
    <cellStyle name="Vírgula 9 3 2 4 5 4 2" xfId="33238" xr:uid="{63470B0E-D0CC-4666-AE0C-718993C814A3}"/>
    <cellStyle name="Vírgula 9 3 2 4 5 5" xfId="11908" xr:uid="{4952B7DA-7BE0-448D-B471-6380D3031B94}"/>
    <cellStyle name="Vírgula 9 3 2 4 5 5 2" xfId="32250" xr:uid="{0E320F16-D3A5-4D95-BD56-B211FC8D2E88}"/>
    <cellStyle name="Vírgula 9 3 2 4 5 6" xfId="28756" xr:uid="{1260C75B-0AE4-4310-AD3D-94FCDB3E8C9B}"/>
    <cellStyle name="Vírgula 9 3 2 4 6" xfId="15794" xr:uid="{B81EFE39-DF8C-4DFD-BB6D-1A46D5A5E6CA}"/>
    <cellStyle name="Vírgula 9 3 2 4 6 2" xfId="36134" xr:uid="{E0C405DD-7D59-4031-904D-BBB30F9696B4}"/>
    <cellStyle name="Vírgula 9 3 2 4 7" xfId="18708" xr:uid="{F038F0E9-0F89-4D79-B313-DA80D2B46D61}"/>
    <cellStyle name="Vírgula 9 3 2 4 7 2" xfId="39048" xr:uid="{10EF5743-73D7-4EF1-84E0-E490210A443C}"/>
    <cellStyle name="Vírgula 9 3 2 4 8" xfId="19296" xr:uid="{8CFADAB6-E417-4358-A5D6-9D49D0744C2D}"/>
    <cellStyle name="Vírgula 9 3 2 4 8 2" xfId="39635" xr:uid="{E8D31119-6B63-45E2-95B8-1549CEDD1D29}"/>
    <cellStyle name="Vírgula 9 3 2 4 9" xfId="22551" xr:uid="{8A57470B-BBFF-4A8F-9B3A-CC135D2B3904}"/>
    <cellStyle name="Vírgula 9 3 2 4 9 2" xfId="42886" xr:uid="{2E03B818-7504-46DF-B53B-DC25910E79EA}"/>
    <cellStyle name="Vírgula 9 3 2 5" xfId="5592" xr:uid="{56B40484-7033-4B29-9F8A-9E79286D31F1}"/>
    <cellStyle name="Vírgula 9 3 2 5 10" xfId="12343" xr:uid="{65115F41-B1CC-40BE-8D68-C497FB6F5997}"/>
    <cellStyle name="Vírgula 9 3 2 5 10 2" xfId="32684" xr:uid="{F780A2DA-59E4-4F3D-AA98-78EE89B48316}"/>
    <cellStyle name="Vírgula 9 3 2 5 11" xfId="9082" xr:uid="{39ED81AA-D400-4E29-B5AC-838557AAA72B}"/>
    <cellStyle name="Vírgula 9 3 2 5 11 2" xfId="29425" xr:uid="{315430FF-6B1D-4F90-AF3A-D7383C6D375F}"/>
    <cellStyle name="Vírgula 9 3 2 5 12" xfId="25931" xr:uid="{5437F33C-C1C8-410F-8B35-DFE5BD8ABF9D}"/>
    <cellStyle name="Vírgula 9 3 2 5 2" xfId="6164" xr:uid="{A69F93F7-AEFA-45A8-969B-272AEA8DFC0F}"/>
    <cellStyle name="Vírgula 9 3 2 5 2 2" xfId="7322" xr:uid="{14E4B9EC-7F8B-43C2-97F1-DC54CD193F28}"/>
    <cellStyle name="Vírgula 9 3 2 5 2 2 2" xfId="17608" xr:uid="{4C0E6C25-BD04-44D5-9551-080CF45B4E95}"/>
    <cellStyle name="Vírgula 9 3 2 5 2 2 2 2" xfId="37948" xr:uid="{3D7866F0-6565-43E4-9F2B-7FF91FF44395}"/>
    <cellStyle name="Vírgula 9 3 2 5 2 2 3" xfId="21110" xr:uid="{398AF3FB-7683-4C75-9369-19C2EBC0C9FE}"/>
    <cellStyle name="Vírgula 9 3 2 5 2 2 3 2" xfId="41449" xr:uid="{560D7CB4-7354-4906-B13F-752ED552B3E8}"/>
    <cellStyle name="Vírgula 9 3 2 5 2 2 4" xfId="24365" xr:uid="{AF29D1C1-9554-4395-9404-ABD57999CBDF}"/>
    <cellStyle name="Vírgula 9 3 2 5 2 2 4 2" xfId="44700" xr:uid="{BADDBBB1-034C-4B6F-94B5-DD689035A91A}"/>
    <cellStyle name="Vírgula 9 3 2 5 2 2 5" xfId="14699" xr:uid="{2D8CB2DC-DC6A-4398-B17B-B50784BC3102}"/>
    <cellStyle name="Vírgula 9 3 2 5 2 2 5 2" xfId="35040" xr:uid="{99207CD6-8DC2-49A3-A70E-CFA82A1107BA}"/>
    <cellStyle name="Vírgula 9 3 2 5 2 2 6" xfId="10821" xr:uid="{31FCDE6D-AEAD-4D21-88C6-6124F02573A7}"/>
    <cellStyle name="Vírgula 9 3 2 5 2 2 6 2" xfId="31164" xr:uid="{8CCB793D-590E-4A2D-BC27-C1E746ADE7DE}"/>
    <cellStyle name="Vírgula 9 3 2 5 2 2 7" xfId="27670" xr:uid="{9C088B00-7AA0-4A62-80D8-E8DC309FB049}"/>
    <cellStyle name="Vírgula 9 3 2 5 2 3" xfId="16450" xr:uid="{64370287-EBE2-4D40-89F7-563B987BEACD}"/>
    <cellStyle name="Vírgula 9 3 2 5 2 3 2" xfId="36790" xr:uid="{20FF534B-954E-4087-9C36-3FCB68B1F8D7}"/>
    <cellStyle name="Vírgula 9 3 2 5 2 4" xfId="19952" xr:uid="{978BCD07-6DE2-47DA-88AB-1A536CE4F6A4}"/>
    <cellStyle name="Vírgula 9 3 2 5 2 4 2" xfId="40291" xr:uid="{88F2BEC5-2FBB-4B2E-BFB2-54DC82DD9A3D}"/>
    <cellStyle name="Vírgula 9 3 2 5 2 5" xfId="23207" xr:uid="{8E1D4D6B-153E-46FD-BCB5-33429FC364B1}"/>
    <cellStyle name="Vírgula 9 3 2 5 2 5 2" xfId="43542" xr:uid="{443AB3AA-EB45-49B9-BB9B-D26CD12EAC69}"/>
    <cellStyle name="Vírgula 9 3 2 5 2 6" xfId="13541" xr:uid="{44D7F57C-6451-4922-A2D7-671AA438113F}"/>
    <cellStyle name="Vírgula 9 3 2 5 2 6 2" xfId="33882" xr:uid="{53439CDA-F34B-4EC6-829E-FA69DB93E81F}"/>
    <cellStyle name="Vírgula 9 3 2 5 2 7" xfId="9663" xr:uid="{4AE645B8-45CC-4F08-B504-6D385AB919CD}"/>
    <cellStyle name="Vírgula 9 3 2 5 2 7 2" xfId="30006" xr:uid="{30B23337-9505-4E8B-BEEB-E68098C1F271}"/>
    <cellStyle name="Vírgula 9 3 2 5 2 8" xfId="26512" xr:uid="{1A9D1102-12BE-4B90-8F6D-A04DA0A43317}"/>
    <cellStyle name="Vírgula 9 3 2 5 3" xfId="6741" xr:uid="{71BF30E6-E7D1-411E-8229-377553FC30EF}"/>
    <cellStyle name="Vírgula 9 3 2 5 3 2" xfId="17027" xr:uid="{9E16C553-DF0F-407A-B331-87571666203A}"/>
    <cellStyle name="Vírgula 9 3 2 5 3 2 2" xfId="37367" xr:uid="{673FB75A-089A-492A-8797-6BA77A44256C}"/>
    <cellStyle name="Vírgula 9 3 2 5 3 3" xfId="20529" xr:uid="{349ACDC0-1FB7-445A-94A5-511E4F8ADB58}"/>
    <cellStyle name="Vírgula 9 3 2 5 3 3 2" xfId="40868" xr:uid="{D07EA37A-E429-4AAF-B670-3CD187C6AA7B}"/>
    <cellStyle name="Vírgula 9 3 2 5 3 4" xfId="23784" xr:uid="{1964D12D-F29B-427E-8901-00C7D4BCB91E}"/>
    <cellStyle name="Vírgula 9 3 2 5 3 4 2" xfId="44119" xr:uid="{72925FF6-A9BC-4557-B71A-D93A4DA7E02F}"/>
    <cellStyle name="Vírgula 9 3 2 5 3 5" xfId="14118" xr:uid="{8BC7DF98-636F-4635-B4F2-9491C425E6A7}"/>
    <cellStyle name="Vírgula 9 3 2 5 3 5 2" xfId="34459" xr:uid="{EE16B7A3-B875-4207-98AA-186C42192C2F}"/>
    <cellStyle name="Vírgula 9 3 2 5 3 6" xfId="10240" xr:uid="{EAE58A25-5A3A-4575-9666-B16D5FF0B5B5}"/>
    <cellStyle name="Vírgula 9 3 2 5 3 6 2" xfId="30583" xr:uid="{480E03D4-0C0B-4863-A7F6-0485F2BBC1E7}"/>
    <cellStyle name="Vírgula 9 3 2 5 3 7" xfId="27089" xr:uid="{B9730F85-1B24-45E4-88F9-517DB78809B6}"/>
    <cellStyle name="Vírgula 9 3 2 5 4" xfId="7905" xr:uid="{D36E2301-7365-4D27-AC83-24B4C8F5FD33}"/>
    <cellStyle name="Vírgula 9 3 2 5 4 2" xfId="18190" xr:uid="{97898E03-37A0-4C17-8E93-E2C5FD809492}"/>
    <cellStyle name="Vírgula 9 3 2 5 4 2 2" xfId="38530" xr:uid="{13790C30-ADE7-48C0-882D-F6A7D95D9098}"/>
    <cellStyle name="Vírgula 9 3 2 5 4 3" xfId="21692" xr:uid="{05F379FD-05A7-4E25-8041-E6CF975D4DE9}"/>
    <cellStyle name="Vírgula 9 3 2 5 4 3 2" xfId="42031" xr:uid="{95CA9923-7484-4545-9F2B-03648FA5923C}"/>
    <cellStyle name="Vírgula 9 3 2 5 4 4" xfId="24947" xr:uid="{26F704A5-DD63-427E-8DA4-0ADB4AB20599}"/>
    <cellStyle name="Vírgula 9 3 2 5 4 4 2" xfId="45282" xr:uid="{8D241D6D-7EF0-483C-9843-B5198AA4119B}"/>
    <cellStyle name="Vírgula 9 3 2 5 4 5" xfId="15282" xr:uid="{129A149A-0DF6-451E-A0CE-C31E09018229}"/>
    <cellStyle name="Vírgula 9 3 2 5 4 5 2" xfId="35622" xr:uid="{FA8FB713-DEE9-41A4-A9A0-5F07F04D24F4}"/>
    <cellStyle name="Vírgula 9 3 2 5 4 6" xfId="11403" xr:uid="{8E3BC045-46DA-493B-B1A9-DF716188A7E0}"/>
    <cellStyle name="Vírgula 9 3 2 5 4 6 2" xfId="31746" xr:uid="{86CE49D7-BC51-4DAA-96E4-89BE87A642C4}"/>
    <cellStyle name="Vírgula 9 3 2 5 4 7" xfId="28252" xr:uid="{8A493E94-D3E6-4989-BC02-1077D339063F}"/>
    <cellStyle name="Vírgula 9 3 2 5 5" xfId="12972" xr:uid="{2E8DF50D-C5AC-47EC-904D-C5340E9C90FE}"/>
    <cellStyle name="Vírgula 9 3 2 5 5 2" xfId="33313" xr:uid="{01A1EBF0-E8B1-4135-A914-D60B2ECC7063}"/>
    <cellStyle name="Vírgula 9 3 2 5 6" xfId="15869" xr:uid="{B9B51B65-AE00-4C2C-92C3-6605268F4D49}"/>
    <cellStyle name="Vírgula 9 3 2 5 6 2" xfId="36209" xr:uid="{02CF1297-AB84-4593-B17F-9F2FE8E63B08}"/>
    <cellStyle name="Vírgula 9 3 2 5 7" xfId="18783" xr:uid="{8A452D1E-0FB1-436E-A5AA-ED4081A2F8EA}"/>
    <cellStyle name="Vírgula 9 3 2 5 7 2" xfId="39123" xr:uid="{4F9FEBF4-FA45-49F6-B386-BFAFE5D6A7C4}"/>
    <cellStyle name="Vírgula 9 3 2 5 8" xfId="19371" xr:uid="{9FBC8DEA-D75B-4716-B1C4-0FFA4D447D33}"/>
    <cellStyle name="Vírgula 9 3 2 5 8 2" xfId="39710" xr:uid="{B8129A76-811A-4463-B83A-714FE87F2AD5}"/>
    <cellStyle name="Vírgula 9 3 2 5 9" xfId="22626" xr:uid="{A58F1807-093D-48F5-AFD1-735E7DCCEBDA}"/>
    <cellStyle name="Vírgula 9 3 2 5 9 2" xfId="42961" xr:uid="{A8FCEF47-376E-48A9-A8DD-5151C2BD01FC}"/>
    <cellStyle name="Vírgula 9 3 2 6" xfId="5690" xr:uid="{72C3A7C8-C523-4151-B4A2-2CED7FA48BEC}"/>
    <cellStyle name="Vírgula 9 3 2 6 10" xfId="12441" xr:uid="{D5E663CE-F819-40D7-9C7F-A16418EFA688}"/>
    <cellStyle name="Vírgula 9 3 2 6 10 2" xfId="32782" xr:uid="{3D8B742A-5325-4E94-8796-1EBB178D0973}"/>
    <cellStyle name="Vírgula 9 3 2 6 11" xfId="9180" xr:uid="{E0E33DEB-9340-428C-A60F-16E5635C85BC}"/>
    <cellStyle name="Vírgula 9 3 2 6 11 2" xfId="29523" xr:uid="{50F2AA36-5130-476F-8C53-493E208C25B3}"/>
    <cellStyle name="Vírgula 9 3 2 6 12" xfId="26029" xr:uid="{6BFE988C-52EF-4B31-AE12-207DE58AF996}"/>
    <cellStyle name="Vírgula 9 3 2 6 2" xfId="6262" xr:uid="{B952D4C8-BF6D-4A85-845C-03DEFB2D2364}"/>
    <cellStyle name="Vírgula 9 3 2 6 2 2" xfId="7420" xr:uid="{7ACC324F-4082-428A-BF6F-BE4ECD7F55EE}"/>
    <cellStyle name="Vírgula 9 3 2 6 2 2 2" xfId="17706" xr:uid="{34D599FE-AFD0-4AF0-81EE-FDB102021CBB}"/>
    <cellStyle name="Vírgula 9 3 2 6 2 2 2 2" xfId="38046" xr:uid="{C6A99F14-148B-4E54-AC75-7C5327DCF773}"/>
    <cellStyle name="Vírgula 9 3 2 6 2 2 3" xfId="21208" xr:uid="{D2D0E10A-D145-42FB-8484-B0468CBA9541}"/>
    <cellStyle name="Vírgula 9 3 2 6 2 2 3 2" xfId="41547" xr:uid="{E473D3C1-3596-4EB2-B34D-C905B0D676EB}"/>
    <cellStyle name="Vírgula 9 3 2 6 2 2 4" xfId="24463" xr:uid="{5F44E63C-85B8-42B3-998A-11402B9BF562}"/>
    <cellStyle name="Vírgula 9 3 2 6 2 2 4 2" xfId="44798" xr:uid="{97DD9443-80D8-48E9-9613-1A9B0E7CB6B1}"/>
    <cellStyle name="Vírgula 9 3 2 6 2 2 5" xfId="14797" xr:uid="{5EFD0188-5340-4BBC-8A5F-7D9993D0CCD5}"/>
    <cellStyle name="Vírgula 9 3 2 6 2 2 5 2" xfId="35138" xr:uid="{F15F95EC-3213-4E7D-856E-9E1E089E6FAC}"/>
    <cellStyle name="Vírgula 9 3 2 6 2 2 6" xfId="10919" xr:uid="{2AFC1EAC-83EF-4F59-8473-3EE2BC843A5D}"/>
    <cellStyle name="Vírgula 9 3 2 6 2 2 6 2" xfId="31262" xr:uid="{8C1E46B6-157B-4EE9-83F2-6FA0DC0EEF55}"/>
    <cellStyle name="Vírgula 9 3 2 6 2 2 7" xfId="27768" xr:uid="{3C8CCC35-BCE1-44A6-AD9C-B979FC4755B7}"/>
    <cellStyle name="Vírgula 9 3 2 6 2 3" xfId="16548" xr:uid="{2E67F36B-EB66-49DF-BAFF-BCB187ABD416}"/>
    <cellStyle name="Vírgula 9 3 2 6 2 3 2" xfId="36888" xr:uid="{EF126770-2F9C-437B-B823-612279465BBA}"/>
    <cellStyle name="Vírgula 9 3 2 6 2 4" xfId="20050" xr:uid="{ADD6136F-2CFC-486C-BDD1-62392686FDD7}"/>
    <cellStyle name="Vírgula 9 3 2 6 2 4 2" xfId="40389" xr:uid="{99B7697F-F479-4EA8-974C-EAEFFEA64684}"/>
    <cellStyle name="Vírgula 9 3 2 6 2 5" xfId="23305" xr:uid="{48883291-D386-4241-BAF0-C29EDEA77CAA}"/>
    <cellStyle name="Vírgula 9 3 2 6 2 5 2" xfId="43640" xr:uid="{43FACD3B-630E-42F7-9784-A846AB865B54}"/>
    <cellStyle name="Vírgula 9 3 2 6 2 6" xfId="13639" xr:uid="{ED3F4049-2E94-41DA-94CE-EBEC8F3169AF}"/>
    <cellStyle name="Vírgula 9 3 2 6 2 6 2" xfId="33980" xr:uid="{2B532881-DF1F-4219-ABB0-D7AAF73A6B35}"/>
    <cellStyle name="Vírgula 9 3 2 6 2 7" xfId="9761" xr:uid="{1D7F946F-C0E2-479A-9F85-4407C046EF75}"/>
    <cellStyle name="Vírgula 9 3 2 6 2 7 2" xfId="30104" xr:uid="{BFE6D223-9DB5-4090-9C18-0C26514A84E3}"/>
    <cellStyle name="Vírgula 9 3 2 6 2 8" xfId="26610" xr:uid="{8CFF0F3A-77AC-480F-AE16-CF670125612E}"/>
    <cellStyle name="Vírgula 9 3 2 6 3" xfId="6839" xr:uid="{769CB638-15FD-4F2F-BDAF-E4CFF10CA432}"/>
    <cellStyle name="Vírgula 9 3 2 6 3 2" xfId="17125" xr:uid="{510C447C-CEC7-45CF-867F-AC55275D53B4}"/>
    <cellStyle name="Vírgula 9 3 2 6 3 2 2" xfId="37465" xr:uid="{321F155C-C498-455D-A15C-D6E0AF049B48}"/>
    <cellStyle name="Vírgula 9 3 2 6 3 3" xfId="20627" xr:uid="{E1561BFD-4578-4CF5-A057-10D21AD8BB38}"/>
    <cellStyle name="Vírgula 9 3 2 6 3 3 2" xfId="40966" xr:uid="{B4B8CE41-C2BD-4AEC-9204-F9AC3212532F}"/>
    <cellStyle name="Vírgula 9 3 2 6 3 4" xfId="23882" xr:uid="{A0FC8C69-7501-40E2-A345-5F9131139C98}"/>
    <cellStyle name="Vírgula 9 3 2 6 3 4 2" xfId="44217" xr:uid="{72F56712-A7D3-4691-B5BA-F7470B0BC08A}"/>
    <cellStyle name="Vírgula 9 3 2 6 3 5" xfId="14216" xr:uid="{C7FBBADA-083B-4DC9-BE45-7721CB2D8B4F}"/>
    <cellStyle name="Vírgula 9 3 2 6 3 5 2" xfId="34557" xr:uid="{52BFD5CB-4213-49BC-8BE6-A2D1F03765EB}"/>
    <cellStyle name="Vírgula 9 3 2 6 3 6" xfId="10338" xr:uid="{2EC1DE94-35B1-4EC6-9665-FC9577659786}"/>
    <cellStyle name="Vírgula 9 3 2 6 3 6 2" xfId="30681" xr:uid="{52B90963-DB44-482A-A415-F8283AE9414B}"/>
    <cellStyle name="Vírgula 9 3 2 6 3 7" xfId="27187" xr:uid="{DB7084F3-82F7-44F8-8604-401DD984B6ED}"/>
    <cellStyle name="Vírgula 9 3 2 6 4" xfId="8003" xr:uid="{C5922F9F-0CC7-4874-9937-F477CC92332D}"/>
    <cellStyle name="Vírgula 9 3 2 6 4 2" xfId="18288" xr:uid="{18BD48C1-0A11-4117-8877-ABDE4A4966F4}"/>
    <cellStyle name="Vírgula 9 3 2 6 4 2 2" xfId="38628" xr:uid="{96196436-837D-4602-AB5E-C7F7311E0107}"/>
    <cellStyle name="Vírgula 9 3 2 6 4 3" xfId="21790" xr:uid="{5A4DBD57-A276-4A9C-AE06-AB726D20B750}"/>
    <cellStyle name="Vírgula 9 3 2 6 4 3 2" xfId="42129" xr:uid="{EEAF8277-2E85-4B61-8393-A011DBA31305}"/>
    <cellStyle name="Vírgula 9 3 2 6 4 4" xfId="25045" xr:uid="{36D19097-454B-448C-832B-51C3EA0B6AE4}"/>
    <cellStyle name="Vírgula 9 3 2 6 4 4 2" xfId="45380" xr:uid="{81FD9AB8-69D2-4315-B088-4F957B3613D6}"/>
    <cellStyle name="Vírgula 9 3 2 6 4 5" xfId="15380" xr:uid="{0B001714-1B57-4290-9B35-FD8B34895B24}"/>
    <cellStyle name="Vírgula 9 3 2 6 4 5 2" xfId="35720" xr:uid="{BB4555C2-8C9A-4638-8B4B-A325BB11B279}"/>
    <cellStyle name="Vírgula 9 3 2 6 4 6" xfId="11501" xr:uid="{A798EEF7-891D-47D3-ABE0-2084226C95E6}"/>
    <cellStyle name="Vírgula 9 3 2 6 4 6 2" xfId="31844" xr:uid="{EB0C133D-1A2B-4CDC-8E5A-C493F34BF2CF}"/>
    <cellStyle name="Vírgula 9 3 2 6 4 7" xfId="28350" xr:uid="{B450E06C-5CAE-414C-BE08-0B9ADA8D1B07}"/>
    <cellStyle name="Vírgula 9 3 2 6 5" xfId="13070" xr:uid="{F96136B5-1639-42AB-92E2-AB52FDCBB79F}"/>
    <cellStyle name="Vírgula 9 3 2 6 5 2" xfId="33411" xr:uid="{9870F9FB-614C-4B2D-9463-87318038F794}"/>
    <cellStyle name="Vírgula 9 3 2 6 6" xfId="15967" xr:uid="{C156B750-6FB3-482D-8D1F-A36841680F2D}"/>
    <cellStyle name="Vírgula 9 3 2 6 6 2" xfId="36307" xr:uid="{AF704699-AEDF-4D13-9B46-2FE91DF30F69}"/>
    <cellStyle name="Vírgula 9 3 2 6 7" xfId="18881" xr:uid="{F3F7CAB3-7236-457D-9E81-1C64532D2EED}"/>
    <cellStyle name="Vírgula 9 3 2 6 7 2" xfId="39221" xr:uid="{92192406-296A-4055-ABE8-915B9F6E0250}"/>
    <cellStyle name="Vírgula 9 3 2 6 8" xfId="19469" xr:uid="{5650C1AA-AEB4-4BBF-A972-92E59407A2DE}"/>
    <cellStyle name="Vírgula 9 3 2 6 8 2" xfId="39808" xr:uid="{BE1BDC83-C3D3-4772-95D4-46ED03E8208C}"/>
    <cellStyle name="Vírgula 9 3 2 6 9" xfId="22724" xr:uid="{2953BD1E-6334-49EA-833A-285A025C790A}"/>
    <cellStyle name="Vírgula 9 3 2 6 9 2" xfId="43059" xr:uid="{AC0CC5E5-C89B-4A6E-9AEA-57DB98486036}"/>
    <cellStyle name="Vírgula 9 3 2 7" xfId="5820" xr:uid="{F8A3ECA0-F98F-478A-807C-4C3956920AFA}"/>
    <cellStyle name="Vírgula 9 3 2 7 2" xfId="6978" xr:uid="{BD4838B1-F61D-40DC-8284-DD70B64BF159}"/>
    <cellStyle name="Vírgula 9 3 2 7 2 2" xfId="17264" xr:uid="{51012C47-9B3D-457B-9617-A3ED47CC552C}"/>
    <cellStyle name="Vírgula 9 3 2 7 2 2 2" xfId="37604" xr:uid="{1A651844-F92A-4B43-B6AF-00D4FB9596FE}"/>
    <cellStyle name="Vírgula 9 3 2 7 2 3" xfId="20766" xr:uid="{BAC80EFC-9DCF-469F-89FC-44CF44A26C27}"/>
    <cellStyle name="Vírgula 9 3 2 7 2 3 2" xfId="41105" xr:uid="{D74493B4-A32A-49A6-B20A-788726221D1B}"/>
    <cellStyle name="Vírgula 9 3 2 7 2 4" xfId="24021" xr:uid="{84D105D5-5744-4588-811F-52EC11BDC5AE}"/>
    <cellStyle name="Vírgula 9 3 2 7 2 4 2" xfId="44356" xr:uid="{72C78649-BD17-4984-B12D-136B2750CFA5}"/>
    <cellStyle name="Vírgula 9 3 2 7 2 5" xfId="14355" xr:uid="{29911F9B-7836-4615-897F-E6A9A7CC10B2}"/>
    <cellStyle name="Vírgula 9 3 2 7 2 5 2" xfId="34696" xr:uid="{AB24C478-B044-4DE9-B000-60873674DF74}"/>
    <cellStyle name="Vírgula 9 3 2 7 2 6" xfId="10477" xr:uid="{AF18EC0C-D048-414C-B591-5B278967C63D}"/>
    <cellStyle name="Vírgula 9 3 2 7 2 6 2" xfId="30820" xr:uid="{A73669B7-12DE-48F8-BE86-F7BDA4329E23}"/>
    <cellStyle name="Vírgula 9 3 2 7 2 7" xfId="27326" xr:uid="{4B283C1F-48D3-4312-AFBD-A59337F0FD3C}"/>
    <cellStyle name="Vírgula 9 3 2 7 3" xfId="16106" xr:uid="{C129FC78-0709-4230-B44E-3A7C143197E2}"/>
    <cellStyle name="Vírgula 9 3 2 7 3 2" xfId="36446" xr:uid="{7776172B-94AC-45A4-B5D6-BA98C5A31559}"/>
    <cellStyle name="Vírgula 9 3 2 7 4" xfId="19608" xr:uid="{8080E7C2-3644-4341-907E-7FCD01A53359}"/>
    <cellStyle name="Vírgula 9 3 2 7 4 2" xfId="39947" xr:uid="{8DD9ED11-8B08-4457-8DF8-3914933089B9}"/>
    <cellStyle name="Vírgula 9 3 2 7 5" xfId="22863" xr:uid="{34923287-B0A2-45CE-90F5-19CFD81DD7FE}"/>
    <cellStyle name="Vírgula 9 3 2 7 5 2" xfId="43198" xr:uid="{639A2283-D130-4967-A8FD-4A1EE42D3F65}"/>
    <cellStyle name="Vírgula 9 3 2 7 6" xfId="13201" xr:uid="{3214D757-3D09-4DAA-9503-90A22CED8DA8}"/>
    <cellStyle name="Vírgula 9 3 2 7 6 2" xfId="33542" xr:uid="{24FCC4D4-423A-4440-A1C4-4C2FE050FA73}"/>
    <cellStyle name="Vírgula 9 3 2 7 7" xfId="9319" xr:uid="{649656A9-2A4D-488D-841F-6F22D75ACA6F}"/>
    <cellStyle name="Vírgula 9 3 2 7 7 2" xfId="29662" xr:uid="{FAD779C8-E6D4-44BE-BE4B-34A8221658B6}"/>
    <cellStyle name="Vírgula 9 3 2 7 8" xfId="26168" xr:uid="{7F77175E-10E7-42FC-B2C6-A835071D9CE0}"/>
    <cellStyle name="Vírgula 9 3 2 8" xfId="6397" xr:uid="{DD55E256-6B13-4720-8BC3-EB0568855738}"/>
    <cellStyle name="Vírgula 9 3 2 8 2" xfId="16683" xr:uid="{FB3ACF4A-8D6C-40B1-B3C8-C9E72A6B5966}"/>
    <cellStyle name="Vírgula 9 3 2 8 2 2" xfId="37023" xr:uid="{DB671D2B-9B20-4541-AA1C-46B6F25E211D}"/>
    <cellStyle name="Vírgula 9 3 2 8 3" xfId="20185" xr:uid="{73CDA810-F689-49B4-9C61-5C169DE3381A}"/>
    <cellStyle name="Vírgula 9 3 2 8 3 2" xfId="40524" xr:uid="{154EBFA1-E6C3-47C0-964D-55DE3630FE85}"/>
    <cellStyle name="Vírgula 9 3 2 8 4" xfId="23440" xr:uid="{AAFA3820-F5ED-42C5-A64D-1D249A6FBBCB}"/>
    <cellStyle name="Vírgula 9 3 2 8 4 2" xfId="43775" xr:uid="{59D6EA5E-0177-458E-85E5-AD2B7F30D30D}"/>
    <cellStyle name="Vírgula 9 3 2 8 5" xfId="13774" xr:uid="{DA247BA5-A7B2-4BCD-9900-A0467668F446}"/>
    <cellStyle name="Vírgula 9 3 2 8 5 2" xfId="34115" xr:uid="{9C694DEC-58A6-40A0-8513-E37ACE642218}"/>
    <cellStyle name="Vírgula 9 3 2 8 6" xfId="9896" xr:uid="{6201E94F-D624-4B9D-BC4F-F2EC6FF64B83}"/>
    <cellStyle name="Vírgula 9 3 2 8 6 2" xfId="30239" xr:uid="{B57CC79A-9D3A-4E22-AFAE-B5D7C5EC5305}"/>
    <cellStyle name="Vírgula 9 3 2 8 7" xfId="26745" xr:uid="{6CC8DB52-8FF9-465C-961A-1BBF7AA82850}"/>
    <cellStyle name="Vírgula 9 3 2 9" xfId="7561" xr:uid="{F746A2AA-90A1-47C9-89BE-AAE844BAF908}"/>
    <cellStyle name="Vírgula 9 3 2 9 2" xfId="17846" xr:uid="{15B0B418-38DB-47F7-BD8A-14B04606E5BF}"/>
    <cellStyle name="Vírgula 9 3 2 9 2 2" xfId="38186" xr:uid="{F7B24A2A-D4F5-45D6-84A6-26EAF6DAD138}"/>
    <cellStyle name="Vírgula 9 3 2 9 3" xfId="21348" xr:uid="{FE868CD4-796F-40C2-B19F-5B73237CABF9}"/>
    <cellStyle name="Vírgula 9 3 2 9 3 2" xfId="41687" xr:uid="{00513235-6FE7-4577-B668-19956592AF37}"/>
    <cellStyle name="Vírgula 9 3 2 9 4" xfId="24603" xr:uid="{5881EDF5-E45D-4835-B7C4-A5053758620A}"/>
    <cellStyle name="Vírgula 9 3 2 9 4 2" xfId="44938" xr:uid="{D4A1241C-81D2-42E0-A8D6-6AABC68782B8}"/>
    <cellStyle name="Vírgula 9 3 2 9 5" xfId="14938" xr:uid="{702CB01E-D100-43B1-A3AE-7B64F2F06E4A}"/>
    <cellStyle name="Vírgula 9 3 2 9 5 2" xfId="35278" xr:uid="{90D98AA3-D509-4002-B303-5E1B9DD635BB}"/>
    <cellStyle name="Vírgula 9 3 2 9 6" xfId="11059" xr:uid="{4105675B-FE7C-4F85-952A-A57EFFBEEEA1}"/>
    <cellStyle name="Vírgula 9 3 2 9 6 2" xfId="31402" xr:uid="{CD35CDD4-7538-4078-8BB1-C397A9515961}"/>
    <cellStyle name="Vírgula 9 3 2 9 7" xfId="27908" xr:uid="{AED60F95-B571-436F-A83B-60A563106DC9}"/>
    <cellStyle name="Vírgula 9 3 20" xfId="46309" xr:uid="{F60E39C9-6E81-4357-B29A-E940AE62BC74}"/>
    <cellStyle name="Vírgula 9 3 21" xfId="46801" xr:uid="{CC20DF04-E759-4A97-A2BA-1C84935F38C8}"/>
    <cellStyle name="Vírgula 9 3 22" xfId="49351" xr:uid="{EDF1F38B-39F3-47FA-8EF2-520F173EA641}"/>
    <cellStyle name="Vírgula 9 3 23" xfId="51021" xr:uid="{D347730D-9DB1-45F7-B017-A851FF65B984}"/>
    <cellStyle name="Vírgula 9 3 24" xfId="54316" xr:uid="{85DE2C77-ECFC-4C19-89D3-A1A0273AA654}"/>
    <cellStyle name="Vírgula 9 3 25" xfId="5231" xr:uid="{32769E20-7E93-4E2F-99C3-02DDC1130D28}"/>
    <cellStyle name="Vírgula 9 3 26" xfId="4450" xr:uid="{294DB4D7-FB74-4A52-B4C1-DDB16FF275CC}"/>
    <cellStyle name="Vírgula 9 3 3" xfId="1391" xr:uid="{5E6699C8-0D28-4DD5-B9AE-E61EF07FA4F6}"/>
    <cellStyle name="Vírgula 9 3 3 10" xfId="22369" xr:uid="{823AAF6B-3A4A-411F-88D7-5A945978AD50}"/>
    <cellStyle name="Vírgula 9 3 3 10 2" xfId="42704" xr:uid="{5692B3C0-D2B7-453B-AFDE-2235157C00DE}"/>
    <cellStyle name="Vírgula 9 3 3 11" xfId="12086" xr:uid="{F3B1BA3A-1236-4D76-9408-C013D36B6720}"/>
    <cellStyle name="Vírgula 9 3 3 11 2" xfId="32427" xr:uid="{D9CA6D91-24E6-4C52-AD46-36320194137E}"/>
    <cellStyle name="Vírgula 9 3 3 12" xfId="8825" xr:uid="{8CAFC48A-5ADB-4E04-8E61-37BF96F719AF}"/>
    <cellStyle name="Vírgula 9 3 3 12 2" xfId="29168" xr:uid="{E2F699A2-7607-4FBC-BA8D-911FAF5E9B87}"/>
    <cellStyle name="Vírgula 9 3 3 13" xfId="25674" xr:uid="{38D48F99-6160-43F8-B4CD-ADD91165A3E2}"/>
    <cellStyle name="Vírgula 9 3 3 14" xfId="45883" xr:uid="{E15B0F20-4D4C-48B2-81F6-672ECD2789B0}"/>
    <cellStyle name="Vírgula 9 3 3 15" xfId="46369" xr:uid="{68B94B55-984B-4FFF-B577-F2B8A4A19160}"/>
    <cellStyle name="Vírgula 9 3 3 16" xfId="46861" xr:uid="{8DC8461B-FA7E-496D-B208-7EC5D3BD7B11}"/>
    <cellStyle name="Vírgula 9 3 3 17" xfId="49353" xr:uid="{8E8E41CF-BF0F-44E2-94F5-89E00B4E3534}"/>
    <cellStyle name="Vírgula 9 3 3 18" xfId="51023" xr:uid="{19A42655-0DD1-4581-A62A-8E0D78D89CCF}"/>
    <cellStyle name="Vírgula 9 3 3 19" xfId="54318" xr:uid="{ADCE0024-3C17-40DF-BF3A-5113CAC06DDA}"/>
    <cellStyle name="Vírgula 9 3 3 2" xfId="4301" xr:uid="{8965F769-7E8E-4CC0-B199-CFF48C892FFD}"/>
    <cellStyle name="Vírgula 9 3 3 2 10" xfId="12473" xr:uid="{39158FE0-64A8-4389-B4B4-0AA6C1DD7B28}"/>
    <cellStyle name="Vírgula 9 3 3 2 10 2" xfId="32814" xr:uid="{B1DA99B7-75B2-4C7F-AE62-DC90372013E6}"/>
    <cellStyle name="Vírgula 9 3 3 2 11" xfId="9212" xr:uid="{ADBEAD45-7896-4B27-87AB-386B3AF412F7}"/>
    <cellStyle name="Vírgula 9 3 3 2 11 2" xfId="29555" xr:uid="{112B8EEB-2348-4CE0-AEBD-45EDD3A67967}"/>
    <cellStyle name="Vírgula 9 3 3 2 12" xfId="26061" xr:uid="{DB5BADA3-79AB-4737-867A-F3D287D76332}"/>
    <cellStyle name="Vírgula 9 3 3 2 13" xfId="46047" xr:uid="{5FE394A6-6E38-40CD-9B4C-07F37B6C9E84}"/>
    <cellStyle name="Vírgula 9 3 3 2 14" xfId="46533" xr:uid="{B545E8D2-F1FB-4C7F-96C6-4052FE1DEAE0}"/>
    <cellStyle name="Vírgula 9 3 3 2 15" xfId="47025" xr:uid="{E4965E3E-D1B3-49F9-94CF-D7A3B4C92729}"/>
    <cellStyle name="Vírgula 9 3 3 2 16" xfId="52655" xr:uid="{3E6F63B5-FC21-4BEB-8BD5-73E350933AB2}"/>
    <cellStyle name="Vírgula 9 3 3 2 17" xfId="55949" xr:uid="{B15DBC20-6B0B-4B6B-B59B-A168FA8156AE}"/>
    <cellStyle name="Vírgula 9 3 3 2 18" xfId="5722" xr:uid="{B5715D76-2071-4E74-BE5C-95CBC1087A6D}"/>
    <cellStyle name="Vírgula 9 3 3 2 19" xfId="5165" xr:uid="{4F23A548-EEFE-4B09-B745-88B86F7E5210}"/>
    <cellStyle name="Vírgula 9 3 3 2 2" xfId="6294" xr:uid="{D1D09D39-C5CE-45FC-BCBB-62F5075253AD}"/>
    <cellStyle name="Vírgula 9 3 3 2 2 10" xfId="46776" xr:uid="{9C35A748-4061-4909-8E9E-8798E8A5F26C}"/>
    <cellStyle name="Vírgula 9 3 3 2 2 11" xfId="47268" xr:uid="{4760A3F2-455D-4359-8049-8A011259349D}"/>
    <cellStyle name="Vírgula 9 3 3 2 2 2" xfId="7452" xr:uid="{F8F3B821-C43F-4403-9D97-6A45826D53DF}"/>
    <cellStyle name="Vírgula 9 3 3 2 2 2 2" xfId="17738" xr:uid="{730B48F5-0317-4CC2-B99B-CB42330D4DC5}"/>
    <cellStyle name="Vírgula 9 3 3 2 2 2 2 2" xfId="38078" xr:uid="{5134E843-5CA4-4645-866A-949BE552F412}"/>
    <cellStyle name="Vírgula 9 3 3 2 2 2 3" xfId="21240" xr:uid="{D1EE2CA2-90ED-41AD-9D8B-291074A5D8AA}"/>
    <cellStyle name="Vírgula 9 3 3 2 2 2 3 2" xfId="41579" xr:uid="{D319B8B6-F9DE-4FA5-BE52-300068CBF796}"/>
    <cellStyle name="Vírgula 9 3 3 2 2 2 4" xfId="24495" xr:uid="{FD6A3715-DE0C-4738-8766-9425879E3AD9}"/>
    <cellStyle name="Vírgula 9 3 3 2 2 2 4 2" xfId="44830" xr:uid="{6FBA0200-B2DA-4182-9CED-52A386089E7B}"/>
    <cellStyle name="Vírgula 9 3 3 2 2 2 5" xfId="14829" xr:uid="{3B8456E6-17B9-49A4-8FC5-FD056DBD5447}"/>
    <cellStyle name="Vírgula 9 3 3 2 2 2 5 2" xfId="35170" xr:uid="{9CF2AAB4-D19C-49FC-B2A7-0EDB7E7DF47E}"/>
    <cellStyle name="Vírgula 9 3 3 2 2 2 6" xfId="10951" xr:uid="{15C1F893-3903-4634-B4E0-1E5A5C1186C5}"/>
    <cellStyle name="Vírgula 9 3 3 2 2 2 6 2" xfId="31294" xr:uid="{915E8294-C30B-47BA-BEE0-22BD2CC801BD}"/>
    <cellStyle name="Vírgula 9 3 3 2 2 2 7" xfId="27800" xr:uid="{811AC908-184E-4DAE-91A0-D5F2ECE49551}"/>
    <cellStyle name="Vírgula 9 3 3 2 2 3" xfId="16580" xr:uid="{6B7DAC58-0153-4409-AAC6-05397007244C}"/>
    <cellStyle name="Vírgula 9 3 3 2 2 3 2" xfId="36920" xr:uid="{2F62D6F1-6F98-427D-9EE4-7FED3A67B20E}"/>
    <cellStyle name="Vírgula 9 3 3 2 2 4" xfId="20082" xr:uid="{575401CD-4918-40AC-B1FE-AF4EB5D70604}"/>
    <cellStyle name="Vírgula 9 3 3 2 2 4 2" xfId="40421" xr:uid="{E60298E0-7265-4469-91AA-2AEA7FA69D39}"/>
    <cellStyle name="Vírgula 9 3 3 2 2 5" xfId="23337" xr:uid="{05EC43D3-E666-43A6-B043-464FE4E5C5A8}"/>
    <cellStyle name="Vírgula 9 3 3 2 2 5 2" xfId="43672" xr:uid="{AE5A108F-FFB4-4C62-80A4-29FC2C55A785}"/>
    <cellStyle name="Vírgula 9 3 3 2 2 6" xfId="13671" xr:uid="{4CE63E8D-28AD-47A6-A07F-4C9298D6B38A}"/>
    <cellStyle name="Vírgula 9 3 3 2 2 6 2" xfId="34012" xr:uid="{9E62585C-CA85-42A6-A125-33D31DE154E3}"/>
    <cellStyle name="Vírgula 9 3 3 2 2 7" xfId="9793" xr:uid="{D04607D6-7684-4A6C-820D-9D1857D05435}"/>
    <cellStyle name="Vírgula 9 3 3 2 2 7 2" xfId="30136" xr:uid="{09005AC2-6EBF-4206-AF75-31579FC4216C}"/>
    <cellStyle name="Vírgula 9 3 3 2 2 8" xfId="26642" xr:uid="{41F50D24-BED6-4BBE-BDB0-FD2C57AAB6F8}"/>
    <cellStyle name="Vírgula 9 3 3 2 2 9" xfId="46290" xr:uid="{462E86B9-8224-4C56-8CA3-7B5B5065B86A}"/>
    <cellStyle name="Vírgula 9 3 3 2 3" xfId="6871" xr:uid="{88FCF97F-E75C-4F72-ABB9-233F50F3BB44}"/>
    <cellStyle name="Vírgula 9 3 3 2 3 2" xfId="17157" xr:uid="{1F9B1065-45E8-4962-8DE1-B0234F1DD095}"/>
    <cellStyle name="Vírgula 9 3 3 2 3 2 2" xfId="37497" xr:uid="{F581C950-7700-4210-9BA0-88F77EB1699F}"/>
    <cellStyle name="Vírgula 9 3 3 2 3 3" xfId="20659" xr:uid="{14EC5293-562A-4FE5-963D-BE8249C59E13}"/>
    <cellStyle name="Vírgula 9 3 3 2 3 3 2" xfId="40998" xr:uid="{77AA75DD-14C7-47F8-A6F4-F6F77224F35C}"/>
    <cellStyle name="Vírgula 9 3 3 2 3 4" xfId="23914" xr:uid="{FBC01F61-7C1F-46F0-AFD7-C0A0034D0F01}"/>
    <cellStyle name="Vírgula 9 3 3 2 3 4 2" xfId="44249" xr:uid="{980AAB13-B021-48F4-AC1B-1BEC93B5F185}"/>
    <cellStyle name="Vírgula 9 3 3 2 3 5" xfId="14248" xr:uid="{65AFFB53-4FDA-4DEA-BB2C-00F23F850395}"/>
    <cellStyle name="Vírgula 9 3 3 2 3 5 2" xfId="34589" xr:uid="{5917C7AB-F757-4A20-9664-8ED08C34FA01}"/>
    <cellStyle name="Vírgula 9 3 3 2 3 6" xfId="10370" xr:uid="{A17B8F1F-2BCD-4A99-AE98-FC05AF1485FC}"/>
    <cellStyle name="Vírgula 9 3 3 2 3 6 2" xfId="30713" xr:uid="{7CE16967-05EF-4C66-9852-110F728E5F38}"/>
    <cellStyle name="Vírgula 9 3 3 2 3 7" xfId="27219" xr:uid="{D457F00D-4AC0-4C16-A5C9-000486C9F285}"/>
    <cellStyle name="Vírgula 9 3 3 2 4" xfId="8035" xr:uid="{A6F39793-D179-4D76-8607-3CDA43899565}"/>
    <cellStyle name="Vírgula 9 3 3 2 4 2" xfId="18320" xr:uid="{04F6D490-06BC-4E3C-9E06-0FF1EF1C9DF2}"/>
    <cellStyle name="Vírgula 9 3 3 2 4 2 2" xfId="38660" xr:uid="{10904AC2-553B-4829-8F2A-17EFF647096F}"/>
    <cellStyle name="Vírgula 9 3 3 2 4 3" xfId="21822" xr:uid="{2E479E44-7F66-4A4A-B85D-2FE775B2FD76}"/>
    <cellStyle name="Vírgula 9 3 3 2 4 3 2" xfId="42161" xr:uid="{E9AF1E7C-F17A-4A50-8436-666B0F593BB8}"/>
    <cellStyle name="Vírgula 9 3 3 2 4 4" xfId="25077" xr:uid="{076A286E-1E65-4B64-9DC6-37EBCD2CD100}"/>
    <cellStyle name="Vírgula 9 3 3 2 4 4 2" xfId="45412" xr:uid="{088EE2B6-6D9F-4910-BF10-AEB0A8F4034E}"/>
    <cellStyle name="Vírgula 9 3 3 2 4 5" xfId="15412" xr:uid="{A4B8C3FC-BD3A-4437-83CA-A9A9314E9F23}"/>
    <cellStyle name="Vírgula 9 3 3 2 4 5 2" xfId="35752" xr:uid="{0F08A336-4B8B-427C-B807-C9B834241781}"/>
    <cellStyle name="Vírgula 9 3 3 2 4 6" xfId="11533" xr:uid="{22EE41CC-19F4-4089-B08F-9ECFC9612889}"/>
    <cellStyle name="Vírgula 9 3 3 2 4 6 2" xfId="31876" xr:uid="{4826FA2B-E8EC-42F1-BF0F-76C861FC3607}"/>
    <cellStyle name="Vírgula 9 3 3 2 4 7" xfId="28382" xr:uid="{F98372E9-7683-477D-993C-05C8B90B963E}"/>
    <cellStyle name="Vírgula 9 3 3 2 5" xfId="8414" xr:uid="{98EC7929-EFE3-4039-940B-74587FC9FD90}"/>
    <cellStyle name="Vírgula 9 3 3 2 5 2" xfId="22201" xr:uid="{80F626CE-55CE-40CE-9E4B-F35AB0C610A6}"/>
    <cellStyle name="Vírgula 9 3 3 2 5 2 2" xfId="42537" xr:uid="{ADEAFF90-A4E7-44ED-83E4-93A31F3ED7AD}"/>
    <cellStyle name="Vírgula 9 3 3 2 5 3" xfId="25453" xr:uid="{919C0A8B-CBAF-4090-B350-FD51B2ED160C}"/>
    <cellStyle name="Vírgula 9 3 3 2 5 3 2" xfId="45788" xr:uid="{3D20FADB-29D9-4A84-8FA6-831E3573B1CD}"/>
    <cellStyle name="Vírgula 9 3 3 2 5 4" xfId="13102" xr:uid="{31D1E59D-8FBF-4EA9-8E1A-FB00C05C160B}"/>
    <cellStyle name="Vírgula 9 3 3 2 5 4 2" xfId="33443" xr:uid="{8DF2847B-C9C0-49C3-BBEF-EBBF3F25E4EC}"/>
    <cellStyle name="Vírgula 9 3 3 2 5 5" xfId="11910" xr:uid="{5BDECB92-936E-439B-91FF-6429754466F0}"/>
    <cellStyle name="Vírgula 9 3 3 2 5 5 2" xfId="32252" xr:uid="{231ECAFA-5CD1-4A3E-8053-857092EC1300}"/>
    <cellStyle name="Vírgula 9 3 3 2 5 6" xfId="28758" xr:uid="{8DF26FCE-1760-4C85-8FAD-D840F2DFA658}"/>
    <cellStyle name="Vírgula 9 3 3 2 6" xfId="8672" xr:uid="{37E56C2E-11CF-4DEB-B248-7E5C98C69361}"/>
    <cellStyle name="Vírgula 9 3 3 2 6 2" xfId="15999" xr:uid="{FF2E212D-5255-467C-848D-51F7EBEA8E49}"/>
    <cellStyle name="Vírgula 9 3 3 2 6 2 2" xfId="36339" xr:uid="{96EA15A1-E154-4E2F-8601-EAD05220FBC7}"/>
    <cellStyle name="Vírgula 9 3 3 2 6 3" xfId="29015" xr:uid="{F84EF952-F71F-4FA5-A635-09B813777AE8}"/>
    <cellStyle name="Vírgula 9 3 3 2 7" xfId="18913" xr:uid="{54D0A828-155E-45D4-B334-886FF7FCEEB9}"/>
    <cellStyle name="Vírgula 9 3 3 2 7 2" xfId="39253" xr:uid="{6C456CBD-87D5-4F13-99F6-EB54FF9B286F}"/>
    <cellStyle name="Vírgula 9 3 3 2 8" xfId="19501" xr:uid="{4C5F0DE3-6AAD-4F50-B1F6-B8CE956E6ABA}"/>
    <cellStyle name="Vírgula 9 3 3 2 8 2" xfId="39840" xr:uid="{6B48B961-3069-4D99-B016-2FA3B725810F}"/>
    <cellStyle name="Vírgula 9 3 3 2 9" xfId="22756" xr:uid="{2C7AF71D-5E10-4EC6-840F-9F8A19922FC4}"/>
    <cellStyle name="Vírgula 9 3 3 2 9 2" xfId="43091" xr:uid="{654BB95B-62EE-43E4-AB07-BF1698B829F2}"/>
    <cellStyle name="Vírgula 9 3 3 20" xfId="5353" xr:uid="{8D774DD6-812F-47A8-91EB-E9D8C52146A4}"/>
    <cellStyle name="Vírgula 9 3 3 21" xfId="4946" xr:uid="{A5EA26E5-13AB-40FC-AD1D-054E79351B11}"/>
    <cellStyle name="Vírgula 9 3 3 3" xfId="3052" xr:uid="{C4E5CC2D-2E34-49FA-80C0-5566C51D05BD}"/>
    <cellStyle name="Vírgula 9 3 3 3 10" xfId="46612" xr:uid="{44096F6A-0EA7-41BB-A7A4-7451BB0F1D9D}"/>
    <cellStyle name="Vírgula 9 3 3 3 11" xfId="47104" xr:uid="{D6A579DC-5148-426D-9112-05F3F4644FB7}"/>
    <cellStyle name="Vírgula 9 3 3 3 12" xfId="57262" xr:uid="{544C6CD1-4F11-4023-B571-06576A9CA483}"/>
    <cellStyle name="Vírgula 9 3 3 3 13" xfId="5907" xr:uid="{FD86B57F-18CA-4509-BD39-E8BE96283014}"/>
    <cellStyle name="Vírgula 9 3 3 3 14" xfId="5012" xr:uid="{50D154AB-47D0-43F1-95D1-3855C961CB85}"/>
    <cellStyle name="Vírgula 9 3 3 3 2" xfId="7065" xr:uid="{40BB5689-3AAB-4F5D-8A87-B5E0CEC6507F}"/>
    <cellStyle name="Vírgula 9 3 3 3 2 2" xfId="17351" xr:uid="{A11055DB-C92A-4B87-A27C-B2F1834D5A79}"/>
    <cellStyle name="Vírgula 9 3 3 3 2 2 2" xfId="37691" xr:uid="{F51DFF74-9056-42ED-A638-5D5E47933CB3}"/>
    <cellStyle name="Vírgula 9 3 3 3 2 3" xfId="20853" xr:uid="{E2C92A92-EFDB-4E88-94F7-683A888B76A6}"/>
    <cellStyle name="Vírgula 9 3 3 3 2 3 2" xfId="41192" xr:uid="{E6F469DD-0BF9-4E72-AF5A-CEBA3A60693E}"/>
    <cellStyle name="Vírgula 9 3 3 3 2 4" xfId="24108" xr:uid="{46BA925E-CA0B-4E89-A674-5A7A73C5AF2F}"/>
    <cellStyle name="Vírgula 9 3 3 3 2 4 2" xfId="44443" xr:uid="{FED2FC20-D5C9-4142-B89E-B37CDE64564D}"/>
    <cellStyle name="Vírgula 9 3 3 3 2 5" xfId="14442" xr:uid="{377CD2DB-FD73-4956-AEF5-FB8639373A26}"/>
    <cellStyle name="Vírgula 9 3 3 3 2 5 2" xfId="34783" xr:uid="{DC26EC1B-99B3-4093-993F-A7052D2B8CC9}"/>
    <cellStyle name="Vírgula 9 3 3 3 2 6" xfId="10564" xr:uid="{E5289012-1AAA-4796-9143-8E22E208E525}"/>
    <cellStyle name="Vírgula 9 3 3 3 2 6 2" xfId="30907" xr:uid="{7FBCCDCA-0E53-49A9-AB3B-4E2D1B1AD0E9}"/>
    <cellStyle name="Vírgula 9 3 3 3 2 7" xfId="27413" xr:uid="{1D7F641F-7DD1-483E-87A4-8D7B686135E1}"/>
    <cellStyle name="Vírgula 9 3 3 3 3" xfId="8415" xr:uid="{98EB02C7-86AE-4936-B7D4-DB7307CFEBC2}"/>
    <cellStyle name="Vírgula 9 3 3 3 3 2" xfId="22202" xr:uid="{3F06C4C1-409F-4D00-BFCD-3CDA7474DA27}"/>
    <cellStyle name="Vírgula 9 3 3 3 3 2 2" xfId="42538" xr:uid="{D60180FA-5A7A-402A-822F-BE41BEA548E9}"/>
    <cellStyle name="Vírgula 9 3 3 3 3 3" xfId="25454" xr:uid="{AA656979-EA59-47D4-81A6-33540593218C}"/>
    <cellStyle name="Vírgula 9 3 3 3 3 3 2" xfId="45789" xr:uid="{E02ADF7A-2147-426F-9D79-F792454C143B}"/>
    <cellStyle name="Vírgula 9 3 3 3 3 4" xfId="16193" xr:uid="{CD5A5908-3DF6-436B-ABA3-43AEBE089915}"/>
    <cellStyle name="Vírgula 9 3 3 3 3 4 2" xfId="36533" xr:uid="{2C825DE9-7A1A-4DF7-8B0A-D02CD0194312}"/>
    <cellStyle name="Vírgula 9 3 3 3 3 5" xfId="11911" xr:uid="{A247F100-5B57-4415-8825-1F6C3ACDD63E}"/>
    <cellStyle name="Vírgula 9 3 3 3 3 5 2" xfId="32253" xr:uid="{E3E13C62-F56F-4848-8282-15D1FE76BBF8}"/>
    <cellStyle name="Vírgula 9 3 3 3 3 6" xfId="28759" xr:uid="{D14CF915-2C9C-4061-A6DB-E9CC142B82BE}"/>
    <cellStyle name="Vírgula 9 3 3 3 4" xfId="19695" xr:uid="{D5514A79-CDC6-488E-83F1-7003B0C3A2A6}"/>
    <cellStyle name="Vírgula 9 3 3 3 4 2" xfId="40034" xr:uid="{C53B2E17-671A-46C7-84FE-095C132793A3}"/>
    <cellStyle name="Vírgula 9 3 3 3 5" xfId="22950" xr:uid="{771A8AE3-C564-43AE-A9B8-2B7D0A376224}"/>
    <cellStyle name="Vírgula 9 3 3 3 5 2" xfId="43285" xr:uid="{1E777A8E-D299-4C71-A12F-82F6D1521309}"/>
    <cellStyle name="Vírgula 9 3 3 3 6" xfId="13286" xr:uid="{8AC7BC7B-A7F8-4E56-B2D6-12DECD2C5826}"/>
    <cellStyle name="Vírgula 9 3 3 3 6 2" xfId="33627" xr:uid="{92683260-C4CD-4F29-A553-1A8B264F2ED3}"/>
    <cellStyle name="Vírgula 9 3 3 3 7" xfId="9406" xr:uid="{3DC5F607-2572-4CFE-BA54-C97D9589DB93}"/>
    <cellStyle name="Vírgula 9 3 3 3 7 2" xfId="29749" xr:uid="{07E6887C-95BB-4109-B9E9-9DECB9EF581B}"/>
    <cellStyle name="Vírgula 9 3 3 3 8" xfId="26255" xr:uid="{04B28057-7D67-48AC-AA75-5A4644B11F88}"/>
    <cellStyle name="Vírgula 9 3 3 3 9" xfId="46126" xr:uid="{2B041F03-7364-4DA7-98A6-1A62076090A5}"/>
    <cellStyle name="Vírgula 9 3 3 4" xfId="6484" xr:uid="{8331D14C-708E-4F1C-AE67-028059AC9E9B}"/>
    <cellStyle name="Vírgula 9 3 3 4 2" xfId="16770" xr:uid="{B7A96613-5B06-40EF-A197-B46D492C2084}"/>
    <cellStyle name="Vírgula 9 3 3 4 2 2" xfId="37110" xr:uid="{A80AB831-5C13-4212-B95F-8E828BEF38E8}"/>
    <cellStyle name="Vírgula 9 3 3 4 3" xfId="20272" xr:uid="{A2AFF715-883D-483E-8E78-135E2E1351C5}"/>
    <cellStyle name="Vírgula 9 3 3 4 3 2" xfId="40611" xr:uid="{A3BD698D-71B4-4C6B-A7E1-4A207664A298}"/>
    <cellStyle name="Vírgula 9 3 3 4 4" xfId="23527" xr:uid="{AE5A5A73-7DD4-4A0E-9C9D-C32FCD9A103B}"/>
    <cellStyle name="Vírgula 9 3 3 4 4 2" xfId="43862" xr:uid="{199CE2E9-2B60-459A-B545-A395AACDABF5}"/>
    <cellStyle name="Vírgula 9 3 3 4 5" xfId="13861" xr:uid="{AFAECC59-0737-494C-8600-E35B6DD9E0FB}"/>
    <cellStyle name="Vírgula 9 3 3 4 5 2" xfId="34202" xr:uid="{8EA623E7-BB5A-45AA-9765-B5FE8A76426E}"/>
    <cellStyle name="Vírgula 9 3 3 4 6" xfId="9983" xr:uid="{AAEF8474-67E6-4629-8947-6EB1D57B13F2}"/>
    <cellStyle name="Vírgula 9 3 3 4 6 2" xfId="30326" xr:uid="{9C3AA5F1-31F3-4055-ADA3-C4BB650C7BA9}"/>
    <cellStyle name="Vírgula 9 3 3 4 7" xfId="26832" xr:uid="{FC10CCD6-D00D-467B-AEE3-38B62ED27795}"/>
    <cellStyle name="Vírgula 9 3 3 5" xfId="7648" xr:uid="{251D08A4-5ED4-4D1D-AC67-F005370AF2C2}"/>
    <cellStyle name="Vírgula 9 3 3 5 2" xfId="17933" xr:uid="{83195A32-7643-4CFD-9F5C-68D01689F718}"/>
    <cellStyle name="Vírgula 9 3 3 5 2 2" xfId="38273" xr:uid="{2A8D4A21-3960-4960-97DE-F37915A7A40B}"/>
    <cellStyle name="Vírgula 9 3 3 5 3" xfId="21435" xr:uid="{7E6126A6-75B5-4DE1-AE19-CD60A6B10A58}"/>
    <cellStyle name="Vírgula 9 3 3 5 3 2" xfId="41774" xr:uid="{9F6653B9-63F7-4D22-AF3E-0BB547C1331B}"/>
    <cellStyle name="Vírgula 9 3 3 5 4" xfId="24690" xr:uid="{888D1424-18B6-4860-A7C9-F88D2B090972}"/>
    <cellStyle name="Vírgula 9 3 3 5 4 2" xfId="45025" xr:uid="{914A38CC-0735-4556-9598-C6518FAE5AF1}"/>
    <cellStyle name="Vírgula 9 3 3 5 5" xfId="15025" xr:uid="{B0E58D7B-B97B-41C2-BB8A-C427BCFFAA6D}"/>
    <cellStyle name="Vírgula 9 3 3 5 5 2" xfId="35365" xr:uid="{DB0327C4-7C79-4AAD-91CF-A6ED6D9C7549}"/>
    <cellStyle name="Vírgula 9 3 3 5 6" xfId="11146" xr:uid="{867B9924-33E6-41A1-8098-137F1424E51F}"/>
    <cellStyle name="Vírgula 9 3 3 5 6 2" xfId="31489" xr:uid="{BDB94B74-9274-4C61-860E-D88BCD34DE65}"/>
    <cellStyle name="Vírgula 9 3 3 5 7" xfId="27995" xr:uid="{D2D62AE5-EB48-4734-B40B-D6BC0BF4CC9E}"/>
    <cellStyle name="Vírgula 9 3 3 6" xfId="8413" xr:uid="{671AFBCC-B7E0-41A7-B792-F1045D4C2DCD}"/>
    <cellStyle name="Vírgula 9 3 3 6 2" xfId="22200" xr:uid="{9B263D25-3D4F-4FB9-8368-1B1A0218C963}"/>
    <cellStyle name="Vírgula 9 3 3 6 2 2" xfId="42536" xr:uid="{993D9A3B-A47C-4C40-8322-9B14F94B5169}"/>
    <cellStyle name="Vírgula 9 3 3 6 3" xfId="25452" xr:uid="{CE5F5166-F557-4164-9082-8AB51243ABFB}"/>
    <cellStyle name="Vírgula 9 3 3 6 3 2" xfId="45787" xr:uid="{20A1E79A-D7FD-4FA7-87AD-C5F5D0BB30C1}"/>
    <cellStyle name="Vírgula 9 3 3 6 4" xfId="12717" xr:uid="{BB504F08-32C4-4C14-8A62-5FB504BF2C72}"/>
    <cellStyle name="Vírgula 9 3 3 6 4 2" xfId="33058" xr:uid="{261D01BD-42FA-42E0-A500-5E20D9254749}"/>
    <cellStyle name="Vírgula 9 3 3 6 5" xfId="11909" xr:uid="{0A201435-AB95-4FDE-8064-1D7004FC11CB}"/>
    <cellStyle name="Vírgula 9 3 3 6 5 2" xfId="32251" xr:uid="{66C80FF6-A73E-4B6C-96B2-D9E9E798F04D}"/>
    <cellStyle name="Vírgula 9 3 3 6 6" xfId="28757" xr:uid="{01A40AD4-996D-40B5-83D8-64DD041FE01D}"/>
    <cellStyle name="Vírgula 9 3 3 7" xfId="8508" xr:uid="{0276D0E9-D320-47AC-BA3F-81ADB980789B}"/>
    <cellStyle name="Vírgula 9 3 3 7 2" xfId="15612" xr:uid="{89A960F6-E199-4B7C-85F9-AD37119386F6}"/>
    <cellStyle name="Vírgula 9 3 3 7 2 2" xfId="35952" xr:uid="{C9A652C9-FAFC-47D7-B7E7-D4A12A7DE254}"/>
    <cellStyle name="Vírgula 9 3 3 7 3" xfId="28851" xr:uid="{6FC94364-A135-46AE-A393-242CB0185989}"/>
    <cellStyle name="Vírgula 9 3 3 8" xfId="18526" xr:uid="{DD34767B-5385-4D54-8897-EA77002E9F85}"/>
    <cellStyle name="Vírgula 9 3 3 8 2" xfId="38866" xr:uid="{43D824E7-C8E7-4207-8603-66EB2F72AE67}"/>
    <cellStyle name="Vírgula 9 3 3 9" xfId="19114" xr:uid="{099A2A66-E3AE-47BC-971D-120816CB0F3D}"/>
    <cellStyle name="Vírgula 9 3 3 9 2" xfId="39453" xr:uid="{02F2D349-469C-49B5-B861-DB897E312FCB}"/>
    <cellStyle name="Vírgula 9 3 4" xfId="578" xr:uid="{5F7CD347-F02C-46D9-81DA-B536E428E8E3}"/>
    <cellStyle name="Vírgula 9 3 4 10" xfId="12182" xr:uid="{979A04F8-4D4B-4714-B176-F4D0ED8CAC59}"/>
    <cellStyle name="Vírgula 9 3 4 10 2" xfId="32523" xr:uid="{9717A26F-F8CC-4164-A26C-39B09B991F45}"/>
    <cellStyle name="Vírgula 9 3 4 11" xfId="8921" xr:uid="{8ADFEAA1-583D-466C-BD01-E9BD3530EBD2}"/>
    <cellStyle name="Vírgula 9 3 4 11 2" xfId="29264" xr:uid="{7F528174-CC12-46E4-B4F8-E811EDFE995F}"/>
    <cellStyle name="Vírgula 9 3 4 12" xfId="25770" xr:uid="{866D5476-58AF-46A0-B731-57A3EAA11504}"/>
    <cellStyle name="Vírgula 9 3 4 13" xfId="46044" xr:uid="{92459E16-8565-45EE-82C0-4FCF4844DC68}"/>
    <cellStyle name="Vírgula 9 3 4 14" xfId="46530" xr:uid="{9B8A4B27-3050-458E-8DF4-3F55411D6ED2}"/>
    <cellStyle name="Vírgula 9 3 4 15" xfId="47022" xr:uid="{805906E7-CF2E-4144-BD72-7877ACF24B00}"/>
    <cellStyle name="Vírgula 9 3 4 16" xfId="49354" xr:uid="{DE9B30B1-BEBB-40C6-AEB6-CCE6425504B5}"/>
    <cellStyle name="Vírgula 9 3 4 17" xfId="51024" xr:uid="{EFE4A89D-D2B6-402F-8680-6ACFE899AE15}"/>
    <cellStyle name="Vírgula 9 3 4 18" xfId="54319" xr:uid="{8EE6E925-5563-4D6D-9FE1-447D39A042D4}"/>
    <cellStyle name="Vírgula 9 3 4 19" xfId="5438" xr:uid="{A1C7D8E8-2876-4F95-9FC5-731E994F6B29}"/>
    <cellStyle name="Vírgula 9 3 4 2" xfId="2294" xr:uid="{089D56D5-DB08-431B-AFAD-849709A2A39C}"/>
    <cellStyle name="Vírgula 9 3 4 2 10" xfId="46773" xr:uid="{854AE8F5-1604-41AA-9229-B46D92EE5B1E}"/>
    <cellStyle name="Vírgula 9 3 4 2 11" xfId="47265" xr:uid="{5D20DB69-F139-4A93-B4C2-869A16700CF3}"/>
    <cellStyle name="Vírgula 9 3 4 2 12" xfId="52656" xr:uid="{88F0F888-78AC-4EE1-BA8D-1B35D852D04F}"/>
    <cellStyle name="Vírgula 9 3 4 2 13" xfId="55950" xr:uid="{1EA49436-02F8-4F06-8A3B-45144C0D5C05}"/>
    <cellStyle name="Vírgula 9 3 4 2 14" xfId="6003" xr:uid="{C052CEA4-26DF-43B2-98DD-344973D7263F}"/>
    <cellStyle name="Vírgula 9 3 4 2 15" xfId="5162" xr:uid="{90EA5195-CD78-4F64-8D52-FF14CEBE2BD5}"/>
    <cellStyle name="Vírgula 9 3 4 2 2" xfId="7161" xr:uid="{5FADF76E-BF25-4D5E-B2B8-6DEBB51CE011}"/>
    <cellStyle name="Vírgula 9 3 4 2 2 2" xfId="17447" xr:uid="{E8539857-FED4-4555-8C35-B3864FC0EE65}"/>
    <cellStyle name="Vírgula 9 3 4 2 2 2 2" xfId="37787" xr:uid="{8A43B5F0-7197-4320-8364-516BDEF3B75C}"/>
    <cellStyle name="Vírgula 9 3 4 2 2 3" xfId="20949" xr:uid="{D33A9D38-7563-40E6-9AEF-320CA45BF298}"/>
    <cellStyle name="Vírgula 9 3 4 2 2 3 2" xfId="41288" xr:uid="{2E90BED8-7221-413E-9715-C086A2A09E49}"/>
    <cellStyle name="Vírgula 9 3 4 2 2 4" xfId="24204" xr:uid="{69B752AD-51FD-4D0C-9293-60A458B30CCE}"/>
    <cellStyle name="Vírgula 9 3 4 2 2 4 2" xfId="44539" xr:uid="{72B02C7E-4C4A-496C-B8ED-FC830CF16918}"/>
    <cellStyle name="Vírgula 9 3 4 2 2 5" xfId="14538" xr:uid="{DEC4AEA5-6979-4498-B371-AF918F00EFA6}"/>
    <cellStyle name="Vírgula 9 3 4 2 2 5 2" xfId="34879" xr:uid="{DBCB6E10-C987-4DE0-8E61-4F3B449DD6BC}"/>
    <cellStyle name="Vírgula 9 3 4 2 2 6" xfId="10660" xr:uid="{F5C9CC91-25CA-47B0-9486-91F2DE9C6B3A}"/>
    <cellStyle name="Vírgula 9 3 4 2 2 6 2" xfId="31003" xr:uid="{116225D0-5DD4-41FB-840E-65B1C159651F}"/>
    <cellStyle name="Vírgula 9 3 4 2 2 7" xfId="27509" xr:uid="{D1B7A3A6-E9D5-409C-BA01-6E51253DCF00}"/>
    <cellStyle name="Vírgula 9 3 4 2 3" xfId="16289" xr:uid="{921C09C1-4ACD-4616-8447-B046D7941C41}"/>
    <cellStyle name="Vírgula 9 3 4 2 3 2" xfId="36629" xr:uid="{AFAB6846-6B24-4D25-9879-8B7621484191}"/>
    <cellStyle name="Vírgula 9 3 4 2 4" xfId="19791" xr:uid="{FDF5B4EC-424A-49E6-9D6E-9CB78EF25546}"/>
    <cellStyle name="Vírgula 9 3 4 2 4 2" xfId="40130" xr:uid="{66744628-CBD6-4448-A215-9F63DF27DDD1}"/>
    <cellStyle name="Vírgula 9 3 4 2 5" xfId="23046" xr:uid="{8555A8E1-183C-49C0-B420-521FF6201CDD}"/>
    <cellStyle name="Vírgula 9 3 4 2 5 2" xfId="43381" xr:uid="{DD05F8FB-4F27-4C71-B53B-6EE4E17AE9C4}"/>
    <cellStyle name="Vírgula 9 3 4 2 6" xfId="13380" xr:uid="{5F8C675B-423E-4489-A115-A3AE7239B40A}"/>
    <cellStyle name="Vírgula 9 3 4 2 6 2" xfId="33721" xr:uid="{AA27AC08-AA44-41B4-BA7F-79522F98DC24}"/>
    <cellStyle name="Vírgula 9 3 4 2 7" xfId="9502" xr:uid="{75A15BA3-3358-4A3B-94DB-7A515AE65833}"/>
    <cellStyle name="Vírgula 9 3 4 2 7 2" xfId="29845" xr:uid="{92FE0F2F-03B0-4795-A886-36289528DC2D}"/>
    <cellStyle name="Vírgula 9 3 4 2 8" xfId="26351" xr:uid="{80149E18-AB50-44FA-B1CA-9EAFCBB328E5}"/>
    <cellStyle name="Vírgula 9 3 4 2 9" xfId="46287" xr:uid="{C2A7273F-5AC2-42D9-B1AF-77DD61C16983}"/>
    <cellStyle name="Vírgula 9 3 4 20" xfId="4943" xr:uid="{C020ED86-51D3-4764-834B-B2461B0F308A}"/>
    <cellStyle name="Vírgula 9 3 4 3" xfId="6580" xr:uid="{BFB8D95A-B670-41C2-B77F-291A03CCA7D3}"/>
    <cellStyle name="Vírgula 9 3 4 3 2" xfId="16866" xr:uid="{D40DA5DD-3F39-4258-84F7-7956668DE35E}"/>
    <cellStyle name="Vírgula 9 3 4 3 2 2" xfId="37206" xr:uid="{0EE05842-66FC-4EE5-9557-35FAE366CF34}"/>
    <cellStyle name="Vírgula 9 3 4 3 3" xfId="20368" xr:uid="{8CEA4A5A-EB1D-4FB3-933F-88BF665DD115}"/>
    <cellStyle name="Vírgula 9 3 4 3 3 2" xfId="40707" xr:uid="{16D063A7-2917-4EAA-8AD5-113D95238E97}"/>
    <cellStyle name="Vírgula 9 3 4 3 4" xfId="23623" xr:uid="{22D96CFF-74DF-4C6B-A897-E6348D4B4A0A}"/>
    <cellStyle name="Vírgula 9 3 4 3 4 2" xfId="43958" xr:uid="{0755448C-37ED-41DB-8154-28B54AAF6073}"/>
    <cellStyle name="Vírgula 9 3 4 3 5" xfId="13957" xr:uid="{EF332880-FC0F-43A3-992F-3642EC5D72ED}"/>
    <cellStyle name="Vírgula 9 3 4 3 5 2" xfId="34298" xr:uid="{DF8455C7-DFC5-4161-B096-524826AC2444}"/>
    <cellStyle name="Vírgula 9 3 4 3 6" xfId="10079" xr:uid="{EA03E007-C906-4922-A75B-347A83A70AD5}"/>
    <cellStyle name="Vírgula 9 3 4 3 6 2" xfId="30422" xr:uid="{2E5FA1A8-1E2D-4385-9AEC-D72C9804A7FC}"/>
    <cellStyle name="Vírgula 9 3 4 3 7" xfId="26928" xr:uid="{899ABB3D-3F2F-4E9D-99B0-65523EA5706A}"/>
    <cellStyle name="Vírgula 9 3 4 3 8" xfId="56449" xr:uid="{3F97468A-1906-4AA9-AD13-A02C585ED79C}"/>
    <cellStyle name="Vírgula 9 3 4 4" xfId="7744" xr:uid="{CF38B7BE-789B-46F7-9623-195DB0D0D5AD}"/>
    <cellStyle name="Vírgula 9 3 4 4 2" xfId="18029" xr:uid="{881D86ED-8956-46FD-8315-2C58A7217DAC}"/>
    <cellStyle name="Vírgula 9 3 4 4 2 2" xfId="38369" xr:uid="{3D513153-C488-4512-9AF0-EED8F9F360C1}"/>
    <cellStyle name="Vírgula 9 3 4 4 3" xfId="21531" xr:uid="{529EF0B5-9F90-4F1B-93E0-5BD96D415138}"/>
    <cellStyle name="Vírgula 9 3 4 4 3 2" xfId="41870" xr:uid="{EDD25B9C-87EE-4679-AF82-33FB959BBA9D}"/>
    <cellStyle name="Vírgula 9 3 4 4 4" xfId="24786" xr:uid="{262DA489-B14C-42BF-B409-ADACFD748CC3}"/>
    <cellStyle name="Vírgula 9 3 4 4 4 2" xfId="45121" xr:uid="{CA12771E-B3E2-46A5-B531-67D6225705ED}"/>
    <cellStyle name="Vírgula 9 3 4 4 5" xfId="15121" xr:uid="{8F5AD4AD-18B9-49A0-B137-80F1F8D73EFD}"/>
    <cellStyle name="Vírgula 9 3 4 4 5 2" xfId="35461" xr:uid="{B2647407-77B4-49D8-892C-2D9302574017}"/>
    <cellStyle name="Vírgula 9 3 4 4 6" xfId="11242" xr:uid="{7E97DDC7-DC11-4A3A-BD85-F3CE9D200A7A}"/>
    <cellStyle name="Vírgula 9 3 4 4 6 2" xfId="31585" xr:uid="{60F3DAEC-DFF5-4E56-B3EB-FB23E74FA91A}"/>
    <cellStyle name="Vírgula 9 3 4 4 7" xfId="28091" xr:uid="{FAC29AB8-2198-4F8B-9666-DAEAC0C14C8A}"/>
    <cellStyle name="Vírgula 9 3 4 5" xfId="8416" xr:uid="{FDA6BDA1-C288-44AA-9BB4-D21D809E583E}"/>
    <cellStyle name="Vírgula 9 3 4 5 2" xfId="22203" xr:uid="{0577979E-A203-40C9-8186-FD1D625F5008}"/>
    <cellStyle name="Vírgula 9 3 4 5 2 2" xfId="42539" xr:uid="{E990406E-80F2-41EE-8D32-4D10ABDB0968}"/>
    <cellStyle name="Vírgula 9 3 4 5 3" xfId="25455" xr:uid="{FEEEA7DA-4CAF-4B9E-952C-3EB68551D864}"/>
    <cellStyle name="Vírgula 9 3 4 5 3 2" xfId="45790" xr:uid="{C77BC354-BF40-44B7-ADF2-8C49D9C5263A}"/>
    <cellStyle name="Vírgula 9 3 4 5 4" xfId="12811" xr:uid="{1A0EA342-BAB8-4773-A4B5-084C4B79A9EC}"/>
    <cellStyle name="Vírgula 9 3 4 5 4 2" xfId="33152" xr:uid="{11119784-F936-4848-827A-E24CF9042CDA}"/>
    <cellStyle name="Vírgula 9 3 4 5 5" xfId="11912" xr:uid="{7BF891E2-DACF-4892-B195-E1D971C1DEE0}"/>
    <cellStyle name="Vírgula 9 3 4 5 5 2" xfId="32254" xr:uid="{63F9470C-767A-4C70-8F62-563BD242A778}"/>
    <cellStyle name="Vírgula 9 3 4 5 6" xfId="28760" xr:uid="{5BC6ACEA-BF13-42D4-B374-912421395519}"/>
    <cellStyle name="Vírgula 9 3 4 6" xfId="8669" xr:uid="{F7201691-4941-4578-9A08-8A39815BCF10}"/>
    <cellStyle name="Vírgula 9 3 4 6 2" xfId="15708" xr:uid="{1300E6EE-F0E6-4854-96B2-F57448CE8CBA}"/>
    <cellStyle name="Vírgula 9 3 4 6 2 2" xfId="36048" xr:uid="{8ED83FB8-CB1F-49C8-97BC-4214B3FE1336}"/>
    <cellStyle name="Vírgula 9 3 4 6 3" xfId="29012" xr:uid="{69CCC02F-8877-4598-AA60-031DBA22AB3C}"/>
    <cellStyle name="Vírgula 9 3 4 7" xfId="18622" xr:uid="{0446D2D6-B146-442F-9E89-11D39AAB3715}"/>
    <cellStyle name="Vírgula 9 3 4 7 2" xfId="38962" xr:uid="{C925E129-9E2B-4B16-8174-30CAB55DDE42}"/>
    <cellStyle name="Vírgula 9 3 4 8" xfId="19210" xr:uid="{8F56FAE2-AB1A-41EE-B6F7-ED6EAD397485}"/>
    <cellStyle name="Vírgula 9 3 4 8 2" xfId="39549" xr:uid="{94D241E1-5489-4BC1-9050-B17F5208C4CA}"/>
    <cellStyle name="Vírgula 9 3 4 9" xfId="22465" xr:uid="{A0B4A766-2A00-42EE-9D00-B95B9822AA52}"/>
    <cellStyle name="Vírgula 9 3 4 9 2" xfId="42800" xr:uid="{E26820D5-5E34-43C3-910E-595DDCD02A3C}"/>
    <cellStyle name="Vírgula 9 3 5" xfId="3537" xr:uid="{4EC87A4E-BFF7-4AD0-9DC7-C37F1A6357F3}"/>
    <cellStyle name="Vírgula 9 3 5 10" xfId="12240" xr:uid="{23A6CACC-6E9D-4E3F-85C6-9C5F77FBEE1C}"/>
    <cellStyle name="Vírgula 9 3 5 10 2" xfId="32581" xr:uid="{0C27CB8B-1821-4EE2-9BF7-BB706C25D002}"/>
    <cellStyle name="Vírgula 9 3 5 11" xfId="8979" xr:uid="{F8F229EB-4FFC-4892-90F7-0AF4150FB37B}"/>
    <cellStyle name="Vírgula 9 3 5 11 2" xfId="29322" xr:uid="{CFF607F8-041A-4091-B91C-D3B2F343F5ED}"/>
    <cellStyle name="Vírgula 9 3 5 12" xfId="25828" xr:uid="{2CBA4D2E-8F04-497A-9C0B-0BB4F9F7196C}"/>
    <cellStyle name="Vírgula 9 3 5 13" xfId="46066" xr:uid="{4964B49F-BCE2-40E8-8E34-FC3EF1EF6290}"/>
    <cellStyle name="Vírgula 9 3 5 14" xfId="46552" xr:uid="{F7C1DBA2-A359-47F5-99B7-F215AC317512}"/>
    <cellStyle name="Vírgula 9 3 5 15" xfId="47044" xr:uid="{098C193A-AA30-4590-B20F-E4C54541AB5D}"/>
    <cellStyle name="Vírgula 9 3 5 16" xfId="52653" xr:uid="{1FD39AB0-930B-445E-927E-906E5460D08A}"/>
    <cellStyle name="Vírgula 9 3 5 17" xfId="55947" xr:uid="{F36D6A60-11EA-4A54-BC89-EADB44CE8A38}"/>
    <cellStyle name="Vírgula 9 3 5 18" xfId="5489" xr:uid="{3F76DC14-9ADE-4DB9-8AF1-520844D13D05}"/>
    <cellStyle name="Vírgula 9 3 5 19" xfId="4967" xr:uid="{E3C7F8C3-B027-4D83-A72D-F281007FCD9A}"/>
    <cellStyle name="Vírgula 9 3 5 2" xfId="6061" xr:uid="{19C180AD-4DBC-447D-8B2E-31DE47B01ED6}"/>
    <cellStyle name="Vírgula 9 3 5 2 2" xfId="7219" xr:uid="{58C1C525-54CF-4B47-A9A5-7BE2F41E34C7}"/>
    <cellStyle name="Vírgula 9 3 5 2 2 2" xfId="17505" xr:uid="{264C11DA-79DC-4FAD-B844-034F8D4CEA45}"/>
    <cellStyle name="Vírgula 9 3 5 2 2 2 2" xfId="37845" xr:uid="{D302297A-F43F-40CA-A335-38D025FA59A4}"/>
    <cellStyle name="Vírgula 9 3 5 2 2 3" xfId="21007" xr:uid="{9197944D-6423-4663-8902-D4D72DAB8C4D}"/>
    <cellStyle name="Vírgula 9 3 5 2 2 3 2" xfId="41346" xr:uid="{F4E7068B-263C-4408-8663-C06B038172AB}"/>
    <cellStyle name="Vírgula 9 3 5 2 2 4" xfId="24262" xr:uid="{C570C626-A9F6-4099-B5E0-FB303DB48F9C}"/>
    <cellStyle name="Vírgula 9 3 5 2 2 4 2" xfId="44597" xr:uid="{CFBFB037-E6A1-4635-8744-1432EA560B5A}"/>
    <cellStyle name="Vírgula 9 3 5 2 2 5" xfId="14596" xr:uid="{A580F0E6-FD51-452E-B9CE-A129FE5F75B5}"/>
    <cellStyle name="Vírgula 9 3 5 2 2 5 2" xfId="34937" xr:uid="{6DC70999-0471-4410-9D0A-4FF570EE3224}"/>
    <cellStyle name="Vírgula 9 3 5 2 2 6" xfId="10718" xr:uid="{608B4075-BED1-43C2-9B7A-4AB4F0704A68}"/>
    <cellStyle name="Vírgula 9 3 5 2 2 6 2" xfId="31061" xr:uid="{293442B3-1E83-4D3A-8D1D-71E4B15BC765}"/>
    <cellStyle name="Vírgula 9 3 5 2 2 7" xfId="27567" xr:uid="{39E952F4-AF2C-4A71-865A-9F823A86EC78}"/>
    <cellStyle name="Vírgula 9 3 5 2 3" xfId="16347" xr:uid="{576846F0-9B05-44D7-9D2F-FB928A9C4DA2}"/>
    <cellStyle name="Vírgula 9 3 5 2 3 2" xfId="36687" xr:uid="{9D55ACED-EB67-4093-968C-64CD553C1951}"/>
    <cellStyle name="Vírgula 9 3 5 2 4" xfId="19849" xr:uid="{0732499D-F35D-495F-8ED9-0108B126C2C2}"/>
    <cellStyle name="Vírgula 9 3 5 2 4 2" xfId="40188" xr:uid="{C3FDDA6E-A7AC-47E7-9BE1-25853B1172BD}"/>
    <cellStyle name="Vírgula 9 3 5 2 5" xfId="23104" xr:uid="{EE014CF5-F756-41F5-B704-102C3E1B1B18}"/>
    <cellStyle name="Vírgula 9 3 5 2 5 2" xfId="43439" xr:uid="{FBC8891E-7982-41AE-89F1-16AF9A5708BF}"/>
    <cellStyle name="Vírgula 9 3 5 2 6" xfId="13438" xr:uid="{6C31327A-01C1-4F86-B223-21C6273E27B0}"/>
    <cellStyle name="Vírgula 9 3 5 2 6 2" xfId="33779" xr:uid="{46F41B35-EC01-43D5-9A87-B7459FEFD71F}"/>
    <cellStyle name="Vírgula 9 3 5 2 7" xfId="9560" xr:uid="{B47D37B8-1FAC-493A-B0A4-B7F85FDD8800}"/>
    <cellStyle name="Vírgula 9 3 5 2 7 2" xfId="29903" xr:uid="{A371C3BF-0489-48C1-B427-621AEEAFCA36}"/>
    <cellStyle name="Vírgula 9 3 5 2 8" xfId="26409" xr:uid="{03F580B3-BD0C-4B25-BBA4-37C5E581B990}"/>
    <cellStyle name="Vírgula 9 3 5 3" xfId="6638" xr:uid="{D6BAD8E1-1FDB-451D-877F-199218AD098C}"/>
    <cellStyle name="Vírgula 9 3 5 3 2" xfId="16924" xr:uid="{90CC6FE7-2AF3-4F5E-8B07-144A90CC7CA4}"/>
    <cellStyle name="Vírgula 9 3 5 3 2 2" xfId="37264" xr:uid="{9D969D2A-8E9B-4D2E-913E-EE6F96DB010A}"/>
    <cellStyle name="Vírgula 9 3 5 3 3" xfId="20426" xr:uid="{B8D7A9EC-C71D-4318-9827-00F66D40DEAF}"/>
    <cellStyle name="Vírgula 9 3 5 3 3 2" xfId="40765" xr:uid="{50069DDE-3D88-427E-9AE1-77706DA90003}"/>
    <cellStyle name="Vírgula 9 3 5 3 4" xfId="23681" xr:uid="{A21F138B-7F53-46D9-A7D5-A8439F318324}"/>
    <cellStyle name="Vírgula 9 3 5 3 4 2" xfId="44016" xr:uid="{5BBDEAB6-9AF9-4853-A311-AD6D182EB535}"/>
    <cellStyle name="Vírgula 9 3 5 3 5" xfId="14015" xr:uid="{B66E673E-D577-4690-AF2C-4B9E7F6015C9}"/>
    <cellStyle name="Vírgula 9 3 5 3 5 2" xfId="34356" xr:uid="{5CE7F628-B9E5-4357-A1E1-CCF3B5D1CD69}"/>
    <cellStyle name="Vírgula 9 3 5 3 6" xfId="10137" xr:uid="{D17E6125-8229-4F58-B9B2-243672F7425E}"/>
    <cellStyle name="Vírgula 9 3 5 3 6 2" xfId="30480" xr:uid="{F348750E-C8BD-40DE-A1AA-FD8F786DC70C}"/>
    <cellStyle name="Vírgula 9 3 5 3 7" xfId="26986" xr:uid="{B19F4327-96FA-4A91-9703-974383664513}"/>
    <cellStyle name="Vírgula 9 3 5 4" xfId="7802" xr:uid="{3FB18301-CADC-469A-AD2C-62E587603839}"/>
    <cellStyle name="Vírgula 9 3 5 4 2" xfId="18087" xr:uid="{8B0225F7-D5F9-4FF7-8F31-7215198CB5C4}"/>
    <cellStyle name="Vírgula 9 3 5 4 2 2" xfId="38427" xr:uid="{4E808965-0543-4B8C-93B1-1CCC662958AC}"/>
    <cellStyle name="Vírgula 9 3 5 4 3" xfId="21589" xr:uid="{C4ED5D53-CF75-4047-87E0-71BA83043EF0}"/>
    <cellStyle name="Vírgula 9 3 5 4 3 2" xfId="41928" xr:uid="{435309AA-B605-406E-8C3E-07B3F4FFD791}"/>
    <cellStyle name="Vírgula 9 3 5 4 4" xfId="24844" xr:uid="{9BD99E53-CD33-4CB8-9F77-819B309606FA}"/>
    <cellStyle name="Vírgula 9 3 5 4 4 2" xfId="45179" xr:uid="{9612C3A5-20AB-4698-832A-E52F241D8A21}"/>
    <cellStyle name="Vírgula 9 3 5 4 5" xfId="15179" xr:uid="{D362443A-0515-4273-B526-11C9E1A22FD6}"/>
    <cellStyle name="Vírgula 9 3 5 4 5 2" xfId="35519" xr:uid="{C4CE8515-1748-463F-9AC1-72DE118A76F0}"/>
    <cellStyle name="Vírgula 9 3 5 4 6" xfId="11300" xr:uid="{ECCAE856-90D9-4303-AFA5-33F2A2C74892}"/>
    <cellStyle name="Vírgula 9 3 5 4 6 2" xfId="31643" xr:uid="{B3D09584-86E7-4F0C-8A7F-846EABAFEAC8}"/>
    <cellStyle name="Vírgula 9 3 5 4 7" xfId="28149" xr:uid="{D0C5A1DD-E5B5-4979-81B4-9EB86288CAD8}"/>
    <cellStyle name="Vírgula 9 3 5 5" xfId="8417" xr:uid="{90726346-39FE-4B19-927F-D1593BD40349}"/>
    <cellStyle name="Vírgula 9 3 5 5 2" xfId="22204" xr:uid="{0F0ABE2F-A04A-44B1-9BDF-BC74E59C286F}"/>
    <cellStyle name="Vírgula 9 3 5 5 2 2" xfId="42540" xr:uid="{CC702894-4B0C-481D-A0D1-1E2C332E9F9A}"/>
    <cellStyle name="Vírgula 9 3 5 5 3" xfId="25456" xr:uid="{4275E950-C4DE-497A-8606-A2475FFB78CC}"/>
    <cellStyle name="Vírgula 9 3 5 5 3 2" xfId="45791" xr:uid="{04B9AB02-1400-4AF8-AA59-0D4EB58AED7C}"/>
    <cellStyle name="Vírgula 9 3 5 5 4" xfId="12869" xr:uid="{B51D4E0B-2310-4DF5-B2E0-E0B9491437CA}"/>
    <cellStyle name="Vírgula 9 3 5 5 4 2" xfId="33210" xr:uid="{86814E93-A101-47CF-A5F7-CE6D052E1ED7}"/>
    <cellStyle name="Vírgula 9 3 5 5 5" xfId="11913" xr:uid="{F413F0EB-243A-44D6-B5AC-FC14955A9656}"/>
    <cellStyle name="Vírgula 9 3 5 5 5 2" xfId="32255" xr:uid="{248D19E2-E1C0-48D5-B919-DEFC6840AE7F}"/>
    <cellStyle name="Vírgula 9 3 5 5 6" xfId="28761" xr:uid="{F910FD03-BED7-406F-B754-5DFAB69B176E}"/>
    <cellStyle name="Vírgula 9 3 5 6" xfId="15766" xr:uid="{BC8A0BE5-FBC7-42B1-8E5B-CA63605C2F69}"/>
    <cellStyle name="Vírgula 9 3 5 6 2" xfId="36106" xr:uid="{D4BBF233-7102-40D3-A464-55A2E424B6BC}"/>
    <cellStyle name="Vírgula 9 3 5 7" xfId="18680" xr:uid="{B029B6AE-DEBE-48A2-9652-D391D26A6FA4}"/>
    <cellStyle name="Vírgula 9 3 5 7 2" xfId="39020" xr:uid="{BD5F70E8-E16E-4FFB-9467-963D478DF7E3}"/>
    <cellStyle name="Vírgula 9 3 5 8" xfId="19268" xr:uid="{73185C36-FDB7-4E12-AA07-0131428515D3}"/>
    <cellStyle name="Vírgula 9 3 5 8 2" xfId="39607" xr:uid="{5B9761B7-16E8-4306-A4A2-5E4E871261C6}"/>
    <cellStyle name="Vírgula 9 3 5 9" xfId="22523" xr:uid="{1B039513-E97B-4462-8C21-57DCAC2627ED}"/>
    <cellStyle name="Vírgula 9 3 5 9 2" xfId="42858" xr:uid="{549B3C3E-5828-4C8A-AB5B-B895F99199F3}"/>
    <cellStyle name="Vírgula 9 3 6" xfId="3957" xr:uid="{E1DC055E-00FB-4442-A452-1982C9442EE9}"/>
    <cellStyle name="Vírgula 9 3 6 10" xfId="12315" xr:uid="{F7054D42-AE01-4C43-A4C5-9DBFC87C2DF7}"/>
    <cellStyle name="Vírgula 9 3 6 10 2" xfId="32656" xr:uid="{319D918B-F9E4-4996-B670-B17EB22E3B3B}"/>
    <cellStyle name="Vírgula 9 3 6 11" xfId="9054" xr:uid="{17CBFC51-4DBB-4BDE-85C3-8FB3330396C0}"/>
    <cellStyle name="Vírgula 9 3 6 11 2" xfId="29397" xr:uid="{62107B5F-391D-4E4C-ACD0-0A093333C100}"/>
    <cellStyle name="Vírgula 9 3 6 12" xfId="25903" xr:uid="{5953C5DD-2FA1-4A2E-B76D-E0EE7EBEC2C8}"/>
    <cellStyle name="Vírgula 9 3 6 13" xfId="56040" xr:uid="{3293D666-D767-4BA5-969C-FD8E12522745}"/>
    <cellStyle name="Vírgula 9 3 6 14" xfId="5564" xr:uid="{4DBF9649-ADDF-46F0-936B-78F1E5FE9C63}"/>
    <cellStyle name="Vírgula 9 3 6 15" xfId="4797" xr:uid="{4927375D-CD91-4355-A8E8-E5AD392FB203}"/>
    <cellStyle name="Vírgula 9 3 6 2" xfId="6136" xr:uid="{AE2E893C-9F15-405D-93DE-C6573CE8F929}"/>
    <cellStyle name="Vírgula 9 3 6 2 2" xfId="7294" xr:uid="{C620BBB8-A6DC-43CD-99D3-FE83C32E7B44}"/>
    <cellStyle name="Vírgula 9 3 6 2 2 2" xfId="17580" xr:uid="{2F6A90D4-1B04-4222-A4EE-93DF66846CBC}"/>
    <cellStyle name="Vírgula 9 3 6 2 2 2 2" xfId="37920" xr:uid="{2A890D73-1D27-4428-BD4A-36FD003955B2}"/>
    <cellStyle name="Vírgula 9 3 6 2 2 3" xfId="21082" xr:uid="{CB699502-AE98-418A-9B49-8F650AD7A361}"/>
    <cellStyle name="Vírgula 9 3 6 2 2 3 2" xfId="41421" xr:uid="{EEC9E1CD-5507-47E8-BBCA-EB628C887769}"/>
    <cellStyle name="Vírgula 9 3 6 2 2 4" xfId="24337" xr:uid="{5BD2BA50-B6B5-45FA-BD17-B86586E44F7A}"/>
    <cellStyle name="Vírgula 9 3 6 2 2 4 2" xfId="44672" xr:uid="{09343EAE-63ED-4D14-8F8A-60929C5472D6}"/>
    <cellStyle name="Vírgula 9 3 6 2 2 5" xfId="14671" xr:uid="{F142A276-3AE2-4399-883F-B4F127AFE300}"/>
    <cellStyle name="Vírgula 9 3 6 2 2 5 2" xfId="35012" xr:uid="{27DC30CA-6443-4C6A-9240-701B050F0238}"/>
    <cellStyle name="Vírgula 9 3 6 2 2 6" xfId="10793" xr:uid="{74C02755-286D-4BB2-A75D-C25F01DDE199}"/>
    <cellStyle name="Vírgula 9 3 6 2 2 6 2" xfId="31136" xr:uid="{63998F71-FF52-4676-A672-857871CA79DD}"/>
    <cellStyle name="Vírgula 9 3 6 2 2 7" xfId="27642" xr:uid="{41D56001-7EC5-4640-B42B-453A4C4B24B3}"/>
    <cellStyle name="Vírgula 9 3 6 2 3" xfId="16422" xr:uid="{941D6FF4-B452-4B93-A46F-1290F9E63C78}"/>
    <cellStyle name="Vírgula 9 3 6 2 3 2" xfId="36762" xr:uid="{ADA9CC47-CCA4-4782-954F-F0A437AE82F5}"/>
    <cellStyle name="Vírgula 9 3 6 2 4" xfId="19924" xr:uid="{E2387527-6681-4778-863A-41296C80ED1B}"/>
    <cellStyle name="Vírgula 9 3 6 2 4 2" xfId="40263" xr:uid="{44FF0194-BAF8-452C-908A-087A178BAE89}"/>
    <cellStyle name="Vírgula 9 3 6 2 5" xfId="23179" xr:uid="{6703EE6E-F797-4B93-8C13-15997E77D790}"/>
    <cellStyle name="Vírgula 9 3 6 2 5 2" xfId="43514" xr:uid="{3A985D89-9F23-4D64-BF9C-F87243DDACC6}"/>
    <cellStyle name="Vírgula 9 3 6 2 6" xfId="13513" xr:uid="{79D1A6A9-BCE9-44A5-B7A1-DAA31BAEA5F2}"/>
    <cellStyle name="Vírgula 9 3 6 2 6 2" xfId="33854" xr:uid="{6729D16C-314D-4F0D-95E9-54A5034B54A4}"/>
    <cellStyle name="Vírgula 9 3 6 2 7" xfId="9635" xr:uid="{2315F140-16F5-4C0A-9414-8F25C2B9A72E}"/>
    <cellStyle name="Vírgula 9 3 6 2 7 2" xfId="29978" xr:uid="{3D89C63C-5A92-470A-8CAB-855D457517B8}"/>
    <cellStyle name="Vírgula 9 3 6 2 8" xfId="26484" xr:uid="{4EF58D72-3AF5-43E6-905D-94747F6931A8}"/>
    <cellStyle name="Vírgula 9 3 6 3" xfId="6713" xr:uid="{B8E6D011-3EAB-4F17-AC8C-0E76B38C246B}"/>
    <cellStyle name="Vírgula 9 3 6 3 2" xfId="16999" xr:uid="{47FAD491-BDE8-4C2F-BFCF-E1D7BABAFA90}"/>
    <cellStyle name="Vírgula 9 3 6 3 2 2" xfId="37339" xr:uid="{87A3D3F5-01DC-49E6-A905-FEF54A84A53B}"/>
    <cellStyle name="Vírgula 9 3 6 3 3" xfId="20501" xr:uid="{0AD40845-C4EC-4842-93A6-FBB35E79D45D}"/>
    <cellStyle name="Vírgula 9 3 6 3 3 2" xfId="40840" xr:uid="{F90227D7-3FF3-4530-B36D-E207FFD6959D}"/>
    <cellStyle name="Vírgula 9 3 6 3 4" xfId="23756" xr:uid="{6EC00F60-A049-4663-A5FB-C16DEA1ECDA1}"/>
    <cellStyle name="Vírgula 9 3 6 3 4 2" xfId="44091" xr:uid="{8A2710F8-8122-4BEE-9B02-93189465F4F6}"/>
    <cellStyle name="Vírgula 9 3 6 3 5" xfId="14090" xr:uid="{1E619DF2-60B7-4264-85F5-E20BCE0D7A0D}"/>
    <cellStyle name="Vírgula 9 3 6 3 5 2" xfId="34431" xr:uid="{0A93D026-6CF0-44E0-A640-CB27C58AC2FE}"/>
    <cellStyle name="Vírgula 9 3 6 3 6" xfId="10212" xr:uid="{CE9D804B-FC9D-4BA4-9476-E246E4E63B9F}"/>
    <cellStyle name="Vírgula 9 3 6 3 6 2" xfId="30555" xr:uid="{875CFA0E-98EC-4EDA-8D27-090740F20F82}"/>
    <cellStyle name="Vírgula 9 3 6 3 7" xfId="27061" xr:uid="{E3BE02D1-2BE4-496B-BCC5-3BEFB39DB9C7}"/>
    <cellStyle name="Vírgula 9 3 6 4" xfId="7877" xr:uid="{C8156AAE-0D74-4AC5-8643-68E97AC6EB53}"/>
    <cellStyle name="Vírgula 9 3 6 4 2" xfId="18162" xr:uid="{DD2A5222-42CE-41EF-B172-21B116974DED}"/>
    <cellStyle name="Vírgula 9 3 6 4 2 2" xfId="38502" xr:uid="{ECCBE543-1CCF-4897-9B2C-CCFB73809868}"/>
    <cellStyle name="Vírgula 9 3 6 4 3" xfId="21664" xr:uid="{D8CFB31D-F44A-4AAC-B695-20E02676FC03}"/>
    <cellStyle name="Vírgula 9 3 6 4 3 2" xfId="42003" xr:uid="{177257BF-91E7-409A-9F87-CAE70FA4AD62}"/>
    <cellStyle name="Vírgula 9 3 6 4 4" xfId="24919" xr:uid="{D3730369-0FF5-406D-9B52-4297A1CD4D0E}"/>
    <cellStyle name="Vírgula 9 3 6 4 4 2" xfId="45254" xr:uid="{CA8B9C33-BBBC-4D0E-9C59-661D1960D074}"/>
    <cellStyle name="Vírgula 9 3 6 4 5" xfId="15254" xr:uid="{905ADB5F-2689-444C-997F-CB8B426DF5D4}"/>
    <cellStyle name="Vírgula 9 3 6 4 5 2" xfId="35594" xr:uid="{5B25FA9F-1799-49FD-B41C-014E1D21CD79}"/>
    <cellStyle name="Vírgula 9 3 6 4 6" xfId="11375" xr:uid="{68A1E033-52A5-417A-BAA5-AF29851305D5}"/>
    <cellStyle name="Vírgula 9 3 6 4 6 2" xfId="31718" xr:uid="{4EC19B69-F8E5-4D0A-9EC7-67D219C4F6B4}"/>
    <cellStyle name="Vírgula 9 3 6 4 7" xfId="28224" xr:uid="{3CFDEAED-F6BF-41DB-BB8F-AD1C4F76D57C}"/>
    <cellStyle name="Vírgula 9 3 6 5" xfId="12944" xr:uid="{37E856E2-E8F1-4CA6-94BE-A7891226E4E1}"/>
    <cellStyle name="Vírgula 9 3 6 5 2" xfId="33285" xr:uid="{ADE3DA33-0259-4CE5-B7A0-A342ADB24757}"/>
    <cellStyle name="Vírgula 9 3 6 6" xfId="15841" xr:uid="{489F2D30-D933-4A74-A6AD-C96A4A5785C0}"/>
    <cellStyle name="Vírgula 9 3 6 6 2" xfId="36181" xr:uid="{71F060D7-5F59-4389-875F-4081DD2C1548}"/>
    <cellStyle name="Vírgula 9 3 6 7" xfId="18755" xr:uid="{553779BA-4C5B-49A0-8AC1-B79C52DFAE1C}"/>
    <cellStyle name="Vírgula 9 3 6 7 2" xfId="39095" xr:uid="{3E869468-370B-420A-A5D5-A2167AF9332F}"/>
    <cellStyle name="Vírgula 9 3 6 8" xfId="19343" xr:uid="{12673038-848B-475E-AAB7-CC90B02EE256}"/>
    <cellStyle name="Vírgula 9 3 6 8 2" xfId="39682" xr:uid="{3D4FB712-EFB6-474B-AAD3-D8DCB408556E}"/>
    <cellStyle name="Vírgula 9 3 6 9" xfId="22598" xr:uid="{96628408-6970-4FC7-BE04-91E9D1916C7C}"/>
    <cellStyle name="Vírgula 9 3 6 9 2" xfId="42933" xr:uid="{619E895F-5654-44BA-916D-637ADF255784}"/>
    <cellStyle name="Vírgula 9 3 7" xfId="1886" xr:uid="{3CF77E32-6E85-47D6-90B2-B2F4646BBA11}"/>
    <cellStyle name="Vírgula 9 3 7 10" xfId="12413" xr:uid="{B97F2D18-2C57-4EEF-ABC9-5988AA9BF53B}"/>
    <cellStyle name="Vírgula 9 3 7 10 2" xfId="32754" xr:uid="{5AB46459-B2BE-41BD-85FA-35E442A8AC99}"/>
    <cellStyle name="Vírgula 9 3 7 11" xfId="9152" xr:uid="{3A25654C-8DB2-415F-914A-C2056E6C9D1C}"/>
    <cellStyle name="Vírgula 9 3 7 11 2" xfId="29495" xr:uid="{2A22EEC3-8882-4DC4-9FC9-65739356C272}"/>
    <cellStyle name="Vírgula 9 3 7 12" xfId="26001" xr:uid="{9428ADF0-E60B-4B5D-957B-7016864CD79F}"/>
    <cellStyle name="Vírgula 9 3 7 13" xfId="5662" xr:uid="{8C8DBB08-83CD-4C6C-B04F-547B947CB2B8}"/>
    <cellStyle name="Vírgula 9 3 7 2" xfId="6234" xr:uid="{A1831673-4BFF-42CF-8909-C199377D9361}"/>
    <cellStyle name="Vírgula 9 3 7 2 2" xfId="7392" xr:uid="{4C28AD02-7AB9-4ECC-8C33-4B0B06227F00}"/>
    <cellStyle name="Vírgula 9 3 7 2 2 2" xfId="17678" xr:uid="{2E4B5A3C-C51B-4625-9EA6-EF8ECC4C6413}"/>
    <cellStyle name="Vírgula 9 3 7 2 2 2 2" xfId="38018" xr:uid="{99DADACB-D982-4638-9329-D9227A9323F6}"/>
    <cellStyle name="Vírgula 9 3 7 2 2 3" xfId="21180" xr:uid="{B8B8559C-E5EB-4B43-84EA-F42A771BA183}"/>
    <cellStyle name="Vírgula 9 3 7 2 2 3 2" xfId="41519" xr:uid="{495E1A24-6E70-4ED2-B0BC-776C77363BE3}"/>
    <cellStyle name="Vírgula 9 3 7 2 2 4" xfId="24435" xr:uid="{4687E186-26D3-40F3-B033-27F062D66F3E}"/>
    <cellStyle name="Vírgula 9 3 7 2 2 4 2" xfId="44770" xr:uid="{87FEDC79-6409-4772-9DBF-70E36A7963A0}"/>
    <cellStyle name="Vírgula 9 3 7 2 2 5" xfId="14769" xr:uid="{40CAF35E-1A86-4B0C-9473-8CEEEF9F2541}"/>
    <cellStyle name="Vírgula 9 3 7 2 2 5 2" xfId="35110" xr:uid="{920A2598-F868-4EEB-B94E-BDF759328B7E}"/>
    <cellStyle name="Vírgula 9 3 7 2 2 6" xfId="10891" xr:uid="{B5123F7E-9324-4719-8821-C76D24410F8D}"/>
    <cellStyle name="Vírgula 9 3 7 2 2 6 2" xfId="31234" xr:uid="{CA581595-9559-4314-80F3-15D3D1DC3742}"/>
    <cellStyle name="Vírgula 9 3 7 2 2 7" xfId="27740" xr:uid="{5A5E3801-48D8-4701-A87A-8688AD974590}"/>
    <cellStyle name="Vírgula 9 3 7 2 3" xfId="16520" xr:uid="{4936B4D1-4364-4767-8BBA-B5235E1800EB}"/>
    <cellStyle name="Vírgula 9 3 7 2 3 2" xfId="36860" xr:uid="{DEA164F1-6508-47B1-B737-65DB0EA7D416}"/>
    <cellStyle name="Vírgula 9 3 7 2 4" xfId="20022" xr:uid="{43FCB8F8-2E78-4AA2-A40E-CA1E2A2087C8}"/>
    <cellStyle name="Vírgula 9 3 7 2 4 2" xfId="40361" xr:uid="{13145E59-29DA-4736-BB3C-80E7DFE23A2C}"/>
    <cellStyle name="Vírgula 9 3 7 2 5" xfId="23277" xr:uid="{1C5C45A6-D980-47F3-8D3C-F2A70CEC0DDD}"/>
    <cellStyle name="Vírgula 9 3 7 2 5 2" xfId="43612" xr:uid="{3CC076AD-1E77-43AC-8D77-3346948EEC84}"/>
    <cellStyle name="Vírgula 9 3 7 2 6" xfId="13611" xr:uid="{84D12688-591F-4918-9912-F73347619F44}"/>
    <cellStyle name="Vírgula 9 3 7 2 6 2" xfId="33952" xr:uid="{909132C7-D58B-4950-98EB-71E3214FEB8F}"/>
    <cellStyle name="Vírgula 9 3 7 2 7" xfId="9733" xr:uid="{677AFB08-E31C-4DEE-9DC8-0FC1C9767638}"/>
    <cellStyle name="Vírgula 9 3 7 2 7 2" xfId="30076" xr:uid="{579153F8-90EA-4637-9C0D-6981819AF2A1}"/>
    <cellStyle name="Vírgula 9 3 7 2 8" xfId="26582" xr:uid="{E74E29C9-ACEE-4368-93E7-5AC8212C39B7}"/>
    <cellStyle name="Vírgula 9 3 7 3" xfId="6811" xr:uid="{C67A2514-B4CA-4021-938A-104040DE2EE0}"/>
    <cellStyle name="Vírgula 9 3 7 3 2" xfId="17097" xr:uid="{84716ED8-1C5B-42E3-BFD8-827892D59532}"/>
    <cellStyle name="Vírgula 9 3 7 3 2 2" xfId="37437" xr:uid="{1E36D08A-4151-4AD4-A166-21BAA6A3BD19}"/>
    <cellStyle name="Vírgula 9 3 7 3 3" xfId="20599" xr:uid="{FA184C52-03A5-4241-9BD1-A84A57C8BBF8}"/>
    <cellStyle name="Vírgula 9 3 7 3 3 2" xfId="40938" xr:uid="{E392C618-09BF-4A51-A065-7819561E61FE}"/>
    <cellStyle name="Vírgula 9 3 7 3 4" xfId="23854" xr:uid="{71931676-7680-4BB2-88FD-F0DCD9895C08}"/>
    <cellStyle name="Vírgula 9 3 7 3 4 2" xfId="44189" xr:uid="{8B9E3350-5558-4605-96EB-CEEF62EF713F}"/>
    <cellStyle name="Vírgula 9 3 7 3 5" xfId="14188" xr:uid="{99F238B9-6181-4787-98D8-C23BE4645C44}"/>
    <cellStyle name="Vírgula 9 3 7 3 5 2" xfId="34529" xr:uid="{05E16059-F07C-45FC-9344-1BC3E712175F}"/>
    <cellStyle name="Vírgula 9 3 7 3 6" xfId="10310" xr:uid="{6A6D8A6C-4631-4B07-BE16-EDF6DC199513}"/>
    <cellStyle name="Vírgula 9 3 7 3 6 2" xfId="30653" xr:uid="{B0FDD5C6-E1AE-46BD-A296-744ACD848FE7}"/>
    <cellStyle name="Vírgula 9 3 7 3 7" xfId="27159" xr:uid="{385B1DB3-8D71-4B72-A9E0-BC446F2E993E}"/>
    <cellStyle name="Vírgula 9 3 7 4" xfId="7975" xr:uid="{44C088D4-11E4-4DEA-B40A-7E3700F43BB9}"/>
    <cellStyle name="Vírgula 9 3 7 4 2" xfId="18260" xr:uid="{8A8C517A-A76F-4651-A867-D26EAA26A4E8}"/>
    <cellStyle name="Vírgula 9 3 7 4 2 2" xfId="38600" xr:uid="{7F7CB539-40AB-4FBF-9743-C4BA3DE54743}"/>
    <cellStyle name="Vírgula 9 3 7 4 3" xfId="21762" xr:uid="{1706D4C8-3B83-41FF-B87A-044B1044F6BB}"/>
    <cellStyle name="Vírgula 9 3 7 4 3 2" xfId="42101" xr:uid="{93BB40EE-60A3-4A6F-BB67-239F3A4087A3}"/>
    <cellStyle name="Vírgula 9 3 7 4 4" xfId="25017" xr:uid="{4A1EECB5-E39D-4605-B214-0D2E68F3756E}"/>
    <cellStyle name="Vírgula 9 3 7 4 4 2" xfId="45352" xr:uid="{65E3AE0E-8C1D-4BC4-80D6-2C78C0BCB866}"/>
    <cellStyle name="Vírgula 9 3 7 4 5" xfId="15352" xr:uid="{CFD5D1D4-C8C0-4698-8AC3-DAA2AA72EE4F}"/>
    <cellStyle name="Vírgula 9 3 7 4 5 2" xfId="35692" xr:uid="{315AC533-25F1-4A5D-8C0D-D17FAD8E8188}"/>
    <cellStyle name="Vírgula 9 3 7 4 6" xfId="11473" xr:uid="{61DAA076-3FC2-414A-840A-BE7BE7695F6E}"/>
    <cellStyle name="Vírgula 9 3 7 4 6 2" xfId="31816" xr:uid="{F58B143E-9F03-447C-AC77-DBF030B13B06}"/>
    <cellStyle name="Vírgula 9 3 7 4 7" xfId="28322" xr:uid="{5504CEA7-1DA6-43DA-B383-80E9B8C5B7E1}"/>
    <cellStyle name="Vírgula 9 3 7 5" xfId="13042" xr:uid="{A3190C4B-F8CE-4C15-84A4-8210C0DBFA1B}"/>
    <cellStyle name="Vírgula 9 3 7 5 2" xfId="33383" xr:uid="{C04A448F-E2DA-44D0-BB30-D1A8E35600F6}"/>
    <cellStyle name="Vírgula 9 3 7 6" xfId="15939" xr:uid="{72F3E09E-F3CD-4646-907F-F15E0D763DF8}"/>
    <cellStyle name="Vírgula 9 3 7 6 2" xfId="36279" xr:uid="{7EF53827-BB6B-4E26-870C-30282A3ED65B}"/>
    <cellStyle name="Vírgula 9 3 7 7" xfId="18853" xr:uid="{6061D616-3ACC-4B05-90C7-53B3D53CEAEF}"/>
    <cellStyle name="Vírgula 9 3 7 7 2" xfId="39193" xr:uid="{204B07AE-D4AB-4DC0-B8EC-90B6C0F6C3CF}"/>
    <cellStyle name="Vírgula 9 3 7 8" xfId="19441" xr:uid="{942B07CA-1C07-4FAC-980A-282E7D743E06}"/>
    <cellStyle name="Vírgula 9 3 7 8 2" xfId="39780" xr:uid="{3E89960A-C6BA-4359-AFDD-3904751DB4E0}"/>
    <cellStyle name="Vírgula 9 3 7 9" xfId="22696" xr:uid="{3C6ACCAA-C410-4D6D-A44F-E2A93047BE0C}"/>
    <cellStyle name="Vírgula 9 3 7 9 2" xfId="43031" xr:uid="{76BB0BC1-73EB-4071-BC17-ADEC0AAB59BD}"/>
    <cellStyle name="Vírgula 9 3 8" xfId="5792" xr:uid="{ECB6A3CF-884D-475B-A0AB-AF48F1766A52}"/>
    <cellStyle name="Vírgula 9 3 8 2" xfId="6950" xr:uid="{1D80E5F3-E4CD-4B24-A363-57388C3A1DB5}"/>
    <cellStyle name="Vírgula 9 3 8 2 2" xfId="17236" xr:uid="{07A2A3F7-B998-471A-88BB-CA851E00E019}"/>
    <cellStyle name="Vírgula 9 3 8 2 2 2" xfId="37576" xr:uid="{99542406-F057-4841-AFBC-36761042CD5B}"/>
    <cellStyle name="Vírgula 9 3 8 2 3" xfId="20738" xr:uid="{914D4B0C-9109-4CC9-9728-4A19D0C40B25}"/>
    <cellStyle name="Vírgula 9 3 8 2 3 2" xfId="41077" xr:uid="{F0DF0944-5C21-4794-B61E-58C8A2BC1D79}"/>
    <cellStyle name="Vírgula 9 3 8 2 4" xfId="23993" xr:uid="{E85799D5-8508-40B8-93DA-0F15FB64360B}"/>
    <cellStyle name="Vírgula 9 3 8 2 4 2" xfId="44328" xr:uid="{F73E7886-BFB9-4E9A-9C52-4E038BDD8DE2}"/>
    <cellStyle name="Vírgula 9 3 8 2 5" xfId="14327" xr:uid="{3AF6BA62-DF69-4D30-BCE8-D51B2288A699}"/>
    <cellStyle name="Vírgula 9 3 8 2 5 2" xfId="34668" xr:uid="{B0BBF458-76DA-4204-92E3-30AA10C4C378}"/>
    <cellStyle name="Vírgula 9 3 8 2 6" xfId="10449" xr:uid="{4B59F62E-BACD-4709-86DB-07B4B63DFF46}"/>
    <cellStyle name="Vírgula 9 3 8 2 6 2" xfId="30792" xr:uid="{2716564B-FFA7-4AE6-B2DC-53EEE3C2EAD9}"/>
    <cellStyle name="Vírgula 9 3 8 2 7" xfId="27298" xr:uid="{5E400A4F-4B98-4A7E-A463-2C0DAA838543}"/>
    <cellStyle name="Vírgula 9 3 8 3" xfId="16078" xr:uid="{B1E3020C-59F4-4159-AA16-F6E8F1A92C42}"/>
    <cellStyle name="Vírgula 9 3 8 3 2" xfId="36418" xr:uid="{48D6E707-9306-4CCD-92F3-32F2BD99CD52}"/>
    <cellStyle name="Vírgula 9 3 8 4" xfId="19580" xr:uid="{E924AA84-842D-40DD-B480-15B8C69CC707}"/>
    <cellStyle name="Vírgula 9 3 8 4 2" xfId="39919" xr:uid="{CEF2E8B9-5CA1-4DD8-A7CB-741EBFC05E17}"/>
    <cellStyle name="Vírgula 9 3 8 5" xfId="22835" xr:uid="{70C56AC9-FDDB-4622-9162-17BE2E0CADEC}"/>
    <cellStyle name="Vírgula 9 3 8 5 2" xfId="43170" xr:uid="{056414B9-EBA4-4F30-893C-829BE9544EAE}"/>
    <cellStyle name="Vírgula 9 3 8 6" xfId="13178" xr:uid="{0CD2EF7C-7205-4909-9898-921ED925F036}"/>
    <cellStyle name="Vírgula 9 3 8 6 2" xfId="33519" xr:uid="{40C6A34A-5872-4D21-A600-1569FA1101DC}"/>
    <cellStyle name="Vírgula 9 3 8 7" xfId="9291" xr:uid="{A52246F3-E7D4-4B8A-9353-A38C566C7ECD}"/>
    <cellStyle name="Vírgula 9 3 8 7 2" xfId="29634" xr:uid="{FF5D874A-ADD6-4F7E-968A-B5AF15D9626B}"/>
    <cellStyle name="Vírgula 9 3 8 8" xfId="26140" xr:uid="{2130BD35-47DA-41D3-A78A-F6FBF7DB0522}"/>
    <cellStyle name="Vírgula 9 3 9" xfId="6369" xr:uid="{633A86F8-0891-4939-BFB6-DAF9CD31B0F5}"/>
    <cellStyle name="Vírgula 9 3 9 2" xfId="16655" xr:uid="{E790A44E-66DA-4E15-A68E-8954348E302C}"/>
    <cellStyle name="Vírgula 9 3 9 2 2" xfId="36995" xr:uid="{7C3725A4-18F9-4B04-81CA-6BA3B9543BB7}"/>
    <cellStyle name="Vírgula 9 3 9 3" xfId="20157" xr:uid="{73C2AB38-716F-4296-B7AE-7354F0B218A0}"/>
    <cellStyle name="Vírgula 9 3 9 3 2" xfId="40496" xr:uid="{5D138494-062E-4C19-A18E-D48F5C8FBEF9}"/>
    <cellStyle name="Vírgula 9 3 9 4" xfId="23412" xr:uid="{3A186C86-9B25-4859-8E8B-F6F8A3C08A95}"/>
    <cellStyle name="Vírgula 9 3 9 4 2" xfId="43747" xr:uid="{7D8CDF77-8220-4D0E-9491-CD155BD3079B}"/>
    <cellStyle name="Vírgula 9 3 9 5" xfId="13746" xr:uid="{9101D42C-C013-4941-B950-81F42C90EE7A}"/>
    <cellStyle name="Vírgula 9 3 9 5 2" xfId="34087" xr:uid="{BD58E394-81B2-4B23-A447-5AE80959479E}"/>
    <cellStyle name="Vírgula 9 3 9 6" xfId="9868" xr:uid="{D90E2692-7825-446C-9A93-78AC87A59B53}"/>
    <cellStyle name="Vírgula 9 3 9 6 2" xfId="30211" xr:uid="{77CBCF6D-17F4-4320-B736-208025C703AF}"/>
    <cellStyle name="Vírgula 9 3 9 7" xfId="26717" xr:uid="{E98B76B1-08FB-4745-9E12-34E22BDE9FE8}"/>
    <cellStyle name="Vírgula 9 30" xfId="51016" xr:uid="{336A76E5-445D-48A9-9D3C-8E9DEBD457A4}"/>
    <cellStyle name="Vírgula 9 31" xfId="54311" xr:uid="{74D8D6BB-F655-4282-8C35-DB42D1AAACD6}"/>
    <cellStyle name="Vírgula 9 32" xfId="5221" xr:uid="{3728EB23-DB23-411A-8D65-24B57D4801DD}"/>
    <cellStyle name="Vírgula 9 33" xfId="4390" xr:uid="{359C5CDE-986F-427F-8628-A8D3CCCA8BA1}"/>
    <cellStyle name="Vírgula 9 4" xfId="925" xr:uid="{BC250EFC-5470-40CC-ADE0-0AA1B368F1AF}"/>
    <cellStyle name="Vírgula 9 4 10" xfId="8418" xr:uid="{99F4FD9A-AD79-4DEE-9FAD-F423F294D636}"/>
    <cellStyle name="Vírgula 9 4 10 2" xfId="22205" xr:uid="{1C827107-37EA-40A8-970B-287075B3FCFC}"/>
    <cellStyle name="Vírgula 9 4 10 2 2" xfId="42541" xr:uid="{665BBF7B-9995-43A5-BE42-B0E8483230ED}"/>
    <cellStyle name="Vírgula 9 4 10 3" xfId="25457" xr:uid="{4568A6BE-24FA-477A-BFC1-42C6B9E26E77}"/>
    <cellStyle name="Vírgula 9 4 10 3 2" xfId="45792" xr:uid="{A1F3DF39-568B-4FDF-8711-6BBAD97C5495}"/>
    <cellStyle name="Vírgula 9 4 10 4" xfId="12621" xr:uid="{7405F53F-D702-4233-B205-4676B21CF719}"/>
    <cellStyle name="Vírgula 9 4 10 4 2" xfId="32962" xr:uid="{12F81602-C2D4-4C51-8DCF-2D69E69E115F}"/>
    <cellStyle name="Vírgula 9 4 10 5" xfId="11914" xr:uid="{2EE293A3-FE2D-4336-9E87-6EBE76B30F22}"/>
    <cellStyle name="Vírgula 9 4 10 5 2" xfId="32256" xr:uid="{04780794-2980-46D9-9764-1687533D2B9E}"/>
    <cellStyle name="Vírgula 9 4 10 6" xfId="28762" xr:uid="{0F25285A-AFA0-4107-905D-A3450DCAE542}"/>
    <cellStyle name="Vírgula 9 4 11" xfId="8463" xr:uid="{4F2E750B-48DC-4123-AB3E-E815CFCC5AC4}"/>
    <cellStyle name="Vírgula 9 4 11 2" xfId="15512" xr:uid="{C21758AD-0DC1-417F-BF88-8C5529D63720}"/>
    <cellStyle name="Vírgula 9 4 11 2 2" xfId="35852" xr:uid="{EC31E561-2ED1-4849-8686-62E1C8C3177A}"/>
    <cellStyle name="Vírgula 9 4 11 3" xfId="28806" xr:uid="{C97D013D-CAFF-454C-BAFD-8BA46B538FAF}"/>
    <cellStyle name="Vírgula 9 4 12" xfId="18426" xr:uid="{53AEE3B5-E83C-482F-84E6-E23DD9DB6F90}"/>
    <cellStyle name="Vírgula 9 4 12 2" xfId="38766" xr:uid="{A30B848F-692D-4B5F-AFB8-942360D7FEE3}"/>
    <cellStyle name="Vírgula 9 4 13" xfId="19014" xr:uid="{3B897A33-72AF-4F1C-8B58-4B37BBA6A845}"/>
    <cellStyle name="Vírgula 9 4 13 2" xfId="39353" xr:uid="{47CD0757-2AE3-4E4D-AC79-5E78FD0F7DF9}"/>
    <cellStyle name="Vírgula 9 4 14" xfId="22269" xr:uid="{E4AEC0F9-EF73-4347-99BC-422DAEE98C7C}"/>
    <cellStyle name="Vírgula 9 4 14 2" xfId="42604" xr:uid="{C8064BF5-132A-4FFC-8CD0-36FCDB61025A}"/>
    <cellStyle name="Vírgula 9 4 15" xfId="11986" xr:uid="{472135BD-663D-4E52-8D99-34F8BFB0F63B}"/>
    <cellStyle name="Vírgula 9 4 15 2" xfId="32327" xr:uid="{2E250EE8-897E-4671-AE33-E8BFB9B05ABF}"/>
    <cellStyle name="Vírgula 9 4 16" xfId="8725" xr:uid="{441CF024-1DF6-4C7A-9978-5ECB39F90975}"/>
    <cellStyle name="Vírgula 9 4 16 2" xfId="29068" xr:uid="{8368A8C5-D454-4870-860C-C2FFE19DD5EF}"/>
    <cellStyle name="Vírgula 9 4 17" xfId="25570" xr:uid="{56FC4676-C2FE-4F53-9C98-4D4036E83A80}"/>
    <cellStyle name="Vírgula 9 4 18" xfId="45838" xr:uid="{1E0B886C-B121-47AC-B3FA-87AE1E56AAD1}"/>
    <cellStyle name="Vírgula 9 4 19" xfId="46324" xr:uid="{9B970450-24F5-424F-AD0B-954E8B911B9B}"/>
    <cellStyle name="Vírgula 9 4 2" xfId="3755" xr:uid="{AEC3E77F-7C3D-418A-9508-57026CAB97F7}"/>
    <cellStyle name="Vírgula 9 4 2 10" xfId="22384" xr:uid="{6A4BCAA0-29C2-4783-9DB7-FCDA7AD9B1B5}"/>
    <cellStyle name="Vírgula 9 4 2 10 2" xfId="42719" xr:uid="{2EDCE084-60E2-4616-8F74-D024472FACAD}"/>
    <cellStyle name="Vírgula 9 4 2 11" xfId="12101" xr:uid="{079F387E-33A9-4AE9-BF9A-70721704A278}"/>
    <cellStyle name="Vírgula 9 4 2 11 2" xfId="32442" xr:uid="{123E1AEB-1213-44C8-9EA3-269994A2967D}"/>
    <cellStyle name="Vírgula 9 4 2 12" xfId="8840" xr:uid="{2BF0353C-0140-40B2-B021-2D574595E940}"/>
    <cellStyle name="Vírgula 9 4 2 12 2" xfId="29183" xr:uid="{DC6CB919-3756-4C33-846C-9B1EBC158223}"/>
    <cellStyle name="Vírgula 9 4 2 13" xfId="25689" xr:uid="{72F7B5C0-8AC7-43A5-9C21-A476C7470340}"/>
    <cellStyle name="Vírgula 9 4 2 14" xfId="45898" xr:uid="{2259D1DB-AD9A-4614-A85B-4ABC4F694C38}"/>
    <cellStyle name="Vírgula 9 4 2 15" xfId="46384" xr:uid="{78CA93CA-6AA4-42BF-A0FC-234AD15E6543}"/>
    <cellStyle name="Vírgula 9 4 2 16" xfId="46876" xr:uid="{CD56937E-5470-4A57-AA45-F204A085DE4E}"/>
    <cellStyle name="Vírgula 9 4 2 17" xfId="52657" xr:uid="{C9980B34-F146-4A79-A9F6-22D54FDA5DD0}"/>
    <cellStyle name="Vírgula 9 4 2 18" xfId="55951" xr:uid="{5F624E39-6D90-47FD-AE06-97D0E3D5E05D}"/>
    <cellStyle name="Vírgula 9 4 2 19" xfId="5364" xr:uid="{DEFB228E-3996-46C5-A84B-A4E9138C85FE}"/>
    <cellStyle name="Vírgula 9 4 2 2" xfId="5167" xr:uid="{1D0CC35F-B692-4837-A786-9BEC9B7959B0}"/>
    <cellStyle name="Vírgula 9 4 2 2 10" xfId="12488" xr:uid="{FE8C3581-5053-467C-8269-EA8A231EE532}"/>
    <cellStyle name="Vírgula 9 4 2 2 10 2" xfId="32829" xr:uid="{9DB96A9A-9A71-4FA4-89F9-82AEB0D11E35}"/>
    <cellStyle name="Vírgula 9 4 2 2 11" xfId="9227" xr:uid="{DAD231E9-1F18-4B86-B4C7-55FF3E920B9B}"/>
    <cellStyle name="Vírgula 9 4 2 2 11 2" xfId="29570" xr:uid="{83E1DB95-3DEF-4426-B1C3-DDCFE825ADAE}"/>
    <cellStyle name="Vírgula 9 4 2 2 12" xfId="26076" xr:uid="{25339070-B375-4C94-B538-59BD2E140423}"/>
    <cellStyle name="Vírgula 9 4 2 2 13" xfId="46049" xr:uid="{DD3B61C9-AA6C-495B-BDAC-3281633ECD9D}"/>
    <cellStyle name="Vírgula 9 4 2 2 14" xfId="46535" xr:uid="{8F476491-6C85-40BF-8927-F423DBA0F827}"/>
    <cellStyle name="Vírgula 9 4 2 2 15" xfId="47027" xr:uid="{DEAD1C4B-B946-4781-AFAC-E3015EE0B850}"/>
    <cellStyle name="Vírgula 9 4 2 2 16" xfId="5735" xr:uid="{52346D10-EB5C-4763-BD09-BD0C7405CBD7}"/>
    <cellStyle name="Vírgula 9 4 2 2 2" xfId="6309" xr:uid="{182DB53B-1AD8-42DD-AE66-901CAB3000D7}"/>
    <cellStyle name="Vírgula 9 4 2 2 2 10" xfId="46778" xr:uid="{9837BFD1-8729-4583-8D83-E0536CBDE358}"/>
    <cellStyle name="Vírgula 9 4 2 2 2 11" xfId="47270" xr:uid="{6AA57D5F-CE57-41CE-9822-558EA77B646B}"/>
    <cellStyle name="Vírgula 9 4 2 2 2 2" xfId="7467" xr:uid="{A388DEC9-BE2C-4BAA-ACD6-B4D2ABF62F9A}"/>
    <cellStyle name="Vírgula 9 4 2 2 2 2 2" xfId="17753" xr:uid="{9E9A307B-D878-407D-B958-39BC838116F3}"/>
    <cellStyle name="Vírgula 9 4 2 2 2 2 2 2" xfId="38093" xr:uid="{1BA297F1-D7BA-46AB-B326-57746E723567}"/>
    <cellStyle name="Vírgula 9 4 2 2 2 2 3" xfId="21255" xr:uid="{962EAF41-6490-42B3-A3DD-7261AACA2765}"/>
    <cellStyle name="Vírgula 9 4 2 2 2 2 3 2" xfId="41594" xr:uid="{A4DDA60C-6166-4509-A370-72850775B40B}"/>
    <cellStyle name="Vírgula 9 4 2 2 2 2 4" xfId="24510" xr:uid="{6769A811-A67E-4A66-A243-4139FF49DAD6}"/>
    <cellStyle name="Vírgula 9 4 2 2 2 2 4 2" xfId="44845" xr:uid="{7C5AB6BA-DDF9-4556-8B01-9CFF7C362480}"/>
    <cellStyle name="Vírgula 9 4 2 2 2 2 5" xfId="14844" xr:uid="{53FDE294-85FC-4FDA-BE4B-DF0CF95B066D}"/>
    <cellStyle name="Vírgula 9 4 2 2 2 2 5 2" xfId="35185" xr:uid="{67BAB532-0E56-4E31-A59D-3F622EEA828A}"/>
    <cellStyle name="Vírgula 9 4 2 2 2 2 6" xfId="10966" xr:uid="{F217D478-F911-4AEF-8E80-D5C5FF8BE788}"/>
    <cellStyle name="Vírgula 9 4 2 2 2 2 6 2" xfId="31309" xr:uid="{ABB9C1A8-B2DB-4FAC-A0CF-E46A44A6AC0F}"/>
    <cellStyle name="Vírgula 9 4 2 2 2 2 7" xfId="27815" xr:uid="{FFAE3A5C-4B0F-49BB-A8F1-3D5B01FCE9C1}"/>
    <cellStyle name="Vírgula 9 4 2 2 2 3" xfId="16595" xr:uid="{FAB2E881-1541-421F-8E56-AEF6F7C94338}"/>
    <cellStyle name="Vírgula 9 4 2 2 2 3 2" xfId="36935" xr:uid="{9EDB4A57-125B-4148-8E58-CA69973014D0}"/>
    <cellStyle name="Vírgula 9 4 2 2 2 4" xfId="20097" xr:uid="{F3EC613F-A89A-4879-B2CA-B894EFD6CC63}"/>
    <cellStyle name="Vírgula 9 4 2 2 2 4 2" xfId="40436" xr:uid="{71251141-2D5C-4436-B4C9-6A3F2920C1CC}"/>
    <cellStyle name="Vírgula 9 4 2 2 2 5" xfId="23352" xr:uid="{5699D2F8-411D-4ED6-A73F-7156E2B8A904}"/>
    <cellStyle name="Vírgula 9 4 2 2 2 5 2" xfId="43687" xr:uid="{3D3A29C2-EC80-485E-8838-B159E9D1BC3D}"/>
    <cellStyle name="Vírgula 9 4 2 2 2 6" xfId="13686" xr:uid="{37588323-C6F3-4189-9699-2989586A8C1C}"/>
    <cellStyle name="Vírgula 9 4 2 2 2 6 2" xfId="34027" xr:uid="{E641209D-D948-496A-8BB2-8DFA907CC52A}"/>
    <cellStyle name="Vírgula 9 4 2 2 2 7" xfId="9808" xr:uid="{FDD3F5B4-4801-4E07-AE9B-B9D3C0B03346}"/>
    <cellStyle name="Vírgula 9 4 2 2 2 7 2" xfId="30151" xr:uid="{F5BA5489-0C3E-4263-923E-654C64A596B9}"/>
    <cellStyle name="Vírgula 9 4 2 2 2 8" xfId="26657" xr:uid="{56A802BD-4951-4C84-83F2-D137C2E2E26E}"/>
    <cellStyle name="Vírgula 9 4 2 2 2 9" xfId="46292" xr:uid="{FDEAC65D-4497-40A2-891E-9675EFDABD21}"/>
    <cellStyle name="Vírgula 9 4 2 2 3" xfId="6886" xr:uid="{D58C6ED2-2C96-4937-B5AC-A7FAF283BED1}"/>
    <cellStyle name="Vírgula 9 4 2 2 3 2" xfId="17172" xr:uid="{6028A63E-4FA0-4C32-BF11-D599EE1B1728}"/>
    <cellStyle name="Vírgula 9 4 2 2 3 2 2" xfId="37512" xr:uid="{3B4C95C5-555B-4012-9F4D-ECC44E84380F}"/>
    <cellStyle name="Vírgula 9 4 2 2 3 3" xfId="20674" xr:uid="{D698873D-06C3-40EB-B404-24865FC0007E}"/>
    <cellStyle name="Vírgula 9 4 2 2 3 3 2" xfId="41013" xr:uid="{37FF55BD-C35F-489F-95B6-ABFB7B9D6EBF}"/>
    <cellStyle name="Vírgula 9 4 2 2 3 4" xfId="23929" xr:uid="{0D851F68-7ED7-4ECE-92E3-1059036AB0A5}"/>
    <cellStyle name="Vírgula 9 4 2 2 3 4 2" xfId="44264" xr:uid="{24F208F6-A260-4E14-890A-263FEEECBE02}"/>
    <cellStyle name="Vírgula 9 4 2 2 3 5" xfId="14263" xr:uid="{98B982C4-6678-4DB9-9608-7B54C8709728}"/>
    <cellStyle name="Vírgula 9 4 2 2 3 5 2" xfId="34604" xr:uid="{B9EC4272-6E9C-4346-AE78-AEBB6BFEAAEB}"/>
    <cellStyle name="Vírgula 9 4 2 2 3 6" xfId="10385" xr:uid="{E17694DD-7A8C-4FC4-B3CF-AFAF630ECC60}"/>
    <cellStyle name="Vírgula 9 4 2 2 3 6 2" xfId="30728" xr:uid="{E48DEAB7-7E8E-4A22-AD0E-A4B3EB8B5657}"/>
    <cellStyle name="Vírgula 9 4 2 2 3 7" xfId="27234" xr:uid="{41E38CA7-79E9-4FC8-BA29-FC38DB17CF52}"/>
    <cellStyle name="Vírgula 9 4 2 2 4" xfId="8050" xr:uid="{B356DDDF-7827-4636-BC97-1BC0A89EF13E}"/>
    <cellStyle name="Vírgula 9 4 2 2 4 2" xfId="18335" xr:uid="{936F741F-E214-4E95-AA12-FF0219E4C124}"/>
    <cellStyle name="Vírgula 9 4 2 2 4 2 2" xfId="38675" xr:uid="{C64E0B1E-B326-4950-817F-933510E4E801}"/>
    <cellStyle name="Vírgula 9 4 2 2 4 3" xfId="21837" xr:uid="{561B6ECB-EA88-4A65-BB1E-C701D39AB28D}"/>
    <cellStyle name="Vírgula 9 4 2 2 4 3 2" xfId="42176" xr:uid="{1F204B37-DD89-4BE1-95AD-F23C39A7F1D0}"/>
    <cellStyle name="Vírgula 9 4 2 2 4 4" xfId="25092" xr:uid="{4D293453-9637-404D-B1E4-76FE2E26E503}"/>
    <cellStyle name="Vírgula 9 4 2 2 4 4 2" xfId="45427" xr:uid="{B9331259-B175-4B44-BAFB-8D445B7B7BFF}"/>
    <cellStyle name="Vírgula 9 4 2 2 4 5" xfId="15427" xr:uid="{88E486AF-9171-492E-8C71-3334B5F56821}"/>
    <cellStyle name="Vírgula 9 4 2 2 4 5 2" xfId="35767" xr:uid="{036F077B-20FA-4066-AF73-064AB5671068}"/>
    <cellStyle name="Vírgula 9 4 2 2 4 6" xfId="11548" xr:uid="{1434FBA9-C297-4B9C-9BCD-78EF56F10B97}"/>
    <cellStyle name="Vírgula 9 4 2 2 4 6 2" xfId="31891" xr:uid="{56E6B2EE-D946-4553-A78C-DBC48B797CB0}"/>
    <cellStyle name="Vírgula 9 4 2 2 4 7" xfId="28397" xr:uid="{1E998088-852E-40F7-9D38-6E8396FAB47A}"/>
    <cellStyle name="Vírgula 9 4 2 2 5" xfId="8420" xr:uid="{92DCD988-038F-4BFE-8249-A844C32BA1EC}"/>
    <cellStyle name="Vírgula 9 4 2 2 5 2" xfId="22207" xr:uid="{63FD0CAE-FDF1-4CEB-AF06-CF84A94A0E9D}"/>
    <cellStyle name="Vírgula 9 4 2 2 5 2 2" xfId="42543" xr:uid="{E51E3D42-CAEE-46CD-8AE6-F72F824182F5}"/>
    <cellStyle name="Vírgula 9 4 2 2 5 3" xfId="25459" xr:uid="{727D754C-39B6-42B0-8C8A-EC75C998AD96}"/>
    <cellStyle name="Vírgula 9 4 2 2 5 3 2" xfId="45794" xr:uid="{C978A837-FC92-4CCF-BF71-F10EA29F4E89}"/>
    <cellStyle name="Vírgula 9 4 2 2 5 4" xfId="13117" xr:uid="{9C56FECE-0672-4E70-B97A-F2EE4C02CF1B}"/>
    <cellStyle name="Vírgula 9 4 2 2 5 4 2" xfId="33458" xr:uid="{FB1532AC-7F71-41B6-9ABA-8771A2C31FBC}"/>
    <cellStyle name="Vírgula 9 4 2 2 5 5" xfId="11916" xr:uid="{94109A7E-5D9D-4A3D-8CED-0722F47C6128}"/>
    <cellStyle name="Vírgula 9 4 2 2 5 5 2" xfId="32258" xr:uid="{961D009D-5D25-42CF-812B-B41A45065918}"/>
    <cellStyle name="Vírgula 9 4 2 2 5 6" xfId="28764" xr:uid="{EB7F947F-52CA-464A-9449-545679B1103D}"/>
    <cellStyle name="Vírgula 9 4 2 2 6" xfId="8674" xr:uid="{509E2F4B-287F-463C-959B-99993C14CB3B}"/>
    <cellStyle name="Vírgula 9 4 2 2 6 2" xfId="16014" xr:uid="{CCFEA5F4-BD77-4D93-9BC2-4D26EF3EEA89}"/>
    <cellStyle name="Vírgula 9 4 2 2 6 2 2" xfId="36354" xr:uid="{5DA99572-1B7B-4C0F-A05F-21A5E4721184}"/>
    <cellStyle name="Vírgula 9 4 2 2 6 3" xfId="29017" xr:uid="{6AC3DB06-9802-4607-9ECE-DC08D1B2C25B}"/>
    <cellStyle name="Vírgula 9 4 2 2 7" xfId="18928" xr:uid="{01DE4D08-C952-4A29-8DAD-52958211D209}"/>
    <cellStyle name="Vírgula 9 4 2 2 7 2" xfId="39268" xr:uid="{67F39195-7941-4DE7-A786-C51E25A375D3}"/>
    <cellStyle name="Vírgula 9 4 2 2 8" xfId="19516" xr:uid="{F4A65D8C-6E09-42CD-8944-414C65597AF6}"/>
    <cellStyle name="Vírgula 9 4 2 2 8 2" xfId="39855" xr:uid="{38164587-FCC8-4043-9CBC-364A417EA306}"/>
    <cellStyle name="Vírgula 9 4 2 2 9" xfId="22771" xr:uid="{E9AD8663-CB3D-40AF-B0F2-E2F898A48109}"/>
    <cellStyle name="Vírgula 9 4 2 2 9 2" xfId="43106" xr:uid="{EDDC490A-30C5-4C7B-A5A1-CA7D5C339BA8}"/>
    <cellStyle name="Vírgula 9 4 2 20" xfId="4948" xr:uid="{D159BBDC-8418-458A-9ADE-4C8BF9E961CC}"/>
    <cellStyle name="Vírgula 9 4 2 3" xfId="5023" xr:uid="{B2A73183-41F6-4726-81A4-6D136187B4F0}"/>
    <cellStyle name="Vírgula 9 4 2 3 10" xfId="46627" xr:uid="{DF7A763E-6897-411A-8C47-C8A4D6F556E4}"/>
    <cellStyle name="Vírgula 9 4 2 3 11" xfId="47119" xr:uid="{EABF5950-E624-494B-A939-EB5494ED209C}"/>
    <cellStyle name="Vírgula 9 4 2 3 12" xfId="5922" xr:uid="{FAB4EA5D-E57E-4D32-BA98-3CB2B3C48F34}"/>
    <cellStyle name="Vírgula 9 4 2 3 2" xfId="7080" xr:uid="{22D17E4E-B5A6-43D5-94BB-C14567A7534D}"/>
    <cellStyle name="Vírgula 9 4 2 3 2 2" xfId="17366" xr:uid="{207F0406-B6C3-40C1-93A1-3E603CE80010}"/>
    <cellStyle name="Vírgula 9 4 2 3 2 2 2" xfId="37706" xr:uid="{B50FE43D-BCEF-4CF0-91AD-C1D00C1CAB64}"/>
    <cellStyle name="Vírgula 9 4 2 3 2 3" xfId="20868" xr:uid="{C634628E-AB64-4781-A2CD-82123398AA58}"/>
    <cellStyle name="Vírgula 9 4 2 3 2 3 2" xfId="41207" xr:uid="{7D56578D-0C6B-4402-A39B-6CE09736BC29}"/>
    <cellStyle name="Vírgula 9 4 2 3 2 4" xfId="24123" xr:uid="{20A14602-7BCF-4DC3-A48C-80B425756405}"/>
    <cellStyle name="Vírgula 9 4 2 3 2 4 2" xfId="44458" xr:uid="{509D655E-A534-4076-B64B-C8FFEA478D39}"/>
    <cellStyle name="Vírgula 9 4 2 3 2 5" xfId="14457" xr:uid="{42419707-1C81-43E1-BAF7-33F0C491AC2A}"/>
    <cellStyle name="Vírgula 9 4 2 3 2 5 2" xfId="34798" xr:uid="{91C1D3E9-9C2D-46A2-A3AF-F20E74D4AF84}"/>
    <cellStyle name="Vírgula 9 4 2 3 2 6" xfId="10579" xr:uid="{66AC609B-59D7-478A-B815-4AF732D31ABD}"/>
    <cellStyle name="Vírgula 9 4 2 3 2 6 2" xfId="30922" xr:uid="{FFCAD0FC-8C75-4275-B8C3-F592BB46217C}"/>
    <cellStyle name="Vírgula 9 4 2 3 2 7" xfId="27428" xr:uid="{4E5BC28C-8E5C-4837-A77A-9D18880FF935}"/>
    <cellStyle name="Vírgula 9 4 2 3 3" xfId="8421" xr:uid="{56341758-2F80-4355-8399-83F50EAE75CB}"/>
    <cellStyle name="Vírgula 9 4 2 3 3 2" xfId="22208" xr:uid="{B76C824E-0A5E-45F3-B66B-C7EF2B611652}"/>
    <cellStyle name="Vírgula 9 4 2 3 3 2 2" xfId="42544" xr:uid="{BDF95434-8E00-45C6-B9BD-E958FB7B8055}"/>
    <cellStyle name="Vírgula 9 4 2 3 3 3" xfId="25460" xr:uid="{19328FFD-0FB5-4B5B-AC93-AA062A98E9A2}"/>
    <cellStyle name="Vírgula 9 4 2 3 3 3 2" xfId="45795" xr:uid="{85055055-ACB8-49DC-BFE1-D701FB43565A}"/>
    <cellStyle name="Vírgula 9 4 2 3 3 4" xfId="16208" xr:uid="{05B6C2C2-6DD7-46F2-8929-1C26C23A00B5}"/>
    <cellStyle name="Vírgula 9 4 2 3 3 4 2" xfId="36548" xr:uid="{E70EB99E-66D4-4923-B727-F613ED52CA3D}"/>
    <cellStyle name="Vírgula 9 4 2 3 3 5" xfId="11917" xr:uid="{F8630177-9AE6-47F7-A1EE-59414AAE47B0}"/>
    <cellStyle name="Vírgula 9 4 2 3 3 5 2" xfId="32259" xr:uid="{D37C20B8-0103-4878-BABA-74CD246FCAFA}"/>
    <cellStyle name="Vírgula 9 4 2 3 3 6" xfId="28765" xr:uid="{721F52B7-2BDE-4BD5-976C-36EFC06A6F07}"/>
    <cellStyle name="Vírgula 9 4 2 3 4" xfId="19710" xr:uid="{907ABED8-60B9-4ECF-A211-A1837F3383FD}"/>
    <cellStyle name="Vírgula 9 4 2 3 4 2" xfId="40049" xr:uid="{56F3256F-C995-433E-9998-C55ABCBE7BCF}"/>
    <cellStyle name="Vírgula 9 4 2 3 5" xfId="22965" xr:uid="{E399F5E0-17B4-4DF3-A17C-02C13B0CF192}"/>
    <cellStyle name="Vírgula 9 4 2 3 5 2" xfId="43300" xr:uid="{1F7EC6FC-E48B-4EC8-8EF7-264E936E7B5D}"/>
    <cellStyle name="Vírgula 9 4 2 3 6" xfId="13301" xr:uid="{62F23ED0-2F30-4CB8-83C2-CD79DFBEA020}"/>
    <cellStyle name="Vírgula 9 4 2 3 6 2" xfId="33642" xr:uid="{A432D7A4-E669-4F55-8D9B-BFDD7F5DF42A}"/>
    <cellStyle name="Vírgula 9 4 2 3 7" xfId="9421" xr:uid="{3D1FE7F1-85A3-41AD-B9A7-995D8B119A22}"/>
    <cellStyle name="Vírgula 9 4 2 3 7 2" xfId="29764" xr:uid="{9E862EC5-6975-4CD1-89C0-39966AEE15B8}"/>
    <cellStyle name="Vírgula 9 4 2 3 8" xfId="26270" xr:uid="{CCDA331E-0738-43D1-A96B-29917262F1A4}"/>
    <cellStyle name="Vírgula 9 4 2 3 9" xfId="46141" xr:uid="{FA9957ED-6446-4937-9BAF-65EEE1345C77}"/>
    <cellStyle name="Vírgula 9 4 2 4" xfId="6499" xr:uid="{0447DF61-B74A-48FA-9BAD-2522EFA89A5A}"/>
    <cellStyle name="Vírgula 9 4 2 4 2" xfId="16785" xr:uid="{544BA8AB-6E67-4BBA-B39D-4AC9C3FB6097}"/>
    <cellStyle name="Vírgula 9 4 2 4 2 2" xfId="37125" xr:uid="{475E0BEC-CA65-4ABD-BC87-F46BDD7550BE}"/>
    <cellStyle name="Vírgula 9 4 2 4 3" xfId="20287" xr:uid="{55BA9871-66A6-4520-A893-686B38806CE1}"/>
    <cellStyle name="Vírgula 9 4 2 4 3 2" xfId="40626" xr:uid="{A3AABD71-7217-4C33-8839-89AC78EBA741}"/>
    <cellStyle name="Vírgula 9 4 2 4 4" xfId="23542" xr:uid="{5CCAB632-9F20-4BA4-8B8E-4F159E9F1EE1}"/>
    <cellStyle name="Vírgula 9 4 2 4 4 2" xfId="43877" xr:uid="{FA844A77-C227-4FA5-8714-4537E603AE5C}"/>
    <cellStyle name="Vírgula 9 4 2 4 5" xfId="13876" xr:uid="{86EFDC22-82AC-449C-8868-5DA2B2CE5E06}"/>
    <cellStyle name="Vírgula 9 4 2 4 5 2" xfId="34217" xr:uid="{B8BFB943-5759-46BB-ABD1-E8D3DD4D4C5B}"/>
    <cellStyle name="Vírgula 9 4 2 4 6" xfId="9998" xr:uid="{BBBFC2BA-C32A-466C-A2AD-B96C81AAB2F3}"/>
    <cellStyle name="Vírgula 9 4 2 4 6 2" xfId="30341" xr:uid="{D730E0E6-2E45-47C4-AD12-9DE6096D0821}"/>
    <cellStyle name="Vírgula 9 4 2 4 7" xfId="26847" xr:uid="{6F90593D-71E6-46BF-AC43-483B6774816E}"/>
    <cellStyle name="Vírgula 9 4 2 5" xfId="7663" xr:uid="{557A2C22-244A-48B9-ADCF-4B2B9F62D867}"/>
    <cellStyle name="Vírgula 9 4 2 5 2" xfId="17948" xr:uid="{EE53ABC7-1707-4BEF-8CD3-0C7FA380935E}"/>
    <cellStyle name="Vírgula 9 4 2 5 2 2" xfId="38288" xr:uid="{7806B5B5-4C9C-4FA9-A14C-EED123998764}"/>
    <cellStyle name="Vírgula 9 4 2 5 3" xfId="21450" xr:uid="{19B5457E-DA8F-4EAF-B982-B6965F810C6B}"/>
    <cellStyle name="Vírgula 9 4 2 5 3 2" xfId="41789" xr:uid="{D6F120C1-1FA9-4016-A624-15B1957E7189}"/>
    <cellStyle name="Vírgula 9 4 2 5 4" xfId="24705" xr:uid="{273C57BF-D901-45E6-90EA-F6A2A03829FE}"/>
    <cellStyle name="Vírgula 9 4 2 5 4 2" xfId="45040" xr:uid="{64676540-B272-4551-B416-AF337A4B453A}"/>
    <cellStyle name="Vírgula 9 4 2 5 5" xfId="15040" xr:uid="{F6F88A96-F527-46D2-9432-5B38D9D11E3B}"/>
    <cellStyle name="Vírgula 9 4 2 5 5 2" xfId="35380" xr:uid="{E6FAA0D2-1441-4AF7-BD28-423DC7523E37}"/>
    <cellStyle name="Vírgula 9 4 2 5 6" xfId="11161" xr:uid="{F79AA42A-8064-4FF3-8C72-2D26083EC7D7}"/>
    <cellStyle name="Vírgula 9 4 2 5 6 2" xfId="31504" xr:uid="{E6FDBFCD-02B6-4141-B238-0E1CDDA45091}"/>
    <cellStyle name="Vírgula 9 4 2 5 7" xfId="28010" xr:uid="{43B3F5C4-AEC6-4045-AD07-8102EFC38A69}"/>
    <cellStyle name="Vírgula 9 4 2 6" xfId="8419" xr:uid="{046A12D7-F3FE-4EB8-A254-7077C83A36A1}"/>
    <cellStyle name="Vírgula 9 4 2 6 2" xfId="22206" xr:uid="{4F41DA1D-A0A4-4888-B166-8943FA1BF2D5}"/>
    <cellStyle name="Vírgula 9 4 2 6 2 2" xfId="42542" xr:uid="{CF6959BC-02DB-4359-8BD9-E8B63886E21B}"/>
    <cellStyle name="Vírgula 9 4 2 6 3" xfId="25458" xr:uid="{F3CCF067-1AEB-4534-935B-0C8992E737A2}"/>
    <cellStyle name="Vírgula 9 4 2 6 3 2" xfId="45793" xr:uid="{95CC6965-943C-4CCC-9980-0F852298747C}"/>
    <cellStyle name="Vírgula 9 4 2 6 4" xfId="12732" xr:uid="{D1742C9B-7523-4FCF-95DC-A2A32590ADD0}"/>
    <cellStyle name="Vírgula 9 4 2 6 4 2" xfId="33073" xr:uid="{D06E44D3-6509-4EC4-BF59-EC18D2DF87C7}"/>
    <cellStyle name="Vírgula 9 4 2 6 5" xfId="11915" xr:uid="{6285AB82-C42B-4BB6-A26B-A08CB9369ADA}"/>
    <cellStyle name="Vírgula 9 4 2 6 5 2" xfId="32257" xr:uid="{F4FC0074-2904-47D6-AE71-5963F2EDC4C6}"/>
    <cellStyle name="Vírgula 9 4 2 6 6" xfId="28763" xr:uid="{9E622B45-DF39-42B5-9C12-29564AD35A82}"/>
    <cellStyle name="Vírgula 9 4 2 7" xfId="8523" xr:uid="{07CDC3D9-F60B-4E7C-892A-92C73DCA6428}"/>
    <cellStyle name="Vírgula 9 4 2 7 2" xfId="15627" xr:uid="{3687E68B-0AEC-49E4-A6B7-ACD8A26091AA}"/>
    <cellStyle name="Vírgula 9 4 2 7 2 2" xfId="35967" xr:uid="{6379076E-F981-4377-B065-E1BD4D8A62E0}"/>
    <cellStyle name="Vírgula 9 4 2 7 3" xfId="28866" xr:uid="{B950FDA7-0065-443C-908E-8B164C43D22A}"/>
    <cellStyle name="Vírgula 9 4 2 8" xfId="18541" xr:uid="{09466621-16DF-4327-9F8D-6C11BCB90DE1}"/>
    <cellStyle name="Vírgula 9 4 2 8 2" xfId="38881" xr:uid="{43031CED-E0A6-49EB-A319-841E51BCD90F}"/>
    <cellStyle name="Vírgula 9 4 2 9" xfId="19129" xr:uid="{20C6BCDF-D7D2-4D1B-B3D4-3FB3AA09386D}"/>
    <cellStyle name="Vírgula 9 4 2 9 2" xfId="39468" xr:uid="{4D549A5B-13B9-4C8C-A79F-A47342489C05}"/>
    <cellStyle name="Vírgula 9 4 20" xfId="46816" xr:uid="{71B501BB-DFDC-4661-8C75-B089A04A845B}"/>
    <cellStyle name="Vírgula 9 4 21" xfId="49355" xr:uid="{DDEE2171-F4F4-4E21-BAD2-CB8F8533E597}"/>
    <cellStyle name="Vírgula 9 4 22" xfId="51025" xr:uid="{47237808-1A41-4871-AFE9-613AD68EC5EF}"/>
    <cellStyle name="Vírgula 9 4 23" xfId="54320" xr:uid="{18FB1286-6D25-4D40-91A8-60B3E9BD92E8}"/>
    <cellStyle name="Vírgula 9 4 24" xfId="5242" xr:uid="{1DF51304-8E95-4309-B9F1-E8380FF45ADF}"/>
    <cellStyle name="Vírgula 9 4 25" xfId="4810" xr:uid="{084F08AC-9225-472B-8644-9BC395A065EB}"/>
    <cellStyle name="Vírgula 9 4 3" xfId="4016" xr:uid="{6906C92E-7DB7-48BA-ABFE-8514BEFAD0FF}"/>
    <cellStyle name="Vírgula 9 4 3 10" xfId="12197" xr:uid="{D7257E0C-72A5-40ED-96D4-F557072DD602}"/>
    <cellStyle name="Vírgula 9 4 3 10 2" xfId="32538" xr:uid="{0DAE4643-3E1B-4ECF-9D15-0C781BE1FB7F}"/>
    <cellStyle name="Vírgula 9 4 3 11" xfId="8936" xr:uid="{649F2D3E-018C-49E7-A6B3-30EC590B3498}"/>
    <cellStyle name="Vírgula 9 4 3 11 2" xfId="29279" xr:uid="{1B4037A7-921A-42D4-8134-758F3694EB57}"/>
    <cellStyle name="Vírgula 9 4 3 12" xfId="25785" xr:uid="{70CF6725-39DB-4195-9FD4-192D4247DDD8}"/>
    <cellStyle name="Vírgula 9 4 3 13" xfId="46048" xr:uid="{468F515E-73B5-4DFD-AEF7-1DA70AC199B3}"/>
    <cellStyle name="Vírgula 9 4 3 14" xfId="46534" xr:uid="{CF25850B-545D-4527-8D61-623F95D7D699}"/>
    <cellStyle name="Vírgula 9 4 3 15" xfId="47026" xr:uid="{65B0FC1F-D40E-4C43-A424-D2456C4A0154}"/>
    <cellStyle name="Vírgula 9 4 3 16" xfId="56796" xr:uid="{9A5951F4-76C4-4914-8B11-95B2709F7E53}"/>
    <cellStyle name="Vírgula 9 4 3 17" xfId="5452" xr:uid="{77989F5F-1AC0-496C-AFEB-E5DDEB9CC263}"/>
    <cellStyle name="Vírgula 9 4 3 18" xfId="4947" xr:uid="{7A4EFB71-CA6A-4FF2-9D96-28EBF263F82F}"/>
    <cellStyle name="Vírgula 9 4 3 2" xfId="5166" xr:uid="{4E05F0C4-7742-4C15-8E3A-A58143B137E6}"/>
    <cellStyle name="Vírgula 9 4 3 2 10" xfId="46777" xr:uid="{FFA82220-EBE8-443F-9E7F-5995DAF0B19C}"/>
    <cellStyle name="Vírgula 9 4 3 2 11" xfId="47269" xr:uid="{3D7D16D9-91F4-40A0-A9A3-A4F4C66B4E69}"/>
    <cellStyle name="Vírgula 9 4 3 2 12" xfId="6018" xr:uid="{4A2BE553-C263-4FB6-98E6-304DCBA28592}"/>
    <cellStyle name="Vírgula 9 4 3 2 2" xfId="7176" xr:uid="{55D1FF11-59B5-46C0-97B8-611E2C0E8C9A}"/>
    <cellStyle name="Vírgula 9 4 3 2 2 2" xfId="17462" xr:uid="{D0464CAE-465B-470B-9DF3-867B9E5E60FB}"/>
    <cellStyle name="Vírgula 9 4 3 2 2 2 2" xfId="37802" xr:uid="{775B80B9-2F32-423B-A309-1761B897AE0E}"/>
    <cellStyle name="Vírgula 9 4 3 2 2 3" xfId="20964" xr:uid="{CD25151D-D90D-43EE-A321-FF0E25FCA85C}"/>
    <cellStyle name="Vírgula 9 4 3 2 2 3 2" xfId="41303" xr:uid="{DCDB1407-B7F2-4F0A-9798-8DBA9153969E}"/>
    <cellStyle name="Vírgula 9 4 3 2 2 4" xfId="24219" xr:uid="{4BF299CD-681E-42E0-9741-CDC162397E22}"/>
    <cellStyle name="Vírgula 9 4 3 2 2 4 2" xfId="44554" xr:uid="{E85080E9-1804-4C23-9E0C-59CE49E5949E}"/>
    <cellStyle name="Vírgula 9 4 3 2 2 5" xfId="14553" xr:uid="{3F8FB5F4-1D81-42DC-A993-A2741FF19172}"/>
    <cellStyle name="Vírgula 9 4 3 2 2 5 2" xfId="34894" xr:uid="{FBDE2053-3017-4921-A0C3-1A6288B62DF7}"/>
    <cellStyle name="Vírgula 9 4 3 2 2 6" xfId="10675" xr:uid="{6555D363-D399-4FE5-B949-A455ED9E9FC7}"/>
    <cellStyle name="Vírgula 9 4 3 2 2 6 2" xfId="31018" xr:uid="{461D2B25-35AE-4BF9-ACDB-81FE44C447FE}"/>
    <cellStyle name="Vírgula 9 4 3 2 2 7" xfId="27524" xr:uid="{4F7016F2-C8D5-409C-8787-849B059E5CE8}"/>
    <cellStyle name="Vírgula 9 4 3 2 3" xfId="16304" xr:uid="{385C1F20-67B3-4014-96B7-9D5BAD69395B}"/>
    <cellStyle name="Vírgula 9 4 3 2 3 2" xfId="36644" xr:uid="{56EF5279-925D-43D0-BE77-903B198DEF5B}"/>
    <cellStyle name="Vírgula 9 4 3 2 4" xfId="19806" xr:uid="{8B007972-236F-49DF-B0F6-1AD5493AB04E}"/>
    <cellStyle name="Vírgula 9 4 3 2 4 2" xfId="40145" xr:uid="{7BB2FDB0-E3BE-4C93-B166-7819FBF0720A}"/>
    <cellStyle name="Vírgula 9 4 3 2 5" xfId="23061" xr:uid="{0D0F6F3A-7579-4E0D-B8D5-58C83347886E}"/>
    <cellStyle name="Vírgula 9 4 3 2 5 2" xfId="43396" xr:uid="{72D4F42E-0DC1-4BE0-8CAB-A363B34DED99}"/>
    <cellStyle name="Vírgula 9 4 3 2 6" xfId="13395" xr:uid="{BC3A033D-0C29-4BED-89D0-D5C5C97547F6}"/>
    <cellStyle name="Vírgula 9 4 3 2 6 2" xfId="33736" xr:uid="{60F37486-01E9-4C3E-B84F-1DB6C9A4B341}"/>
    <cellStyle name="Vírgula 9 4 3 2 7" xfId="9517" xr:uid="{CFC2D26C-7C4C-43F4-B861-8E0B5D091CE9}"/>
    <cellStyle name="Vírgula 9 4 3 2 7 2" xfId="29860" xr:uid="{DA6E01FC-E3E6-4CA3-AFFB-70E552667225}"/>
    <cellStyle name="Vírgula 9 4 3 2 8" xfId="26366" xr:uid="{0DD40C56-4480-4A40-BEDB-6C76B21CFC3B}"/>
    <cellStyle name="Vírgula 9 4 3 2 9" xfId="46291" xr:uid="{D691F5CC-2185-4979-A85A-4909F932D8DC}"/>
    <cellStyle name="Vírgula 9 4 3 3" xfId="6595" xr:uid="{4D986821-2A55-4335-877F-A8CA51C3AA8B}"/>
    <cellStyle name="Vírgula 9 4 3 3 2" xfId="16881" xr:uid="{401960E0-8C8C-46B6-8BD2-2852F3483F6A}"/>
    <cellStyle name="Vírgula 9 4 3 3 2 2" xfId="37221" xr:uid="{658AA2EA-EE84-438D-A080-9D0129A7FE1E}"/>
    <cellStyle name="Vírgula 9 4 3 3 3" xfId="20383" xr:uid="{B4F03EC3-A002-47B5-846A-0F450F072D67}"/>
    <cellStyle name="Vírgula 9 4 3 3 3 2" xfId="40722" xr:uid="{E6CE8349-F4FE-4817-B917-B31E29E1688E}"/>
    <cellStyle name="Vírgula 9 4 3 3 4" xfId="23638" xr:uid="{6FD138CB-9AA3-436B-A0B7-B21481F27D63}"/>
    <cellStyle name="Vírgula 9 4 3 3 4 2" xfId="43973" xr:uid="{B2C0C196-6DBB-4288-9AC1-50062680F0EE}"/>
    <cellStyle name="Vírgula 9 4 3 3 5" xfId="13972" xr:uid="{8700AC57-D02C-4F7D-98F2-B666B7E33266}"/>
    <cellStyle name="Vírgula 9 4 3 3 5 2" xfId="34313" xr:uid="{445BD126-1EB2-4846-B78A-4938AEB3E53A}"/>
    <cellStyle name="Vírgula 9 4 3 3 6" xfId="10094" xr:uid="{33990ACD-60E4-4D71-AC4D-F86E326B8A17}"/>
    <cellStyle name="Vírgula 9 4 3 3 6 2" xfId="30437" xr:uid="{AAEC5062-8D29-41D5-8AA1-AD1D9AAC5ACF}"/>
    <cellStyle name="Vírgula 9 4 3 3 7" xfId="26943" xr:uid="{04486333-4745-4D94-BB01-7B54BD65D2B8}"/>
    <cellStyle name="Vírgula 9 4 3 4" xfId="7759" xr:uid="{3EDAE33A-B832-4A09-9380-7B05BE1C7F7C}"/>
    <cellStyle name="Vírgula 9 4 3 4 2" xfId="18044" xr:uid="{EB9811AD-B80C-41F6-99F4-86B4A911AD1A}"/>
    <cellStyle name="Vírgula 9 4 3 4 2 2" xfId="38384" xr:uid="{D6A65999-A043-4033-981E-00206DFDAD60}"/>
    <cellStyle name="Vírgula 9 4 3 4 3" xfId="21546" xr:uid="{DC5FB751-59A8-40FC-902C-E30F12F2DE95}"/>
    <cellStyle name="Vírgula 9 4 3 4 3 2" xfId="41885" xr:uid="{32377C4D-65A0-4D9E-9994-F6DFA20FE4FE}"/>
    <cellStyle name="Vírgula 9 4 3 4 4" xfId="24801" xr:uid="{3ED4F1BD-0D50-4F9D-8C5A-27FD20DF0C84}"/>
    <cellStyle name="Vírgula 9 4 3 4 4 2" xfId="45136" xr:uid="{B84EEA16-CFED-45A8-8875-0B07F07F9993}"/>
    <cellStyle name="Vírgula 9 4 3 4 5" xfId="15136" xr:uid="{70679B59-EFFF-495E-AD09-5BD15C051440}"/>
    <cellStyle name="Vírgula 9 4 3 4 5 2" xfId="35476" xr:uid="{F50EFB54-3E16-4D28-A774-D11EAB1B531D}"/>
    <cellStyle name="Vírgula 9 4 3 4 6" xfId="11257" xr:uid="{CD8AEB51-D198-42BC-8ECE-BA34A86EE407}"/>
    <cellStyle name="Vírgula 9 4 3 4 6 2" xfId="31600" xr:uid="{BFAC3BC7-642C-4387-954F-FF25F191ADF8}"/>
    <cellStyle name="Vírgula 9 4 3 4 7" xfId="28106" xr:uid="{57882917-57B2-444A-9CA7-65FA53125F31}"/>
    <cellStyle name="Vírgula 9 4 3 5" xfId="8422" xr:uid="{D0168907-409C-415B-94CE-5C0574C0D569}"/>
    <cellStyle name="Vírgula 9 4 3 5 2" xfId="22209" xr:uid="{8D3F6413-B0B2-46CD-A917-646FFEE93D56}"/>
    <cellStyle name="Vírgula 9 4 3 5 2 2" xfId="42545" xr:uid="{89212F72-6D43-4A3F-B4A1-3D09D712112D}"/>
    <cellStyle name="Vírgula 9 4 3 5 3" xfId="25461" xr:uid="{5701746D-ABC2-43FE-88AD-1E6716FDA30D}"/>
    <cellStyle name="Vírgula 9 4 3 5 3 2" xfId="45796" xr:uid="{851B0EB7-0055-4CED-A261-0439E0ADA2CC}"/>
    <cellStyle name="Vírgula 9 4 3 5 4" xfId="12826" xr:uid="{1ED53D04-426B-48E5-926F-32750879712F}"/>
    <cellStyle name="Vírgula 9 4 3 5 4 2" xfId="33167" xr:uid="{1433AA56-3077-4612-831B-29739660D6E7}"/>
    <cellStyle name="Vírgula 9 4 3 5 5" xfId="11918" xr:uid="{597B5B74-EBAB-4270-9AF2-C3DCE0CC1626}"/>
    <cellStyle name="Vírgula 9 4 3 5 5 2" xfId="32260" xr:uid="{E48B2BED-8310-4D62-B5E6-E2851FAC9F3E}"/>
    <cellStyle name="Vírgula 9 4 3 5 6" xfId="28766" xr:uid="{70BE382C-E0E9-42A9-8C4A-9655643BBC28}"/>
    <cellStyle name="Vírgula 9 4 3 6" xfId="8673" xr:uid="{6217B66C-4CA5-4960-A41A-12365EB2A5EA}"/>
    <cellStyle name="Vírgula 9 4 3 6 2" xfId="15723" xr:uid="{4DB21022-3AD0-4CC0-8E3B-90313A1FB04A}"/>
    <cellStyle name="Vírgula 9 4 3 6 2 2" xfId="36063" xr:uid="{C37E00F9-FF9B-479A-8A25-A04717343DF8}"/>
    <cellStyle name="Vírgula 9 4 3 6 3" xfId="29016" xr:uid="{95AB9FB4-1021-4934-AC96-B3244A537F66}"/>
    <cellStyle name="Vírgula 9 4 3 7" xfId="18637" xr:uid="{9BD1C2C6-BBE1-40D9-B0F8-ACA3A988A711}"/>
    <cellStyle name="Vírgula 9 4 3 7 2" xfId="38977" xr:uid="{F40A36A1-C974-4CC1-9D30-D7D3A75C52F6}"/>
    <cellStyle name="Vírgula 9 4 3 8" xfId="19225" xr:uid="{7D375B5B-E880-47D5-941D-7F480D04CD39}"/>
    <cellStyle name="Vírgula 9 4 3 8 2" xfId="39564" xr:uid="{B2DDAA6F-7790-4F37-A7DE-424DD13298DB}"/>
    <cellStyle name="Vírgula 9 4 3 9" xfId="22480" xr:uid="{06A2C2B2-0803-41E5-9A28-860A4E9175D4}"/>
    <cellStyle name="Vírgula 9 4 3 9 2" xfId="42815" xr:uid="{D14207A0-C01D-48FE-A49F-B9E1B4E5F18A}"/>
    <cellStyle name="Vírgula 9 4 4" xfId="2640" xr:uid="{4755FAE6-94F3-4AF9-9B32-4A658BD2B309}"/>
    <cellStyle name="Vírgula 9 4 4 10" xfId="12255" xr:uid="{131F3622-5E2F-41F0-9D8A-ECD0456C3C3E}"/>
    <cellStyle name="Vírgula 9 4 4 10 2" xfId="32596" xr:uid="{F4C7C59E-B58C-4EBA-A293-FB04D8084BE2}"/>
    <cellStyle name="Vírgula 9 4 4 11" xfId="8994" xr:uid="{2960B357-ACFA-458A-8F55-AF083E4F519B}"/>
    <cellStyle name="Vírgula 9 4 4 11 2" xfId="29337" xr:uid="{938E319B-8338-4FF0-B1BF-C9626726613F}"/>
    <cellStyle name="Vírgula 9 4 4 12" xfId="25843" xr:uid="{95C40B73-6733-42D5-BA61-EECAC232BE0B}"/>
    <cellStyle name="Vírgula 9 4 4 13" xfId="46081" xr:uid="{86A7F0BD-1E78-4E74-BB9E-D3F92CF0938A}"/>
    <cellStyle name="Vírgula 9 4 4 14" xfId="46567" xr:uid="{2F8A4DEE-73F2-444C-8E03-1E1986E9F990}"/>
    <cellStyle name="Vírgula 9 4 4 15" xfId="47059" xr:uid="{0A165FDD-867F-4F83-AA50-AF008B67D6DB}"/>
    <cellStyle name="Vírgula 9 4 4 16" xfId="5504" xr:uid="{0275311A-6C5F-4774-B872-7E9481185E34}"/>
    <cellStyle name="Vírgula 9 4 4 17" xfId="4978" xr:uid="{01298A18-6DC8-44B3-BBAF-4016C80452D9}"/>
    <cellStyle name="Vírgula 9 4 4 2" xfId="6076" xr:uid="{BDA98888-4D9F-4BBD-BFA5-A02C4D69F153}"/>
    <cellStyle name="Vírgula 9 4 4 2 2" xfId="7234" xr:uid="{FA626374-EA13-44D2-8D9D-EF5EBADF31AA}"/>
    <cellStyle name="Vírgula 9 4 4 2 2 2" xfId="17520" xr:uid="{CDBCA828-69D8-42A5-A13C-A4468C61C092}"/>
    <cellStyle name="Vírgula 9 4 4 2 2 2 2" xfId="37860" xr:uid="{36C77D24-5B1A-4435-A648-4CCF56DCD403}"/>
    <cellStyle name="Vírgula 9 4 4 2 2 3" xfId="21022" xr:uid="{ECD44BC8-DD0E-4622-B6A2-8FA5F17D72E0}"/>
    <cellStyle name="Vírgula 9 4 4 2 2 3 2" xfId="41361" xr:uid="{86E41C9D-036A-4306-86FF-9F039FB75928}"/>
    <cellStyle name="Vírgula 9 4 4 2 2 4" xfId="24277" xr:uid="{D09CB3B6-B976-4DB4-98CE-CC754C50B952}"/>
    <cellStyle name="Vírgula 9 4 4 2 2 4 2" xfId="44612" xr:uid="{B1A16D38-B3A5-45DE-B3E9-5C2F329D86D3}"/>
    <cellStyle name="Vírgula 9 4 4 2 2 5" xfId="14611" xr:uid="{2F8CCF55-2AC7-46EF-8B38-D21FD9B8A40E}"/>
    <cellStyle name="Vírgula 9 4 4 2 2 5 2" xfId="34952" xr:uid="{FFE763C1-A887-463F-9F00-345ABC636FC2}"/>
    <cellStyle name="Vírgula 9 4 4 2 2 6" xfId="10733" xr:uid="{2E82FB20-BC65-4CE5-9FF1-64F008653550}"/>
    <cellStyle name="Vírgula 9 4 4 2 2 6 2" xfId="31076" xr:uid="{27037552-A099-4A15-BA5B-F5FDFDBB6235}"/>
    <cellStyle name="Vírgula 9 4 4 2 2 7" xfId="27582" xr:uid="{076DCE9E-3F43-43BC-AAA1-08E21B2D5AC0}"/>
    <cellStyle name="Vírgula 9 4 4 2 3" xfId="16362" xr:uid="{CA1F89E2-06D1-4229-8C44-2FF47BE6E2ED}"/>
    <cellStyle name="Vírgula 9 4 4 2 3 2" xfId="36702" xr:uid="{535EA37D-1F41-4523-A394-7EBD984DFB6F}"/>
    <cellStyle name="Vírgula 9 4 4 2 4" xfId="19864" xr:uid="{7460CC4D-6EF1-48E4-85FB-23A20AAD3527}"/>
    <cellStyle name="Vírgula 9 4 4 2 4 2" xfId="40203" xr:uid="{6F51EC3A-DBCF-4497-8159-A4A1940F1008}"/>
    <cellStyle name="Vírgula 9 4 4 2 5" xfId="23119" xr:uid="{472772A8-DBCE-4760-AA84-33651604530A}"/>
    <cellStyle name="Vírgula 9 4 4 2 5 2" xfId="43454" xr:uid="{4EA6AD60-733C-4E96-A790-78571B78A8DE}"/>
    <cellStyle name="Vírgula 9 4 4 2 6" xfId="13453" xr:uid="{4A549735-195D-4222-8D4A-C2D54CAAC164}"/>
    <cellStyle name="Vírgula 9 4 4 2 6 2" xfId="33794" xr:uid="{56FC0868-4992-427D-A83D-7509B4156666}"/>
    <cellStyle name="Vírgula 9 4 4 2 7" xfId="9575" xr:uid="{6C5CB84E-3ECC-45C3-B2AB-20019974DDA7}"/>
    <cellStyle name="Vírgula 9 4 4 2 7 2" xfId="29918" xr:uid="{E862982A-C909-4F99-921C-AA5C3380EA98}"/>
    <cellStyle name="Vírgula 9 4 4 2 8" xfId="26424" xr:uid="{CFEE08A4-762E-491A-B953-3971FD708D3E}"/>
    <cellStyle name="Vírgula 9 4 4 3" xfId="6653" xr:uid="{31281824-AF30-465C-8BD7-E0B6027788E7}"/>
    <cellStyle name="Vírgula 9 4 4 3 2" xfId="16939" xr:uid="{5B518670-90FE-4D36-9A8A-314916FB336A}"/>
    <cellStyle name="Vírgula 9 4 4 3 2 2" xfId="37279" xr:uid="{F9A7D346-F9E3-4ECB-9C2A-2B6C96FFC3EF}"/>
    <cellStyle name="Vírgula 9 4 4 3 3" xfId="20441" xr:uid="{FC5A164E-1B72-4BBD-AB1C-B5265ACDEFD6}"/>
    <cellStyle name="Vírgula 9 4 4 3 3 2" xfId="40780" xr:uid="{2C08E087-D5EA-44B3-9D4F-728B0B1BEC4F}"/>
    <cellStyle name="Vírgula 9 4 4 3 4" xfId="23696" xr:uid="{A9D5A850-2383-4C00-B24E-9E5254994C67}"/>
    <cellStyle name="Vírgula 9 4 4 3 4 2" xfId="44031" xr:uid="{3C0F4A2E-EC90-4944-9895-654C2FF76E2B}"/>
    <cellStyle name="Vírgula 9 4 4 3 5" xfId="14030" xr:uid="{24E2230B-9D8E-40C1-8835-A053E74B5B56}"/>
    <cellStyle name="Vírgula 9 4 4 3 5 2" xfId="34371" xr:uid="{4055BEC3-81FA-4E9A-B085-DA2D0F6A6125}"/>
    <cellStyle name="Vírgula 9 4 4 3 6" xfId="10152" xr:uid="{504A74EF-E119-4806-8D8C-39B0FA4974F9}"/>
    <cellStyle name="Vírgula 9 4 4 3 6 2" xfId="30495" xr:uid="{61CF44EF-070D-49E0-9AC3-7997BE4302A6}"/>
    <cellStyle name="Vírgula 9 4 4 3 7" xfId="27001" xr:uid="{4E9C56DE-D5BA-47A7-9EAF-729FF7E49336}"/>
    <cellStyle name="Vírgula 9 4 4 4" xfId="7817" xr:uid="{9C60F4B6-F522-4E87-8070-A4AA16FD2DA5}"/>
    <cellStyle name="Vírgula 9 4 4 4 2" xfId="18102" xr:uid="{B050C4CA-5AFA-443E-945C-F390194C61C6}"/>
    <cellStyle name="Vírgula 9 4 4 4 2 2" xfId="38442" xr:uid="{42D1B786-9715-46E8-984B-00C3E970BA96}"/>
    <cellStyle name="Vírgula 9 4 4 4 3" xfId="21604" xr:uid="{DFA13117-1094-4808-BD54-313693E255B1}"/>
    <cellStyle name="Vírgula 9 4 4 4 3 2" xfId="41943" xr:uid="{39B6DB4B-A440-4052-BF90-6BAF83536357}"/>
    <cellStyle name="Vírgula 9 4 4 4 4" xfId="24859" xr:uid="{8FE496C4-8E8C-491A-8206-27B12B3D29CB}"/>
    <cellStyle name="Vírgula 9 4 4 4 4 2" xfId="45194" xr:uid="{BBB8249C-A3BE-4147-9F84-3574BD4DAA3B}"/>
    <cellStyle name="Vírgula 9 4 4 4 5" xfId="15194" xr:uid="{B9CE8F05-770C-4F82-8CBE-789BC052C982}"/>
    <cellStyle name="Vírgula 9 4 4 4 5 2" xfId="35534" xr:uid="{4A38E245-09FD-4ED7-8ACF-761A5B02F62F}"/>
    <cellStyle name="Vírgula 9 4 4 4 6" xfId="11315" xr:uid="{EEBA8EDF-712C-4DC5-AC02-CD614BAD97F4}"/>
    <cellStyle name="Vírgula 9 4 4 4 6 2" xfId="31658" xr:uid="{B4BB6595-2CDB-4459-8DBF-632B069A8EAE}"/>
    <cellStyle name="Vírgula 9 4 4 4 7" xfId="28164" xr:uid="{3E1B98DE-65E5-4E51-AE06-10201A9C70CD}"/>
    <cellStyle name="Vírgula 9 4 4 5" xfId="8423" xr:uid="{F64D2E49-D9CF-4565-8831-2DBA440067B7}"/>
    <cellStyle name="Vírgula 9 4 4 5 2" xfId="22210" xr:uid="{4C81BFE1-32DA-487F-9DCE-DCF47D0302A0}"/>
    <cellStyle name="Vírgula 9 4 4 5 2 2" xfId="42546" xr:uid="{25EC4B36-DE3F-456E-903E-7CF0E652F941}"/>
    <cellStyle name="Vírgula 9 4 4 5 3" xfId="25462" xr:uid="{6C910F87-54D0-418E-81AF-C900FFEF961E}"/>
    <cellStyle name="Vírgula 9 4 4 5 3 2" xfId="45797" xr:uid="{B865977F-C2EE-4562-B338-C04F4C8274E7}"/>
    <cellStyle name="Vírgula 9 4 4 5 4" xfId="12884" xr:uid="{31D10983-5268-484B-B0B9-A88CE28BB1BF}"/>
    <cellStyle name="Vírgula 9 4 4 5 4 2" xfId="33225" xr:uid="{99406C5C-63F4-4B7C-A796-893B03142128}"/>
    <cellStyle name="Vírgula 9 4 4 5 5" xfId="11919" xr:uid="{1EE1E244-BCCD-4A99-98F6-BF6C17E15C7E}"/>
    <cellStyle name="Vírgula 9 4 4 5 5 2" xfId="32261" xr:uid="{492FD18A-F1D6-4846-82BF-C9BF093B8804}"/>
    <cellStyle name="Vírgula 9 4 4 5 6" xfId="28767" xr:uid="{D1F82F69-3656-44BC-9953-D8DA2C872795}"/>
    <cellStyle name="Vírgula 9 4 4 6" xfId="15781" xr:uid="{AB62606A-2860-4FC0-8B6C-4FEC185AD729}"/>
    <cellStyle name="Vírgula 9 4 4 6 2" xfId="36121" xr:uid="{2F892FAF-E93E-4DB0-9845-3B20FAB7A243}"/>
    <cellStyle name="Vírgula 9 4 4 7" xfId="18695" xr:uid="{4EDFA14D-32E5-4A9F-8CE1-B04D0D3F2CE5}"/>
    <cellStyle name="Vírgula 9 4 4 7 2" xfId="39035" xr:uid="{AB27008C-CB07-4E99-BC39-8D36AD1117F5}"/>
    <cellStyle name="Vírgula 9 4 4 8" xfId="19283" xr:uid="{9BED6A97-ED6E-4CE9-AA16-2C9F485ABADC}"/>
    <cellStyle name="Vírgula 9 4 4 8 2" xfId="39622" xr:uid="{A32810F5-92AF-404C-B408-5C8188554271}"/>
    <cellStyle name="Vírgula 9 4 4 9" xfId="22538" xr:uid="{F646EAF9-B6B5-41B9-9B4B-1D835F14B2C2}"/>
    <cellStyle name="Vírgula 9 4 4 9 2" xfId="42873" xr:uid="{07C80A7D-0882-4D3D-81C0-CFAE0433AB31}"/>
    <cellStyle name="Vírgula 9 4 5" xfId="5579" xr:uid="{64A57B99-0899-4197-A2E4-11B5D127A3B8}"/>
    <cellStyle name="Vírgula 9 4 5 10" xfId="12330" xr:uid="{C8D8D64A-1717-46DB-8E93-5917232AE4C3}"/>
    <cellStyle name="Vírgula 9 4 5 10 2" xfId="32671" xr:uid="{63899A4A-0720-4835-816F-313F2F78229D}"/>
    <cellStyle name="Vírgula 9 4 5 11" xfId="9069" xr:uid="{F97E5C7A-40D6-48AD-B392-5B27C12426B7}"/>
    <cellStyle name="Vírgula 9 4 5 11 2" xfId="29412" xr:uid="{533CE5AD-7141-48FB-8452-B186F17A3152}"/>
    <cellStyle name="Vírgula 9 4 5 12" xfId="25918" xr:uid="{40EFF230-901A-4EF1-91F2-344F369DA3D1}"/>
    <cellStyle name="Vírgula 9 4 5 2" xfId="6151" xr:uid="{2F29C1D5-8424-4314-A3D9-2193CDDF335D}"/>
    <cellStyle name="Vírgula 9 4 5 2 2" xfId="7309" xr:uid="{0232CEAC-4186-45FB-A2E5-36E7A64A9E67}"/>
    <cellStyle name="Vírgula 9 4 5 2 2 2" xfId="17595" xr:uid="{75EAE408-12D6-4CF8-B7CA-1677240904DE}"/>
    <cellStyle name="Vírgula 9 4 5 2 2 2 2" xfId="37935" xr:uid="{AB4E5B9D-921B-458D-A212-953C9A8ECEB6}"/>
    <cellStyle name="Vírgula 9 4 5 2 2 3" xfId="21097" xr:uid="{383E300A-CA75-4464-AF86-E1D9596A1186}"/>
    <cellStyle name="Vírgula 9 4 5 2 2 3 2" xfId="41436" xr:uid="{65F1C4B9-D13D-47B3-9893-446E92AA6B8A}"/>
    <cellStyle name="Vírgula 9 4 5 2 2 4" xfId="24352" xr:uid="{2555CCDE-1447-4D25-93EB-83E023BDC8DE}"/>
    <cellStyle name="Vírgula 9 4 5 2 2 4 2" xfId="44687" xr:uid="{3BE570DB-3AD0-4F40-AE23-692F68F74899}"/>
    <cellStyle name="Vírgula 9 4 5 2 2 5" xfId="14686" xr:uid="{B9C02867-72E4-418F-A34E-7AFB58CB2A1B}"/>
    <cellStyle name="Vírgula 9 4 5 2 2 5 2" xfId="35027" xr:uid="{31F3083D-D8A2-4C2A-8B2F-7BC6801A0455}"/>
    <cellStyle name="Vírgula 9 4 5 2 2 6" xfId="10808" xr:uid="{F86FCBD8-F775-4AD2-BF18-C77E44A4BE95}"/>
    <cellStyle name="Vírgula 9 4 5 2 2 6 2" xfId="31151" xr:uid="{2A50CCB5-06BB-4DF4-A69B-E3A84D327D6D}"/>
    <cellStyle name="Vírgula 9 4 5 2 2 7" xfId="27657" xr:uid="{401290F7-CA9C-4BEB-B826-5E5481638BD9}"/>
    <cellStyle name="Vírgula 9 4 5 2 3" xfId="16437" xr:uid="{F126150F-F463-45B3-950B-97DB9F5186D9}"/>
    <cellStyle name="Vírgula 9 4 5 2 3 2" xfId="36777" xr:uid="{27C60FB4-E486-4DDB-83D1-6F882E89D858}"/>
    <cellStyle name="Vírgula 9 4 5 2 4" xfId="19939" xr:uid="{D1D612AA-35D6-4213-91AA-D28A9BDF6237}"/>
    <cellStyle name="Vírgula 9 4 5 2 4 2" xfId="40278" xr:uid="{44A0FD2E-2153-4D70-8457-6A7557F8F9ED}"/>
    <cellStyle name="Vírgula 9 4 5 2 5" xfId="23194" xr:uid="{092F498C-A8F3-4F5B-B762-25F66F6167BB}"/>
    <cellStyle name="Vírgula 9 4 5 2 5 2" xfId="43529" xr:uid="{33DED603-DEB3-472D-A4BE-28D6186CAB55}"/>
    <cellStyle name="Vírgula 9 4 5 2 6" xfId="13528" xr:uid="{7F4BA527-AE38-40A2-A074-692178227973}"/>
    <cellStyle name="Vírgula 9 4 5 2 6 2" xfId="33869" xr:uid="{37D23EE4-EE04-4B0C-A0FB-637415D80EF4}"/>
    <cellStyle name="Vírgula 9 4 5 2 7" xfId="9650" xr:uid="{15FAE60F-E84C-49C1-B05E-09913E9B65F8}"/>
    <cellStyle name="Vírgula 9 4 5 2 7 2" xfId="29993" xr:uid="{B6A5CDAC-A231-4049-A48D-046B4182BF9F}"/>
    <cellStyle name="Vírgula 9 4 5 2 8" xfId="26499" xr:uid="{244330AC-3287-4A00-B2D5-8B9DF8C6C594}"/>
    <cellStyle name="Vírgula 9 4 5 3" xfId="6728" xr:uid="{E5B944BB-90D8-4B8D-A35D-82DB998139FE}"/>
    <cellStyle name="Vírgula 9 4 5 3 2" xfId="17014" xr:uid="{793B3B7B-0BEF-40EB-A8AB-C9BD63AFA2F1}"/>
    <cellStyle name="Vírgula 9 4 5 3 2 2" xfId="37354" xr:uid="{F2F5E69F-C11C-4260-ADFA-46D3A427935F}"/>
    <cellStyle name="Vírgula 9 4 5 3 3" xfId="20516" xr:uid="{9FE97BA1-682A-4028-BC1A-58FC07ED2B21}"/>
    <cellStyle name="Vírgula 9 4 5 3 3 2" xfId="40855" xr:uid="{08E79281-1A44-4706-A363-A814B96303DB}"/>
    <cellStyle name="Vírgula 9 4 5 3 4" xfId="23771" xr:uid="{E4A69886-B745-426C-A574-2DE20C526CA8}"/>
    <cellStyle name="Vírgula 9 4 5 3 4 2" xfId="44106" xr:uid="{929D0E75-7F5E-4087-A15C-DB09DF040BA5}"/>
    <cellStyle name="Vírgula 9 4 5 3 5" xfId="14105" xr:uid="{94003EA8-EDC7-48FB-8143-E2BEFEEF1096}"/>
    <cellStyle name="Vírgula 9 4 5 3 5 2" xfId="34446" xr:uid="{3ED5BBBE-3BAB-45E4-881C-FE71B3084ABA}"/>
    <cellStyle name="Vírgula 9 4 5 3 6" xfId="10227" xr:uid="{AC8BEDFA-D538-41A8-A4CE-13D22D16F8F4}"/>
    <cellStyle name="Vírgula 9 4 5 3 6 2" xfId="30570" xr:uid="{131A856C-1254-4052-AF7A-6D1B96C0376E}"/>
    <cellStyle name="Vírgula 9 4 5 3 7" xfId="27076" xr:uid="{84D16CA9-F0DF-4E0C-8A67-18D0F95BF480}"/>
    <cellStyle name="Vírgula 9 4 5 4" xfId="7892" xr:uid="{9A2C4ACB-6139-495A-9977-ED3E4D1675F8}"/>
    <cellStyle name="Vírgula 9 4 5 4 2" xfId="18177" xr:uid="{0F078F31-427C-43DF-831A-E205134D3E7B}"/>
    <cellStyle name="Vírgula 9 4 5 4 2 2" xfId="38517" xr:uid="{C8F5F247-21D1-41F3-81E9-EDF37E898395}"/>
    <cellStyle name="Vírgula 9 4 5 4 3" xfId="21679" xr:uid="{AE09AE20-838A-4AE6-BF60-5D828EF6AFFB}"/>
    <cellStyle name="Vírgula 9 4 5 4 3 2" xfId="42018" xr:uid="{65D1C7CA-EB9D-4467-9A77-1B3A080C6541}"/>
    <cellStyle name="Vírgula 9 4 5 4 4" xfId="24934" xr:uid="{3993525E-5C53-4231-A39E-598679B891BC}"/>
    <cellStyle name="Vírgula 9 4 5 4 4 2" xfId="45269" xr:uid="{B38E6E77-9F97-4823-9053-34FBACAC6EE0}"/>
    <cellStyle name="Vírgula 9 4 5 4 5" xfId="15269" xr:uid="{3C816BF6-F303-45CE-B3A9-FAE92DB3D73B}"/>
    <cellStyle name="Vírgula 9 4 5 4 5 2" xfId="35609" xr:uid="{B2FE2125-AB63-4490-BEF9-6F20B86B7E5D}"/>
    <cellStyle name="Vírgula 9 4 5 4 6" xfId="11390" xr:uid="{F9C1F2CF-3425-45DF-8F71-4F979A91BE08}"/>
    <cellStyle name="Vírgula 9 4 5 4 6 2" xfId="31733" xr:uid="{0D39390C-955D-4714-92AA-B99833A267EF}"/>
    <cellStyle name="Vírgula 9 4 5 4 7" xfId="28239" xr:uid="{B3FF33F0-564B-462A-80A6-974F76835AF8}"/>
    <cellStyle name="Vírgula 9 4 5 5" xfId="12959" xr:uid="{F362AA80-EB68-4DFD-A260-69D6DE511F48}"/>
    <cellStyle name="Vírgula 9 4 5 5 2" xfId="33300" xr:uid="{65FE4016-17EB-45EB-B865-02BC5C8E2DF4}"/>
    <cellStyle name="Vírgula 9 4 5 6" xfId="15856" xr:uid="{D71BA968-E232-4DAA-8A17-2C4188737B5A}"/>
    <cellStyle name="Vírgula 9 4 5 6 2" xfId="36196" xr:uid="{E6F1417C-9346-4C7A-BCC8-D279E20327E0}"/>
    <cellStyle name="Vírgula 9 4 5 7" xfId="18770" xr:uid="{0EA47DBE-54D2-4ABC-A698-FF03DA3A779C}"/>
    <cellStyle name="Vírgula 9 4 5 7 2" xfId="39110" xr:uid="{380E36D6-ED4B-470D-BFC3-A5D48A933A1C}"/>
    <cellStyle name="Vírgula 9 4 5 8" xfId="19358" xr:uid="{24701E44-C67C-4EC8-8092-CA81B4EFCC1D}"/>
    <cellStyle name="Vírgula 9 4 5 8 2" xfId="39697" xr:uid="{9579A87E-8301-47B9-BB1C-DC8BFA943F0F}"/>
    <cellStyle name="Vírgula 9 4 5 9" xfId="22613" xr:uid="{34F2A624-ACC2-49EB-9375-0ABF0A5E7D9A}"/>
    <cellStyle name="Vírgula 9 4 5 9 2" xfId="42948" xr:uid="{C1ED055F-2A61-4402-821D-731A671AF4DA}"/>
    <cellStyle name="Vírgula 9 4 6" xfId="5677" xr:uid="{21FDE6B1-4FB2-457A-97E1-87E9A8976D20}"/>
    <cellStyle name="Vírgula 9 4 6 10" xfId="12428" xr:uid="{C1B4AA0C-5186-49A2-8AE8-CF04BB864602}"/>
    <cellStyle name="Vírgula 9 4 6 10 2" xfId="32769" xr:uid="{64AB422E-8A48-4022-A8CB-616F0049C9DC}"/>
    <cellStyle name="Vírgula 9 4 6 11" xfId="9167" xr:uid="{0F61AF69-7779-4D09-AF65-9BE0EBDBC52D}"/>
    <cellStyle name="Vírgula 9 4 6 11 2" xfId="29510" xr:uid="{FE09AB04-8FFF-4030-A4B2-8A0ADDB61033}"/>
    <cellStyle name="Vírgula 9 4 6 12" xfId="26016" xr:uid="{2A812866-5A4F-4681-B02A-27CB7D22FE17}"/>
    <cellStyle name="Vírgula 9 4 6 2" xfId="6249" xr:uid="{84A7AC58-7A7F-480A-9286-4697320671CE}"/>
    <cellStyle name="Vírgula 9 4 6 2 2" xfId="7407" xr:uid="{3843F369-AF2F-4E83-8137-9FDEB1365BFF}"/>
    <cellStyle name="Vírgula 9 4 6 2 2 2" xfId="17693" xr:uid="{52CEF052-56E0-4ABC-AECD-2F43699AE2FB}"/>
    <cellStyle name="Vírgula 9 4 6 2 2 2 2" xfId="38033" xr:uid="{D3D946A4-0284-4741-9894-C95906C6C238}"/>
    <cellStyle name="Vírgula 9 4 6 2 2 3" xfId="21195" xr:uid="{1219B8B7-8D16-4384-88DD-7E8B72B58632}"/>
    <cellStyle name="Vírgula 9 4 6 2 2 3 2" xfId="41534" xr:uid="{7D15CE4E-6168-4551-B62F-0A1C4655C82E}"/>
    <cellStyle name="Vírgula 9 4 6 2 2 4" xfId="24450" xr:uid="{2DDC3BA3-7812-46BF-8EB2-3B4E695825DB}"/>
    <cellStyle name="Vírgula 9 4 6 2 2 4 2" xfId="44785" xr:uid="{39EC10DF-7CA5-4516-BD43-9A1A341B32D6}"/>
    <cellStyle name="Vírgula 9 4 6 2 2 5" xfId="14784" xr:uid="{85B2F647-2524-4C5F-B1EA-614331188AC3}"/>
    <cellStyle name="Vírgula 9 4 6 2 2 5 2" xfId="35125" xr:uid="{B715A1FF-4A84-447B-9278-3330F1EC04D6}"/>
    <cellStyle name="Vírgula 9 4 6 2 2 6" xfId="10906" xr:uid="{E8CA4D7C-3174-458A-A7A0-34A632FF018F}"/>
    <cellStyle name="Vírgula 9 4 6 2 2 6 2" xfId="31249" xr:uid="{09BCEEC6-08C4-4B60-8317-CB2A7056CAC8}"/>
    <cellStyle name="Vírgula 9 4 6 2 2 7" xfId="27755" xr:uid="{F92E1AD0-A2D3-4F7A-8506-1D4D7685E92F}"/>
    <cellStyle name="Vírgula 9 4 6 2 3" xfId="16535" xr:uid="{BD06B5A8-6A1A-421B-941B-F202BF3695F1}"/>
    <cellStyle name="Vírgula 9 4 6 2 3 2" xfId="36875" xr:uid="{BC5B254F-5228-49D5-90CD-E531FCBEF4A3}"/>
    <cellStyle name="Vírgula 9 4 6 2 4" xfId="20037" xr:uid="{263B1132-2D28-4E91-83EA-47E02F327300}"/>
    <cellStyle name="Vírgula 9 4 6 2 4 2" xfId="40376" xr:uid="{58012841-A8FA-4E45-AF66-09E9DE7FF9BB}"/>
    <cellStyle name="Vírgula 9 4 6 2 5" xfId="23292" xr:uid="{A57BAEB1-8A87-41CF-B3FF-862605E13797}"/>
    <cellStyle name="Vírgula 9 4 6 2 5 2" xfId="43627" xr:uid="{77F7AD07-88F5-4452-A89F-831B7650B2F7}"/>
    <cellStyle name="Vírgula 9 4 6 2 6" xfId="13626" xr:uid="{E8A233BD-9E7A-4E2E-B335-485F1A36477B}"/>
    <cellStyle name="Vírgula 9 4 6 2 6 2" xfId="33967" xr:uid="{D6C429B0-45C8-415D-AB9B-1AF20702DEB7}"/>
    <cellStyle name="Vírgula 9 4 6 2 7" xfId="9748" xr:uid="{F00434CF-B2EE-412D-B7FA-C7FA81DEC52C}"/>
    <cellStyle name="Vírgula 9 4 6 2 7 2" xfId="30091" xr:uid="{16376BD5-4511-4DF5-A9BA-AC04BFEEFE1A}"/>
    <cellStyle name="Vírgula 9 4 6 2 8" xfId="26597" xr:uid="{A2E29A1B-7232-42AF-B7F3-21C12CCEB01F}"/>
    <cellStyle name="Vírgula 9 4 6 3" xfId="6826" xr:uid="{FE544059-18A5-4AB6-9D34-DF84971729D9}"/>
    <cellStyle name="Vírgula 9 4 6 3 2" xfId="17112" xr:uid="{8CF27B86-D6EB-45BD-8BC3-7564CB0F32BD}"/>
    <cellStyle name="Vírgula 9 4 6 3 2 2" xfId="37452" xr:uid="{6CF48B85-34BC-48A3-A2C0-802F79FF2256}"/>
    <cellStyle name="Vírgula 9 4 6 3 3" xfId="20614" xr:uid="{500F7B6D-0169-42B7-A42E-CCBBBFFEED38}"/>
    <cellStyle name="Vírgula 9 4 6 3 3 2" xfId="40953" xr:uid="{404045CF-ECBE-47F8-AB01-F707E7889710}"/>
    <cellStyle name="Vírgula 9 4 6 3 4" xfId="23869" xr:uid="{4414E5C5-131A-46C5-A452-999F3DFB8E5A}"/>
    <cellStyle name="Vírgula 9 4 6 3 4 2" xfId="44204" xr:uid="{E35D37DB-95DB-4521-A741-1F604416EC97}"/>
    <cellStyle name="Vírgula 9 4 6 3 5" xfId="14203" xr:uid="{1BCCB064-0463-40AE-8D09-16F21D8B3DCD}"/>
    <cellStyle name="Vírgula 9 4 6 3 5 2" xfId="34544" xr:uid="{DBF645D3-466C-4323-A38B-3C17483F0602}"/>
    <cellStyle name="Vírgula 9 4 6 3 6" xfId="10325" xr:uid="{68834423-093F-4F8E-87E5-F90658DF5F4D}"/>
    <cellStyle name="Vírgula 9 4 6 3 6 2" xfId="30668" xr:uid="{35BB2930-897A-4FEB-98CF-E0DD601F7CD6}"/>
    <cellStyle name="Vírgula 9 4 6 3 7" xfId="27174" xr:uid="{508C58A6-4804-42C9-A0B4-E592CD07EABA}"/>
    <cellStyle name="Vírgula 9 4 6 4" xfId="7990" xr:uid="{1C41343A-B2C2-42F8-89EC-93DAB5DD60DF}"/>
    <cellStyle name="Vírgula 9 4 6 4 2" xfId="18275" xr:uid="{E504C492-5196-4C1B-940E-4EA85BB47A16}"/>
    <cellStyle name="Vírgula 9 4 6 4 2 2" xfId="38615" xr:uid="{3596CE20-707A-469C-B957-9F35865AF3A7}"/>
    <cellStyle name="Vírgula 9 4 6 4 3" xfId="21777" xr:uid="{2678B13A-0140-430C-86C6-538AFCFC3E42}"/>
    <cellStyle name="Vírgula 9 4 6 4 3 2" xfId="42116" xr:uid="{FBE9AC68-669F-49EB-9EDC-AE3D95787B72}"/>
    <cellStyle name="Vírgula 9 4 6 4 4" xfId="25032" xr:uid="{46DB7BF9-A27E-427F-BA4C-CC9D315A2D3D}"/>
    <cellStyle name="Vírgula 9 4 6 4 4 2" xfId="45367" xr:uid="{41E499F9-CE8C-4FAF-BB3A-D1A9F0B4D772}"/>
    <cellStyle name="Vírgula 9 4 6 4 5" xfId="15367" xr:uid="{3C29663A-FE05-444A-BE3E-130592C5F5D9}"/>
    <cellStyle name="Vírgula 9 4 6 4 5 2" xfId="35707" xr:uid="{0AEDFD98-ACE1-4F61-B88D-BBE5EC2D4DC3}"/>
    <cellStyle name="Vírgula 9 4 6 4 6" xfId="11488" xr:uid="{6B885C35-8EF4-46E6-AFCE-EB17CC5FDD35}"/>
    <cellStyle name="Vírgula 9 4 6 4 6 2" xfId="31831" xr:uid="{C5E86C00-C4CE-4BE5-93BB-8F6C8BFA1346}"/>
    <cellStyle name="Vírgula 9 4 6 4 7" xfId="28337" xr:uid="{DD4C6823-C02E-460A-AD54-3D71504A9DB4}"/>
    <cellStyle name="Vírgula 9 4 6 5" xfId="13057" xr:uid="{C6E28ABA-B786-4FA6-AE61-008E13F08B10}"/>
    <cellStyle name="Vírgula 9 4 6 5 2" xfId="33398" xr:uid="{F6AB9E9D-A124-4D5B-9BFC-1A6210C1DF66}"/>
    <cellStyle name="Vírgula 9 4 6 6" xfId="15954" xr:uid="{76006E15-F0D0-4BDE-B52D-539DA1DBB692}"/>
    <cellStyle name="Vírgula 9 4 6 6 2" xfId="36294" xr:uid="{AB50B24A-B63C-4E51-9671-5EEF8AA3B25C}"/>
    <cellStyle name="Vírgula 9 4 6 7" xfId="18868" xr:uid="{9F8C263A-A7C1-4F41-AD7F-4D436A1E5340}"/>
    <cellStyle name="Vírgula 9 4 6 7 2" xfId="39208" xr:uid="{D50D0006-422A-4552-8BAE-5677DF442E19}"/>
    <cellStyle name="Vírgula 9 4 6 8" xfId="19456" xr:uid="{95A0E1EA-8383-40A5-8D9A-33138A9F65C8}"/>
    <cellStyle name="Vírgula 9 4 6 8 2" xfId="39795" xr:uid="{5E8709CA-D8E3-4EF7-8FF3-03D0EA8CC6F7}"/>
    <cellStyle name="Vírgula 9 4 6 9" xfId="22711" xr:uid="{2AE62C3A-1751-450B-82FE-E62257D94578}"/>
    <cellStyle name="Vírgula 9 4 6 9 2" xfId="43046" xr:uid="{C458EE81-1CC7-41D6-8A84-F85138800DFC}"/>
    <cellStyle name="Vírgula 9 4 7" xfId="5807" xr:uid="{8A2A573B-2692-4C86-9A98-F339BEA5DB26}"/>
    <cellStyle name="Vírgula 9 4 7 2" xfId="6965" xr:uid="{7D3D345F-C883-488D-A155-623AA8005ADE}"/>
    <cellStyle name="Vírgula 9 4 7 2 2" xfId="17251" xr:uid="{8A690EE0-F78E-4FDF-9712-36624799C7A9}"/>
    <cellStyle name="Vírgula 9 4 7 2 2 2" xfId="37591" xr:uid="{005736E3-8FCF-4B8D-B7E5-6D8ED740ADC3}"/>
    <cellStyle name="Vírgula 9 4 7 2 3" xfId="20753" xr:uid="{6CED658A-7644-4A7D-9076-9469A3B1FAA0}"/>
    <cellStyle name="Vírgula 9 4 7 2 3 2" xfId="41092" xr:uid="{1ED83F0D-2330-40EC-B8CF-D38454635AF2}"/>
    <cellStyle name="Vírgula 9 4 7 2 4" xfId="24008" xr:uid="{7D601D57-24FF-4CFB-99B6-036191310F75}"/>
    <cellStyle name="Vírgula 9 4 7 2 4 2" xfId="44343" xr:uid="{A4065D19-704B-405E-9E11-2C90ED2580B1}"/>
    <cellStyle name="Vírgula 9 4 7 2 5" xfId="14342" xr:uid="{26A1AC09-C44C-48C4-933D-9DE12683B9A0}"/>
    <cellStyle name="Vírgula 9 4 7 2 5 2" xfId="34683" xr:uid="{B010AB0E-36F2-452E-96DB-7371614CC2F8}"/>
    <cellStyle name="Vírgula 9 4 7 2 6" xfId="10464" xr:uid="{F4073C07-40DA-496A-B539-6B4B53E86E03}"/>
    <cellStyle name="Vírgula 9 4 7 2 6 2" xfId="30807" xr:uid="{431911D5-D975-49D0-B828-0E82E9AA5D79}"/>
    <cellStyle name="Vírgula 9 4 7 2 7" xfId="27313" xr:uid="{662936C5-6AFA-41AF-9733-0E75663660EF}"/>
    <cellStyle name="Vírgula 9 4 7 3" xfId="16093" xr:uid="{36D596D2-7CEA-4C2C-B4EE-8E1FC57E26D6}"/>
    <cellStyle name="Vírgula 9 4 7 3 2" xfId="36433" xr:uid="{FFEA559D-F8EA-4BCE-88BA-FA01E90C2D15}"/>
    <cellStyle name="Vírgula 9 4 7 4" xfId="19595" xr:uid="{55CA6DAD-33EE-4CD7-889B-DA15F8840BC4}"/>
    <cellStyle name="Vírgula 9 4 7 4 2" xfId="39934" xr:uid="{61CD0292-240E-4234-92A7-4B879B0CDAB4}"/>
    <cellStyle name="Vírgula 9 4 7 5" xfId="22850" xr:uid="{9A7F049E-120D-42CC-B414-C291C213EFCA}"/>
    <cellStyle name="Vírgula 9 4 7 5 2" xfId="43185" xr:uid="{D6AEA947-D8E5-4E94-874F-FCC3172F25FE}"/>
    <cellStyle name="Vírgula 9 4 7 6" xfId="13190" xr:uid="{8BCD99AA-0D26-4079-A78E-94AC4E48A110}"/>
    <cellStyle name="Vírgula 9 4 7 6 2" xfId="33531" xr:uid="{ED4A3C29-8C9A-4ECB-B95A-AF0B1E9E3F1F}"/>
    <cellStyle name="Vírgula 9 4 7 7" xfId="9306" xr:uid="{98374E8A-AE56-42F0-A879-C3F23FD68529}"/>
    <cellStyle name="Vírgula 9 4 7 7 2" xfId="29649" xr:uid="{A73EB3D6-56F3-4102-B0E7-102A2ADE2198}"/>
    <cellStyle name="Vírgula 9 4 7 8" xfId="26155" xr:uid="{231EC98A-75DB-425F-8A8B-453544F4D191}"/>
    <cellStyle name="Vírgula 9 4 8" xfId="6384" xr:uid="{93CD5EEA-BF9F-4A43-856F-E67AE4CBF81E}"/>
    <cellStyle name="Vírgula 9 4 8 2" xfId="16670" xr:uid="{D97A75DD-C24F-4E37-AD43-8167D33FC203}"/>
    <cellStyle name="Vírgula 9 4 8 2 2" xfId="37010" xr:uid="{FF282306-CBA6-442B-990C-DAA0C9BB7C7F}"/>
    <cellStyle name="Vírgula 9 4 8 3" xfId="20172" xr:uid="{C5EA450C-1BB5-454A-8629-7314AB28F997}"/>
    <cellStyle name="Vírgula 9 4 8 3 2" xfId="40511" xr:uid="{F72BD637-57AC-48A5-A301-0E607C8C4DDD}"/>
    <cellStyle name="Vírgula 9 4 8 4" xfId="23427" xr:uid="{182D4761-D253-41E1-9DD8-730B077952BE}"/>
    <cellStyle name="Vírgula 9 4 8 4 2" xfId="43762" xr:uid="{0A3CD61A-7648-4A63-B242-F847C8A09A0F}"/>
    <cellStyle name="Vírgula 9 4 8 5" xfId="13761" xr:uid="{C77D2D31-737F-4B08-9EB5-D8D433D66B2D}"/>
    <cellStyle name="Vírgula 9 4 8 5 2" xfId="34102" xr:uid="{911D8274-8A1D-45BB-B139-EF2BA5231355}"/>
    <cellStyle name="Vírgula 9 4 8 6" xfId="9883" xr:uid="{7DDD1D91-2D4C-43C3-9EE1-A21ADAA2B980}"/>
    <cellStyle name="Vírgula 9 4 8 6 2" xfId="30226" xr:uid="{42AD7297-46C0-4CAF-9A8B-BDBEFBC5978F}"/>
    <cellStyle name="Vírgula 9 4 8 7" xfId="26732" xr:uid="{3AAD76AA-E6B1-44C3-837E-8FA39B3551C3}"/>
    <cellStyle name="Vírgula 9 4 9" xfId="7548" xr:uid="{F55285D7-B5D9-40E3-A721-F2460FB4E9F5}"/>
    <cellStyle name="Vírgula 9 4 9 2" xfId="17833" xr:uid="{D256BDA3-116E-42E7-B704-3943924F2F13}"/>
    <cellStyle name="Vírgula 9 4 9 2 2" xfId="38173" xr:uid="{2693D7F5-362D-4925-B845-8C2D170A7978}"/>
    <cellStyle name="Vírgula 9 4 9 3" xfId="21335" xr:uid="{BF5FF9A8-5C7A-48B1-966D-1B91E1A23C82}"/>
    <cellStyle name="Vírgula 9 4 9 3 2" xfId="41674" xr:uid="{5572834C-B02D-4762-A5D0-0F7C7F28530D}"/>
    <cellStyle name="Vírgula 9 4 9 4" xfId="24590" xr:uid="{D604704B-A585-4ED9-A1EE-E57F21518DA2}"/>
    <cellStyle name="Vírgula 9 4 9 4 2" xfId="44925" xr:uid="{6C792ECB-5698-4802-9251-C0DA5A87FEA8}"/>
    <cellStyle name="Vírgula 9 4 9 5" xfId="14925" xr:uid="{905FB703-969A-43FB-868F-1F0141A59EA3}"/>
    <cellStyle name="Vírgula 9 4 9 5 2" xfId="35265" xr:uid="{F8A1380F-7E18-494D-A73E-6C00B865A615}"/>
    <cellStyle name="Vírgula 9 4 9 6" xfId="11046" xr:uid="{E2D26103-4124-4DFB-BC33-D79993115D02}"/>
    <cellStyle name="Vírgula 9 4 9 6 2" xfId="31389" xr:uid="{E7AF22DA-CF14-4BF2-9B22-A6BE3EEE1921}"/>
    <cellStyle name="Vírgula 9 4 9 7" xfId="27895" xr:uid="{5400F004-E835-4415-A09D-579F912448C5}"/>
    <cellStyle name="Vírgula 9 5" xfId="1331" xr:uid="{D601E306-8A62-4605-83A7-80E5A4082C90}"/>
    <cellStyle name="Vírgula 9 5 10" xfId="18476" xr:uid="{9116FF64-2B14-4DA0-A2BD-9842A79D3D0A}"/>
    <cellStyle name="Vírgula 9 5 10 2" xfId="38816" xr:uid="{276B6A0D-B90C-4985-9250-61D7DF52FF60}"/>
    <cellStyle name="Vírgula 9 5 11" xfId="19064" xr:uid="{D6A29257-355B-4587-A717-D8844389A3DB}"/>
    <cellStyle name="Vírgula 9 5 11 2" xfId="39403" xr:uid="{A2ECB73E-B31D-4D45-A60A-3DF1A7BDA511}"/>
    <cellStyle name="Vírgula 9 5 12" xfId="22319" xr:uid="{DF571FFD-2B4F-4800-A5A3-6E5E494C5C26}"/>
    <cellStyle name="Vírgula 9 5 12 2" xfId="42654" xr:uid="{6C43FFB4-D115-464A-A028-24524D03EED6}"/>
    <cellStyle name="Vírgula 9 5 13" xfId="12036" xr:uid="{7621E8C4-E6B5-4C23-9D2C-7E1EB308C7CB}"/>
    <cellStyle name="Vírgula 9 5 13 2" xfId="32377" xr:uid="{DAEBBA6F-488E-49B2-B84F-1C0F97761AA4}"/>
    <cellStyle name="Vírgula 9 5 14" xfId="8775" xr:uid="{98806CB6-503A-4F7E-9FDA-4E3C0741ACAB}"/>
    <cellStyle name="Vírgula 9 5 14 2" xfId="29118" xr:uid="{98796ECF-85F1-47AA-B2A4-10AA45798FDA}"/>
    <cellStyle name="Vírgula 9 5 15" xfId="25624" xr:uid="{8730D507-BF69-417A-B217-EE3C83E05BF0}"/>
    <cellStyle name="Vírgula 9 5 16" xfId="45870" xr:uid="{B0615633-4AFB-411E-B208-2A8EC3F1B9E4}"/>
    <cellStyle name="Vírgula 9 5 17" xfId="46356" xr:uid="{AA4BFFB3-8159-4252-B99B-132401CA531E}"/>
    <cellStyle name="Vírgula 9 5 18" xfId="46848" xr:uid="{FB745B86-2380-42A6-954E-1D60BE110E05}"/>
    <cellStyle name="Vírgula 9 5 19" xfId="49356" xr:uid="{858325F1-985D-4378-A173-10D73108419F}"/>
    <cellStyle name="Vírgula 9 5 2" xfId="4188" xr:uid="{624C3812-F134-475D-9F1E-65F7DD855FAD}"/>
    <cellStyle name="Vírgula 9 5 2 10" xfId="12151" xr:uid="{18665230-E8B2-418F-AA47-E4724C2DF067}"/>
    <cellStyle name="Vírgula 9 5 2 10 2" xfId="32492" xr:uid="{02D15B7C-F7D2-4346-858A-B60A7F078813}"/>
    <cellStyle name="Vírgula 9 5 2 11" xfId="8890" xr:uid="{FF61BD2C-9676-456D-8BDD-CA43EB9C08DE}"/>
    <cellStyle name="Vírgula 9 5 2 11 2" xfId="29233" xr:uid="{B299B1A4-FE39-4D9A-8ABC-6C195CA8792B}"/>
    <cellStyle name="Vírgula 9 5 2 12" xfId="25739" xr:uid="{6AFA4BEB-AAE7-4795-80CB-AADDD73E3E81}"/>
    <cellStyle name="Vírgula 9 5 2 13" xfId="46050" xr:uid="{0C9AE11F-2624-4273-BEF2-8673D1DEB159}"/>
    <cellStyle name="Vírgula 9 5 2 14" xfId="46536" xr:uid="{53141427-29FF-47F0-B34B-74A551F7C70B}"/>
    <cellStyle name="Vírgula 9 5 2 15" xfId="47028" xr:uid="{5C0D4BDC-004B-4EA4-954A-EC924AD64153}"/>
    <cellStyle name="Vírgula 9 5 2 16" xfId="52658" xr:uid="{6169A527-05D9-4566-9D56-881B78BCA23D}"/>
    <cellStyle name="Vírgula 9 5 2 17" xfId="55952" xr:uid="{851FF9AE-9C8C-418D-9675-D2FB71BCCDCD}"/>
    <cellStyle name="Vírgula 9 5 2 18" xfId="5408" xr:uid="{F09CAE04-3371-4336-90E6-1546E881B30C}"/>
    <cellStyle name="Vírgula 9 5 2 19" xfId="4949" xr:uid="{AAACB970-BB7F-41B0-913B-C24A42938FE7}"/>
    <cellStyle name="Vírgula 9 5 2 2" xfId="5168" xr:uid="{8D490F44-E927-4188-A1B8-C25E98924531}"/>
    <cellStyle name="Vírgula 9 5 2 2 10" xfId="46779" xr:uid="{459C2ACC-298C-4D3C-8823-B3320AC26110}"/>
    <cellStyle name="Vírgula 9 5 2 2 11" xfId="47271" xr:uid="{8076E5F5-A015-4388-98EE-50B245424CA6}"/>
    <cellStyle name="Vírgula 9 5 2 2 12" xfId="5972" xr:uid="{280F495D-A3E9-485A-8561-8C7D7F32C72B}"/>
    <cellStyle name="Vírgula 9 5 2 2 2" xfId="7130" xr:uid="{C2ED7E6B-66FF-43CF-ABE3-082F92699E14}"/>
    <cellStyle name="Vírgula 9 5 2 2 2 2" xfId="17416" xr:uid="{313818F6-10EE-4BB2-9E85-24CA4B79A0D5}"/>
    <cellStyle name="Vírgula 9 5 2 2 2 2 2" xfId="37756" xr:uid="{B359E21D-3349-4BE3-8B11-7C828D207298}"/>
    <cellStyle name="Vírgula 9 5 2 2 2 3" xfId="20918" xr:uid="{29602C86-EE90-458D-8E91-76DDCC8FA359}"/>
    <cellStyle name="Vírgula 9 5 2 2 2 3 2" xfId="41257" xr:uid="{9FC5AFB5-B852-4F49-A380-A8146EFD6B4D}"/>
    <cellStyle name="Vírgula 9 5 2 2 2 4" xfId="24173" xr:uid="{21911757-01E5-45F7-A564-1FC84E9B7E5C}"/>
    <cellStyle name="Vírgula 9 5 2 2 2 4 2" xfId="44508" xr:uid="{05219045-A27C-4702-861C-30EEBDC336C3}"/>
    <cellStyle name="Vírgula 9 5 2 2 2 5" xfId="14507" xr:uid="{F60063E3-D5FB-4B79-8AC3-8D60DEEFE96F}"/>
    <cellStyle name="Vírgula 9 5 2 2 2 5 2" xfId="34848" xr:uid="{F26DC35E-66A9-4C58-A88C-504359062F85}"/>
    <cellStyle name="Vírgula 9 5 2 2 2 6" xfId="10629" xr:uid="{F1456707-048D-4810-8CD2-A3ADF66E6B22}"/>
    <cellStyle name="Vírgula 9 5 2 2 2 6 2" xfId="30972" xr:uid="{1977B33E-0EE2-474F-B929-1C60EE41EAA9}"/>
    <cellStyle name="Vírgula 9 5 2 2 2 7" xfId="27478" xr:uid="{738BD78B-014C-438F-918F-5F48EC8944CE}"/>
    <cellStyle name="Vírgula 9 5 2 2 3" xfId="16258" xr:uid="{211101DD-434E-463F-8DDF-A3CEA1BB09CA}"/>
    <cellStyle name="Vírgula 9 5 2 2 3 2" xfId="36598" xr:uid="{4D40E6B1-E891-4BD8-A92F-F899EFA1C3B5}"/>
    <cellStyle name="Vírgula 9 5 2 2 4" xfId="19760" xr:uid="{C2C30531-662E-497B-A648-B2544BABD085}"/>
    <cellStyle name="Vírgula 9 5 2 2 4 2" xfId="40099" xr:uid="{27D1A34F-95E4-4897-9901-FBA15293324A}"/>
    <cellStyle name="Vírgula 9 5 2 2 5" xfId="23015" xr:uid="{D71A29B8-E9CE-40DD-ADFD-2186F80F8D4B}"/>
    <cellStyle name="Vírgula 9 5 2 2 5 2" xfId="43350" xr:uid="{38561F89-C224-4B53-B9F4-50E715B33AB8}"/>
    <cellStyle name="Vírgula 9 5 2 2 6" xfId="13349" xr:uid="{CF66A287-7319-4554-A53E-184FA99EBAAD}"/>
    <cellStyle name="Vírgula 9 5 2 2 6 2" xfId="33690" xr:uid="{77232473-535D-41EA-B78C-BAF9F9E8F099}"/>
    <cellStyle name="Vírgula 9 5 2 2 7" xfId="9471" xr:uid="{7E65653C-B3BF-43F4-A184-F23C707020BD}"/>
    <cellStyle name="Vírgula 9 5 2 2 7 2" xfId="29814" xr:uid="{E32AA2E2-0C2C-437F-82D4-68FF486F330C}"/>
    <cellStyle name="Vírgula 9 5 2 2 8" xfId="26320" xr:uid="{75F63155-D7B2-4313-9010-50D40BAC9CD8}"/>
    <cellStyle name="Vírgula 9 5 2 2 9" xfId="46293" xr:uid="{0E4E6A16-0173-4983-ACB7-90B4D392C940}"/>
    <cellStyle name="Vírgula 9 5 2 3" xfId="6549" xr:uid="{E6558C0B-0E12-4DAD-AA7D-175705A50183}"/>
    <cellStyle name="Vírgula 9 5 2 3 2" xfId="16835" xr:uid="{5B2E0383-FFFE-4C3F-B70A-C2CD4276AB78}"/>
    <cellStyle name="Vírgula 9 5 2 3 2 2" xfId="37175" xr:uid="{AD9C67E1-8D08-4052-9988-ECA777BE2FEC}"/>
    <cellStyle name="Vírgula 9 5 2 3 3" xfId="20337" xr:uid="{2ACC8A3C-026E-43D2-947D-931FFD7B466F}"/>
    <cellStyle name="Vírgula 9 5 2 3 3 2" xfId="40676" xr:uid="{156CE9C8-5A0F-483B-9CE2-186B01F10E94}"/>
    <cellStyle name="Vírgula 9 5 2 3 4" xfId="23592" xr:uid="{9E934437-F102-43ED-9EB4-03977D0C1A05}"/>
    <cellStyle name="Vírgula 9 5 2 3 4 2" xfId="43927" xr:uid="{80BBDFAA-DA97-4A38-BF2E-9B73A643FD94}"/>
    <cellStyle name="Vírgula 9 5 2 3 5" xfId="13926" xr:uid="{B7F1BBA6-DF0F-4483-BDE5-1750155F6F80}"/>
    <cellStyle name="Vírgula 9 5 2 3 5 2" xfId="34267" xr:uid="{C18F7881-571E-44E2-B8B9-142283777BA9}"/>
    <cellStyle name="Vírgula 9 5 2 3 6" xfId="10048" xr:uid="{402493AA-CA91-4E0E-BEAD-A1627E0FE3A4}"/>
    <cellStyle name="Vírgula 9 5 2 3 6 2" xfId="30391" xr:uid="{B8E4CACC-ED1B-46EE-A49D-52433386C604}"/>
    <cellStyle name="Vírgula 9 5 2 3 7" xfId="26897" xr:uid="{48101197-F308-4C4E-BC76-0A5A713BC867}"/>
    <cellStyle name="Vírgula 9 5 2 4" xfId="7713" xr:uid="{50FA4424-457D-44C6-8D56-9B2D3C3E0D07}"/>
    <cellStyle name="Vírgula 9 5 2 4 2" xfId="17998" xr:uid="{FB411BF8-3B38-4D80-8AF9-80AC06E7EA45}"/>
    <cellStyle name="Vírgula 9 5 2 4 2 2" xfId="38338" xr:uid="{DBB9A8B9-38AB-4CE1-93C5-EE9A95CEE743}"/>
    <cellStyle name="Vírgula 9 5 2 4 3" xfId="21500" xr:uid="{AFD2F181-986F-4B3D-BE8C-06CEA5697EFD}"/>
    <cellStyle name="Vírgula 9 5 2 4 3 2" xfId="41839" xr:uid="{2BFDEA30-97F8-4979-A52D-A4E54397DF85}"/>
    <cellStyle name="Vírgula 9 5 2 4 4" xfId="24755" xr:uid="{0B7D5849-9E0D-4102-8954-806801FDF36B}"/>
    <cellStyle name="Vírgula 9 5 2 4 4 2" xfId="45090" xr:uid="{6D5659EB-0659-4FE8-BADA-677FD996FD26}"/>
    <cellStyle name="Vírgula 9 5 2 4 5" xfId="15090" xr:uid="{A81677A3-C1D5-4749-A6CC-A2D4C75A7486}"/>
    <cellStyle name="Vírgula 9 5 2 4 5 2" xfId="35430" xr:uid="{0A810686-7885-4D06-81CB-2ABDC05D6221}"/>
    <cellStyle name="Vírgula 9 5 2 4 6" xfId="11211" xr:uid="{C6D90B81-D970-485E-B7EA-B5C86D5E74CB}"/>
    <cellStyle name="Vírgula 9 5 2 4 6 2" xfId="31554" xr:uid="{FE7A3A77-6C1E-4FEE-A72F-513A7746BE23}"/>
    <cellStyle name="Vírgula 9 5 2 4 7" xfId="28060" xr:uid="{A4AB8C5A-2109-4C54-8F94-B7102A0FD1B5}"/>
    <cellStyle name="Vírgula 9 5 2 5" xfId="8425" xr:uid="{A7531536-7BED-4F07-961A-0871C835CF70}"/>
    <cellStyle name="Vírgula 9 5 2 5 2" xfId="22212" xr:uid="{549671FE-10A4-44B9-96EA-34489D55FE9E}"/>
    <cellStyle name="Vírgula 9 5 2 5 2 2" xfId="42548" xr:uid="{0EF56A80-E6A8-45CB-BF88-A6EF69A969E6}"/>
    <cellStyle name="Vírgula 9 5 2 5 3" xfId="25464" xr:uid="{53153606-110E-45BC-82CD-6629B148DB41}"/>
    <cellStyle name="Vírgula 9 5 2 5 3 2" xfId="45799" xr:uid="{F4129234-9489-49CD-B02C-C741EF0CD035}"/>
    <cellStyle name="Vírgula 9 5 2 5 4" xfId="12780" xr:uid="{DC59CF1A-FFEB-418D-A28E-5DE95053462D}"/>
    <cellStyle name="Vírgula 9 5 2 5 4 2" xfId="33121" xr:uid="{29B1C44F-74D0-4187-BB87-96E45AAC7FC1}"/>
    <cellStyle name="Vírgula 9 5 2 5 5" xfId="11921" xr:uid="{4AFF19D6-AD0D-4A01-A4E6-BAD17000C231}"/>
    <cellStyle name="Vírgula 9 5 2 5 5 2" xfId="32263" xr:uid="{A1EE356C-1DDF-4C5C-9463-D6D1789D34F3}"/>
    <cellStyle name="Vírgula 9 5 2 5 6" xfId="28769" xr:uid="{2DD269CF-0432-4127-9126-C3B5736AE3FC}"/>
    <cellStyle name="Vírgula 9 5 2 6" xfId="8675" xr:uid="{F64FF906-F279-4B9F-B7A0-13CA6F2037BC}"/>
    <cellStyle name="Vírgula 9 5 2 6 2" xfId="15677" xr:uid="{1B06D8C3-3D14-4790-B12E-3C42D7838C31}"/>
    <cellStyle name="Vírgula 9 5 2 6 2 2" xfId="36017" xr:uid="{A2F22042-B97E-4F16-8DA2-39F3A6755549}"/>
    <cellStyle name="Vírgula 9 5 2 6 3" xfId="29018" xr:uid="{BB078640-E4D6-47EA-A910-49E9D531C073}"/>
    <cellStyle name="Vírgula 9 5 2 7" xfId="18591" xr:uid="{E2D7C5CE-722B-4F0D-A993-187B5601BBD9}"/>
    <cellStyle name="Vírgula 9 5 2 7 2" xfId="38931" xr:uid="{DCA9A1DF-3716-4EF8-A8F1-D57E9E7A85EA}"/>
    <cellStyle name="Vírgula 9 5 2 8" xfId="19179" xr:uid="{99CD9513-5252-4A1F-A317-11727EB7A2AB}"/>
    <cellStyle name="Vírgula 9 5 2 8 2" xfId="39518" xr:uid="{ED01C0B7-FDD0-4933-BE02-0FB2ECFDF991}"/>
    <cellStyle name="Vírgula 9 5 2 9" xfId="22434" xr:uid="{BF41074D-7A96-470D-9EF7-F3A56FE2079C}"/>
    <cellStyle name="Vírgula 9 5 2 9 2" xfId="42769" xr:uid="{56AFD2C2-4656-488A-A3B3-AB094FE1447B}"/>
    <cellStyle name="Vírgula 9 5 20" xfId="51026" xr:uid="{4707074B-02B5-4BE1-91D8-AE6C8719A22B}"/>
    <cellStyle name="Vírgula 9 5 21" xfId="54321" xr:uid="{E6D66B38-F5EC-45E4-ADBD-2A0EA77D408C}"/>
    <cellStyle name="Vírgula 9 5 22" xfId="5306" xr:uid="{F1A90720-2C95-4AD6-9399-920FA653129D}"/>
    <cellStyle name="Vírgula 9 5 23" xfId="4786" xr:uid="{7B70ADD0-D8E9-4E93-B635-D21E20F9C2C4}"/>
    <cellStyle name="Vírgula 9 5 3" xfId="2992" xr:uid="{8E39544E-658C-4620-AE90-68429BAC103E}"/>
    <cellStyle name="Vírgula 9 5 3 10" xfId="12380" xr:uid="{5046D785-7C0B-4C43-B0C5-4C8AD0EDD1A8}"/>
    <cellStyle name="Vírgula 9 5 3 10 2" xfId="32721" xr:uid="{C30FE7C6-2B44-4472-B44C-7D6F72010CA7}"/>
    <cellStyle name="Vírgula 9 5 3 11" xfId="9119" xr:uid="{DF5D2C16-1969-42F2-BF78-A2A9BD7D3345}"/>
    <cellStyle name="Vírgula 9 5 3 11 2" xfId="29462" xr:uid="{59C27822-6A3D-4634-A607-D88353E354CF}"/>
    <cellStyle name="Vírgula 9 5 3 12" xfId="25968" xr:uid="{B799A400-1BA6-44BE-A76A-28E8DAB7A315}"/>
    <cellStyle name="Vírgula 9 5 3 13" xfId="46113" xr:uid="{7B60D55E-F1D7-4EFF-9068-190CD4B11120}"/>
    <cellStyle name="Vírgula 9 5 3 14" xfId="46599" xr:uid="{7CB4E1ED-1878-4915-9659-8D2E3F46CDDF}"/>
    <cellStyle name="Vírgula 9 5 3 15" xfId="47091" xr:uid="{A7EDFCD8-7052-4F20-862A-8793844B775D}"/>
    <cellStyle name="Vírgula 9 5 3 16" xfId="57202" xr:uid="{CA63FA29-58DD-476D-9070-931706FA1226}"/>
    <cellStyle name="Vírgula 9 5 3 17" xfId="5629" xr:uid="{D82FFA23-CDA9-41EA-9EEB-76B3B7A8D06E}"/>
    <cellStyle name="Vírgula 9 5 3 18" xfId="5002" xr:uid="{5F6B43E0-48A4-4C12-B8E7-EFFDE8D4A89E}"/>
    <cellStyle name="Vírgula 9 5 3 2" xfId="6201" xr:uid="{26A39C72-38FB-496E-8185-29D4CB61E06C}"/>
    <cellStyle name="Vírgula 9 5 3 2 2" xfId="7359" xr:uid="{865EBDCD-3DE5-456B-AA87-EC601311CC29}"/>
    <cellStyle name="Vírgula 9 5 3 2 2 2" xfId="17645" xr:uid="{CADD6118-D642-468A-8D2A-E2DDD4B40E23}"/>
    <cellStyle name="Vírgula 9 5 3 2 2 2 2" xfId="37985" xr:uid="{BC7181BD-3960-434C-AF19-9EF6212BEA8D}"/>
    <cellStyle name="Vírgula 9 5 3 2 2 3" xfId="21147" xr:uid="{C097A557-39DD-49B6-8784-ACB355966E7C}"/>
    <cellStyle name="Vírgula 9 5 3 2 2 3 2" xfId="41486" xr:uid="{D6614E1D-5031-40DA-B553-6E64D099D9FB}"/>
    <cellStyle name="Vírgula 9 5 3 2 2 4" xfId="24402" xr:uid="{6E381642-333C-4216-9715-ABBA680A2F7A}"/>
    <cellStyle name="Vírgula 9 5 3 2 2 4 2" xfId="44737" xr:uid="{5E533AFC-24BB-4AD9-813A-97F1AE851DE4}"/>
    <cellStyle name="Vírgula 9 5 3 2 2 5" xfId="14736" xr:uid="{7A583DD3-60DB-40EC-805B-0B870BE2AC27}"/>
    <cellStyle name="Vírgula 9 5 3 2 2 5 2" xfId="35077" xr:uid="{DE845D71-85EA-4583-8588-CAA0A4524FE0}"/>
    <cellStyle name="Vírgula 9 5 3 2 2 6" xfId="10858" xr:uid="{B1215246-A033-4EE1-8047-C50EF6243BA2}"/>
    <cellStyle name="Vírgula 9 5 3 2 2 6 2" xfId="31201" xr:uid="{6AB9766D-5D2F-425F-9444-509F0F2607C9}"/>
    <cellStyle name="Vírgula 9 5 3 2 2 7" xfId="27707" xr:uid="{18B348C4-24F0-467D-BB06-31DEBD7FADF6}"/>
    <cellStyle name="Vírgula 9 5 3 2 3" xfId="16487" xr:uid="{6651EB50-3F77-4385-80A6-D802419F75EC}"/>
    <cellStyle name="Vírgula 9 5 3 2 3 2" xfId="36827" xr:uid="{23432EF9-041A-4160-B640-CBA04B0A5399}"/>
    <cellStyle name="Vírgula 9 5 3 2 4" xfId="19989" xr:uid="{F372EC81-3048-4C27-8855-FD7D21020887}"/>
    <cellStyle name="Vírgula 9 5 3 2 4 2" xfId="40328" xr:uid="{4B7BD072-01F9-48E3-9D24-61DA618FB14C}"/>
    <cellStyle name="Vírgula 9 5 3 2 5" xfId="23244" xr:uid="{64169E6B-2800-4C9E-9AAB-BB27FFAA9ABC}"/>
    <cellStyle name="Vírgula 9 5 3 2 5 2" xfId="43579" xr:uid="{27FB9371-DD7D-4A94-9F8F-6C6C86DCC831}"/>
    <cellStyle name="Vírgula 9 5 3 2 6" xfId="13578" xr:uid="{556DC2F7-2CB2-4BED-B215-EA2471F1167C}"/>
    <cellStyle name="Vírgula 9 5 3 2 6 2" xfId="33919" xr:uid="{A25A26BD-FDE3-430F-A792-86D5EABB9D00}"/>
    <cellStyle name="Vírgula 9 5 3 2 7" xfId="9700" xr:uid="{87C018AD-AD64-4F13-BC69-52AF713C718F}"/>
    <cellStyle name="Vírgula 9 5 3 2 7 2" xfId="30043" xr:uid="{E58266D8-5715-4BBD-BF45-2EB0330D3BDF}"/>
    <cellStyle name="Vírgula 9 5 3 2 8" xfId="26549" xr:uid="{782EF28E-D524-4495-A490-1B20981A5EE9}"/>
    <cellStyle name="Vírgula 9 5 3 3" xfId="6778" xr:uid="{FA60791D-6E72-4223-BB10-E41504F626DE}"/>
    <cellStyle name="Vírgula 9 5 3 3 2" xfId="17064" xr:uid="{71EB27F6-242F-47D9-9543-B6B268400162}"/>
    <cellStyle name="Vírgula 9 5 3 3 2 2" xfId="37404" xr:uid="{607F3E4F-DFCC-4123-BCCB-85FC3297728C}"/>
    <cellStyle name="Vírgula 9 5 3 3 3" xfId="20566" xr:uid="{753178B0-E69A-41A3-AB29-B47597AB799C}"/>
    <cellStyle name="Vírgula 9 5 3 3 3 2" xfId="40905" xr:uid="{52368032-84F7-4AC9-8E99-DA665F4CC475}"/>
    <cellStyle name="Vírgula 9 5 3 3 4" xfId="23821" xr:uid="{30FA02AA-0A57-4463-9CC3-1CE30AC7AA1C}"/>
    <cellStyle name="Vírgula 9 5 3 3 4 2" xfId="44156" xr:uid="{EB184922-BABC-4FD5-A097-4AA30F7DDE49}"/>
    <cellStyle name="Vírgula 9 5 3 3 5" xfId="14155" xr:uid="{4E9F80A3-D83F-4B58-B8CD-87AFB3BE4C8C}"/>
    <cellStyle name="Vírgula 9 5 3 3 5 2" xfId="34496" xr:uid="{C2FE98FE-C395-4E41-8E6D-DB0667068851}"/>
    <cellStyle name="Vírgula 9 5 3 3 6" xfId="10277" xr:uid="{B7D552F5-EE56-49D3-9780-C928AFE873DE}"/>
    <cellStyle name="Vírgula 9 5 3 3 6 2" xfId="30620" xr:uid="{43A3D59F-3BAC-43E0-8022-511A3A17CEA2}"/>
    <cellStyle name="Vírgula 9 5 3 3 7" xfId="27126" xr:uid="{CE9C26E3-176B-4F50-9D35-27A72ACE3B0E}"/>
    <cellStyle name="Vírgula 9 5 3 4" xfId="7942" xr:uid="{C785CF25-C4E3-4052-85EB-6DCA79D5DAE4}"/>
    <cellStyle name="Vírgula 9 5 3 4 2" xfId="18227" xr:uid="{20CD0269-7D24-4FE9-B403-40EF1A1A2415}"/>
    <cellStyle name="Vírgula 9 5 3 4 2 2" xfId="38567" xr:uid="{1D9675D6-5314-4DFB-A12A-19323A2FB715}"/>
    <cellStyle name="Vírgula 9 5 3 4 3" xfId="21729" xr:uid="{92FE144D-BCB1-4644-A4C7-CC1EAE3A4B7D}"/>
    <cellStyle name="Vírgula 9 5 3 4 3 2" xfId="42068" xr:uid="{A8F42E7B-A253-4CC0-B0B5-18C3B1FCCC81}"/>
    <cellStyle name="Vírgula 9 5 3 4 4" xfId="24984" xr:uid="{213248E2-B020-484A-911C-BAE711234D99}"/>
    <cellStyle name="Vírgula 9 5 3 4 4 2" xfId="45319" xr:uid="{464A1D8E-1909-493F-A4FB-B87E89853A3E}"/>
    <cellStyle name="Vírgula 9 5 3 4 5" xfId="15319" xr:uid="{EF41389A-9FA0-44FE-AE1D-8DD83548F549}"/>
    <cellStyle name="Vírgula 9 5 3 4 5 2" xfId="35659" xr:uid="{CC7D7DB1-04F5-40CB-A28D-DE51924821CF}"/>
    <cellStyle name="Vírgula 9 5 3 4 6" xfId="11440" xr:uid="{7B4B92C6-FC54-450A-A0D7-7EE22E070BDE}"/>
    <cellStyle name="Vírgula 9 5 3 4 6 2" xfId="31783" xr:uid="{0DF3FC7C-6C6D-414F-AB58-0B0555789750}"/>
    <cellStyle name="Vírgula 9 5 3 4 7" xfId="28289" xr:uid="{1CD8A178-9221-45D2-870D-537A085C7119}"/>
    <cellStyle name="Vírgula 9 5 3 5" xfId="8426" xr:uid="{AC6C7F29-DEA9-4497-ACAF-2299028600C2}"/>
    <cellStyle name="Vírgula 9 5 3 5 2" xfId="22213" xr:uid="{137ECE67-B2CF-4DE7-A46A-53A864F8E06A}"/>
    <cellStyle name="Vírgula 9 5 3 5 2 2" xfId="42549" xr:uid="{CB56E82A-F5F3-4BD0-94D6-40B3A166ECE2}"/>
    <cellStyle name="Vírgula 9 5 3 5 3" xfId="25465" xr:uid="{82B3DA45-4D2C-4024-919F-6603CC1B791E}"/>
    <cellStyle name="Vírgula 9 5 3 5 3 2" xfId="45800" xr:uid="{9B448056-FAD3-48FB-B7C3-25E75B310F56}"/>
    <cellStyle name="Vírgula 9 5 3 5 4" xfId="13009" xr:uid="{BABE0DAA-5402-4AF9-9FC5-0E55129E9223}"/>
    <cellStyle name="Vírgula 9 5 3 5 4 2" xfId="33350" xr:uid="{074EB72D-DA56-4A94-AD16-51CB24AB77D7}"/>
    <cellStyle name="Vírgula 9 5 3 5 5" xfId="11922" xr:uid="{58201E5D-E20D-42DC-ADEB-EBE442833FCD}"/>
    <cellStyle name="Vírgula 9 5 3 5 5 2" xfId="32264" xr:uid="{56B4B1B4-ECEF-4008-974B-E88853E4230C}"/>
    <cellStyle name="Vírgula 9 5 3 5 6" xfId="28770" xr:uid="{A8BD0955-0AF7-4CF9-BE40-2CB8083DF628}"/>
    <cellStyle name="Vírgula 9 5 3 6" xfId="15906" xr:uid="{DB8F783D-89A0-4FE3-8AFF-9BBBAB1151F6}"/>
    <cellStyle name="Vírgula 9 5 3 6 2" xfId="36246" xr:uid="{D0B73908-2DF8-4053-86DE-5E15E510AFC3}"/>
    <cellStyle name="Vírgula 9 5 3 7" xfId="18820" xr:uid="{BBC4809D-EB0C-4A74-835E-7253645AF004}"/>
    <cellStyle name="Vírgula 9 5 3 7 2" xfId="39160" xr:uid="{C9399EF8-407C-4F63-B4B1-581CD0ACC1B6}"/>
    <cellStyle name="Vírgula 9 5 3 8" xfId="19408" xr:uid="{3C831B07-E3EE-422B-B349-AF75FA8D0B92}"/>
    <cellStyle name="Vírgula 9 5 3 8 2" xfId="39747" xr:uid="{1F4A28B0-5F42-4A6C-B127-F53DD6C7B954}"/>
    <cellStyle name="Vírgula 9 5 3 9" xfId="22663" xr:uid="{960C4FF7-63C3-4AB0-985D-F5E5DC2D9785}"/>
    <cellStyle name="Vírgula 9 5 3 9 2" xfId="42998" xr:uid="{08A1FF4B-82E9-4A7B-92A3-DF2745EDAF88}"/>
    <cellStyle name="Vírgula 9 5 4" xfId="5709" xr:uid="{505BBD3B-D779-4539-82E8-972D04D83E8E}"/>
    <cellStyle name="Vírgula 9 5 4 10" xfId="12460" xr:uid="{EBB57866-45DC-4E6C-BF73-0DB5A13D491E}"/>
    <cellStyle name="Vírgula 9 5 4 10 2" xfId="32801" xr:uid="{2A50911B-5CA5-4B87-92FD-639D67D12FB6}"/>
    <cellStyle name="Vírgula 9 5 4 11" xfId="9199" xr:uid="{0EEF3AAE-237A-4942-AFAE-3FAE3C5ADB17}"/>
    <cellStyle name="Vírgula 9 5 4 11 2" xfId="29542" xr:uid="{E1D4F33D-F7E2-440C-A072-BA1FE81E2947}"/>
    <cellStyle name="Vírgula 9 5 4 12" xfId="26048" xr:uid="{26AB4862-C044-4BBB-A12F-4897300D6210}"/>
    <cellStyle name="Vírgula 9 5 4 2" xfId="6281" xr:uid="{DD5834AF-3D78-4046-B525-F3DACB82124B}"/>
    <cellStyle name="Vírgula 9 5 4 2 2" xfId="7439" xr:uid="{0B022BA0-03F3-46D3-A64D-4AF1E528EE72}"/>
    <cellStyle name="Vírgula 9 5 4 2 2 2" xfId="17725" xr:uid="{3D192452-DF2F-42A1-AB17-999AC3F6E5AF}"/>
    <cellStyle name="Vírgula 9 5 4 2 2 2 2" xfId="38065" xr:uid="{5E9D0AEC-DC95-42FE-81C8-E358348FFD92}"/>
    <cellStyle name="Vírgula 9 5 4 2 2 3" xfId="21227" xr:uid="{ED55A8A1-D938-495F-B582-8928AE6B4319}"/>
    <cellStyle name="Vírgula 9 5 4 2 2 3 2" xfId="41566" xr:uid="{0C0CFB7E-74AD-4E0B-995F-1D2396D71503}"/>
    <cellStyle name="Vírgula 9 5 4 2 2 4" xfId="24482" xr:uid="{3EA2B838-6455-43AA-919B-FB079D281597}"/>
    <cellStyle name="Vírgula 9 5 4 2 2 4 2" xfId="44817" xr:uid="{0336BDFF-BBFF-4D00-917A-01A738DA4F02}"/>
    <cellStyle name="Vírgula 9 5 4 2 2 5" xfId="14816" xr:uid="{19AF8482-4D70-4CA5-B98D-D343B9A163C9}"/>
    <cellStyle name="Vírgula 9 5 4 2 2 5 2" xfId="35157" xr:uid="{14DCB878-7C79-450B-9711-11BC0A77E245}"/>
    <cellStyle name="Vírgula 9 5 4 2 2 6" xfId="10938" xr:uid="{98EE4BA5-9A61-4898-9CD5-C6F564943D60}"/>
    <cellStyle name="Vírgula 9 5 4 2 2 6 2" xfId="31281" xr:uid="{FE79EE58-6858-4CC3-8335-B8EACC3C3F5A}"/>
    <cellStyle name="Vírgula 9 5 4 2 2 7" xfId="27787" xr:uid="{CE8329A0-151C-459F-9381-ABCBA4638E58}"/>
    <cellStyle name="Vírgula 9 5 4 2 3" xfId="16567" xr:uid="{4752FE8A-FE25-49BF-B1C5-6EBEF1706E16}"/>
    <cellStyle name="Vírgula 9 5 4 2 3 2" xfId="36907" xr:uid="{60D6D28C-71B5-4DC3-B5F4-A4A6C0BCB35E}"/>
    <cellStyle name="Vírgula 9 5 4 2 4" xfId="20069" xr:uid="{0B9BB80E-064F-42F3-AEFD-0E1DA53566DE}"/>
    <cellStyle name="Vírgula 9 5 4 2 4 2" xfId="40408" xr:uid="{DBD087D1-2939-4CF4-A85E-C7337DCF304D}"/>
    <cellStyle name="Vírgula 9 5 4 2 5" xfId="23324" xr:uid="{09FD06A4-A987-4806-98C5-4A684E816EB9}"/>
    <cellStyle name="Vírgula 9 5 4 2 5 2" xfId="43659" xr:uid="{7DCF6E3D-DA75-49C0-8E41-F94DA62BC512}"/>
    <cellStyle name="Vírgula 9 5 4 2 6" xfId="13658" xr:uid="{7A15B284-7794-426F-9061-EF383A3EA558}"/>
    <cellStyle name="Vírgula 9 5 4 2 6 2" xfId="33999" xr:uid="{D0BE29A4-614C-4E01-BFBB-26E8175DD602}"/>
    <cellStyle name="Vírgula 9 5 4 2 7" xfId="9780" xr:uid="{80A65CEE-3F89-449C-856B-CEDA116D81A1}"/>
    <cellStyle name="Vírgula 9 5 4 2 7 2" xfId="30123" xr:uid="{5F714CB3-AA0D-44DB-8A4B-4B000A00DB4F}"/>
    <cellStyle name="Vírgula 9 5 4 2 8" xfId="26629" xr:uid="{A9C58F44-FBC7-47B3-A9BD-6C2B6FAF621D}"/>
    <cellStyle name="Vírgula 9 5 4 3" xfId="6858" xr:uid="{D4B4016B-0676-43DB-8B9A-1D7E3F5D280C}"/>
    <cellStyle name="Vírgula 9 5 4 3 2" xfId="17144" xr:uid="{280EEE2A-C5CC-4087-8D4E-C7679FE7350E}"/>
    <cellStyle name="Vírgula 9 5 4 3 2 2" xfId="37484" xr:uid="{D4745212-C81C-4F77-964A-6B2FAB7D54D1}"/>
    <cellStyle name="Vírgula 9 5 4 3 3" xfId="20646" xr:uid="{CA754055-4DB4-4ACE-AAD4-BAE2B0BDB092}"/>
    <cellStyle name="Vírgula 9 5 4 3 3 2" xfId="40985" xr:uid="{E52AD1EE-D8D5-4A35-B91B-1BBFE2AE7325}"/>
    <cellStyle name="Vírgula 9 5 4 3 4" xfId="23901" xr:uid="{1BBC59F6-3728-4375-A0D5-963850FE872E}"/>
    <cellStyle name="Vírgula 9 5 4 3 4 2" xfId="44236" xr:uid="{9A316CF3-DA4A-4EB8-930E-4D8688410318}"/>
    <cellStyle name="Vírgula 9 5 4 3 5" xfId="14235" xr:uid="{F4889DCF-3C40-4BA7-8718-567D27A3C001}"/>
    <cellStyle name="Vírgula 9 5 4 3 5 2" xfId="34576" xr:uid="{49707582-5401-4154-A452-7A6CF9616E49}"/>
    <cellStyle name="Vírgula 9 5 4 3 6" xfId="10357" xr:uid="{2F2A079B-B216-4587-832A-7408541BFE9B}"/>
    <cellStyle name="Vírgula 9 5 4 3 6 2" xfId="30700" xr:uid="{24B56F4B-CA35-4C81-871F-B61BD20E49F7}"/>
    <cellStyle name="Vírgula 9 5 4 3 7" xfId="27206" xr:uid="{FCA1F2FF-6C4E-452B-B785-4FFA737B0016}"/>
    <cellStyle name="Vírgula 9 5 4 4" xfId="8022" xr:uid="{F566721E-8772-424E-A24B-41DCD6725D7F}"/>
    <cellStyle name="Vírgula 9 5 4 4 2" xfId="18307" xr:uid="{BE79091E-CCE1-4AF5-9051-387DF27B9D5E}"/>
    <cellStyle name="Vírgula 9 5 4 4 2 2" xfId="38647" xr:uid="{BBC80BA9-1377-439D-8442-8511F3AF7450}"/>
    <cellStyle name="Vírgula 9 5 4 4 3" xfId="21809" xr:uid="{8AEEE84C-B7C9-4AC8-97FB-DB1385790EBC}"/>
    <cellStyle name="Vírgula 9 5 4 4 3 2" xfId="42148" xr:uid="{0EBF858E-F30A-40B3-8ACE-D47E244F994A}"/>
    <cellStyle name="Vírgula 9 5 4 4 4" xfId="25064" xr:uid="{E68FCEE0-4880-4B9A-A984-013FA3698404}"/>
    <cellStyle name="Vírgula 9 5 4 4 4 2" xfId="45399" xr:uid="{CBB95F7D-0A6C-450E-9623-D74F129BD4B9}"/>
    <cellStyle name="Vírgula 9 5 4 4 5" xfId="15399" xr:uid="{29A42824-2093-4948-88F7-F100691930C9}"/>
    <cellStyle name="Vírgula 9 5 4 4 5 2" xfId="35739" xr:uid="{F3EC5FAC-5506-48D0-8D2E-434C2C2C76E7}"/>
    <cellStyle name="Vírgula 9 5 4 4 6" xfId="11520" xr:uid="{CA5423E1-9A43-484A-986F-8F234A1BD033}"/>
    <cellStyle name="Vírgula 9 5 4 4 6 2" xfId="31863" xr:uid="{A53A56EF-62EF-41AB-966D-829074CDB965}"/>
    <cellStyle name="Vírgula 9 5 4 4 7" xfId="28369" xr:uid="{FD1B0195-3419-4FC0-8CD5-D95E2B0561C5}"/>
    <cellStyle name="Vírgula 9 5 4 5" xfId="13089" xr:uid="{59AE262B-F01E-4A42-8DA2-D6BA9E4F6ECA}"/>
    <cellStyle name="Vírgula 9 5 4 5 2" xfId="33430" xr:uid="{D4B3B354-7594-4069-BDA2-3B3C1925BFD7}"/>
    <cellStyle name="Vírgula 9 5 4 6" xfId="15986" xr:uid="{4BDC12CB-7F71-4BE1-9807-A82DC2AEC803}"/>
    <cellStyle name="Vírgula 9 5 4 6 2" xfId="36326" xr:uid="{FAB52AE1-E949-41A5-A08D-943652AF43D1}"/>
    <cellStyle name="Vírgula 9 5 4 7" xfId="18900" xr:uid="{93C8794A-413B-46BF-8EE6-3664A7C779E7}"/>
    <cellStyle name="Vírgula 9 5 4 7 2" xfId="39240" xr:uid="{B6E97346-AF89-4AC8-8186-51532E779FD2}"/>
    <cellStyle name="Vírgula 9 5 4 8" xfId="19488" xr:uid="{2283DCEE-2BC5-488E-A331-EC0124BE101C}"/>
    <cellStyle name="Vírgula 9 5 4 8 2" xfId="39827" xr:uid="{45ACBACC-AA92-41CA-9F66-B2CCADCFB1A3}"/>
    <cellStyle name="Vírgula 9 5 4 9" xfId="22743" xr:uid="{28D7E692-FD0F-4C6F-A941-182649DB8160}"/>
    <cellStyle name="Vírgula 9 5 4 9 2" xfId="43078" xr:uid="{60E1D01A-9CAB-4807-A82C-F840B1C43755}"/>
    <cellStyle name="Vírgula 9 5 5" xfId="5857" xr:uid="{49B97CD1-D301-4A23-B62B-36504925880F}"/>
    <cellStyle name="Vírgula 9 5 5 2" xfId="7015" xr:uid="{073A3B62-2F93-4FED-89E0-563EB8334602}"/>
    <cellStyle name="Vírgula 9 5 5 2 2" xfId="17301" xr:uid="{EF10B7A0-E05A-409C-8B7E-DBAB8AB289C4}"/>
    <cellStyle name="Vírgula 9 5 5 2 2 2" xfId="37641" xr:uid="{BE2AC6FC-6C5D-43C2-9630-9D5B34460179}"/>
    <cellStyle name="Vírgula 9 5 5 2 3" xfId="20803" xr:uid="{92DC3AEA-CCB5-4ED7-A3A1-534C9DE5799E}"/>
    <cellStyle name="Vírgula 9 5 5 2 3 2" xfId="41142" xr:uid="{F3252674-B59F-48E6-92B1-EBD7C362DC8D}"/>
    <cellStyle name="Vírgula 9 5 5 2 4" xfId="24058" xr:uid="{3DEEFED8-0016-4C3C-84B2-125AB6531D99}"/>
    <cellStyle name="Vírgula 9 5 5 2 4 2" xfId="44393" xr:uid="{BE6FD3B3-5E8D-461E-9A01-8360B08BF6BC}"/>
    <cellStyle name="Vírgula 9 5 5 2 5" xfId="14392" xr:uid="{F88335EB-0A57-4199-9FCA-6D16069E7192}"/>
    <cellStyle name="Vírgula 9 5 5 2 5 2" xfId="34733" xr:uid="{F30EFB48-6FC4-41BC-92C0-029690A40678}"/>
    <cellStyle name="Vírgula 9 5 5 2 6" xfId="10514" xr:uid="{DC96BDB4-DB57-4125-9506-B403DF1DAF5F}"/>
    <cellStyle name="Vírgula 9 5 5 2 6 2" xfId="30857" xr:uid="{8B6308CB-BC0A-4F36-B6C9-A96CF40D3310}"/>
    <cellStyle name="Vírgula 9 5 5 2 7" xfId="27363" xr:uid="{55628F1A-FEC2-485D-90E6-FDBEFD08C2E1}"/>
    <cellStyle name="Vírgula 9 5 5 3" xfId="16143" xr:uid="{9247395B-56A9-4271-BE0B-70D90866826B}"/>
    <cellStyle name="Vírgula 9 5 5 3 2" xfId="36483" xr:uid="{69BC165E-C108-45D1-AEFE-04F03A0E4D8B}"/>
    <cellStyle name="Vírgula 9 5 5 4" xfId="19645" xr:uid="{BBD815F4-3E9E-45A7-AEFF-F2AD0D1FFDCB}"/>
    <cellStyle name="Vírgula 9 5 5 4 2" xfId="39984" xr:uid="{58267587-D099-429E-9EAB-9C724B3FBDFB}"/>
    <cellStyle name="Vírgula 9 5 5 5" xfId="22900" xr:uid="{A4D8A3BF-6877-49B1-86CE-7D1083EF0337}"/>
    <cellStyle name="Vírgula 9 5 5 5 2" xfId="43235" xr:uid="{697C510A-7240-4E87-A28B-9226EBFEC129}"/>
    <cellStyle name="Vírgula 9 5 5 6" xfId="13236" xr:uid="{60F8187E-5CB0-4314-8A7E-A01173B0E3FF}"/>
    <cellStyle name="Vírgula 9 5 5 6 2" xfId="33577" xr:uid="{DA7C7E7B-8FDF-46AE-820D-B187C2201F90}"/>
    <cellStyle name="Vírgula 9 5 5 7" xfId="9356" xr:uid="{0329395F-6DB3-4083-A7DB-1404C69D0456}"/>
    <cellStyle name="Vírgula 9 5 5 7 2" xfId="29699" xr:uid="{8891F0A3-9B5D-4D1C-8778-E90DEA261441}"/>
    <cellStyle name="Vírgula 9 5 5 8" xfId="26205" xr:uid="{1995093F-2543-4540-9E14-77E1B432BDDE}"/>
    <cellStyle name="Vírgula 9 5 6" xfId="6434" xr:uid="{F04802EC-ECD2-41F7-B5A0-913B803A6CFE}"/>
    <cellStyle name="Vírgula 9 5 6 2" xfId="16720" xr:uid="{C1E4FF92-5763-40E2-B4BF-208494699B5C}"/>
    <cellStyle name="Vírgula 9 5 6 2 2" xfId="37060" xr:uid="{0792CFBE-D45D-4CC3-8177-ACA17C2EC3F9}"/>
    <cellStyle name="Vírgula 9 5 6 3" xfId="20222" xr:uid="{2345C495-5EBD-47D0-ACE6-A6D6F2CB04A0}"/>
    <cellStyle name="Vírgula 9 5 6 3 2" xfId="40561" xr:uid="{1D182A68-9071-4C43-904D-3FDE0F987D93}"/>
    <cellStyle name="Vírgula 9 5 6 4" xfId="23477" xr:uid="{B7BE923C-FEA3-4681-A0ED-FAD5CB0DBB44}"/>
    <cellStyle name="Vírgula 9 5 6 4 2" xfId="43812" xr:uid="{D3924AEC-5EF4-44ED-8108-678E99D02040}"/>
    <cellStyle name="Vírgula 9 5 6 5" xfId="13811" xr:uid="{96991330-BCEA-4BC8-BA7C-A8069949DDB5}"/>
    <cellStyle name="Vírgula 9 5 6 5 2" xfId="34152" xr:uid="{3BE5C0BA-44B7-4F69-9454-4C48D3E3C3FE}"/>
    <cellStyle name="Vírgula 9 5 6 6" xfId="9933" xr:uid="{1E8DB256-0D25-44E3-8FA4-83949AE9E040}"/>
    <cellStyle name="Vírgula 9 5 6 6 2" xfId="30276" xr:uid="{05AFB4EB-97F9-4747-BC19-6549A27F3EC7}"/>
    <cellStyle name="Vírgula 9 5 6 7" xfId="26782" xr:uid="{D48399BF-6E6A-45A5-907C-18153A22AFE0}"/>
    <cellStyle name="Vírgula 9 5 7" xfId="7598" xr:uid="{0ADD10FF-E321-4ECC-BB6C-F8576ED106F3}"/>
    <cellStyle name="Vírgula 9 5 7 2" xfId="17883" xr:uid="{71A69A5E-2426-430D-BDAC-C4ADACEFF19B}"/>
    <cellStyle name="Vírgula 9 5 7 2 2" xfId="38223" xr:uid="{84844ED4-16F3-4425-ABE6-13B4A693F3AC}"/>
    <cellStyle name="Vírgula 9 5 7 3" xfId="21385" xr:uid="{CD5FC381-6C69-4BEE-82BE-5C746275ACB9}"/>
    <cellStyle name="Vírgula 9 5 7 3 2" xfId="41724" xr:uid="{93FD3C12-BC57-4278-BE6E-FF777BE78727}"/>
    <cellStyle name="Vírgula 9 5 7 4" xfId="24640" xr:uid="{78F1C067-A5BF-4168-B859-07E92E927AB3}"/>
    <cellStyle name="Vírgula 9 5 7 4 2" xfId="44975" xr:uid="{1BB98D25-A2F5-4FFE-9A5D-96CAC437767E}"/>
    <cellStyle name="Vírgula 9 5 7 5" xfId="14975" xr:uid="{38C399E6-0305-4B71-8B97-0740BA2EB847}"/>
    <cellStyle name="Vírgula 9 5 7 5 2" xfId="35315" xr:uid="{B7ED4DB3-F5EA-4EDA-AE3A-E8DE7654AF72}"/>
    <cellStyle name="Vírgula 9 5 7 6" xfId="11096" xr:uid="{F54CC801-E297-4919-9F9E-D61BE65F6A83}"/>
    <cellStyle name="Vírgula 9 5 7 6 2" xfId="31439" xr:uid="{FB22D84F-5546-4FF4-B1A2-972C5C31D4B5}"/>
    <cellStyle name="Vírgula 9 5 7 7" xfId="27945" xr:uid="{82CBDEDD-FB57-4847-B272-2AB64EC7AFE8}"/>
    <cellStyle name="Vírgula 9 5 8" xfId="8424" xr:uid="{F40F8892-F774-4544-8B60-7CF0DC8A4549}"/>
    <cellStyle name="Vírgula 9 5 8 2" xfId="22211" xr:uid="{0ED4B00F-F153-4552-8BF3-33D246545107}"/>
    <cellStyle name="Vírgula 9 5 8 2 2" xfId="42547" xr:uid="{AD0E8810-E91C-41C4-966F-5070944D2D25}"/>
    <cellStyle name="Vírgula 9 5 8 3" xfId="25463" xr:uid="{F3235CE0-2734-49D0-8A66-566D56ECAF22}"/>
    <cellStyle name="Vírgula 9 5 8 3 2" xfId="45798" xr:uid="{42D93DE7-338D-49D9-B987-5062C7570B85}"/>
    <cellStyle name="Vírgula 9 5 8 4" xfId="12667" xr:uid="{0C9FD154-EC8C-4781-A3CC-95E433B187D1}"/>
    <cellStyle name="Vírgula 9 5 8 4 2" xfId="33008" xr:uid="{AF1E8734-4CBD-4EB2-8DE8-AE03699ED352}"/>
    <cellStyle name="Vírgula 9 5 8 5" xfId="11920" xr:uid="{9D71A03F-1CCF-41C2-AEC0-A9153E2E0BF2}"/>
    <cellStyle name="Vírgula 9 5 8 5 2" xfId="32262" xr:uid="{8E578180-D6C3-4254-BE4B-1987AA84490B}"/>
    <cellStyle name="Vírgula 9 5 8 6" xfId="28768" xr:uid="{9EF52E27-FA7B-4BFF-8ACF-FAB25A33CD22}"/>
    <cellStyle name="Vírgula 9 5 9" xfId="8495" xr:uid="{278FD12A-DDD4-4AA3-9359-D9972E6EF18B}"/>
    <cellStyle name="Vírgula 9 5 9 2" xfId="15562" xr:uid="{F928303E-A7BD-4AE5-BAC8-81F614C1D278}"/>
    <cellStyle name="Vírgula 9 5 9 2 2" xfId="35902" xr:uid="{39204C0B-DAC7-4913-8154-8E02E2AC15C3}"/>
    <cellStyle name="Vírgula 9 5 9 3" xfId="28838" xr:uid="{43BBCF27-E0E4-4145-BC9C-0C9B2E16C60A}"/>
    <cellStyle name="Vírgula 9 6" xfId="518" xr:uid="{672799DC-4853-46CD-83E0-09837107A041}"/>
    <cellStyle name="Vírgula 9 6 10" xfId="12073" xr:uid="{C2C875E4-B5B2-4446-A469-3F7ABC0B2456}"/>
    <cellStyle name="Vírgula 9 6 10 2" xfId="32414" xr:uid="{D2C044E1-18FD-4146-9F5F-0B610AE3F030}"/>
    <cellStyle name="Vírgula 9 6 11" xfId="8812" xr:uid="{E032044E-CC76-4E27-9F91-3C5EFC5EF780}"/>
    <cellStyle name="Vírgula 9 6 11 2" xfId="29155" xr:uid="{BB1FE6BD-E42D-4544-863F-54B6B73972AD}"/>
    <cellStyle name="Vírgula 9 6 12" xfId="25661" xr:uid="{14C64E40-9956-47E3-B1B7-5E3178A980EC}"/>
    <cellStyle name="Vírgula 9 6 13" xfId="46051" xr:uid="{243F84FC-9B1A-4C89-A63F-D799B06A872F}"/>
    <cellStyle name="Vírgula 9 6 14" xfId="46537" xr:uid="{E2A48A12-85AE-45F1-8F68-D8C0D3D55016}"/>
    <cellStyle name="Vírgula 9 6 15" xfId="47029" xr:uid="{8B15D382-9CB7-4D64-9F80-9C2CDAB0660C}"/>
    <cellStyle name="Vírgula 9 6 16" xfId="49357" xr:uid="{DD2A36C2-2858-4114-BE35-BB6612BD41DD}"/>
    <cellStyle name="Vírgula 9 6 17" xfId="51027" xr:uid="{160B6B4F-F881-4DC4-AC59-A3D421D7159B}"/>
    <cellStyle name="Vírgula 9 6 18" xfId="54322" xr:uid="{100691A0-6FF3-4612-9D65-941F11577356}"/>
    <cellStyle name="Vírgula 9 6 19" xfId="5343" xr:uid="{0FD8F270-5D8A-41AE-8D91-34300BF63916}"/>
    <cellStyle name="Vírgula 9 6 2" xfId="2234" xr:uid="{F818DDD5-B8BF-40EE-B69E-09EEE15479DD}"/>
    <cellStyle name="Vírgula 9 6 2 10" xfId="46780" xr:uid="{A2871956-FFF9-4EB1-8071-1B94504F4FA3}"/>
    <cellStyle name="Vírgula 9 6 2 11" xfId="47272" xr:uid="{12BE5BA4-D221-4394-BEC1-25C1BF97081A}"/>
    <cellStyle name="Vírgula 9 6 2 12" xfId="52659" xr:uid="{47191EBF-A1EC-4724-BA58-271C2B246C7B}"/>
    <cellStyle name="Vírgula 9 6 2 13" xfId="55953" xr:uid="{DAF408B8-05BB-40C1-AC58-51EA6EF63715}"/>
    <cellStyle name="Vírgula 9 6 2 14" xfId="5894" xr:uid="{2010C570-4123-48A0-A948-4CA45F8E484B}"/>
    <cellStyle name="Vírgula 9 6 2 15" xfId="5169" xr:uid="{B3693558-BC05-48F6-8E63-D32DEAB8914B}"/>
    <cellStyle name="Vírgula 9 6 2 2" xfId="7052" xr:uid="{96C83A28-90D0-4417-8562-503812721F4A}"/>
    <cellStyle name="Vírgula 9 6 2 2 2" xfId="17338" xr:uid="{3B7F4E40-B1F3-4ECD-BDEF-C6082AF7ED57}"/>
    <cellStyle name="Vírgula 9 6 2 2 2 2" xfId="37678" xr:uid="{DC986299-31D5-4FF7-8D0C-AAE0783C8F08}"/>
    <cellStyle name="Vírgula 9 6 2 2 3" xfId="20840" xr:uid="{7EF8C34C-87BA-4008-8320-818C5A4A4DD5}"/>
    <cellStyle name="Vírgula 9 6 2 2 3 2" xfId="41179" xr:uid="{C8D132E5-DC9C-43F7-B39E-FCAE8026E7FA}"/>
    <cellStyle name="Vírgula 9 6 2 2 4" xfId="24095" xr:uid="{02B72F7F-D048-454F-BF33-93F1003F88EC}"/>
    <cellStyle name="Vírgula 9 6 2 2 4 2" xfId="44430" xr:uid="{B7A458B5-91BA-476C-AF5C-F752C5E91F8E}"/>
    <cellStyle name="Vírgula 9 6 2 2 5" xfId="14429" xr:uid="{4A93CE41-4768-4EAE-A9A3-E0CBAC51AC7E}"/>
    <cellStyle name="Vírgula 9 6 2 2 5 2" xfId="34770" xr:uid="{F35FBD61-D22A-4CBD-B409-F738BC05BF58}"/>
    <cellStyle name="Vírgula 9 6 2 2 6" xfId="10551" xr:uid="{FEB358E1-8E22-4597-8988-9FE121AA7E43}"/>
    <cellStyle name="Vírgula 9 6 2 2 6 2" xfId="30894" xr:uid="{0899F173-5768-4E0B-857D-691FF59F3898}"/>
    <cellStyle name="Vírgula 9 6 2 2 7" xfId="27400" xr:uid="{D06D0FCB-C0A0-48BB-98BC-094685F1A317}"/>
    <cellStyle name="Vírgula 9 6 2 3" xfId="8428" xr:uid="{FD2DBF11-CCF3-4C0B-BE47-F40BEAE62C44}"/>
    <cellStyle name="Vírgula 9 6 2 3 2" xfId="22215" xr:uid="{0970BFF3-BA02-496D-8ED3-E38A910485C6}"/>
    <cellStyle name="Vírgula 9 6 2 3 2 2" xfId="42551" xr:uid="{6D8F8BF7-6E1A-4F04-843E-21824EDF4478}"/>
    <cellStyle name="Vírgula 9 6 2 3 3" xfId="25467" xr:uid="{95C7B3DC-45BE-4ED8-A599-F2F12052633D}"/>
    <cellStyle name="Vírgula 9 6 2 3 3 2" xfId="45802" xr:uid="{5563CB22-8BC1-40F5-AB8F-4D9794E802F7}"/>
    <cellStyle name="Vírgula 9 6 2 3 4" xfId="16180" xr:uid="{06A62A76-B2D6-4F1A-BFA5-BEABD777AFF6}"/>
    <cellStyle name="Vírgula 9 6 2 3 4 2" xfId="36520" xr:uid="{8E8542F2-D30D-43CE-89F8-7A36B69E3609}"/>
    <cellStyle name="Vírgula 9 6 2 3 5" xfId="11924" xr:uid="{F7ADE713-4088-4C2D-99AB-47AA2A616DB4}"/>
    <cellStyle name="Vírgula 9 6 2 3 5 2" xfId="32266" xr:uid="{32388C6E-C77A-467F-BEBA-858DA8B10F6D}"/>
    <cellStyle name="Vírgula 9 6 2 3 6" xfId="28772" xr:uid="{5ABA43DE-BB82-48BE-A717-BB00996A98B4}"/>
    <cellStyle name="Vírgula 9 6 2 4" xfId="19682" xr:uid="{BA0CCEF1-A8B4-45BD-947A-EA219C2324B1}"/>
    <cellStyle name="Vírgula 9 6 2 4 2" xfId="40021" xr:uid="{F91F0708-A89A-4455-ACDA-86402E601F2C}"/>
    <cellStyle name="Vírgula 9 6 2 5" xfId="22937" xr:uid="{39E5FC9B-BC85-46CF-98BE-EB215B3BE042}"/>
    <cellStyle name="Vírgula 9 6 2 5 2" xfId="43272" xr:uid="{34A866B7-ADE6-43C5-B4FC-4049B3DF4F15}"/>
    <cellStyle name="Vírgula 9 6 2 6" xfId="13273" xr:uid="{45EA89D1-0626-43E1-AB3F-4E539DC15F9C}"/>
    <cellStyle name="Vírgula 9 6 2 6 2" xfId="33614" xr:uid="{E6565489-7F6A-4A1A-A30F-255CC382D221}"/>
    <cellStyle name="Vírgula 9 6 2 7" xfId="9393" xr:uid="{A37F714E-C395-4B2B-B62F-13876F2E556C}"/>
    <cellStyle name="Vírgula 9 6 2 7 2" xfId="29736" xr:uid="{01EB7414-A7FF-4A7E-B194-5B7CA0909F20}"/>
    <cellStyle name="Vírgula 9 6 2 8" xfId="26242" xr:uid="{B8D789E5-D1AF-4E06-95FA-9049DD6CEECF}"/>
    <cellStyle name="Vírgula 9 6 2 9" xfId="46294" xr:uid="{8DDA7094-F57E-488A-8F52-036D4AA0BD9A}"/>
    <cellStyle name="Vírgula 9 6 20" xfId="4950" xr:uid="{F0BF2C97-489C-4D30-B366-F929A629FEC0}"/>
    <cellStyle name="Vírgula 9 6 3" xfId="6471" xr:uid="{9D5ED6D3-EDEE-4B5F-B434-917462D563CB}"/>
    <cellStyle name="Vírgula 9 6 3 2" xfId="16757" xr:uid="{86A89A77-2939-4C2A-8B0F-18888A1CDE9B}"/>
    <cellStyle name="Vírgula 9 6 3 2 2" xfId="37097" xr:uid="{70F45669-5B85-4681-99D6-344FFDD93417}"/>
    <cellStyle name="Vírgula 9 6 3 3" xfId="20259" xr:uid="{09CBDA7D-F942-455A-BCF6-79FCBD6AE18A}"/>
    <cellStyle name="Vírgula 9 6 3 3 2" xfId="40598" xr:uid="{1A043898-E608-4511-898E-9A6E36584AD6}"/>
    <cellStyle name="Vírgula 9 6 3 4" xfId="23514" xr:uid="{01001D2A-FF0A-4DA7-8EDB-31248CEB8E71}"/>
    <cellStyle name="Vírgula 9 6 3 4 2" xfId="43849" xr:uid="{D22CC09F-5817-4F19-B008-9623420AA4CD}"/>
    <cellStyle name="Vírgula 9 6 3 5" xfId="13848" xr:uid="{C8E76AB9-EA5E-4405-8664-3F94CF562C17}"/>
    <cellStyle name="Vírgula 9 6 3 5 2" xfId="34189" xr:uid="{46274812-414B-40D9-BA82-F95AA3967B28}"/>
    <cellStyle name="Vírgula 9 6 3 6" xfId="9970" xr:uid="{15D44829-54AB-4377-87DA-FA2ED06ED858}"/>
    <cellStyle name="Vírgula 9 6 3 6 2" xfId="30313" xr:uid="{90795731-E506-4D73-B12C-AAB114E22D09}"/>
    <cellStyle name="Vírgula 9 6 3 7" xfId="26819" xr:uid="{CE27A7EC-A49B-4683-90B2-EF45B50A8827}"/>
    <cellStyle name="Vírgula 9 6 3 8" xfId="56389" xr:uid="{34944DE3-3CA1-4BB0-9482-B6388B4D3B69}"/>
    <cellStyle name="Vírgula 9 6 4" xfId="7635" xr:uid="{75C32576-D2C1-4885-9032-5037F008EA44}"/>
    <cellStyle name="Vírgula 9 6 4 2" xfId="17920" xr:uid="{1648AAB6-A601-44E9-9F76-BF4BCD4941AA}"/>
    <cellStyle name="Vírgula 9 6 4 2 2" xfId="38260" xr:uid="{75780A12-6549-4C41-9CBD-8CD4A6163D82}"/>
    <cellStyle name="Vírgula 9 6 4 3" xfId="21422" xr:uid="{8460152C-2E29-4824-A650-C7DB9E4C2856}"/>
    <cellStyle name="Vírgula 9 6 4 3 2" xfId="41761" xr:uid="{9A1D7E6F-5785-48CE-8918-41FF5E793506}"/>
    <cellStyle name="Vírgula 9 6 4 4" xfId="24677" xr:uid="{5B55A7BB-E219-4047-AFB7-38AE38F3DDC9}"/>
    <cellStyle name="Vírgula 9 6 4 4 2" xfId="45012" xr:uid="{90C6EEB8-D43F-4F25-A3AE-A93E5A0929E7}"/>
    <cellStyle name="Vírgula 9 6 4 5" xfId="15012" xr:uid="{E5F22517-350B-4734-825F-C1E56CE3E6CF}"/>
    <cellStyle name="Vírgula 9 6 4 5 2" xfId="35352" xr:uid="{8F1A1733-88FC-4C4A-B219-E117B5696FA2}"/>
    <cellStyle name="Vírgula 9 6 4 6" xfId="11133" xr:uid="{EFD1CE4A-83CB-4F6D-9E73-9B3582E1C958}"/>
    <cellStyle name="Vírgula 9 6 4 6 2" xfId="31476" xr:uid="{C8F741B7-9A46-4B0B-9A33-091BAACDB77F}"/>
    <cellStyle name="Vírgula 9 6 4 7" xfId="27982" xr:uid="{8007160C-D541-487E-9663-79E691A89FC8}"/>
    <cellStyle name="Vírgula 9 6 5" xfId="8427" xr:uid="{67BF18C0-4E13-478E-9118-CA9CDAADD997}"/>
    <cellStyle name="Vírgula 9 6 5 2" xfId="22214" xr:uid="{53AD0C94-C175-4DBD-B270-8E8689512190}"/>
    <cellStyle name="Vírgula 9 6 5 2 2" xfId="42550" xr:uid="{46B0891C-0297-4961-BF90-57D0E671EC96}"/>
    <cellStyle name="Vírgula 9 6 5 3" xfId="25466" xr:uid="{A2CCB234-425C-444F-8A4C-56C3C8EDCDAA}"/>
    <cellStyle name="Vírgula 9 6 5 3 2" xfId="45801" xr:uid="{19E7EFD2-42F0-4C94-B2FC-AFF224B0C1AE}"/>
    <cellStyle name="Vírgula 9 6 5 4" xfId="12704" xr:uid="{F5CFA803-1D9A-4219-AD82-AD909773B2F2}"/>
    <cellStyle name="Vírgula 9 6 5 4 2" xfId="33045" xr:uid="{7ADA574B-56EC-4145-AC4C-6A0A6CAF7717}"/>
    <cellStyle name="Vírgula 9 6 5 5" xfId="11923" xr:uid="{A4F0BA55-C50F-4690-8CB3-CEB70192D4EA}"/>
    <cellStyle name="Vírgula 9 6 5 5 2" xfId="32265" xr:uid="{CEA18EB0-E4FA-4669-B458-CC50AF9E64E3}"/>
    <cellStyle name="Vírgula 9 6 5 6" xfId="28771" xr:uid="{2ECEAAAC-4A28-4311-B18E-A0E1723E556D}"/>
    <cellStyle name="Vírgula 9 6 6" xfId="8676" xr:uid="{DFDC9C48-CCCD-4C5F-83D3-F3FC8595DD67}"/>
    <cellStyle name="Vírgula 9 6 6 2" xfId="15599" xr:uid="{423E1C52-09C3-40AB-816E-6CAB44FD6001}"/>
    <cellStyle name="Vírgula 9 6 6 2 2" xfId="35939" xr:uid="{26CA5C24-DD26-4CBB-87D1-42D391B8EC71}"/>
    <cellStyle name="Vírgula 9 6 6 3" xfId="29019" xr:uid="{A10AE4AB-5CA4-4416-8227-1BC7724A6733}"/>
    <cellStyle name="Vírgula 9 6 7" xfId="18513" xr:uid="{B1BFC8A2-85D6-4031-BD20-2E0F4CA352B6}"/>
    <cellStyle name="Vírgula 9 6 7 2" xfId="38853" xr:uid="{978E17D1-E316-42CD-B745-4EAA9EB2A33D}"/>
    <cellStyle name="Vírgula 9 6 8" xfId="19101" xr:uid="{EF308100-9DEB-4C88-9165-2AF45AE61F27}"/>
    <cellStyle name="Vírgula 9 6 8 2" xfId="39440" xr:uid="{363EA118-CEDD-4C58-ACA1-C1410F3D49A0}"/>
    <cellStyle name="Vírgula 9 6 9" xfId="22356" xr:uid="{F1275498-EB8E-4EEB-A7A6-E2D9D4FAEAD6}"/>
    <cellStyle name="Vírgula 9 6 9 2" xfId="42691" xr:uid="{83158841-C885-4E90-8E55-B49A867300E5}"/>
    <cellStyle name="Vírgula 9 7" xfId="2086" xr:uid="{4D7F12F1-8265-4B89-96EA-CB66CCEB2129}"/>
    <cellStyle name="Vírgula 9 7 10" xfId="12169" xr:uid="{36FE6F62-342D-4B69-BDE8-EA76AC5F4704}"/>
    <cellStyle name="Vírgula 9 7 10 2" xfId="32510" xr:uid="{8ED73C86-0535-4635-B298-1E778D864CC6}"/>
    <cellStyle name="Vírgula 9 7 11" xfId="8908" xr:uid="{ECAA1174-2F2F-4677-8AEF-2ABCB14F9FBC}"/>
    <cellStyle name="Vírgula 9 7 11 2" xfId="29251" xr:uid="{2C1EB6DE-0407-4733-AAB9-07018FC52821}"/>
    <cellStyle name="Vírgula 9 7 12" xfId="25757" xr:uid="{2DCAD262-D75F-4830-BEF2-D42B1A579DFF}"/>
    <cellStyle name="Vírgula 9 7 13" xfId="46034" xr:uid="{CDCA80B7-8811-4D80-94AE-3C9970AA9359}"/>
    <cellStyle name="Vírgula 9 7 14" xfId="46520" xr:uid="{99FDB7DF-293A-4C0F-B82D-292944EF5A8F}"/>
    <cellStyle name="Vírgula 9 7 15" xfId="47012" xr:uid="{D328EF67-EC54-46D3-8ED7-50A24BA08C19}"/>
    <cellStyle name="Vírgula 9 7 16" xfId="52648" xr:uid="{892A595E-1C79-445F-B1E8-F20CB625DBA5}"/>
    <cellStyle name="Vírgula 9 7 17" xfId="55942" xr:uid="{EF34AF03-DDC6-40FB-94BF-692180CEDA9D}"/>
    <cellStyle name="Vírgula 9 7 18" xfId="5426" xr:uid="{08532447-0425-4F9F-B6B9-8EC433C85807}"/>
    <cellStyle name="Vírgula 9 7 19" xfId="4933" xr:uid="{3A0CEECF-7A69-4E41-83D2-31CE7D308445}"/>
    <cellStyle name="Vírgula 9 7 2" xfId="5152" xr:uid="{8EC1CAFF-8547-4C1A-A58E-972BEE59E85D}"/>
    <cellStyle name="Vírgula 9 7 2 10" xfId="46763" xr:uid="{CC35D5E3-3CB6-4896-8D52-AC41D1C4A281}"/>
    <cellStyle name="Vírgula 9 7 2 11" xfId="47255" xr:uid="{D0F47BFD-B64D-4F09-941F-87211493E994}"/>
    <cellStyle name="Vírgula 9 7 2 12" xfId="5990" xr:uid="{0A600DD1-2C9F-40D2-93D0-4BAC4D595637}"/>
    <cellStyle name="Vírgula 9 7 2 2" xfId="7148" xr:uid="{6E579F32-2088-4098-889F-BB5854E4EDB1}"/>
    <cellStyle name="Vírgula 9 7 2 2 2" xfId="17434" xr:uid="{C9BA3601-3825-4658-B093-B80D16ED411E}"/>
    <cellStyle name="Vírgula 9 7 2 2 2 2" xfId="37774" xr:uid="{18869078-D99C-4445-B674-D8811BDCEDDD}"/>
    <cellStyle name="Vírgula 9 7 2 2 3" xfId="20936" xr:uid="{76A76FCA-FD7E-4F3C-863A-2CEECBEDF210}"/>
    <cellStyle name="Vírgula 9 7 2 2 3 2" xfId="41275" xr:uid="{C32BFFB1-2E0E-4A1A-AB9E-88489EED7A2B}"/>
    <cellStyle name="Vírgula 9 7 2 2 4" xfId="24191" xr:uid="{0645A188-3438-470B-BF34-10243B1FA9DF}"/>
    <cellStyle name="Vírgula 9 7 2 2 4 2" xfId="44526" xr:uid="{D92BD8B5-FE38-4030-A165-4F82AEF36430}"/>
    <cellStyle name="Vírgula 9 7 2 2 5" xfId="14525" xr:uid="{80203A4E-1B87-4503-BA53-F9E33B261759}"/>
    <cellStyle name="Vírgula 9 7 2 2 5 2" xfId="34866" xr:uid="{E2C6AE46-CF09-41AB-9AE3-CEB06F98A3E4}"/>
    <cellStyle name="Vírgula 9 7 2 2 6" xfId="10647" xr:uid="{C9B24C86-713B-40CE-9304-8FDAEB631CDC}"/>
    <cellStyle name="Vírgula 9 7 2 2 6 2" xfId="30990" xr:uid="{AE196628-A170-4094-8FE1-D53C424CE3BA}"/>
    <cellStyle name="Vírgula 9 7 2 2 7" xfId="27496" xr:uid="{D3A3EC1E-AEE7-4D8F-95FE-E3DEF1B422FC}"/>
    <cellStyle name="Vírgula 9 7 2 3" xfId="16276" xr:uid="{3C09E671-BF61-4C9B-ADD4-C89D94082D78}"/>
    <cellStyle name="Vírgula 9 7 2 3 2" xfId="36616" xr:uid="{AB10C194-9A90-481B-BB74-82F234642422}"/>
    <cellStyle name="Vírgula 9 7 2 4" xfId="19778" xr:uid="{758DA541-D2DD-42C0-A3E3-416BAFDCCC20}"/>
    <cellStyle name="Vírgula 9 7 2 4 2" xfId="40117" xr:uid="{E732309B-17EA-4E78-BEEF-F758F3036164}"/>
    <cellStyle name="Vírgula 9 7 2 5" xfId="23033" xr:uid="{1D6F8563-BEED-4377-B671-0C450EEE8158}"/>
    <cellStyle name="Vírgula 9 7 2 5 2" xfId="43368" xr:uid="{F878CFF6-43B0-426F-8557-0C4F9946C710}"/>
    <cellStyle name="Vírgula 9 7 2 6" xfId="13367" xr:uid="{CD5319A8-84F4-4A11-B405-CFBB89C8CF49}"/>
    <cellStyle name="Vírgula 9 7 2 6 2" xfId="33708" xr:uid="{1CDE8FA3-D641-4552-840A-32A8B7FAFEEE}"/>
    <cellStyle name="Vírgula 9 7 2 7" xfId="9489" xr:uid="{F13E78F1-2DAC-4ABC-8BD2-568BAC75FB59}"/>
    <cellStyle name="Vírgula 9 7 2 7 2" xfId="29832" xr:uid="{F8F64B47-33D7-49BD-8449-0AC3358FDB42}"/>
    <cellStyle name="Vírgula 9 7 2 8" xfId="26338" xr:uid="{A530E0BD-FF5B-4FDC-907A-945F19E8FD38}"/>
    <cellStyle name="Vírgula 9 7 2 9" xfId="46277" xr:uid="{257B1109-2AAB-4C32-BE67-895B390FD252}"/>
    <cellStyle name="Vírgula 9 7 3" xfId="6567" xr:uid="{F07382ED-D7E6-4C1B-B2A2-B5D713195CF0}"/>
    <cellStyle name="Vírgula 9 7 3 2" xfId="16853" xr:uid="{D9CE8102-763C-4095-A946-7A39C311D5C5}"/>
    <cellStyle name="Vírgula 9 7 3 2 2" xfId="37193" xr:uid="{179EF5BE-36CD-4BA4-A601-D1ADC2DD3B0A}"/>
    <cellStyle name="Vírgula 9 7 3 3" xfId="20355" xr:uid="{CF47DB29-1E9F-4558-AEC9-2AFC14D13124}"/>
    <cellStyle name="Vírgula 9 7 3 3 2" xfId="40694" xr:uid="{EDA81978-7000-40B9-917D-84B9C764592D}"/>
    <cellStyle name="Vírgula 9 7 3 4" xfId="23610" xr:uid="{5BA17149-9E1B-4B13-9BC4-D63757A50737}"/>
    <cellStyle name="Vírgula 9 7 3 4 2" xfId="43945" xr:uid="{874C422C-AF79-499F-8EBD-DE43357AA411}"/>
    <cellStyle name="Vírgula 9 7 3 5" xfId="13944" xr:uid="{0BDE920E-597D-440F-AD83-438FBDAE488D}"/>
    <cellStyle name="Vírgula 9 7 3 5 2" xfId="34285" xr:uid="{0B7334CB-8494-44E7-A972-5CB9E1836DC1}"/>
    <cellStyle name="Vírgula 9 7 3 6" xfId="10066" xr:uid="{B93B706C-E63A-466E-9467-F0E9D17E46BC}"/>
    <cellStyle name="Vírgula 9 7 3 6 2" xfId="30409" xr:uid="{5AFEC469-557D-45DF-B630-3DE964C44C70}"/>
    <cellStyle name="Vírgula 9 7 3 7" xfId="26915" xr:uid="{F31A3813-206C-454A-91A0-935AD414C3E2}"/>
    <cellStyle name="Vírgula 9 7 4" xfId="7731" xr:uid="{FB64F2EC-EEB9-4D40-B6DC-D0CE3174F884}"/>
    <cellStyle name="Vírgula 9 7 4 2" xfId="18016" xr:uid="{BBFEF569-F535-463E-A400-0C4359156EE4}"/>
    <cellStyle name="Vírgula 9 7 4 2 2" xfId="38356" xr:uid="{8B8DFC0D-68A6-43AB-B298-AADDD0C165AC}"/>
    <cellStyle name="Vírgula 9 7 4 3" xfId="21518" xr:uid="{5191DB0D-FF20-47C1-B880-5DDC357872F3}"/>
    <cellStyle name="Vírgula 9 7 4 3 2" xfId="41857" xr:uid="{C8F0C229-076E-4943-8E08-95FBB997E733}"/>
    <cellStyle name="Vírgula 9 7 4 4" xfId="24773" xr:uid="{9F9AC3D0-720B-4EC6-BC48-C45B2F898BF6}"/>
    <cellStyle name="Vírgula 9 7 4 4 2" xfId="45108" xr:uid="{96F2A51D-605E-48AB-B744-089B874A3D1D}"/>
    <cellStyle name="Vírgula 9 7 4 5" xfId="15108" xr:uid="{9F0DC502-31FA-45AD-ADAE-39B75420BBC2}"/>
    <cellStyle name="Vírgula 9 7 4 5 2" xfId="35448" xr:uid="{9034F667-A0E9-4628-884F-982D589ACB7D}"/>
    <cellStyle name="Vírgula 9 7 4 6" xfId="11229" xr:uid="{B01DD745-2507-44A6-9E49-6071D127624F}"/>
    <cellStyle name="Vírgula 9 7 4 6 2" xfId="31572" xr:uid="{DED25838-F5D5-484C-9EF9-422F707AC1C9}"/>
    <cellStyle name="Vírgula 9 7 4 7" xfId="28078" xr:uid="{DAA16A75-4E58-4EC2-A3A7-98DCA3D955E1}"/>
    <cellStyle name="Vírgula 9 7 5" xfId="8429" xr:uid="{5AD539EA-9D5C-462E-AD11-4E7AEBA258DF}"/>
    <cellStyle name="Vírgula 9 7 5 2" xfId="22216" xr:uid="{1F1F71E3-1A9A-46B9-9292-B4A2A7F8EBA6}"/>
    <cellStyle name="Vírgula 9 7 5 2 2" xfId="42552" xr:uid="{8FCEB939-CDA1-41B7-9CE3-4916D16A5AC7}"/>
    <cellStyle name="Vírgula 9 7 5 3" xfId="25468" xr:uid="{74A47B42-063F-4D1A-A5E0-44056A6E8EF3}"/>
    <cellStyle name="Vírgula 9 7 5 3 2" xfId="45803" xr:uid="{FE75423C-A408-4A2A-A3A1-0C4173600D76}"/>
    <cellStyle name="Vírgula 9 7 5 4" xfId="12798" xr:uid="{D8D8B61D-F10D-4CE8-9E7B-430E64DA902E}"/>
    <cellStyle name="Vírgula 9 7 5 4 2" xfId="33139" xr:uid="{A9040F51-D28E-4865-BEA1-EC31785BFF5A}"/>
    <cellStyle name="Vírgula 9 7 5 5" xfId="11925" xr:uid="{8819F165-99B9-413F-ACB4-2B98205DAFB9}"/>
    <cellStyle name="Vírgula 9 7 5 5 2" xfId="32267" xr:uid="{BED39253-9819-4DF3-8916-6030433AA3FB}"/>
    <cellStyle name="Vírgula 9 7 5 6" xfId="28773" xr:uid="{DD2F9DE2-E4C7-4C13-98C0-AB147F895CB6}"/>
    <cellStyle name="Vírgula 9 7 6" xfId="8659" xr:uid="{0D5550F1-945F-462A-8F7C-A80B2F0F9CD8}"/>
    <cellStyle name="Vírgula 9 7 6 2" xfId="15695" xr:uid="{F18D3446-56CB-4ECD-81CC-C10B5CA0FD69}"/>
    <cellStyle name="Vírgula 9 7 6 2 2" xfId="36035" xr:uid="{A4EC4B92-8978-4D73-BC80-2150764592D8}"/>
    <cellStyle name="Vírgula 9 7 6 3" xfId="29002" xr:uid="{0991F47C-1D06-432E-A185-2720B0697550}"/>
    <cellStyle name="Vírgula 9 7 7" xfId="18609" xr:uid="{6E7C3D76-5AF7-488F-B6CF-E99EBE71B07E}"/>
    <cellStyle name="Vírgula 9 7 7 2" xfId="38949" xr:uid="{C1BF2866-F40F-4193-82F2-4035411499BA}"/>
    <cellStyle name="Vírgula 9 7 8" xfId="19197" xr:uid="{850F3F9D-E158-42D9-89BF-B6FC62D41043}"/>
    <cellStyle name="Vírgula 9 7 8 2" xfId="39536" xr:uid="{DEB758F0-97A1-4C4B-9CEF-FEE34FF02E48}"/>
    <cellStyle name="Vírgula 9 7 9" xfId="22452" xr:uid="{148F62A8-0A21-40FC-8AC1-FDFD57713610}"/>
    <cellStyle name="Vírgula 9 7 9 2" xfId="42787" xr:uid="{9E229EAD-67E1-486B-8A07-8FEE588D6CEF}"/>
    <cellStyle name="Vírgula 9 8" xfId="3427" xr:uid="{3183AAC3-3C81-4AE8-9001-9B27024E88FC}"/>
    <cellStyle name="Vírgula 9 8 10" xfId="12227" xr:uid="{66A195E2-545C-4DEC-8D62-B731AA963929}"/>
    <cellStyle name="Vírgula 9 8 10 2" xfId="32568" xr:uid="{17DB06C4-55E3-4455-A418-7096E4284D45}"/>
    <cellStyle name="Vírgula 9 8 11" xfId="8966" xr:uid="{2C9FC1F2-C983-4432-9118-ED827421A54F}"/>
    <cellStyle name="Vírgula 9 8 11 2" xfId="29309" xr:uid="{9FA31FB6-B5AC-4326-B321-B916CBF8878E}"/>
    <cellStyle name="Vírgula 9 8 12" xfId="25815" xr:uid="{F896CF14-3086-4431-A8F4-D6B77168475A}"/>
    <cellStyle name="Vírgula 9 8 13" xfId="46053" xr:uid="{4F2C001E-5298-4084-A48C-94EBE73A5253}"/>
    <cellStyle name="Vírgula 9 8 14" xfId="46539" xr:uid="{EBF8D550-D5A4-455A-831D-C5BFF5FFC9CA}"/>
    <cellStyle name="Vírgula 9 8 15" xfId="47031" xr:uid="{48CE516D-4C4F-410F-9B2D-7389585EB905}"/>
    <cellStyle name="Vírgula 9 8 16" xfId="55980" xr:uid="{A6714EBA-CD8A-4C20-A1B3-E1B584A1BE6A}"/>
    <cellStyle name="Vírgula 9 8 17" xfId="5476" xr:uid="{CEE7A7EF-71D3-4C7C-9188-F43F1F9ECE50}"/>
    <cellStyle name="Vírgula 9 8 18" xfId="4956" xr:uid="{C9241F3A-5A45-4924-987E-58A43FCF7B66}"/>
    <cellStyle name="Vírgula 9 8 2" xfId="6048" xr:uid="{878B11B4-17C5-409F-B9FF-C0A79282F2B1}"/>
    <cellStyle name="Vírgula 9 8 2 2" xfId="7206" xr:uid="{9ADCF155-D9F2-4561-9531-A6105166E0C4}"/>
    <cellStyle name="Vírgula 9 8 2 2 2" xfId="17492" xr:uid="{469FC585-5B77-4652-A3D0-D13F4C35FF22}"/>
    <cellStyle name="Vírgula 9 8 2 2 2 2" xfId="37832" xr:uid="{5642F518-7EA1-4B19-9690-88F33CCA2ED6}"/>
    <cellStyle name="Vírgula 9 8 2 2 3" xfId="20994" xr:uid="{723FEA89-AE8E-4EAD-B5F9-2E4B6FDD1FEB}"/>
    <cellStyle name="Vírgula 9 8 2 2 3 2" xfId="41333" xr:uid="{08CC07E8-6D87-42D1-ADE4-9CEC0BFB2DF2}"/>
    <cellStyle name="Vírgula 9 8 2 2 4" xfId="24249" xr:uid="{D74129A1-85F8-43FD-8BCC-C4567B536C4C}"/>
    <cellStyle name="Vírgula 9 8 2 2 4 2" xfId="44584" xr:uid="{7D97FFBB-EFB3-416E-A3D3-6EF03406005C}"/>
    <cellStyle name="Vírgula 9 8 2 2 5" xfId="14583" xr:uid="{21BD9A21-26EF-4269-AFC4-12AD357789E6}"/>
    <cellStyle name="Vírgula 9 8 2 2 5 2" xfId="34924" xr:uid="{870B6ACF-0946-4E00-9457-3A62FCC87260}"/>
    <cellStyle name="Vírgula 9 8 2 2 6" xfId="10705" xr:uid="{BC8B81D9-CC6D-4637-A2DD-B145B435B649}"/>
    <cellStyle name="Vírgula 9 8 2 2 6 2" xfId="31048" xr:uid="{59AFD362-16B5-45B8-90A8-624AEAB76A0E}"/>
    <cellStyle name="Vírgula 9 8 2 2 7" xfId="27554" xr:uid="{2A046AF1-7B7B-484F-9D5F-BA6279AF1F4E}"/>
    <cellStyle name="Vírgula 9 8 2 3" xfId="16334" xr:uid="{A594A31D-A602-47B5-A0D3-B3BFD6DF06C1}"/>
    <cellStyle name="Vírgula 9 8 2 3 2" xfId="36674" xr:uid="{0DCB33DA-7F0F-40DD-A662-EFCE767CC7C9}"/>
    <cellStyle name="Vírgula 9 8 2 4" xfId="19836" xr:uid="{12F0423D-2E08-4928-A661-9CF1561E3A4B}"/>
    <cellStyle name="Vírgula 9 8 2 4 2" xfId="40175" xr:uid="{2A637A6C-9139-47CE-9A69-9D25D189401E}"/>
    <cellStyle name="Vírgula 9 8 2 5" xfId="23091" xr:uid="{A4578935-808A-442A-8023-72E5ECA2A6D9}"/>
    <cellStyle name="Vírgula 9 8 2 5 2" xfId="43426" xr:uid="{5396E4DD-4C98-442B-BD39-9F20A625FA5D}"/>
    <cellStyle name="Vírgula 9 8 2 6" xfId="13425" xr:uid="{F6BF25BA-4E35-4EB1-BD74-DEB3B8F93FBD}"/>
    <cellStyle name="Vírgula 9 8 2 6 2" xfId="33766" xr:uid="{1A9E1A30-D2CA-41AB-8341-41DB4766B512}"/>
    <cellStyle name="Vírgula 9 8 2 7" xfId="9547" xr:uid="{C573BC3F-DB1E-4481-90EB-AB9957A7ECD8}"/>
    <cellStyle name="Vírgula 9 8 2 7 2" xfId="29890" xr:uid="{4D7F37D5-EF6C-4063-A17F-A5E078DB6BDD}"/>
    <cellStyle name="Vírgula 9 8 2 8" xfId="26396" xr:uid="{04C44B69-D730-49F7-82AD-1F2761E0E04A}"/>
    <cellStyle name="Vírgula 9 8 3" xfId="6625" xr:uid="{CE4738E0-DC5A-4528-B20C-2476CC4F9611}"/>
    <cellStyle name="Vírgula 9 8 3 2" xfId="16911" xr:uid="{0A16C502-1978-4FD8-835B-E35539D98408}"/>
    <cellStyle name="Vírgula 9 8 3 2 2" xfId="37251" xr:uid="{292A44CF-76F9-4FAB-8000-EB625F26BD01}"/>
    <cellStyle name="Vírgula 9 8 3 3" xfId="20413" xr:uid="{E42E0AA8-DE58-4FF7-99AC-38AC5F9A3637}"/>
    <cellStyle name="Vírgula 9 8 3 3 2" xfId="40752" xr:uid="{19B56962-05DB-4EFF-9A88-04A05E563EB0}"/>
    <cellStyle name="Vírgula 9 8 3 4" xfId="23668" xr:uid="{A3732B35-96B2-4107-A091-738829AC6F0F}"/>
    <cellStyle name="Vírgula 9 8 3 4 2" xfId="44003" xr:uid="{3F5F7007-085B-4F61-A488-0276201AEC88}"/>
    <cellStyle name="Vírgula 9 8 3 5" xfId="14002" xr:uid="{414D1F4C-DB7F-4E17-9E3C-85F3C5F6E273}"/>
    <cellStyle name="Vírgula 9 8 3 5 2" xfId="34343" xr:uid="{23571593-4522-4868-9536-2E667F25F356}"/>
    <cellStyle name="Vírgula 9 8 3 6" xfId="10124" xr:uid="{04525611-C7A8-4F37-A87E-D067B818DCDC}"/>
    <cellStyle name="Vírgula 9 8 3 6 2" xfId="30467" xr:uid="{A6FB2611-5934-4E8D-8CBF-4962345D91EA}"/>
    <cellStyle name="Vírgula 9 8 3 7" xfId="26973" xr:uid="{39271757-D2D0-4114-BA93-A0F7FB0DE324}"/>
    <cellStyle name="Vírgula 9 8 4" xfId="7789" xr:uid="{196C4297-F4A6-47B3-A438-5B4757A194ED}"/>
    <cellStyle name="Vírgula 9 8 4 2" xfId="18074" xr:uid="{0B228E48-2AE7-4292-B0D3-95094C1F5A19}"/>
    <cellStyle name="Vírgula 9 8 4 2 2" xfId="38414" xr:uid="{B82260DF-EDEF-4582-B407-DB15B0FF39B7}"/>
    <cellStyle name="Vírgula 9 8 4 3" xfId="21576" xr:uid="{64D9C73F-E837-4050-B1DE-2D68231B4387}"/>
    <cellStyle name="Vírgula 9 8 4 3 2" xfId="41915" xr:uid="{D60D1428-8FAC-4361-B073-4171F5F1B9B1}"/>
    <cellStyle name="Vírgula 9 8 4 4" xfId="24831" xr:uid="{8EF935BE-4EAD-4ACF-A169-8B9578F6EFA7}"/>
    <cellStyle name="Vírgula 9 8 4 4 2" xfId="45166" xr:uid="{97B23910-1E2E-401A-A7CE-432CE471FBD9}"/>
    <cellStyle name="Vírgula 9 8 4 5" xfId="15166" xr:uid="{143523A8-A7F9-446B-B592-A7368C48C8CB}"/>
    <cellStyle name="Vírgula 9 8 4 5 2" xfId="35506" xr:uid="{29C24AAB-0BA0-4D88-9F71-B8C2B1971C26}"/>
    <cellStyle name="Vírgula 9 8 4 6" xfId="11287" xr:uid="{366767E8-DB73-4652-9F16-9FBC73E2AAE4}"/>
    <cellStyle name="Vírgula 9 8 4 6 2" xfId="31630" xr:uid="{73C531B2-546E-4D9C-899F-660387C2B690}"/>
    <cellStyle name="Vírgula 9 8 4 7" xfId="28136" xr:uid="{778303E3-3DA3-4BBE-A677-B1F6B320FCDE}"/>
    <cellStyle name="Vírgula 9 8 5" xfId="8430" xr:uid="{6AEECD9C-357B-4BC1-9C7D-7EB59A809B63}"/>
    <cellStyle name="Vírgula 9 8 5 2" xfId="22217" xr:uid="{961FA583-E965-4CD8-8504-055FB6267810}"/>
    <cellStyle name="Vírgula 9 8 5 2 2" xfId="42553" xr:uid="{B25CCC45-48B9-4265-A0AA-F428D4DF7432}"/>
    <cellStyle name="Vírgula 9 8 5 3" xfId="25469" xr:uid="{158EFA09-F52B-44B7-9F14-FB84D017AC5B}"/>
    <cellStyle name="Vírgula 9 8 5 3 2" xfId="45804" xr:uid="{EF1566E2-08FF-4EB2-A618-B40D6FB8FAED}"/>
    <cellStyle name="Vírgula 9 8 5 4" xfId="12856" xr:uid="{5E312913-F819-4FC0-872C-0E0283F16A05}"/>
    <cellStyle name="Vírgula 9 8 5 4 2" xfId="33197" xr:uid="{09770998-A286-4100-A6BC-12C3EA977D46}"/>
    <cellStyle name="Vírgula 9 8 5 5" xfId="11926" xr:uid="{4667780F-8C92-4EA6-85A2-CE88D0742EA8}"/>
    <cellStyle name="Vírgula 9 8 5 5 2" xfId="32268" xr:uid="{15DBDD22-1AD5-48EC-A142-515C976333DE}"/>
    <cellStyle name="Vírgula 9 8 5 6" xfId="28774" xr:uid="{9B45BD96-6227-4599-9AF5-2F7470B7548E}"/>
    <cellStyle name="Vírgula 9 8 6" xfId="15753" xr:uid="{7593FDB8-0C75-402E-992A-82B2A2606AB1}"/>
    <cellStyle name="Vírgula 9 8 6 2" xfId="36093" xr:uid="{6E284242-464F-4CB9-AB16-F6F5EDAC872E}"/>
    <cellStyle name="Vírgula 9 8 7" xfId="18667" xr:uid="{82A7956C-0A8D-4C17-814D-A13DBA306753}"/>
    <cellStyle name="Vírgula 9 8 7 2" xfId="39007" xr:uid="{ADA3E46D-CBAF-41E3-88CB-BAC6F59B7002}"/>
    <cellStyle name="Vírgula 9 8 8" xfId="19255" xr:uid="{9B71590A-E239-458D-9FA1-6332CBB66185}"/>
    <cellStyle name="Vírgula 9 8 8 2" xfId="39594" xr:uid="{82833D43-3CE1-4237-8025-014738E5F689}"/>
    <cellStyle name="Vírgula 9 8 9" xfId="22510" xr:uid="{A0CFFA42-C2BC-49CF-8970-6D1C2B252AA5}"/>
    <cellStyle name="Vírgula 9 8 9 2" xfId="42845" xr:uid="{F054F3C9-D86F-4352-92A5-2031B44DFCBC}"/>
    <cellStyle name="Vírgula 9 9" xfId="3845" xr:uid="{6FB74F72-90BD-4D08-B3C3-28240696F18F}"/>
    <cellStyle name="Vírgula 9 9 10" xfId="12302" xr:uid="{BF9A60EA-6531-4F16-AA17-6FBE7AAA641C}"/>
    <cellStyle name="Vírgula 9 9 10 2" xfId="32643" xr:uid="{F3FFA2D3-27CF-4CED-A213-714FE8FA95CF}"/>
    <cellStyle name="Vírgula 9 9 11" xfId="9041" xr:uid="{9A0968B5-E14E-4A34-B1CE-48749A31FA6C}"/>
    <cellStyle name="Vírgula 9 9 11 2" xfId="29384" xr:uid="{F02EC3E2-24CE-46D2-B323-4AE258A4CCCD}"/>
    <cellStyle name="Vírgula 9 9 12" xfId="25890" xr:uid="{C559DC7A-5F6F-4F60-A6E1-672EA98FD601}"/>
    <cellStyle name="Vírgula 9 9 13" xfId="5551" xr:uid="{FB72A696-0DD9-4CAB-AF5F-6B8677BDF576}"/>
    <cellStyle name="Vírgula 9 9 14" xfId="4775" xr:uid="{CA1D09F2-4793-48AC-A5AA-21B6F39E5B34}"/>
    <cellStyle name="Vírgula 9 9 2" xfId="6123" xr:uid="{7462E3B4-31D1-4064-881E-CF7236883E70}"/>
    <cellStyle name="Vírgula 9 9 2 2" xfId="7281" xr:uid="{29FEAC04-5710-48D3-9556-24CB19AC21F8}"/>
    <cellStyle name="Vírgula 9 9 2 2 2" xfId="17567" xr:uid="{7DE2557A-2585-4338-BE31-F6E996D896DE}"/>
    <cellStyle name="Vírgula 9 9 2 2 2 2" xfId="37907" xr:uid="{6FF9D382-6EC6-4319-9811-444B19EF194A}"/>
    <cellStyle name="Vírgula 9 9 2 2 3" xfId="21069" xr:uid="{274F3E94-3BF1-4C2B-8367-294809954286}"/>
    <cellStyle name="Vírgula 9 9 2 2 3 2" xfId="41408" xr:uid="{289F1A06-7ADD-4E93-901E-B84C661EB0F3}"/>
    <cellStyle name="Vírgula 9 9 2 2 4" xfId="24324" xr:uid="{9C69F1FF-8402-48A2-870D-FCD6B3E3600A}"/>
    <cellStyle name="Vírgula 9 9 2 2 4 2" xfId="44659" xr:uid="{75CA0D1D-7B3B-4B9F-98D4-27AEE0EB3732}"/>
    <cellStyle name="Vírgula 9 9 2 2 5" xfId="14658" xr:uid="{FDC8DC00-0351-4591-A12C-6635D7CB86F0}"/>
    <cellStyle name="Vírgula 9 9 2 2 5 2" xfId="34999" xr:uid="{F1A569A7-03BB-4165-9258-741BD6AFE921}"/>
    <cellStyle name="Vírgula 9 9 2 2 6" xfId="10780" xr:uid="{670FFC98-A5A5-4A9F-8E83-5308A36DE101}"/>
    <cellStyle name="Vírgula 9 9 2 2 6 2" xfId="31123" xr:uid="{E4EC3EFA-121C-4A73-B798-500DD89D3B03}"/>
    <cellStyle name="Vírgula 9 9 2 2 7" xfId="27629" xr:uid="{07CDADEF-06C8-4521-96FF-80CB24044BDF}"/>
    <cellStyle name="Vírgula 9 9 2 3" xfId="16409" xr:uid="{4B809DF3-F370-46D3-A9F6-10FEA26D3A18}"/>
    <cellStyle name="Vírgula 9 9 2 3 2" xfId="36749" xr:uid="{65E501B4-9D5A-4F44-9683-5759C7DED026}"/>
    <cellStyle name="Vírgula 9 9 2 4" xfId="19911" xr:uid="{FBD01634-E4CA-418B-BE71-759F4B9A6D7F}"/>
    <cellStyle name="Vírgula 9 9 2 4 2" xfId="40250" xr:uid="{BEB8C0B8-CA07-434A-8ADD-6D8AA72FF684}"/>
    <cellStyle name="Vírgula 9 9 2 5" xfId="23166" xr:uid="{2F959807-357F-4642-94CD-DC5DEC3B2B51}"/>
    <cellStyle name="Vírgula 9 9 2 5 2" xfId="43501" xr:uid="{37BDC7B9-E78A-4B2A-A8E4-E4C3E4EBA5CF}"/>
    <cellStyle name="Vírgula 9 9 2 6" xfId="13500" xr:uid="{ED6E2146-C279-43CB-8A63-FB12C5CB73E8}"/>
    <cellStyle name="Vírgula 9 9 2 6 2" xfId="33841" xr:uid="{FB059720-1E88-4950-9FED-195DA46AAE18}"/>
    <cellStyle name="Vírgula 9 9 2 7" xfId="9622" xr:uid="{1265149A-95B4-425B-97E1-F0A70DDB42E7}"/>
    <cellStyle name="Vírgula 9 9 2 7 2" xfId="29965" xr:uid="{77A85D47-52A4-40EB-A407-789F174B19D9}"/>
    <cellStyle name="Vírgula 9 9 2 8" xfId="26471" xr:uid="{97C4CA41-E6AF-4FE4-9648-3D118381470F}"/>
    <cellStyle name="Vírgula 9 9 3" xfId="6700" xr:uid="{4FECF344-1EFB-4948-8D00-5FC0C64104FA}"/>
    <cellStyle name="Vírgula 9 9 3 2" xfId="16986" xr:uid="{363B6AB3-E1B6-4C83-9DF9-15058C5E7A6F}"/>
    <cellStyle name="Vírgula 9 9 3 2 2" xfId="37326" xr:uid="{29ACA078-F79A-41B3-930B-318B607E3800}"/>
    <cellStyle name="Vírgula 9 9 3 3" xfId="20488" xr:uid="{7A0B4FB8-2E57-44FD-987E-AF9343D88A31}"/>
    <cellStyle name="Vírgula 9 9 3 3 2" xfId="40827" xr:uid="{F62A7673-9FF7-4736-989F-60D0C142F7FD}"/>
    <cellStyle name="Vírgula 9 9 3 4" xfId="23743" xr:uid="{F56DEE24-A054-4805-B86F-7590B76D5DC0}"/>
    <cellStyle name="Vírgula 9 9 3 4 2" xfId="44078" xr:uid="{20E46449-E259-4A40-9851-C9EF576A5B10}"/>
    <cellStyle name="Vírgula 9 9 3 5" xfId="14077" xr:uid="{DD44A277-5049-468C-B4F4-FE76BCE38C11}"/>
    <cellStyle name="Vírgula 9 9 3 5 2" xfId="34418" xr:uid="{64871A5D-946E-4B8F-972F-D3E511F87670}"/>
    <cellStyle name="Vírgula 9 9 3 6" xfId="10199" xr:uid="{EBD106D3-C2CC-4893-B2C1-10871A9458A4}"/>
    <cellStyle name="Vírgula 9 9 3 6 2" xfId="30542" xr:uid="{2070E91E-FA70-4C60-AB56-8B74308D5AEB}"/>
    <cellStyle name="Vírgula 9 9 3 7" xfId="27048" xr:uid="{D4E9F415-6F13-4375-9D3F-B81FC0DBDBDA}"/>
    <cellStyle name="Vírgula 9 9 4" xfId="7864" xr:uid="{BEF3D52A-9CBC-4337-B3AB-88F61DAC4E6B}"/>
    <cellStyle name="Vírgula 9 9 4 2" xfId="18149" xr:uid="{6E513BB6-AFAD-498B-A1C4-167878649F9C}"/>
    <cellStyle name="Vírgula 9 9 4 2 2" xfId="38489" xr:uid="{6FEAC6BA-E061-4774-8584-0AEBC0A57609}"/>
    <cellStyle name="Vírgula 9 9 4 3" xfId="21651" xr:uid="{4ECA115D-486F-4639-8654-FFBFA9AA3B34}"/>
    <cellStyle name="Vírgula 9 9 4 3 2" xfId="41990" xr:uid="{B36618D8-B937-4835-8D82-E75CF80C2546}"/>
    <cellStyle name="Vírgula 9 9 4 4" xfId="24906" xr:uid="{AD72CB14-D185-40F0-B6AA-C8E48BF18650}"/>
    <cellStyle name="Vírgula 9 9 4 4 2" xfId="45241" xr:uid="{7375E723-4F74-42C6-9DD3-06D460FC7861}"/>
    <cellStyle name="Vírgula 9 9 4 5" xfId="15241" xr:uid="{DB0B32AD-1F01-4E34-811B-A3948197F65B}"/>
    <cellStyle name="Vírgula 9 9 4 5 2" xfId="35581" xr:uid="{C795ABAB-112B-43DF-AC7D-1CF27D7A5C05}"/>
    <cellStyle name="Vírgula 9 9 4 6" xfId="11362" xr:uid="{D3BEBE73-714E-46AF-9622-B07741A20E01}"/>
    <cellStyle name="Vírgula 9 9 4 6 2" xfId="31705" xr:uid="{7A96B419-5EA2-4BEE-8A5D-41401EC67C71}"/>
    <cellStyle name="Vírgula 9 9 4 7" xfId="28211" xr:uid="{C8BD8B95-7759-4588-97D5-99EBF264312E}"/>
    <cellStyle name="Vírgula 9 9 5" xfId="12931" xr:uid="{93657B7E-0735-4242-95CD-39DAA0CFA146}"/>
    <cellStyle name="Vírgula 9 9 5 2" xfId="33272" xr:uid="{E7D0843E-A4E7-4678-BE43-4A08D011B437}"/>
    <cellStyle name="Vírgula 9 9 6" xfId="15828" xr:uid="{03B4AFB7-CEC9-4F0A-908D-5C1B2C526B70}"/>
    <cellStyle name="Vírgula 9 9 6 2" xfId="36168" xr:uid="{62DCCF7F-CBA7-4C91-89E9-7405D973F8CF}"/>
    <cellStyle name="Vírgula 9 9 7" xfId="18742" xr:uid="{2602EF58-73E0-4BD9-843C-4EA3B3EC320F}"/>
    <cellStyle name="Vírgula 9 9 7 2" xfId="39082" xr:uid="{29B6EA88-FE7B-46EB-8064-E9DCC2464EB6}"/>
    <cellStyle name="Vírgula 9 9 8" xfId="19330" xr:uid="{C483E5D1-CF72-4C40-8032-DA8FF63E2A37}"/>
    <cellStyle name="Vírgula 9 9 8 2" xfId="39669" xr:uid="{E060944A-EBA8-47AF-8328-125B5F44947C}"/>
    <cellStyle name="Vírgula 9 9 9" xfId="22585" xr:uid="{58D2FDC8-F623-4E5E-99B0-EB6C930D112C}"/>
    <cellStyle name="Vírgula 9 9 9 2" xfId="42920" xr:uid="{939CFCF4-1C7A-47E4-A523-EF55268F357A}"/>
    <cellStyle name="Warning Text" xfId="102" xr:uid="{12ED2B9C-F4C3-4FB0-9A70-37E917C62965}"/>
    <cellStyle name="Warning Text 2" xfId="51028" xr:uid="{E4653259-18F9-4AAD-B6B4-9AAB495C6FCC}"/>
  </cellStyles>
  <dxfs count="21"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</dxfs>
  <tableStyles count="0" defaultTableStyle="TableStyleMedium2" defaultPivotStyle="PivotStyleLight16"/>
  <colors>
    <mruColors>
      <color rgb="FF0B514F"/>
      <color rgb="FF00AF30"/>
      <color rgb="FFC1C1C1"/>
      <color rgb="FF122D59"/>
      <color rgb="FFEB920F"/>
      <color rgb="FF522F45"/>
      <color rgb="FFF6DB00"/>
      <color rgb="FF6F6F6F"/>
      <color rgb="FF00A8EB"/>
      <color rgb="FFBA98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en-US" sz="1200"/>
              <a:t>Receita Bruta contábil</a:t>
            </a:r>
          </a:p>
          <a:p>
            <a:pPr>
              <a:defRPr sz="1200"/>
            </a:pPr>
            <a:r>
              <a:rPr lang="en-US" sz="1200"/>
              <a:t>(R$</a:t>
            </a:r>
            <a:r>
              <a:rPr lang="en-US" sz="1200" baseline="0"/>
              <a:t> milhões)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Gráficos!$A$60</c:f>
              <c:strCache>
                <c:ptCount val="1"/>
                <c:pt idx="0">
                  <c:v>Receita Bruta contábil</c:v>
                </c:pt>
              </c:strCache>
            </c:strRef>
          </c:tx>
          <c:spPr>
            <a:solidFill>
              <a:srgbClr val="122D59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Gráficos!$J$59:$AA$59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Gráficos!$J$60:$AA$60</c:f>
              <c:numCache>
                <c:formatCode>#,##0_ ;\-#,##0\ </c:formatCode>
                <c:ptCount val="18"/>
                <c:pt idx="0">
                  <c:v>141.29</c:v>
                </c:pt>
                <c:pt idx="1">
                  <c:v>200.75700000000001</c:v>
                </c:pt>
                <c:pt idx="2">
                  <c:v>276.423</c:v>
                </c:pt>
                <c:pt idx="3">
                  <c:v>266.63200000000001</c:v>
                </c:pt>
                <c:pt idx="4">
                  <c:v>261.54306170000001</c:v>
                </c:pt>
                <c:pt idx="5">
                  <c:v>274.604512</c:v>
                </c:pt>
                <c:pt idx="6">
                  <c:v>293.42050300000005</c:v>
                </c:pt>
                <c:pt idx="7">
                  <c:v>310.04004900000001</c:v>
                </c:pt>
                <c:pt idx="8">
                  <c:v>238.274</c:v>
                </c:pt>
                <c:pt idx="9">
                  <c:v>227.09200000000001</c:v>
                </c:pt>
                <c:pt idx="10">
                  <c:v>432.755</c:v>
                </c:pt>
                <c:pt idx="11">
                  <c:v>458.05010617499477</c:v>
                </c:pt>
                <c:pt idx="12">
                  <c:v>403.20242479899059</c:v>
                </c:pt>
                <c:pt idx="13">
                  <c:v>394.43318699999998</c:v>
                </c:pt>
                <c:pt idx="14">
                  <c:v>394.27600000000001</c:v>
                </c:pt>
                <c:pt idx="15">
                  <c:v>526.09199999999998</c:v>
                </c:pt>
                <c:pt idx="16">
                  <c:v>471.22321457000027</c:v>
                </c:pt>
                <c:pt idx="17">
                  <c:v>512.59127799999999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95-4B40-9BE2-926E0C6E9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0446432"/>
        <c:axId val="640450176"/>
      </c:barChart>
      <c:catAx>
        <c:axId val="640446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endParaRPr lang="pt-BR"/>
          </a:p>
        </c:txPr>
        <c:crossAx val="640450176"/>
        <c:crosses val="autoZero"/>
        <c:auto val="1"/>
        <c:lblAlgn val="ctr"/>
        <c:lblOffset val="100"/>
        <c:noMultiLvlLbl val="0"/>
      </c:catAx>
      <c:valAx>
        <c:axId val="640450176"/>
        <c:scaling>
          <c:orientation val="minMax"/>
        </c:scaling>
        <c:delete val="1"/>
        <c:axPos val="l"/>
        <c:numFmt formatCode="#,##0_ ;\-#,##0\ " sourceLinked="1"/>
        <c:majorTickMark val="none"/>
        <c:minorTickMark val="none"/>
        <c:tickLblPos val="nextTo"/>
        <c:crossAx val="640446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85000"/>
          <a:lumOff val="15000"/>
        </a:schemeClr>
      </a:solidFill>
      <a:round/>
    </a:ln>
    <a:effectLst/>
  </c:spPr>
  <c:txPr>
    <a:bodyPr/>
    <a:lstStyle/>
    <a:p>
      <a:pPr>
        <a:defRPr>
          <a:latin typeface="Trebuchet MS" panose="020B0603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pt-BR" sz="1200"/>
              <a:t>Margem Bruta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3.4428948749494551E-2"/>
          <c:y val="0.10204525329476402"/>
          <c:w val="0.94153312742508577"/>
          <c:h val="0.80073010184536819"/>
        </c:manualLayout>
      </c:layout>
      <c:lineChart>
        <c:grouping val="standard"/>
        <c:varyColors val="0"/>
        <c:ser>
          <c:idx val="0"/>
          <c:order val="0"/>
          <c:tx>
            <c:strRef>
              <c:f>Gráficos!$A$70</c:f>
              <c:strCache>
                <c:ptCount val="1"/>
                <c:pt idx="0">
                  <c:v>Margem Bruta contábil</c:v>
                </c:pt>
              </c:strCache>
            </c:strRef>
          </c:tx>
          <c:spPr>
            <a:ln w="9525" cap="rnd">
              <a:solidFill>
                <a:srgbClr val="122D59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rgbClr val="00B050"/>
              </a:solidFill>
              <a:ln w="9525">
                <a:solidFill>
                  <a:srgbClr val="122D59"/>
                </a:solidFill>
              </a:ln>
              <a:effectLst/>
            </c:spPr>
          </c:marker>
          <c:dLbls>
            <c:dLbl>
              <c:idx val="21"/>
              <c:layout>
                <c:manualLayout>
                  <c:x val="-3.9666952019992423E-2"/>
                  <c:y val="-5.09298870381843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92D-42CB-BA71-E834CF877115}"/>
                </c:ext>
              </c:extLst>
            </c:dLbl>
            <c:dLbl>
              <c:idx val="22"/>
              <c:layout>
                <c:manualLayout>
                  <c:x val="-3.2398352918210485E-2"/>
                  <c:y val="-3.24075439974853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92D-42CB-BA71-E834CF877115}"/>
                </c:ext>
              </c:extLst>
            </c:dLbl>
            <c:dLbl>
              <c:idx val="23"/>
              <c:layout>
                <c:manualLayout>
                  <c:x val="-1.6984579412209769E-2"/>
                  <c:y val="-3.7006805099800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F16-4F14-ACCF-81D4C77A73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Gráficos!$J$67:$AA$67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Gráficos!$J$70:$AA$70</c:f>
              <c:numCache>
                <c:formatCode>0.0%</c:formatCode>
                <c:ptCount val="18"/>
                <c:pt idx="0">
                  <c:v>0.19741197945671676</c:v>
                </c:pt>
                <c:pt idx="1">
                  <c:v>0.21423057268051884</c:v>
                </c:pt>
                <c:pt idx="2">
                  <c:v>0.30683582312459962</c:v>
                </c:pt>
                <c:pt idx="3">
                  <c:v>0.22610393572663481</c:v>
                </c:pt>
                <c:pt idx="4">
                  <c:v>0.20554832505740647</c:v>
                </c:pt>
                <c:pt idx="5">
                  <c:v>0.21601590958316105</c:v>
                </c:pt>
                <c:pt idx="6">
                  <c:v>0.19152503931855278</c:v>
                </c:pt>
                <c:pt idx="7">
                  <c:v>0.21120468225765879</c:v>
                </c:pt>
                <c:pt idx="8">
                  <c:v>0.20105714985376402</c:v>
                </c:pt>
                <c:pt idx="9">
                  <c:v>0.18994933255383414</c:v>
                </c:pt>
                <c:pt idx="10">
                  <c:v>0.22627051309476515</c:v>
                </c:pt>
                <c:pt idx="11">
                  <c:v>0.24360663627937565</c:v>
                </c:pt>
                <c:pt idx="12">
                  <c:v>0.20019249278152068</c:v>
                </c:pt>
                <c:pt idx="13">
                  <c:v>0.19840892637070523</c:v>
                </c:pt>
                <c:pt idx="14">
                  <c:v>0.20624335206357516</c:v>
                </c:pt>
                <c:pt idx="15">
                  <c:v>0.19131609498680738</c:v>
                </c:pt>
                <c:pt idx="16">
                  <c:v>0.15199775876846228</c:v>
                </c:pt>
                <c:pt idx="17">
                  <c:v>0.18902636732682257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2D-42CB-BA71-E834CF877115}"/>
            </c:ext>
          </c:extLst>
        </c:ser>
        <c:ser>
          <c:idx val="1"/>
          <c:order val="1"/>
          <c:tx>
            <c:strRef>
              <c:f>Gráficos!$A$71</c:f>
              <c:strCache>
                <c:ptCount val="1"/>
                <c:pt idx="0">
                  <c:v>Margem Bruta ajustada</c:v>
                </c:pt>
              </c:strCache>
            </c:strRef>
          </c:tx>
          <c:spPr>
            <a:ln w="9525" cap="rnd">
              <a:solidFill>
                <a:srgbClr val="122D59"/>
              </a:solidFill>
              <a:prstDash val="lgDash"/>
              <a:round/>
            </a:ln>
            <a:effectLst/>
          </c:spPr>
          <c:marker>
            <c:symbol val="circle"/>
            <c:size val="2"/>
            <c:spPr>
              <a:solidFill>
                <a:srgbClr val="00B050"/>
              </a:solidFill>
              <a:ln w="9525">
                <a:solidFill>
                  <a:srgbClr val="122D59"/>
                </a:solidFill>
              </a:ln>
              <a:effectLst/>
            </c:spPr>
          </c:marker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Gráficos!$J$67:$AA$67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Gráficos!$J$71:$AA$71</c:f>
              <c:numCache>
                <c:formatCode>0.0%</c:formatCode>
                <c:ptCount val="18"/>
                <c:pt idx="0">
                  <c:v>0.19741197945671676</c:v>
                </c:pt>
                <c:pt idx="1">
                  <c:v>0.19622635400743457</c:v>
                </c:pt>
                <c:pt idx="2">
                  <c:v>0.2394782861333237</c:v>
                </c:pt>
                <c:pt idx="3">
                  <c:v>0.21971494657871157</c:v>
                </c:pt>
                <c:pt idx="4">
                  <c:v>0.20554832505740647</c:v>
                </c:pt>
                <c:pt idx="5">
                  <c:v>0.21601590958316105</c:v>
                </c:pt>
                <c:pt idx="6">
                  <c:v>0.19152503931855278</c:v>
                </c:pt>
                <c:pt idx="7">
                  <c:v>0.21120468225765879</c:v>
                </c:pt>
                <c:pt idx="8">
                  <c:v>0.20105714985376402</c:v>
                </c:pt>
                <c:pt idx="9">
                  <c:v>0.18994933255383414</c:v>
                </c:pt>
                <c:pt idx="10">
                  <c:v>0.22627051309476515</c:v>
                </c:pt>
                <c:pt idx="11">
                  <c:v>0.24360663627937565</c:v>
                </c:pt>
                <c:pt idx="12">
                  <c:v>0.20019249278152068</c:v>
                </c:pt>
                <c:pt idx="13">
                  <c:v>0.19840892637070523</c:v>
                </c:pt>
                <c:pt idx="14">
                  <c:v>0.20624335206357516</c:v>
                </c:pt>
                <c:pt idx="15">
                  <c:v>0.19131609498680738</c:v>
                </c:pt>
                <c:pt idx="16">
                  <c:v>0.15199775876846228</c:v>
                </c:pt>
                <c:pt idx="17">
                  <c:v>0.18902636732682257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2D-42CB-BA71-E834CF8771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4269856"/>
        <c:axId val="1824269024"/>
      </c:lineChart>
      <c:catAx>
        <c:axId val="182426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endParaRPr lang="pt-BR"/>
          </a:p>
        </c:txPr>
        <c:crossAx val="1824269024"/>
        <c:crosses val="autoZero"/>
        <c:auto val="1"/>
        <c:lblAlgn val="ctr"/>
        <c:lblOffset val="100"/>
        <c:noMultiLvlLbl val="0"/>
      </c:catAx>
      <c:valAx>
        <c:axId val="182426902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24269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977630665652398"/>
          <c:y val="0.81798071923544624"/>
          <c:w val="0.62890500196210553"/>
          <c:h val="8.6625315371781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>
          <a:latin typeface="Trebuchet MS" panose="020B0603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pt-BR" sz="1200">
                <a:latin typeface="Trebuchet MS" panose="020B0603020202020204" pitchFamily="34" charset="0"/>
              </a:rPr>
              <a:t>ROIC (alíquota efetiva)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Gráficos!$A$86</c:f>
              <c:strCache>
                <c:ptCount val="1"/>
                <c:pt idx="0">
                  <c:v>ROIC pro forma</c:v>
                </c:pt>
              </c:strCache>
            </c:strRef>
          </c:tx>
          <c:spPr>
            <a:ln w="9525" cap="rnd">
              <a:solidFill>
                <a:srgbClr val="122D59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3.271631021311603E-2"/>
                  <c:y val="-3.92229361534440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A312-455C-B17E-9AE6C63EB90D}"/>
                </c:ext>
              </c:extLst>
            </c:dLbl>
            <c:dLbl>
              <c:idx val="10"/>
              <c:layout>
                <c:manualLayout>
                  <c:x val="-2.6343003028742779E-2"/>
                  <c:y val="-3.92229361534440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312-455C-B17E-9AE6C63EB90D}"/>
                </c:ext>
              </c:extLst>
            </c:dLbl>
            <c:dLbl>
              <c:idx val="11"/>
              <c:layout>
                <c:manualLayout>
                  <c:x val="-5.2638164434001891E-2"/>
                  <c:y val="8.11808224553627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A312-455C-B17E-9AE6C63EB90D}"/>
                </c:ext>
              </c:extLst>
            </c:dLbl>
            <c:dLbl>
              <c:idx val="12"/>
              <c:layout>
                <c:manualLayout>
                  <c:x val="-4.8389292977752976E-2"/>
                  <c:y val="6.54759843759531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312-455C-B17E-9AE6C63EB90D}"/>
                </c:ext>
              </c:extLst>
            </c:dLbl>
            <c:dLbl>
              <c:idx val="13"/>
              <c:layout>
                <c:manualLayout>
                  <c:x val="-3.9891550065255306E-2"/>
                  <c:y val="3.93012542436038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312-455C-B17E-9AE6C63EB90D}"/>
                </c:ext>
              </c:extLst>
            </c:dLbl>
            <c:dLbl>
              <c:idx val="14"/>
              <c:layout>
                <c:manualLayout>
                  <c:x val="-4.7587360309987031E-2"/>
                  <c:y val="-3.92229361534440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A312-455C-B17E-9AE6C63EB90D}"/>
                </c:ext>
              </c:extLst>
            </c:dLbl>
            <c:dLbl>
              <c:idx val="15"/>
              <c:layout>
                <c:manualLayout>
                  <c:x val="-4.5462924581862539E-2"/>
                  <c:y val="-3.39879901269742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312-455C-B17E-9AE6C63EB90D}"/>
                </c:ext>
              </c:extLst>
            </c:dLbl>
            <c:dLbl>
              <c:idx val="16"/>
              <c:layout>
                <c:manualLayout>
                  <c:x val="-3.6965181669364869E-2"/>
                  <c:y val="-4.96928282063838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312-455C-B17E-9AE6C63EB90D}"/>
                </c:ext>
              </c:extLst>
            </c:dLbl>
            <c:dLbl>
              <c:idx val="17"/>
              <c:layout>
                <c:manualLayout>
                  <c:x val="-3.4840745941240453E-2"/>
                  <c:y val="-3.39879901269742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312-455C-B17E-9AE6C63EB90D}"/>
                </c:ext>
              </c:extLst>
            </c:dLbl>
            <c:dLbl>
              <c:idx val="18"/>
              <c:layout>
                <c:manualLayout>
                  <c:x val="-5.243107377011063E-2"/>
                  <c:y val="-4.96928282063838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6DA-44BB-9197-D8F4587BD906}"/>
                </c:ext>
              </c:extLst>
            </c:dLbl>
            <c:dLbl>
              <c:idx val="19"/>
              <c:layout>
                <c:manualLayout>
                  <c:x val="-5.0306638041986207E-2"/>
                  <c:y val="-3.92229361534440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6DA-44BB-9197-D8F4587BD906}"/>
                </c:ext>
              </c:extLst>
            </c:dLbl>
            <c:dLbl>
              <c:idx val="20"/>
              <c:layout>
                <c:manualLayout>
                  <c:x val="-3.9684459401364121E-2"/>
                  <c:y val="-2.87530441005043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312-455C-B17E-9AE6C63EB90D}"/>
                </c:ext>
              </c:extLst>
            </c:dLbl>
            <c:dLbl>
              <c:idx val="21"/>
              <c:layout>
                <c:manualLayout>
                  <c:x val="-1.0660485395089844E-2"/>
                  <c:y val="-4.44578821799139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312-455C-B17E-9AE6C63EB90D}"/>
                </c:ext>
              </c:extLst>
            </c:dLbl>
            <c:dLbl>
              <c:idx val="22"/>
              <c:layout>
                <c:manualLayout>
                  <c:x val="-1.8376467683611623E-3"/>
                  <c:y val="-2.12798582689304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183-41B3-AFFB-57752AF8C51F}"/>
                </c:ext>
              </c:extLst>
            </c:dLbl>
            <c:dLbl>
              <c:idx val="23"/>
              <c:layout>
                <c:manualLayout>
                  <c:x val="-8.6355843939160866E-4"/>
                  <c:y val="-5.79244955591564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5C-4F53-A353-2C2450A5E8E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Gráficos!$J$85:$AA$85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Gráficos!$J$86:$AA$86</c:f>
              <c:numCache>
                <c:formatCode>0.0%</c:formatCode>
                <c:ptCount val="18"/>
                <c:pt idx="0">
                  <c:v>0.13341984575321575</c:v>
                </c:pt>
                <c:pt idx="1">
                  <c:v>0.13786987129835901</c:v>
                </c:pt>
                <c:pt idx="2">
                  <c:v>0.14753357426412306</c:v>
                </c:pt>
                <c:pt idx="3">
                  <c:v>0.16566324639113172</c:v>
                </c:pt>
                <c:pt idx="4">
                  <c:v>0.17584875606494835</c:v>
                </c:pt>
                <c:pt idx="5">
                  <c:v>0.17767383321167929</c:v>
                </c:pt>
                <c:pt idx="6">
                  <c:v>0.17290381821532172</c:v>
                </c:pt>
                <c:pt idx="7">
                  <c:v>0.16666845229152918</c:v>
                </c:pt>
                <c:pt idx="8">
                  <c:v>0.14560547377917002</c:v>
                </c:pt>
                <c:pt idx="9">
                  <c:v>0.13419899795960877</c:v>
                </c:pt>
                <c:pt idx="10">
                  <c:v>0.19381468183982339</c:v>
                </c:pt>
                <c:pt idx="11">
                  <c:v>0.17084248118009837</c:v>
                </c:pt>
                <c:pt idx="12">
                  <c:v>0.13934069394312162</c:v>
                </c:pt>
                <c:pt idx="13">
                  <c:v>0.14561464101273097</c:v>
                </c:pt>
                <c:pt idx="14">
                  <c:v>0.12564370746435821</c:v>
                </c:pt>
                <c:pt idx="15">
                  <c:v>0.1098822054270046</c:v>
                </c:pt>
                <c:pt idx="16">
                  <c:v>0.14242283539816888</c:v>
                </c:pt>
                <c:pt idx="17">
                  <c:v>0.14601976234764871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DA-44BB-9197-D8F4587BD906}"/>
            </c:ext>
          </c:extLst>
        </c:ser>
        <c:ser>
          <c:idx val="1"/>
          <c:order val="1"/>
          <c:tx>
            <c:strRef>
              <c:f>Gráficos!#REF!</c:f>
              <c:strCache>
                <c:ptCount val="1"/>
                <c:pt idx="0">
                  <c:v>#REF!</c:v>
                </c:pt>
              </c:strCache>
              <c:extLst xmlns:c15="http://schemas.microsoft.com/office/drawing/2012/chart"/>
            </c:strRef>
          </c:tx>
          <c:spPr>
            <a:ln w="9525" cap="rnd">
              <a:solidFill>
                <a:srgbClr val="122D59"/>
              </a:solidFill>
              <a:prstDash val="lgDash"/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6DA-44BB-9197-D8F4587BD906}"/>
                </c:ext>
              </c:extLst>
            </c:dLbl>
            <c:dLbl>
              <c:idx val="1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6DA-44BB-9197-D8F4587BD906}"/>
                </c:ext>
              </c:extLst>
            </c:dLbl>
            <c:dLbl>
              <c:idx val="2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6DA-44BB-9197-D8F4587BD906}"/>
                </c:ext>
              </c:extLst>
            </c:dLbl>
            <c:dLbl>
              <c:idx val="3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6DA-44BB-9197-D8F4587BD906}"/>
                </c:ext>
              </c:extLst>
            </c:dLbl>
            <c:dLbl>
              <c:idx val="4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6DA-44BB-9197-D8F4587BD906}"/>
                </c:ext>
              </c:extLst>
            </c:dLbl>
            <c:dLbl>
              <c:idx val="5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6DA-44BB-9197-D8F4587BD906}"/>
                </c:ext>
              </c:extLst>
            </c:dLbl>
            <c:dLbl>
              <c:idx val="6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312-455C-B17E-9AE6C63EB90D}"/>
                </c:ext>
              </c:extLst>
            </c:dLbl>
            <c:dLbl>
              <c:idx val="7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312-455C-B17E-9AE6C63EB90D}"/>
                </c:ext>
              </c:extLst>
            </c:dLbl>
            <c:dLbl>
              <c:idx val="8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312-455C-B17E-9AE6C63EB90D}"/>
                </c:ext>
              </c:extLst>
            </c:dLbl>
            <c:dLbl>
              <c:idx val="9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312-455C-B17E-9AE6C63EB90D}"/>
                </c:ext>
              </c:extLst>
            </c:dLbl>
            <c:dLbl>
              <c:idx val="10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6DA-44BB-9197-D8F4587BD906}"/>
                </c:ext>
              </c:extLst>
            </c:dLbl>
            <c:dLbl>
              <c:idx val="11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12-455C-B17E-9AE6C63EB90D}"/>
                </c:ext>
              </c:extLst>
            </c:dLbl>
            <c:dLbl>
              <c:idx val="12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12-455C-B17E-9AE6C63EB90D}"/>
                </c:ext>
              </c:extLst>
            </c:dLbl>
            <c:dLbl>
              <c:idx val="13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6DA-44BB-9197-D8F4587BD906}"/>
                </c:ext>
              </c:extLst>
            </c:dLbl>
            <c:dLbl>
              <c:idx val="14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312-455C-B17E-9AE6C63EB90D}"/>
                </c:ext>
              </c:extLst>
            </c:dLbl>
            <c:dLbl>
              <c:idx val="15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312-455C-B17E-9AE6C63EB90D}"/>
                </c:ext>
              </c:extLst>
            </c:dLbl>
            <c:dLbl>
              <c:idx val="16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312-455C-B17E-9AE6C63EB90D}"/>
                </c:ext>
              </c:extLst>
            </c:dLbl>
            <c:dLbl>
              <c:idx val="17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6DA-44BB-9197-D8F4587BD906}"/>
                </c:ext>
              </c:extLst>
            </c:dLbl>
            <c:dLbl>
              <c:idx val="18"/>
              <c:layout>
                <c:manualLayout>
                  <c:x val="-2.9742100193741846E-2"/>
                  <c:y val="2.09397841058793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6DA-44BB-9197-D8F4587BD906}"/>
                </c:ext>
              </c:extLst>
            </c:dLbl>
            <c:dLbl>
              <c:idx val="19"/>
              <c:layout>
                <c:manualLayout>
                  <c:x val="-2.3368793009368595E-2"/>
                  <c:y val="2.61747301323492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6DA-44BB-9197-D8F4587BD906}"/>
                </c:ext>
              </c:extLst>
            </c:dLbl>
            <c:dLbl>
              <c:idx val="20"/>
              <c:layout>
                <c:manualLayout>
                  <c:x val="-1.9119921553119916E-2"/>
                  <c:y val="2.09397841058794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12-455C-B17E-9AE6C63EB90D}"/>
                </c:ext>
              </c:extLst>
            </c:dLbl>
            <c:dLbl>
              <c:idx val="21"/>
              <c:layout>
                <c:manualLayout>
                  <c:x val="-1.6994803537729301E-2"/>
                  <c:y val="-2.61747409215900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12-455C-B17E-9AE6C63EB90D}"/>
                </c:ext>
              </c:extLst>
            </c:dLbl>
            <c:dLbl>
              <c:idx val="23"/>
              <c:layout>
                <c:manualLayout>
                  <c:x val="0"/>
                  <c:y val="4.7114533658861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05C-4F53-A353-2C2450A5E8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Gráficos!$J$85:$AA$85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Gráficos!#REF!</c:f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0-86DA-44BB-9197-D8F4587BD906}"/>
            </c:ext>
          </c:extLst>
        </c:ser>
        <c:ser>
          <c:idx val="2"/>
          <c:order val="2"/>
          <c:tx>
            <c:strRef>
              <c:f>Gráficos!$A$87</c:f>
              <c:strCache>
                <c:ptCount val="1"/>
                <c:pt idx="0">
                  <c:v>ROIC Ajustado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1.2256104328077578E-2"/>
                  <c:y val="-2.21008993064755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570-4282-AAFA-F460CD11AC20}"/>
                </c:ext>
              </c:extLst>
            </c:dLbl>
            <c:dLbl>
              <c:idx val="12"/>
              <c:layout>
                <c:manualLayout>
                  <c:x val="-2.6554892710834749E-2"/>
                  <c:y val="-3.86765737863321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570-4282-AAFA-F460CD11AC20}"/>
                </c:ext>
              </c:extLst>
            </c:dLbl>
            <c:dLbl>
              <c:idx val="13"/>
              <c:layout>
                <c:manualLayout>
                  <c:x val="-2.6554892710834901E-2"/>
                  <c:y val="-4.42017986129510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570-4282-AAFA-F460CD11AC20}"/>
                </c:ext>
              </c:extLst>
            </c:dLbl>
            <c:dLbl>
              <c:idx val="14"/>
              <c:layout>
                <c:manualLayout>
                  <c:x val="-1.4298788382757322E-2"/>
                  <c:y val="-3.31513489597132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570-4282-AAFA-F460CD11AC20}"/>
                </c:ext>
              </c:extLst>
            </c:dLbl>
            <c:dLbl>
              <c:idx val="15"/>
              <c:layout>
                <c:manualLayout>
                  <c:x val="-1.021342027339798E-2"/>
                  <c:y val="-3.31513489597133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570-4282-AAFA-F460CD11AC20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Gráficos!$J$85:$AA$85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Gráficos!$J$87:$AA$87</c:f>
              <c:numCache>
                <c:formatCode>General</c:formatCode>
                <c:ptCount val="18"/>
                <c:pt idx="11" formatCode="0.0%">
                  <c:v>0.19091901244084575</c:v>
                </c:pt>
                <c:pt idx="12" formatCode="0.0%">
                  <c:v>0.16468794929780958</c:v>
                </c:pt>
                <c:pt idx="13" formatCode="0.0%">
                  <c:v>0.18022015159381655</c:v>
                </c:pt>
                <c:pt idx="14" formatCode="0.0%">
                  <c:v>0.16630436621763839</c:v>
                </c:pt>
                <c:pt idx="15" formatCode="0.0%">
                  <c:v>0.1431987567704785</c:v>
                </c:pt>
                <c:pt idx="16" formatCode="0.0%">
                  <c:v>0.13574213981546354</c:v>
                </c:pt>
                <c:pt idx="17" formatCode="0.0%">
                  <c:v>0.14099574246956673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70-4282-AAFA-F460CD11A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24269856"/>
        <c:axId val="1824269024"/>
        <c:extLst/>
      </c:lineChart>
      <c:catAx>
        <c:axId val="182426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24269024"/>
        <c:crosses val="autoZero"/>
        <c:auto val="1"/>
        <c:lblAlgn val="ctr"/>
        <c:lblOffset val="100"/>
        <c:noMultiLvlLbl val="0"/>
      </c:catAx>
      <c:valAx>
        <c:axId val="182426902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24269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en-US" sz="1200"/>
              <a:t>Receita Líquida contábil</a:t>
            </a:r>
          </a:p>
          <a:p>
            <a:pPr>
              <a:defRPr sz="1200"/>
            </a:pPr>
            <a:r>
              <a:rPr lang="en-US" sz="1200"/>
              <a:t>(R$</a:t>
            </a:r>
            <a:r>
              <a:rPr lang="en-US" sz="1200" baseline="0"/>
              <a:t> milhões)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Gráficos!$A$64</c:f>
              <c:strCache>
                <c:ptCount val="1"/>
                <c:pt idx="0">
                  <c:v>Receita Líquida contábil</c:v>
                </c:pt>
              </c:strCache>
            </c:strRef>
          </c:tx>
          <c:spPr>
            <a:solidFill>
              <a:srgbClr val="122D59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Gráficos!$J$59:$AA$59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Gráficos!$J$64:$AA$64</c:f>
              <c:numCache>
                <c:formatCode>#,##0_ ;\-#,##0\ </c:formatCode>
                <c:ptCount val="18"/>
                <c:pt idx="0">
                  <c:v>129.28800000000001</c:v>
                </c:pt>
                <c:pt idx="1">
                  <c:v>183.94200000000001</c:v>
                </c:pt>
                <c:pt idx="2">
                  <c:v>254.43899999999999</c:v>
                </c:pt>
                <c:pt idx="3">
                  <c:v>245.82499999999999</c:v>
                </c:pt>
                <c:pt idx="4">
                  <c:v>241.262</c:v>
                </c:pt>
                <c:pt idx="5">
                  <c:v>253.935</c:v>
                </c:pt>
                <c:pt idx="6">
                  <c:v>268.95699999999999</c:v>
                </c:pt>
                <c:pt idx="7">
                  <c:v>282.25700000000001</c:v>
                </c:pt>
                <c:pt idx="8">
                  <c:v>216.43100000000001</c:v>
                </c:pt>
                <c:pt idx="9">
                  <c:v>205.26</c:v>
                </c:pt>
                <c:pt idx="10">
                  <c:v>392.67599999999999</c:v>
                </c:pt>
                <c:pt idx="11">
                  <c:v>419.69299999999998</c:v>
                </c:pt>
                <c:pt idx="12">
                  <c:v>368.84500000000003</c:v>
                </c:pt>
                <c:pt idx="13">
                  <c:v>361.89400000000001</c:v>
                </c:pt>
                <c:pt idx="14">
                  <c:v>359.13400000000001</c:v>
                </c:pt>
                <c:pt idx="15">
                  <c:v>473.75</c:v>
                </c:pt>
                <c:pt idx="16">
                  <c:v>421.197</c:v>
                </c:pt>
                <c:pt idx="17">
                  <c:v>462.61799999999999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D6-4BD3-8EAC-1376A0C1A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0446432"/>
        <c:axId val="640450176"/>
      </c:barChart>
      <c:catAx>
        <c:axId val="640446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endParaRPr lang="pt-BR"/>
          </a:p>
        </c:txPr>
        <c:crossAx val="640450176"/>
        <c:crosses val="autoZero"/>
        <c:auto val="1"/>
        <c:lblAlgn val="ctr"/>
        <c:lblOffset val="100"/>
        <c:noMultiLvlLbl val="0"/>
      </c:catAx>
      <c:valAx>
        <c:axId val="640450176"/>
        <c:scaling>
          <c:orientation val="minMax"/>
        </c:scaling>
        <c:delete val="1"/>
        <c:axPos val="l"/>
        <c:numFmt formatCode="#,##0_ ;\-#,##0\ " sourceLinked="1"/>
        <c:majorTickMark val="none"/>
        <c:minorTickMark val="none"/>
        <c:tickLblPos val="nextTo"/>
        <c:crossAx val="640446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85000"/>
          <a:lumOff val="15000"/>
        </a:schemeClr>
      </a:solidFill>
      <a:round/>
    </a:ln>
    <a:effectLst/>
  </c:spPr>
  <c:txPr>
    <a:bodyPr/>
    <a:lstStyle/>
    <a:p>
      <a:pPr>
        <a:defRPr>
          <a:latin typeface="Trebuchet MS" panose="020B0603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pt-BR" sz="1200"/>
              <a:t>Margem Líquida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3.4397521449654793E-2"/>
          <c:y val="0.14392097005359111"/>
          <c:w val="0.94157845246063121"/>
          <c:h val="0.84369390739452577"/>
        </c:manualLayout>
      </c:layout>
      <c:lineChart>
        <c:grouping val="standard"/>
        <c:varyColors val="0"/>
        <c:ser>
          <c:idx val="0"/>
          <c:order val="0"/>
          <c:tx>
            <c:strRef>
              <c:f>Gráficos!$A$76</c:f>
              <c:strCache>
                <c:ptCount val="1"/>
                <c:pt idx="0">
                  <c:v>Margem Líquida contábil</c:v>
                </c:pt>
              </c:strCache>
            </c:strRef>
          </c:tx>
          <c:spPr>
            <a:ln w="9525" cap="rnd">
              <a:solidFill>
                <a:srgbClr val="122D59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rgbClr val="00B050"/>
              </a:solidFill>
              <a:ln w="9525">
                <a:solidFill>
                  <a:srgbClr val="122D59"/>
                </a:solidFill>
              </a:ln>
              <a:effectLst/>
            </c:spPr>
          </c:marker>
          <c:dLbls>
            <c:dLbl>
              <c:idx val="21"/>
              <c:layout>
                <c:manualLayout>
                  <c:x val="-2.8862401192225884E-2"/>
                  <c:y val="-4.63040364007093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59-4C5D-9CF5-AEA3BCD567C2}"/>
                </c:ext>
              </c:extLst>
            </c:dLbl>
            <c:dLbl>
              <c:idx val="22"/>
              <c:layout>
                <c:manualLayout>
                  <c:x val="-3.2398352918210485E-2"/>
                  <c:y val="-3.24075439974853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F59-4C5D-9CF5-AEA3BCD567C2}"/>
                </c:ext>
              </c:extLst>
            </c:dLbl>
            <c:dLbl>
              <c:idx val="23"/>
              <c:layout>
                <c:manualLayout>
                  <c:x val="-2.3158686388175052E-2"/>
                  <c:y val="-4.6258506374750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F59-4C5D-9CF5-AEA3BCD567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Gráficos!$J$73:$AA$73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Gráficos!$J$76:$AA$76</c:f>
              <c:numCache>
                <c:formatCode>0.0%</c:formatCode>
                <c:ptCount val="18"/>
                <c:pt idx="0">
                  <c:v>4.0452323494833242E-2</c:v>
                </c:pt>
                <c:pt idx="1">
                  <c:v>5.9507888356112246E-2</c:v>
                </c:pt>
                <c:pt idx="2">
                  <c:v>0.14298515557756478</c:v>
                </c:pt>
                <c:pt idx="3">
                  <c:v>5.0348825383911326E-2</c:v>
                </c:pt>
                <c:pt idx="4">
                  <c:v>3.6744286294567732E-2</c:v>
                </c:pt>
                <c:pt idx="5">
                  <c:v>3.5245239923602491E-2</c:v>
                </c:pt>
                <c:pt idx="6">
                  <c:v>8.696557442267723E-3</c:v>
                </c:pt>
                <c:pt idx="7">
                  <c:v>1.7452180105364968E-2</c:v>
                </c:pt>
                <c:pt idx="8">
                  <c:v>1.3098862917049774E-2</c:v>
                </c:pt>
                <c:pt idx="9">
                  <c:v>-1.3134561044528892E-2</c:v>
                </c:pt>
                <c:pt idx="10">
                  <c:v>5.2885839725371551E-2</c:v>
                </c:pt>
                <c:pt idx="11">
                  <c:v>5.0868134565027298E-2</c:v>
                </c:pt>
                <c:pt idx="12">
                  <c:v>1.0890753568572165E-2</c:v>
                </c:pt>
                <c:pt idx="13">
                  <c:v>1.4037259529033363E-3</c:v>
                </c:pt>
                <c:pt idx="14">
                  <c:v>8.5204965277584418E-3</c:v>
                </c:pt>
                <c:pt idx="15">
                  <c:v>1.7287598944591028E-3</c:v>
                </c:pt>
                <c:pt idx="16">
                  <c:v>0.12515521240654612</c:v>
                </c:pt>
                <c:pt idx="17">
                  <c:v>-2.2264589791145179E-3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59-4C5D-9CF5-AEA3BCD567C2}"/>
            </c:ext>
          </c:extLst>
        </c:ser>
        <c:ser>
          <c:idx val="1"/>
          <c:order val="1"/>
          <c:tx>
            <c:strRef>
              <c:f>Gráficos!$A$77</c:f>
              <c:strCache>
                <c:ptCount val="1"/>
                <c:pt idx="0">
                  <c:v>Margem Líquida ajustada</c:v>
                </c:pt>
              </c:strCache>
            </c:strRef>
          </c:tx>
          <c:spPr>
            <a:ln w="9525" cap="rnd">
              <a:solidFill>
                <a:srgbClr val="122D59"/>
              </a:solidFill>
              <a:prstDash val="lgDash"/>
              <a:round/>
            </a:ln>
            <a:effectLst/>
          </c:spPr>
          <c:marker>
            <c:symbol val="circle"/>
            <c:size val="2"/>
            <c:spPr>
              <a:solidFill>
                <a:srgbClr val="00B050"/>
              </a:solidFill>
              <a:ln w="9525">
                <a:solidFill>
                  <a:srgbClr val="122D59"/>
                </a:solidFill>
              </a:ln>
              <a:effectLst/>
            </c:spPr>
          </c:marker>
          <c:dLbls>
            <c:dLbl>
              <c:idx val="13"/>
              <c:layout>
                <c:manualLayout>
                  <c:x val="-3.8325286345066871E-2"/>
                  <c:y val="3.00308141616248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F59-4C5D-9CF5-AEA3BCD567C2}"/>
                </c:ext>
              </c:extLst>
            </c:dLbl>
            <c:dLbl>
              <c:idx val="14"/>
              <c:layout>
                <c:manualLayout>
                  <c:x val="-1.9595926666266313E-2"/>
                  <c:y val="5.44695733763719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F59-4C5D-9CF5-AEA3BCD567C2}"/>
                </c:ext>
              </c:extLst>
            </c:dLbl>
            <c:dLbl>
              <c:idx val="15"/>
              <c:layout>
                <c:manualLayout>
                  <c:x val="-3.6887800059569952E-2"/>
                  <c:y val="-3.46664515648862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F59-4C5D-9CF5-AEA3BCD567C2}"/>
                </c:ext>
              </c:extLst>
            </c:dLbl>
            <c:dLbl>
              <c:idx val="16"/>
              <c:layout>
                <c:manualLayout>
                  <c:x val="-4.9739844732073185E-2"/>
                  <c:y val="-1.95440368232280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F59-4C5D-9CF5-AEA3BCD567C2}"/>
                </c:ext>
              </c:extLst>
            </c:dLbl>
            <c:dLbl>
              <c:idx val="21"/>
              <c:layout>
                <c:manualLayout>
                  <c:x val="-2.557993945287362E-2"/>
                  <c:y val="1.28369176390969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F59-4C5D-9CF5-AEA3BCD567C2}"/>
                </c:ext>
              </c:extLst>
            </c:dLbl>
            <c:dLbl>
              <c:idx val="22"/>
              <c:layout>
                <c:manualLayout>
                  <c:x val="-2.7123454859041191E-2"/>
                  <c:y val="-2.41698874607030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F59-4C5D-9CF5-AEA3BCD567C2}"/>
                </c:ext>
              </c:extLst>
            </c:dLbl>
            <c:dLbl>
              <c:idx val="23"/>
              <c:layout>
                <c:manualLayout>
                  <c:x val="-2.5579939452873731E-2"/>
                  <c:y val="1.74627682765719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F59-4C5D-9CF5-AEA3BCD567C2}"/>
                </c:ext>
              </c:extLst>
            </c:dLbl>
            <c:dLbl>
              <c:idx val="24"/>
              <c:layout>
                <c:manualLayout>
                  <c:x val="-1.3561885794199749E-2"/>
                  <c:y val="-2.41698874607030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7F59-4C5D-9CF5-AEA3BCD567C2}"/>
                </c:ext>
              </c:extLst>
            </c:dLbl>
            <c:dLbl>
              <c:idx val="25"/>
              <c:layout>
                <c:manualLayout>
                  <c:x val="-1.0097826833603911E-2"/>
                  <c:y val="-3.45368806247996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872-4C7D-9708-11F685510FB0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Gráficos!$J$73:$AA$73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Gráficos!$J$77:$AA$77</c:f>
              <c:numCache>
                <c:formatCode>0.0%</c:formatCode>
                <c:ptCount val="18"/>
                <c:pt idx="0">
                  <c:v>4.0452323494833242E-2</c:v>
                </c:pt>
                <c:pt idx="1">
                  <c:v>3.1396525037705403E-2</c:v>
                </c:pt>
                <c:pt idx="2">
                  <c:v>4.0078109782466995E-2</c:v>
                </c:pt>
                <c:pt idx="3">
                  <c:v>3.1596204727076561E-2</c:v>
                </c:pt>
                <c:pt idx="4">
                  <c:v>3.6744286294567732E-2</c:v>
                </c:pt>
                <c:pt idx="5">
                  <c:v>3.5245239923602491E-2</c:v>
                </c:pt>
                <c:pt idx="6">
                  <c:v>8.696557442267723E-3</c:v>
                </c:pt>
                <c:pt idx="7">
                  <c:v>1.7452180105364968E-2</c:v>
                </c:pt>
                <c:pt idx="8">
                  <c:v>1.3098862917049774E-2</c:v>
                </c:pt>
                <c:pt idx="9">
                  <c:v>-1.3134561044528892E-2</c:v>
                </c:pt>
                <c:pt idx="10">
                  <c:v>5.2885839725371551E-2</c:v>
                </c:pt>
                <c:pt idx="11">
                  <c:v>5.0868134565027298E-2</c:v>
                </c:pt>
                <c:pt idx="12">
                  <c:v>3.1294988409765613E-2</c:v>
                </c:pt>
                <c:pt idx="13">
                  <c:v>2.0362316037292688E-2</c:v>
                </c:pt>
                <c:pt idx="14">
                  <c:v>2.9342807976966815E-2</c:v>
                </c:pt>
                <c:pt idx="15">
                  <c:v>2.4477044854881266E-2</c:v>
                </c:pt>
                <c:pt idx="16">
                  <c:v>2.7355560462206533E-3</c:v>
                </c:pt>
                <c:pt idx="17">
                  <c:v>1.7342602319840559E-2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7F59-4C5D-9CF5-AEA3BCD567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4269856"/>
        <c:axId val="1824269024"/>
      </c:lineChart>
      <c:catAx>
        <c:axId val="182426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endParaRPr lang="pt-BR"/>
          </a:p>
        </c:txPr>
        <c:crossAx val="1824269024"/>
        <c:crosses val="autoZero"/>
        <c:auto val="1"/>
        <c:lblAlgn val="ctr"/>
        <c:lblOffset val="100"/>
        <c:noMultiLvlLbl val="0"/>
      </c:catAx>
      <c:valAx>
        <c:axId val="182426902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24269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196767951639651"/>
          <c:y val="0.90312644616793802"/>
          <c:w val="0.68916848322926938"/>
          <c:h val="8.6312499922039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>
          <a:latin typeface="Trebuchet MS" panose="020B0603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en-US" sz="1200"/>
              <a:t>Receita Bruta ajustada</a:t>
            </a:r>
          </a:p>
          <a:p>
            <a:pPr>
              <a:defRPr sz="1200"/>
            </a:pPr>
            <a:r>
              <a:rPr lang="en-US" sz="1200"/>
              <a:t>(R$</a:t>
            </a:r>
            <a:r>
              <a:rPr lang="en-US" sz="1200" baseline="0"/>
              <a:t> milhões)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Gráficos!$A$61</c:f>
              <c:strCache>
                <c:ptCount val="1"/>
                <c:pt idx="0">
                  <c:v>Receita Bruta ajustada</c:v>
                </c:pt>
              </c:strCache>
            </c:strRef>
          </c:tx>
          <c:spPr>
            <a:solidFill>
              <a:srgbClr val="122D59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Gráficos!$J$59:$AA$59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Gráficos!$J$61:$AA$61</c:f>
              <c:numCache>
                <c:formatCode>#,##0_ ;\-#,##0\ </c:formatCode>
                <c:ptCount val="18"/>
                <c:pt idx="0">
                  <c:v>141.29</c:v>
                </c:pt>
                <c:pt idx="1">
                  <c:v>186.08153062</c:v>
                </c:pt>
                <c:pt idx="2">
                  <c:v>207.28144968000001</c:v>
                </c:pt>
                <c:pt idx="3">
                  <c:v>238.01244088000001</c:v>
                </c:pt>
                <c:pt idx="4">
                  <c:v>261.54306170000001</c:v>
                </c:pt>
                <c:pt idx="5">
                  <c:v>274.604512</c:v>
                </c:pt>
                <c:pt idx="6">
                  <c:v>293.42050300000005</c:v>
                </c:pt>
                <c:pt idx="7">
                  <c:v>310.04004900000001</c:v>
                </c:pt>
                <c:pt idx="8">
                  <c:v>238.274</c:v>
                </c:pt>
                <c:pt idx="9">
                  <c:v>227.09200000000001</c:v>
                </c:pt>
                <c:pt idx="10">
                  <c:v>432.755</c:v>
                </c:pt>
                <c:pt idx="11">
                  <c:v>458.05010617499477</c:v>
                </c:pt>
                <c:pt idx="12">
                  <c:v>403.20242479899059</c:v>
                </c:pt>
                <c:pt idx="13">
                  <c:v>394.43318699999998</c:v>
                </c:pt>
                <c:pt idx="14">
                  <c:v>394.27600000000001</c:v>
                </c:pt>
                <c:pt idx="15">
                  <c:v>526.09199999999998</c:v>
                </c:pt>
                <c:pt idx="16">
                  <c:v>471.22321457000027</c:v>
                </c:pt>
                <c:pt idx="17">
                  <c:v>512.59127799999999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AA-4B4D-BB75-6D1F51EE3D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0446432"/>
        <c:axId val="640450176"/>
      </c:barChart>
      <c:catAx>
        <c:axId val="640446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endParaRPr lang="pt-BR"/>
          </a:p>
        </c:txPr>
        <c:crossAx val="640450176"/>
        <c:crosses val="autoZero"/>
        <c:auto val="1"/>
        <c:lblAlgn val="ctr"/>
        <c:lblOffset val="100"/>
        <c:noMultiLvlLbl val="0"/>
      </c:catAx>
      <c:valAx>
        <c:axId val="640450176"/>
        <c:scaling>
          <c:orientation val="minMax"/>
        </c:scaling>
        <c:delete val="1"/>
        <c:axPos val="l"/>
        <c:numFmt formatCode="#,##0_ ;\-#,##0\ " sourceLinked="1"/>
        <c:majorTickMark val="none"/>
        <c:minorTickMark val="none"/>
        <c:tickLblPos val="nextTo"/>
        <c:crossAx val="640446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85000"/>
          <a:lumOff val="15000"/>
        </a:schemeClr>
      </a:solidFill>
      <a:round/>
    </a:ln>
    <a:effectLst/>
  </c:spPr>
  <c:txPr>
    <a:bodyPr/>
    <a:lstStyle/>
    <a:p>
      <a:pPr>
        <a:defRPr>
          <a:latin typeface="Trebuchet MS" panose="020B0603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en-US" sz="1200"/>
              <a:t>Receita Líquida ajustada</a:t>
            </a:r>
          </a:p>
          <a:p>
            <a:pPr>
              <a:defRPr sz="1200"/>
            </a:pPr>
            <a:r>
              <a:rPr lang="en-US" sz="1200"/>
              <a:t>(R$</a:t>
            </a:r>
            <a:r>
              <a:rPr lang="en-US" sz="1200" baseline="0"/>
              <a:t> milhões)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Gráficos!$A$65</c:f>
              <c:strCache>
                <c:ptCount val="1"/>
                <c:pt idx="0">
                  <c:v>Receita Líquida ajustada</c:v>
                </c:pt>
              </c:strCache>
            </c:strRef>
          </c:tx>
          <c:spPr>
            <a:solidFill>
              <a:srgbClr val="122D59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Gráficos!$J$59:$AA$59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Gráficos!$J$65:$AA$65</c:f>
              <c:numCache>
                <c:formatCode>#,##0_ ;\-#,##0\ </c:formatCode>
                <c:ptCount val="18"/>
                <c:pt idx="0">
                  <c:v>129.28800000000001</c:v>
                </c:pt>
                <c:pt idx="1">
                  <c:v>170.53625371999999</c:v>
                </c:pt>
                <c:pt idx="2">
                  <c:v>191.27818278000001</c:v>
                </c:pt>
                <c:pt idx="3">
                  <c:v>219.68098574931119</c:v>
                </c:pt>
                <c:pt idx="4">
                  <c:v>241.262</c:v>
                </c:pt>
                <c:pt idx="5">
                  <c:v>253.935</c:v>
                </c:pt>
                <c:pt idx="6">
                  <c:v>268.95699999999999</c:v>
                </c:pt>
                <c:pt idx="7">
                  <c:v>282.25700000000001</c:v>
                </c:pt>
                <c:pt idx="8">
                  <c:v>216.43100000000001</c:v>
                </c:pt>
                <c:pt idx="9">
                  <c:v>205.26</c:v>
                </c:pt>
                <c:pt idx="10">
                  <c:v>392.67599999999999</c:v>
                </c:pt>
                <c:pt idx="11">
                  <c:v>419.69299999999998</c:v>
                </c:pt>
                <c:pt idx="12">
                  <c:v>368.84500000000003</c:v>
                </c:pt>
                <c:pt idx="13">
                  <c:v>361.89400000000001</c:v>
                </c:pt>
                <c:pt idx="14">
                  <c:v>359.13400000000001</c:v>
                </c:pt>
                <c:pt idx="15">
                  <c:v>473.75</c:v>
                </c:pt>
                <c:pt idx="16">
                  <c:v>421.197</c:v>
                </c:pt>
                <c:pt idx="17">
                  <c:v>462.61799999999999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E0-4237-BBEB-40B933B26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0446432"/>
        <c:axId val="640450176"/>
      </c:barChart>
      <c:catAx>
        <c:axId val="640446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endParaRPr lang="pt-BR"/>
          </a:p>
        </c:txPr>
        <c:crossAx val="640450176"/>
        <c:crosses val="autoZero"/>
        <c:auto val="1"/>
        <c:lblAlgn val="ctr"/>
        <c:lblOffset val="100"/>
        <c:noMultiLvlLbl val="0"/>
      </c:catAx>
      <c:valAx>
        <c:axId val="640450176"/>
        <c:scaling>
          <c:orientation val="minMax"/>
        </c:scaling>
        <c:delete val="1"/>
        <c:axPos val="l"/>
        <c:numFmt formatCode="#,##0_ ;\-#,##0\ " sourceLinked="1"/>
        <c:majorTickMark val="none"/>
        <c:minorTickMark val="none"/>
        <c:tickLblPos val="nextTo"/>
        <c:crossAx val="640446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85000"/>
          <a:lumOff val="15000"/>
        </a:schemeClr>
      </a:solidFill>
      <a:round/>
    </a:ln>
    <a:effectLst/>
  </c:spPr>
  <c:txPr>
    <a:bodyPr/>
    <a:lstStyle/>
    <a:p>
      <a:pPr>
        <a:defRPr>
          <a:latin typeface="Trebuchet MS" panose="020B0603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pt-BR" sz="1200"/>
              <a:t>Margem EBITDA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3.4397521449654793E-2"/>
          <c:y val="0.14392097005359111"/>
          <c:w val="0.94157845246063121"/>
          <c:h val="0.84369390739452577"/>
        </c:manualLayout>
      </c:layout>
      <c:lineChart>
        <c:grouping val="standard"/>
        <c:varyColors val="0"/>
        <c:ser>
          <c:idx val="0"/>
          <c:order val="0"/>
          <c:tx>
            <c:strRef>
              <c:f>Gráficos!$A$82</c:f>
              <c:strCache>
                <c:ptCount val="1"/>
                <c:pt idx="0">
                  <c:v>Margem EBITDA contábil</c:v>
                </c:pt>
              </c:strCache>
            </c:strRef>
          </c:tx>
          <c:spPr>
            <a:ln w="9525" cap="rnd">
              <a:solidFill>
                <a:srgbClr val="122D59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rgbClr val="00B050"/>
              </a:solidFill>
              <a:ln w="9525">
                <a:solidFill>
                  <a:srgbClr val="122D59"/>
                </a:solidFill>
              </a:ln>
              <a:effectLst/>
            </c:spPr>
          </c:marker>
          <c:dLbls>
            <c:dLbl>
              <c:idx val="21"/>
              <c:layout>
                <c:manualLayout>
                  <c:x val="-3.5394115609988744E-2"/>
                  <c:y val="-5.15429767506712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7F8-4B12-822F-433473CABC03}"/>
                </c:ext>
              </c:extLst>
            </c:dLbl>
            <c:dLbl>
              <c:idx val="22"/>
              <c:layout>
                <c:manualLayout>
                  <c:x val="-3.2398352918210485E-2"/>
                  <c:y val="-3.24075439974853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F8-4B12-822F-433473CABC03}"/>
                </c:ext>
              </c:extLst>
            </c:dLbl>
            <c:dLbl>
              <c:idx val="23"/>
              <c:layout>
                <c:manualLayout>
                  <c:x val="-2.3158686388175052E-2"/>
                  <c:y val="-4.6258506374750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7F8-4B12-822F-433473CABC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Gráficos!$J$73:$AA$73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Gráficos!$J$82:$AA$82</c:f>
              <c:numCache>
                <c:formatCode>0.0%</c:formatCode>
                <c:ptCount val="18"/>
                <c:pt idx="0">
                  <c:v>0.12760159280056924</c:v>
                </c:pt>
                <c:pt idx="1">
                  <c:v>0.14067477791912669</c:v>
                </c:pt>
                <c:pt idx="2">
                  <c:v>0.22573976473732407</c:v>
                </c:pt>
                <c:pt idx="3">
                  <c:v>0.12588030912234313</c:v>
                </c:pt>
                <c:pt idx="4">
                  <c:v>0.13587235839046347</c:v>
                </c:pt>
                <c:pt idx="5">
                  <c:v>0.13249098718175917</c:v>
                </c:pt>
                <c:pt idx="6">
                  <c:v>0.11011053811575827</c:v>
                </c:pt>
                <c:pt idx="7">
                  <c:v>0.10777412074811255</c:v>
                </c:pt>
                <c:pt idx="8">
                  <c:v>0.1146092750114355</c:v>
                </c:pt>
                <c:pt idx="9">
                  <c:v>8.6193120919809033E-2</c:v>
                </c:pt>
                <c:pt idx="10">
                  <c:v>0.14803807719341136</c:v>
                </c:pt>
                <c:pt idx="11">
                  <c:v>0.1429290755665801</c:v>
                </c:pt>
                <c:pt idx="12">
                  <c:v>0.10874215456357006</c:v>
                </c:pt>
                <c:pt idx="13">
                  <c:v>0.11057934091197975</c:v>
                </c:pt>
                <c:pt idx="14">
                  <c:v>0.11851843601552624</c:v>
                </c:pt>
                <c:pt idx="15">
                  <c:v>0.1307782655187823</c:v>
                </c:pt>
                <c:pt idx="16">
                  <c:v>0.25942967305085268</c:v>
                </c:pt>
                <c:pt idx="17">
                  <c:v>0.15356514446044037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7F8-4B12-822F-433473CABC03}"/>
            </c:ext>
          </c:extLst>
        </c:ser>
        <c:ser>
          <c:idx val="1"/>
          <c:order val="1"/>
          <c:tx>
            <c:strRef>
              <c:f>Gráficos!$A$83</c:f>
              <c:strCache>
                <c:ptCount val="1"/>
                <c:pt idx="0">
                  <c:v>Margem EBITDA ajustada</c:v>
                </c:pt>
              </c:strCache>
            </c:strRef>
          </c:tx>
          <c:spPr>
            <a:ln w="9525" cap="rnd">
              <a:solidFill>
                <a:srgbClr val="122D59"/>
              </a:solidFill>
              <a:prstDash val="lgDash"/>
              <a:round/>
            </a:ln>
            <a:effectLst/>
          </c:spPr>
          <c:marker>
            <c:symbol val="circle"/>
            <c:size val="2"/>
            <c:spPr>
              <a:solidFill>
                <a:srgbClr val="00B050"/>
              </a:solidFill>
              <a:ln w="9525">
                <a:solidFill>
                  <a:srgbClr val="122D59"/>
                </a:solidFill>
              </a:ln>
              <a:effectLst/>
            </c:spPr>
          </c:marker>
          <c:dLbls>
            <c:dLbl>
              <c:idx val="13"/>
              <c:layout>
                <c:manualLayout>
                  <c:x val="-3.8325286345066871E-2"/>
                  <c:y val="3.00308141616248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7F8-4B12-822F-433473CABC03}"/>
                </c:ext>
              </c:extLst>
            </c:dLbl>
            <c:dLbl>
              <c:idx val="14"/>
              <c:layout>
                <c:manualLayout>
                  <c:x val="-1.9595926666266313E-2"/>
                  <c:y val="5.44695733763719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F8-4B12-822F-433473CABC03}"/>
                </c:ext>
              </c:extLst>
            </c:dLbl>
            <c:dLbl>
              <c:idx val="15"/>
              <c:layout>
                <c:manualLayout>
                  <c:x val="-3.6887800059569952E-2"/>
                  <c:y val="-3.46664515648862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7F8-4B12-822F-433473CABC03}"/>
                </c:ext>
              </c:extLst>
            </c:dLbl>
            <c:dLbl>
              <c:idx val="16"/>
              <c:layout>
                <c:manualLayout>
                  <c:x val="-4.9739844732073185E-2"/>
                  <c:y val="-1.95440368232280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7F8-4B12-822F-433473CABC03}"/>
                </c:ext>
              </c:extLst>
            </c:dLbl>
            <c:dLbl>
              <c:idx val="21"/>
              <c:layout>
                <c:manualLayout>
                  <c:x val="-2.7757129191196547E-2"/>
                  <c:y val="2.85539494239748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7F8-4B12-822F-433473CABC03}"/>
                </c:ext>
              </c:extLst>
            </c:dLbl>
            <c:dLbl>
              <c:idx val="22"/>
              <c:layout>
                <c:manualLayout>
                  <c:x val="-2.7123454859041191E-2"/>
                  <c:y val="-2.41698874607030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7F8-4B12-822F-433473CABC03}"/>
                </c:ext>
              </c:extLst>
            </c:dLbl>
            <c:dLbl>
              <c:idx val="23"/>
              <c:layout>
                <c:manualLayout>
                  <c:x val="-2.5579939452873731E-2"/>
                  <c:y val="1.74627682765719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7F8-4B12-822F-433473CABC03}"/>
                </c:ext>
              </c:extLst>
            </c:dLbl>
            <c:dLbl>
              <c:idx val="24"/>
              <c:layout>
                <c:manualLayout>
                  <c:x val="-1.5693130050986947E-2"/>
                  <c:y val="-3.46481515705544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7F8-4B12-822F-433473CABC03}"/>
                </c:ext>
              </c:extLst>
            </c:dLbl>
            <c:dLbl>
              <c:idx val="25"/>
              <c:layout>
                <c:manualLayout>
                  <c:x val="-5.4685642587493184E-3"/>
                  <c:y val="2.84743444197297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651-48AA-A119-399EABCAA338}"/>
                </c:ext>
              </c:extLst>
            </c:dLbl>
            <c:dLbl>
              <c:idx val="27"/>
              <c:layout>
                <c:manualLayout>
                  <c:x val="-1.9954347079813284E-3"/>
                  <c:y val="-2.39159741794108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F6-415C-831D-23F3FE58729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Gráficos!$J$73:$AA$73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Gráficos!$J$83:$AA$83</c:f>
              <c:numCache>
                <c:formatCode>0.0%</c:formatCode>
                <c:ptCount val="18"/>
                <c:pt idx="0">
                  <c:v>0.12760159280056924</c:v>
                </c:pt>
                <c:pt idx="1">
                  <c:v>0.11557888634094413</c:v>
                </c:pt>
                <c:pt idx="2">
                  <c:v>0.1373595852662505</c:v>
                </c:pt>
                <c:pt idx="3">
                  <c:v>0.11340130092031273</c:v>
                </c:pt>
                <c:pt idx="4">
                  <c:v>0.13587235839046347</c:v>
                </c:pt>
                <c:pt idx="5">
                  <c:v>0.13249098718175917</c:v>
                </c:pt>
                <c:pt idx="6">
                  <c:v>0.11011053811575827</c:v>
                </c:pt>
                <c:pt idx="7">
                  <c:v>0.10777412074811255</c:v>
                </c:pt>
                <c:pt idx="8">
                  <c:v>0.1146092750114355</c:v>
                </c:pt>
                <c:pt idx="9">
                  <c:v>8.6193120919809033E-2</c:v>
                </c:pt>
                <c:pt idx="10">
                  <c:v>0.14803807719341136</c:v>
                </c:pt>
                <c:pt idx="11">
                  <c:v>0.1429290755665801</c:v>
                </c:pt>
                <c:pt idx="12">
                  <c:v>0.11262996651710067</c:v>
                </c:pt>
                <c:pt idx="13">
                  <c:v>0.11216820394922271</c:v>
                </c:pt>
                <c:pt idx="14">
                  <c:v>0.12206028947412385</c:v>
                </c:pt>
                <c:pt idx="15">
                  <c:v>0.1345777378142968</c:v>
                </c:pt>
                <c:pt idx="16">
                  <c:v>0.14438849279553273</c:v>
                </c:pt>
                <c:pt idx="17">
                  <c:v>0.15609855215318039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7F8-4B12-822F-433473CAB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4269856"/>
        <c:axId val="1824269024"/>
      </c:lineChart>
      <c:catAx>
        <c:axId val="182426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endParaRPr lang="pt-BR"/>
          </a:p>
        </c:txPr>
        <c:crossAx val="1824269024"/>
        <c:crosses val="autoZero"/>
        <c:auto val="1"/>
        <c:lblAlgn val="ctr"/>
        <c:lblOffset val="100"/>
        <c:noMultiLvlLbl val="0"/>
      </c:catAx>
      <c:valAx>
        <c:axId val="182426902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24269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763634999454329"/>
          <c:y val="0.81406304659190665"/>
          <c:w val="0.68916848322926938"/>
          <c:h val="8.6312499922039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>
          <a:latin typeface="Trebuchet MS" panose="020B0603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pt-BR" sz="1200">
                <a:latin typeface="Trebuchet MS" panose="020B0603020202020204" pitchFamily="34" charset="0"/>
              </a:rPr>
              <a:t>Indicadores per capita*</a:t>
            </a:r>
          </a:p>
          <a:p>
            <a:pPr>
              <a:defRPr sz="1200">
                <a:latin typeface="Trebuchet MS" panose="020B0603020202020204" pitchFamily="34" charset="0"/>
              </a:defRPr>
            </a:pPr>
            <a:r>
              <a:rPr lang="pt-BR" sz="1200">
                <a:latin typeface="Trebuchet MS" panose="020B0603020202020204" pitchFamily="34" charset="0"/>
              </a:rPr>
              <a:t>(R$ milhares)</a:t>
            </a:r>
          </a:p>
          <a:p>
            <a:pPr>
              <a:defRPr sz="1200">
                <a:latin typeface="Trebuchet MS" panose="020B0603020202020204" pitchFamily="34" charset="0"/>
              </a:defRPr>
            </a:pPr>
            <a:r>
              <a:rPr lang="pt-BR" sz="900">
                <a:latin typeface="Trebuchet MS" panose="020B0603020202020204" pitchFamily="34" charset="0"/>
              </a:rPr>
              <a:t>*Valores ajustados do</a:t>
            </a:r>
            <a:r>
              <a:rPr lang="pt-BR" sz="900" baseline="0">
                <a:latin typeface="Trebuchet MS" panose="020B0603020202020204" pitchFamily="34" charset="0"/>
              </a:rPr>
              <a:t> 2T22 ao 4T22</a:t>
            </a:r>
            <a:endParaRPr lang="pt-BR" sz="800">
              <a:latin typeface="Trebuchet MS" panose="020B0603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3207140211170401E-2"/>
          <c:y val="0.24248269994608418"/>
          <c:w val="0.88709158046402525"/>
          <c:h val="0.49524567972682648"/>
        </c:manualLayout>
      </c:layout>
      <c:lineChart>
        <c:grouping val="standard"/>
        <c:varyColors val="0"/>
        <c:ser>
          <c:idx val="0"/>
          <c:order val="0"/>
          <c:tx>
            <c:strRef>
              <c:f>Gráficos!$A$91</c:f>
              <c:strCache>
                <c:ptCount val="1"/>
                <c:pt idx="0">
                  <c:v>Receita Bruta per capita</c:v>
                </c:pt>
              </c:strCache>
            </c:strRef>
          </c:tx>
          <c:spPr>
            <a:ln w="9525" cap="rnd">
              <a:solidFill>
                <a:srgbClr val="122D5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458625697755135E-2"/>
                  <c:y val="-2.33818959536624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B1B7-4AD2-BC54-E193E541E1E7}"/>
                </c:ext>
              </c:extLst>
            </c:dLbl>
            <c:dLbl>
              <c:idx val="2"/>
              <c:layout>
                <c:manualLayout>
                  <c:x val="-3.3915869286238444E-2"/>
                  <c:y val="-2.85952964454460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B1B7-4AD2-BC54-E193E541E1E7}"/>
                </c:ext>
              </c:extLst>
            </c:dLbl>
            <c:dLbl>
              <c:idx val="3"/>
              <c:layout>
                <c:manualLayout>
                  <c:x val="-3.3915869286238465E-2"/>
                  <c:y val="-4.9448898412581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B1B7-4AD2-BC54-E193E541E1E7}"/>
                </c:ext>
              </c:extLst>
            </c:dLbl>
            <c:dLbl>
              <c:idx val="5"/>
              <c:layout>
                <c:manualLayout>
                  <c:x val="-3.3915869286238444E-2"/>
                  <c:y val="-3.90220974290136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B1B7-4AD2-BC54-E193E541E1E7}"/>
                </c:ext>
              </c:extLst>
            </c:dLbl>
            <c:dLbl>
              <c:idx val="6"/>
              <c:layout>
                <c:manualLayout>
                  <c:x val="-3.3915869286238444E-2"/>
                  <c:y val="-2.85952964454460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B1B7-4AD2-BC54-E193E541E1E7}"/>
                </c:ext>
              </c:extLst>
            </c:dLbl>
            <c:dLbl>
              <c:idx val="7"/>
              <c:layout>
                <c:manualLayout>
                  <c:x val="-3.9405825762819292E-2"/>
                  <c:y val="-4.42354979207973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B1B7-4AD2-BC54-E193E541E1E7}"/>
                </c:ext>
              </c:extLst>
            </c:dLbl>
            <c:dLbl>
              <c:idx val="8"/>
              <c:layout>
                <c:manualLayout>
                  <c:x val="-3.3915869286238444E-2"/>
                  <c:y val="-3.38086969372298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B1B7-4AD2-BC54-E193E541E1E7}"/>
                </c:ext>
              </c:extLst>
            </c:dLbl>
            <c:dLbl>
              <c:idx val="9"/>
              <c:layout>
                <c:manualLayout>
                  <c:x val="-4.3673980839344498E-2"/>
                  <c:y val="-4.94488984125811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B1B7-4AD2-BC54-E193E541E1E7}"/>
                </c:ext>
              </c:extLst>
            </c:dLbl>
            <c:dLbl>
              <c:idx val="10"/>
              <c:layout>
                <c:manualLayout>
                  <c:x val="-4.1539903301081912E-2"/>
                  <c:y val="-3.38086969372298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B1B7-4AD2-BC54-E193E541E1E7}"/>
                </c:ext>
              </c:extLst>
            </c:dLbl>
            <c:dLbl>
              <c:idx val="11"/>
              <c:layout>
                <c:manualLayout>
                  <c:x val="-3.9405825762819292E-2"/>
                  <c:y val="-4.94488984125811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A06-496E-A298-ED0C63963F69}"/>
                </c:ext>
              </c:extLst>
            </c:dLbl>
            <c:dLbl>
              <c:idx val="14"/>
              <c:layout>
                <c:manualLayout>
                  <c:x val="-3.727174822455679E-2"/>
                  <c:y val="-2.33818959536623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1B7-4AD2-BC54-E193E541E1E7}"/>
                </c:ext>
              </c:extLst>
            </c:dLbl>
            <c:dLbl>
              <c:idx val="15"/>
              <c:layout>
                <c:manualLayout>
                  <c:x val="-3.9405825762819292E-2"/>
                  <c:y val="-4.42354979207974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1B7-4AD2-BC54-E193E541E1E7}"/>
                </c:ext>
              </c:extLst>
            </c:dLbl>
            <c:dLbl>
              <c:idx val="16"/>
              <c:layout>
                <c:manualLayout>
                  <c:x val="-3.727174822455679E-2"/>
                  <c:y val="-5.98756993961486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06-496E-A298-ED0C63963F69}"/>
                </c:ext>
              </c:extLst>
            </c:dLbl>
            <c:dLbl>
              <c:idx val="17"/>
              <c:layout>
                <c:manualLayout>
                  <c:x val="-3.9405825762819376E-2"/>
                  <c:y val="-5.46622989043648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1B7-4AD2-BC54-E193E541E1E7}"/>
                </c:ext>
              </c:extLst>
            </c:dLbl>
            <c:dLbl>
              <c:idx val="18"/>
              <c:layout>
                <c:manualLayout>
                  <c:x val="-3.727174822455679E-2"/>
                  <c:y val="-4.9448898412581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1B7-4AD2-BC54-E193E541E1E7}"/>
                </c:ext>
              </c:extLst>
            </c:dLbl>
            <c:dLbl>
              <c:idx val="19"/>
              <c:layout>
                <c:manualLayout>
                  <c:x val="-3.9405825762819292E-2"/>
                  <c:y val="-3.90220974290136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1B7-4AD2-BC54-E193E541E1E7}"/>
                </c:ext>
              </c:extLst>
            </c:dLbl>
            <c:dLbl>
              <c:idx val="20"/>
              <c:layout>
                <c:manualLayout>
                  <c:x val="-3.5137670686294128E-2"/>
                  <c:y val="-3.38086969372298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1B7-4AD2-BC54-E193E541E1E7}"/>
                </c:ext>
              </c:extLst>
            </c:dLbl>
            <c:dLbl>
              <c:idx val="21"/>
              <c:layout>
                <c:manualLayout>
                  <c:x val="-3.9405825762819376E-2"/>
                  <c:y val="-3.9022097429013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1B7-4AD2-BC54-E193E541E1E7}"/>
                </c:ext>
              </c:extLst>
            </c:dLbl>
            <c:dLbl>
              <c:idx val="22"/>
              <c:layout>
                <c:manualLayout>
                  <c:x val="-3.9405825762819452E-2"/>
                  <c:y val="-5.46622989043648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1B7-4AD2-BC54-E193E541E1E7}"/>
                </c:ext>
              </c:extLst>
            </c:dLbl>
            <c:dLbl>
              <c:idx val="23"/>
              <c:layout>
                <c:manualLayout>
                  <c:x val="-3.7271748224556714E-2"/>
                  <c:y val="-8.0729301363283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1B7-4AD2-BC54-E193E541E1E7}"/>
                </c:ext>
              </c:extLst>
            </c:dLbl>
            <c:dLbl>
              <c:idx val="25"/>
              <c:layout>
                <c:manualLayout>
                  <c:x val="-3.7271748224556867E-2"/>
                  <c:y val="-7.551590087149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B90-4372-B46A-D6594EE47242}"/>
                </c:ext>
              </c:extLst>
            </c:dLbl>
            <c:dLbl>
              <c:idx val="26"/>
              <c:layout>
                <c:manualLayout>
                  <c:x val="-3.7271748224556714E-2"/>
                  <c:y val="-6.50890998879324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E5F-415B-B36E-5AF1298EA64E}"/>
                </c:ext>
              </c:extLst>
            </c:dLbl>
            <c:dLbl>
              <c:idx val="28"/>
              <c:layout>
                <c:manualLayout>
                  <c:x val="-2.8735438071506386E-2"/>
                  <c:y val="-3.90220974290136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06-496E-A298-ED0C63963F69}"/>
                </c:ext>
              </c:extLst>
            </c:dLbl>
            <c:dLbl>
              <c:idx val="29"/>
              <c:layout>
                <c:manualLayout>
                  <c:x val="-5.2396189234162954E-3"/>
                  <c:y val="-5.46622989043648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B1B-41FC-B654-97DA0AC0BE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Gráficos!$J$90:$AA$90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Gráficos!$J$91:$AA$91</c:f>
              <c:numCache>
                <c:formatCode>#,##0_ ;\-#,##0\ </c:formatCode>
                <c:ptCount val="18"/>
                <c:pt idx="0">
                  <c:v>13235.597189695549</c:v>
                </c:pt>
                <c:pt idx="1">
                  <c:v>16308.448415922016</c:v>
                </c:pt>
                <c:pt idx="2">
                  <c:v>18801.727656101211</c:v>
                </c:pt>
                <c:pt idx="3">
                  <c:v>17019.788076088342</c:v>
                </c:pt>
                <c:pt idx="4">
                  <c:v>15173.351609908916</c:v>
                </c:pt>
                <c:pt idx="5">
                  <c:v>15845.615233698787</c:v>
                </c:pt>
                <c:pt idx="6">
                  <c:v>16769.760701834603</c:v>
                </c:pt>
                <c:pt idx="7">
                  <c:v>18563.049275535865</c:v>
                </c:pt>
                <c:pt idx="8">
                  <c:v>18551.385861102463</c:v>
                </c:pt>
                <c:pt idx="9">
                  <c:v>16339.905022305365</c:v>
                </c:pt>
                <c:pt idx="10">
                  <c:v>19825.682609492393</c:v>
                </c:pt>
                <c:pt idx="11">
                  <c:v>20909.801249657387</c:v>
                </c:pt>
                <c:pt idx="12">
                  <c:v>19402.455358211377</c:v>
                </c:pt>
                <c:pt idx="13">
                  <c:v>19469.52895009625</c:v>
                </c:pt>
                <c:pt idx="14">
                  <c:v>20654.617842736654</c:v>
                </c:pt>
                <c:pt idx="15">
                  <c:v>22014.059753954301</c:v>
                </c:pt>
                <c:pt idx="16">
                  <c:v>20091.37949049204</c:v>
                </c:pt>
                <c:pt idx="17">
                  <c:v>21331.305784436121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1B7-4AD2-BC54-E193E541E1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4269856"/>
        <c:axId val="1824269024"/>
      </c:lineChart>
      <c:lineChart>
        <c:grouping val="standard"/>
        <c:varyColors val="0"/>
        <c:ser>
          <c:idx val="1"/>
          <c:order val="1"/>
          <c:tx>
            <c:strRef>
              <c:f>Gráficos!$A$92</c:f>
              <c:strCache>
                <c:ptCount val="1"/>
                <c:pt idx="0">
                  <c:v>Lucro Bruto per capita</c:v>
                </c:pt>
              </c:strCache>
            </c:strRef>
          </c:tx>
          <c:spPr>
            <a:ln w="9525" cap="rnd">
              <a:solidFill>
                <a:srgbClr val="122D59"/>
              </a:solidFill>
              <a:prstDash val="lgDash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4495099225404441E-2"/>
                  <c:y val="-2.87134728549499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B1B7-4AD2-BC54-E193E541E1E7}"/>
                </c:ext>
              </c:extLst>
            </c:dLbl>
            <c:dLbl>
              <c:idx val="1"/>
              <c:layout>
                <c:manualLayout>
                  <c:x val="-3.3846527416886228E-2"/>
                  <c:y val="-3.39484188814198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B1B7-4AD2-BC54-E193E541E1E7}"/>
                </c:ext>
              </c:extLst>
            </c:dLbl>
            <c:dLbl>
              <c:idx val="2"/>
              <c:layout>
                <c:manualLayout>
                  <c:x val="-2.8149457652306857E-2"/>
                  <c:y val="-2.87134728549499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B1B7-4AD2-BC54-E193E541E1E7}"/>
                </c:ext>
              </c:extLst>
            </c:dLbl>
            <c:dLbl>
              <c:idx val="3"/>
              <c:layout>
                <c:manualLayout>
                  <c:x val="-3.2408886375714166E-2"/>
                  <c:y val="-4.96532569608294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1B7-4AD2-BC54-E193E541E1E7}"/>
                </c:ext>
              </c:extLst>
            </c:dLbl>
            <c:dLbl>
              <c:idx val="4"/>
              <c:layout>
                <c:manualLayout>
                  <c:x val="-3.5976241778589865E-2"/>
                  <c:y val="-3.91833649078897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1B7-4AD2-BC54-E193E541E1E7}"/>
                </c:ext>
              </c:extLst>
            </c:dLbl>
            <c:dLbl>
              <c:idx val="5"/>
              <c:layout>
                <c:manualLayout>
                  <c:x val="-2.8149457652306857E-2"/>
                  <c:y val="-2.87134728549499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1B7-4AD2-BC54-E193E541E1E7}"/>
                </c:ext>
              </c:extLst>
            </c:dLbl>
            <c:dLbl>
              <c:idx val="6"/>
              <c:layout>
                <c:manualLayout>
                  <c:x val="-2.8149457652306899E-2"/>
                  <c:y val="-4.44183109343596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1B7-4AD2-BC54-E193E541E1E7}"/>
                </c:ext>
              </c:extLst>
            </c:dLbl>
            <c:dLbl>
              <c:idx val="7"/>
              <c:layout>
                <c:manualLayout>
                  <c:x val="-3.5976241778589865E-2"/>
                  <c:y val="-4.96532569608295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1B7-4AD2-BC54-E193E541E1E7}"/>
                </c:ext>
              </c:extLst>
            </c:dLbl>
            <c:dLbl>
              <c:idx val="8"/>
              <c:layout>
                <c:manualLayout>
                  <c:x val="-3.3846527416886298E-2"/>
                  <c:y val="-3.39484188814198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1B7-4AD2-BC54-E193E541E1E7}"/>
                </c:ext>
              </c:extLst>
            </c:dLbl>
            <c:dLbl>
              <c:idx val="10"/>
              <c:layout>
                <c:manualLayout>
                  <c:x val="-3.8105956140293509E-2"/>
                  <c:y val="-3.91833649078896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1B7-4AD2-BC54-E193E541E1E7}"/>
                </c:ext>
              </c:extLst>
            </c:dLbl>
            <c:dLbl>
              <c:idx val="13"/>
              <c:layout>
                <c:manualLayout>
                  <c:x val="-3.0497509659596182E-2"/>
                  <c:y val="1.84010413832786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1B7-4AD2-BC54-E193E541E1E7}"/>
                </c:ext>
              </c:extLst>
            </c:dLbl>
            <c:dLbl>
              <c:idx val="14"/>
              <c:layout>
                <c:manualLayout>
                  <c:x val="-4.0235670501997077E-2"/>
                  <c:y val="-2.87134728549500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1B7-4AD2-BC54-E193E541E1E7}"/>
                </c:ext>
              </c:extLst>
            </c:dLbl>
            <c:dLbl>
              <c:idx val="15"/>
              <c:layout>
                <c:manualLayout>
                  <c:x val="-4.2365384863700721E-2"/>
                  <c:y val="-5.4888202987299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B1B7-4AD2-BC54-E193E541E1E7}"/>
                </c:ext>
              </c:extLst>
            </c:dLbl>
            <c:dLbl>
              <c:idx val="16"/>
              <c:layout>
                <c:manualLayout>
                  <c:x val="-3.8105956140293509E-2"/>
                  <c:y val="-4.44183109343595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1B7-4AD2-BC54-E193E541E1E7}"/>
                </c:ext>
              </c:extLst>
            </c:dLbl>
            <c:dLbl>
              <c:idx val="17"/>
              <c:layout>
                <c:manualLayout>
                  <c:x val="-4.2365384863700797E-2"/>
                  <c:y val="-6.01231490137691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B1B7-4AD2-BC54-E193E541E1E7}"/>
                </c:ext>
              </c:extLst>
            </c:dLbl>
            <c:dLbl>
              <c:idx val="18"/>
              <c:layout>
                <c:manualLayout>
                  <c:x val="-3.3846527416886298E-2"/>
                  <c:y val="-4.44183109343595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1B7-4AD2-BC54-E193E541E1E7}"/>
                </c:ext>
              </c:extLst>
            </c:dLbl>
            <c:dLbl>
              <c:idx val="19"/>
              <c:layout>
                <c:manualLayout>
                  <c:x val="-3.3846527416886221E-2"/>
                  <c:y val="-2.87134728549499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B1B7-4AD2-BC54-E193E541E1E7}"/>
                </c:ext>
              </c:extLst>
            </c:dLbl>
            <c:dLbl>
              <c:idx val="20"/>
              <c:layout>
                <c:manualLayout>
                  <c:x val="-3.5976241778589865E-2"/>
                  <c:y val="-5.48882029872993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1B7-4AD2-BC54-E193E541E1E7}"/>
                </c:ext>
              </c:extLst>
            </c:dLbl>
            <c:dLbl>
              <c:idx val="22"/>
              <c:layout>
                <c:manualLayout>
                  <c:x val="-3.3846527416886221E-2"/>
                  <c:y val="-4.96532569608294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B1B7-4AD2-BC54-E193E541E1E7}"/>
                </c:ext>
              </c:extLst>
            </c:dLbl>
            <c:dLbl>
              <c:idx val="23"/>
              <c:layout>
                <c:manualLayout>
                  <c:x val="-2.9587098693479089E-2"/>
                  <c:y val="-5.4888202987299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B1B7-4AD2-BC54-E193E541E1E7}"/>
                </c:ext>
              </c:extLst>
            </c:dLbl>
            <c:dLbl>
              <c:idx val="24"/>
              <c:layout>
                <c:manualLayout>
                  <c:x val="-2.5327669970071801E-2"/>
                  <c:y val="-4.44183109343595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B1B7-4AD2-BC54-E193E541E1E7}"/>
                </c:ext>
              </c:extLst>
            </c:dLbl>
            <c:dLbl>
              <c:idx val="25"/>
              <c:layout>
                <c:manualLayout>
                  <c:x val="-2.5340558584532775E-2"/>
                  <c:y val="-4.42354979207974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B90-4372-B46A-D6594EE47242}"/>
                </c:ext>
              </c:extLst>
            </c:dLbl>
            <c:dLbl>
              <c:idx val="26"/>
              <c:layout>
                <c:manualLayout>
                  <c:x val="-2.7403980209082652E-2"/>
                  <c:y val="1.31119074888240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5F-415B-B36E-5AF1298EA64E}"/>
                </c:ext>
              </c:extLst>
            </c:dLbl>
            <c:dLbl>
              <c:idx val="27"/>
              <c:layout>
                <c:manualLayout>
                  <c:x val="-2.5278408103818966E-2"/>
                  <c:y val="-3.90220974290136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706-4243-869D-1E3D72794C91}"/>
                </c:ext>
              </c:extLst>
            </c:dLbl>
            <c:dLbl>
              <c:idx val="28"/>
              <c:layout>
                <c:manualLayout>
                  <c:x val="-1.4709171441875363E-2"/>
                  <c:y val="-7.7416944783110222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A06-496E-A298-ED0C63963F69}"/>
                </c:ext>
              </c:extLst>
            </c:dLbl>
            <c:dLbl>
              <c:idx val="29"/>
              <c:layout>
                <c:manualLayout>
                  <c:x val="-1.2524975472236848E-2"/>
                  <c:y val="-3.90220974290136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B1B-41FC-B654-97DA0AC0BED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Gráficos!$J$90:$AA$90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Gráficos!$J$92:$AA$92</c:f>
              <c:numCache>
                <c:formatCode>#,##0_ ;\-#,##0\ </c:formatCode>
                <c:ptCount val="18"/>
                <c:pt idx="0">
                  <c:v>2390.913348946136</c:v>
                </c:pt>
                <c:pt idx="1">
                  <c:v>3201.1372867587329</c:v>
                </c:pt>
                <c:pt idx="2">
                  <c:v>5310.2299006937828</c:v>
                </c:pt>
                <c:pt idx="3">
                  <c:v>3547.9382101366018</c:v>
                </c:pt>
                <c:pt idx="4">
                  <c:v>2877.0087602250969</c:v>
                </c:pt>
                <c:pt idx="5">
                  <c:v>3165.2625504904786</c:v>
                </c:pt>
                <c:pt idx="6">
                  <c:v>2944.0475510087444</c:v>
                </c:pt>
                <c:pt idx="7">
                  <c:v>3569.2731409412049</c:v>
                </c:pt>
                <c:pt idx="8">
                  <c:v>3387.9632513235756</c:v>
                </c:pt>
                <c:pt idx="9">
                  <c:v>2805.3676788027051</c:v>
                </c:pt>
                <c:pt idx="10">
                  <c:v>4070.5057724024191</c:v>
                </c:pt>
                <c:pt idx="11">
                  <c:v>4667.21446179129</c:v>
                </c:pt>
                <c:pt idx="12">
                  <c:v>3553.2457533323714</c:v>
                </c:pt>
                <c:pt idx="13">
                  <c:v>3544.2519374105336</c:v>
                </c:pt>
                <c:pt idx="14">
                  <c:v>3880.19278118288</c:v>
                </c:pt>
                <c:pt idx="15">
                  <c:v>3792.61862917399</c:v>
                </c:pt>
                <c:pt idx="16">
                  <c:v>2729.6409994030869</c:v>
                </c:pt>
                <c:pt idx="17">
                  <c:v>3639.076154806492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B1B7-4AD2-BC54-E193E541E1E7}"/>
            </c:ext>
          </c:extLst>
        </c:ser>
        <c:ser>
          <c:idx val="2"/>
          <c:order val="2"/>
          <c:tx>
            <c:strRef>
              <c:f>Gráficos!$A$93</c:f>
              <c:strCache>
                <c:ptCount val="1"/>
                <c:pt idx="0">
                  <c:v>NOPAT ajustado per capita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Gráficos!$J$90:$AA$90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Gráficos!$J$93:$AA$93</c:f>
              <c:numCache>
                <c:formatCode>General</c:formatCode>
                <c:ptCount val="18"/>
                <c:pt idx="12" formatCode="#,##0_ ;\-#,##0\ ">
                  <c:v>1246.6676290842595</c:v>
                </c:pt>
                <c:pt idx="13" formatCode="#,##0_ ;\-#,##0\ ">
                  <c:v>1361.8145021965547</c:v>
                </c:pt>
                <c:pt idx="14" formatCode="#,##0_ ;\-#,##0\ ">
                  <c:v>1563.3610980145634</c:v>
                </c:pt>
                <c:pt idx="15" formatCode="#,##0_ ;\-#,##0\ ">
                  <c:v>1810.193321616872</c:v>
                </c:pt>
                <c:pt idx="16" formatCode="#,##0_ ;\-#,##0\ ">
                  <c:v>1213.4390722264864</c:v>
                </c:pt>
                <c:pt idx="17" formatCode="#,##0_ ;\-#,##0\ ">
                  <c:v>1754.3071161048688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2A-44B9-A451-8D64C0FE97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906080"/>
        <c:axId val="619905600"/>
      </c:lineChart>
      <c:catAx>
        <c:axId val="182426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24269024"/>
        <c:crosses val="autoZero"/>
        <c:auto val="1"/>
        <c:lblAlgn val="ctr"/>
        <c:lblOffset val="100"/>
        <c:noMultiLvlLbl val="0"/>
      </c:catAx>
      <c:valAx>
        <c:axId val="1824269024"/>
        <c:scaling>
          <c:orientation val="minMax"/>
          <c:max val="22000"/>
          <c:min val="0"/>
        </c:scaling>
        <c:delete val="0"/>
        <c:axPos val="l"/>
        <c:numFmt formatCode="#,##0_ ;\-#,##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24269856"/>
        <c:crosses val="autoZero"/>
        <c:crossBetween val="between"/>
        <c:majorUnit val="4000"/>
        <c:minorUnit val="500"/>
      </c:valAx>
      <c:valAx>
        <c:axId val="619905600"/>
        <c:scaling>
          <c:orientation val="minMax"/>
          <c:max val="22000"/>
          <c:min val="-3000"/>
        </c:scaling>
        <c:delete val="0"/>
        <c:axPos val="r"/>
        <c:numFmt formatCode="#,##0_ ;\-#,##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19906080"/>
        <c:crosses val="max"/>
        <c:crossBetween val="between"/>
      </c:valAx>
      <c:catAx>
        <c:axId val="619906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99056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pt-BR" sz="1200">
                <a:latin typeface="Trebuchet MS" panose="020B0603020202020204" pitchFamily="34" charset="0"/>
              </a:rPr>
              <a:t>Dívida Líquida/EBITDA contábil</a:t>
            </a:r>
            <a:r>
              <a:rPr lang="pt-BR" sz="1200" baseline="0">
                <a:latin typeface="Trebuchet MS" panose="020B0603020202020204" pitchFamily="34" charset="0"/>
              </a:rPr>
              <a:t> LTM</a:t>
            </a:r>
            <a:endParaRPr lang="pt-BR" sz="1200">
              <a:latin typeface="Trebuchet MS" panose="020B0603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Gráficos!$A$97</c:f>
              <c:strCache>
                <c:ptCount val="1"/>
                <c:pt idx="0">
                  <c:v>Dívida Líquida/EBITDA LTM</c:v>
                </c:pt>
              </c:strCache>
            </c:strRef>
          </c:tx>
          <c:spPr>
            <a:ln w="9525" cap="rnd">
              <a:solidFill>
                <a:srgbClr val="122D59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4.5847047845123633E-2"/>
                  <c:y val="-3.6984687576772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6A6B-4386-9B6D-C2F5646AF1AD}"/>
                </c:ext>
              </c:extLst>
            </c:dLbl>
            <c:dLbl>
              <c:idx val="5"/>
              <c:layout>
                <c:manualLayout>
                  <c:x val="-1.8067484652254048E-2"/>
                  <c:y val="-5.79244716826517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6A6B-4386-9B6D-C2F5646AF1AD}"/>
                </c:ext>
              </c:extLst>
            </c:dLbl>
            <c:dLbl>
              <c:idx val="12"/>
              <c:layout>
                <c:manualLayout>
                  <c:x val="-4.859286669275803E-2"/>
                  <c:y val="2.58346647408659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A6B-4386-9B6D-C2F5646AF1AD}"/>
                </c:ext>
              </c:extLst>
            </c:dLbl>
            <c:dLbl>
              <c:idx val="13"/>
              <c:layout>
                <c:manualLayout>
                  <c:x val="-3.7908419310885115E-2"/>
                  <c:y val="3.6304556793805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A6B-4386-9B6D-C2F5646AF1AD}"/>
                </c:ext>
              </c:extLst>
            </c:dLbl>
            <c:dLbl>
              <c:idx val="14"/>
              <c:layout>
                <c:manualLayout>
                  <c:x val="-3.577152983451061E-2"/>
                  <c:y val="3.10696107673358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A6B-4386-9B6D-C2F5646AF1AD}"/>
                </c:ext>
              </c:extLst>
            </c:dLbl>
            <c:dLbl>
              <c:idx val="15"/>
              <c:layout>
                <c:manualLayout>
                  <c:x val="-3.3634640358136021E-2"/>
                  <c:y val="3.63045567938056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6B-4386-9B6D-C2F5646AF1AD}"/>
                </c:ext>
              </c:extLst>
            </c:dLbl>
            <c:dLbl>
              <c:idx val="16"/>
              <c:layout>
                <c:manualLayout>
                  <c:x val="-3.149775088176144E-2"/>
                  <c:y val="3.63045567938056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A6B-4386-9B6D-C2F5646AF1AD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Gráficos!$N$96:$AA$96</c:f>
              <c:strCache>
                <c:ptCount val="14"/>
                <c:pt idx="0">
                  <c:v>1T23</c:v>
                </c:pt>
                <c:pt idx="1">
                  <c:v>2T23</c:v>
                </c:pt>
                <c:pt idx="2">
                  <c:v>3T23</c:v>
                </c:pt>
                <c:pt idx="3">
                  <c:v>4T23</c:v>
                </c:pt>
                <c:pt idx="4">
                  <c:v>1T24</c:v>
                </c:pt>
                <c:pt idx="5">
                  <c:v>2T24</c:v>
                </c:pt>
                <c:pt idx="6">
                  <c:v>3T24</c:v>
                </c:pt>
                <c:pt idx="7">
                  <c:v>4T24</c:v>
                </c:pt>
                <c:pt idx="8">
                  <c:v>1T25</c:v>
                </c:pt>
                <c:pt idx="9">
                  <c:v>2T25</c:v>
                </c:pt>
                <c:pt idx="10">
                  <c:v>3T25</c:v>
                </c:pt>
                <c:pt idx="11">
                  <c:v>4T25</c:v>
                </c:pt>
                <c:pt idx="12">
                  <c:v>1T26</c:v>
                </c:pt>
                <c:pt idx="13">
                  <c:v>2T26</c:v>
                </c:pt>
              </c:strCache>
            </c:strRef>
          </c:cat>
          <c:val>
            <c:numRef>
              <c:f>Gráficos!$N$97:$AA$97</c:f>
              <c:numCache>
                <c:formatCode>#,##0.00_ ;\-#,##0.00\ </c:formatCode>
                <c:ptCount val="14"/>
                <c:pt idx="0">
                  <c:v>0.60820752280783563</c:v>
                </c:pt>
                <c:pt idx="1">
                  <c:v>1.4224345158330862</c:v>
                </c:pt>
                <c:pt idx="2">
                  <c:v>1.6335054424794566</c:v>
                </c:pt>
                <c:pt idx="3">
                  <c:v>2.0634951492276739</c:v>
                </c:pt>
                <c:pt idx="4">
                  <c:v>1.5682005352507651</c:v>
                </c:pt>
                <c:pt idx="5">
                  <c:v>2.1715879756486065</c:v>
                </c:pt>
                <c:pt idx="6">
                  <c:v>1.8339178543505024</c:v>
                </c:pt>
                <c:pt idx="7">
                  <c:v>1.879703050140171</c:v>
                </c:pt>
                <c:pt idx="8">
                  <c:v>2.3644623982964648</c:v>
                </c:pt>
                <c:pt idx="9">
                  <c:v>2.4297379296224135</c:v>
                </c:pt>
                <c:pt idx="10">
                  <c:v>1.7675521133801499</c:v>
                </c:pt>
                <c:pt idx="11">
                  <c:v>2.3198247945729196</c:v>
                </c:pt>
                <c:pt idx="12">
                  <c:v>1.9765701480554771</c:v>
                </c:pt>
                <c:pt idx="13">
                  <c:v>2.2723548913476557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A6B-4386-9B6D-C2F5646AF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24269856"/>
        <c:axId val="1824269024"/>
      </c:lineChart>
      <c:catAx>
        <c:axId val="182426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24269024"/>
        <c:crosses val="autoZero"/>
        <c:auto val="1"/>
        <c:lblAlgn val="ctr"/>
        <c:lblOffset val="0"/>
        <c:noMultiLvlLbl val="0"/>
      </c:catAx>
      <c:valAx>
        <c:axId val="1824269024"/>
        <c:scaling>
          <c:orientation val="minMax"/>
          <c:max val="17"/>
          <c:min val="-6"/>
        </c:scaling>
        <c:delete val="1"/>
        <c:axPos val="l"/>
        <c:numFmt formatCode="#,##0.00_ ;\-#,##0.00\ " sourceLinked="1"/>
        <c:majorTickMark val="out"/>
        <c:minorTickMark val="none"/>
        <c:tickLblPos val="nextTo"/>
        <c:crossAx val="1824269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ados gerais'!A1"/><Relationship Id="rId13" Type="http://schemas.openxmlformats.org/officeDocument/2006/relationships/hyperlink" Target="#'LB por segmento'!A1"/><Relationship Id="rId3" Type="http://schemas.openxmlformats.org/officeDocument/2006/relationships/hyperlink" Target="#DMPL!A1"/><Relationship Id="rId7" Type="http://schemas.openxmlformats.org/officeDocument/2006/relationships/hyperlink" Target="#DVA!A1"/><Relationship Id="rId12" Type="http://schemas.openxmlformats.org/officeDocument/2006/relationships/hyperlink" Target="#'DFC Hist&#243;rico_Consolidado'!A1"/><Relationship Id="rId17" Type="http://schemas.openxmlformats.org/officeDocument/2006/relationships/image" Target="../media/image1.png"/><Relationship Id="rId2" Type="http://schemas.openxmlformats.org/officeDocument/2006/relationships/hyperlink" Target="#DFC!A1"/><Relationship Id="rId16" Type="http://schemas.openxmlformats.org/officeDocument/2006/relationships/hyperlink" Target="#'Dados para gr&#225;ficos'!A1"/><Relationship Id="rId1" Type="http://schemas.openxmlformats.org/officeDocument/2006/relationships/hyperlink" Target="#'BP Ativo'!A1"/><Relationship Id="rId6" Type="http://schemas.openxmlformats.org/officeDocument/2006/relationships/hyperlink" Target="#DRE!A1"/><Relationship Id="rId11" Type="http://schemas.openxmlformats.org/officeDocument/2006/relationships/hyperlink" Target="#'DRE Hist&#243;rico_Consolidado'!A1"/><Relationship Id="rId5" Type="http://schemas.openxmlformats.org/officeDocument/2006/relationships/hyperlink" Target="#'BP Passivo'!A1"/><Relationship Id="rId15" Type="http://schemas.openxmlformats.org/officeDocument/2006/relationships/hyperlink" Target="#Gr&#225;ficos!A1"/><Relationship Id="rId10" Type="http://schemas.openxmlformats.org/officeDocument/2006/relationships/hyperlink" Target="#'BP Hist&#243;rico_Consolidado'!A1"/><Relationship Id="rId4" Type="http://schemas.openxmlformats.org/officeDocument/2006/relationships/hyperlink" Target="#DRA!A1"/><Relationship Id="rId9" Type="http://schemas.openxmlformats.org/officeDocument/2006/relationships/hyperlink" Target="#'Dados Operacionais_Consolidado'!A1"/><Relationship Id="rId14" Type="http://schemas.openxmlformats.org/officeDocument/2006/relationships/hyperlink" Target="#ROIC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hyperlink" Target="#Capa!A1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7</xdr:row>
      <xdr:rowOff>28575</xdr:rowOff>
    </xdr:from>
    <xdr:to>
      <xdr:col>8</xdr:col>
      <xdr:colOff>195771</xdr:colOff>
      <xdr:row>9</xdr:row>
      <xdr:rowOff>19050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E9D6A4-D903-470E-9534-0967790ADFE7}"/>
            </a:ext>
          </a:extLst>
        </xdr:cNvPr>
        <xdr:cNvSpPr/>
      </xdr:nvSpPr>
      <xdr:spPr>
        <a:xfrm>
          <a:off x="1619250" y="1800225"/>
          <a:ext cx="3567621" cy="371475"/>
        </a:xfrm>
        <a:prstGeom prst="roundRect">
          <a:avLst/>
        </a:prstGeom>
        <a:solidFill>
          <a:srgbClr val="0B514F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Trebuchet MS" panose="020B0603020202020204" pitchFamily="34" charset="0"/>
            </a:rPr>
            <a:t>Balanço Patrimonial</a:t>
          </a:r>
          <a:r>
            <a:rPr lang="pt-BR" sz="1800" baseline="0">
              <a:latin typeface="Trebuchet MS" panose="020B0603020202020204" pitchFamily="34" charset="0"/>
            </a:rPr>
            <a:t> - Ativo</a:t>
          </a:r>
          <a:endParaRPr lang="pt-BR" sz="1800">
            <a:latin typeface="Trebuchet MS" panose="020B0603020202020204" pitchFamily="34" charset="0"/>
          </a:endParaRPr>
        </a:p>
      </xdr:txBody>
    </xdr:sp>
    <xdr:clientData/>
  </xdr:twoCellAnchor>
  <xdr:twoCellAnchor>
    <xdr:from>
      <xdr:col>2</xdr:col>
      <xdr:colOff>415925</xdr:colOff>
      <xdr:row>19</xdr:row>
      <xdr:rowOff>170536</xdr:rowOff>
    </xdr:from>
    <xdr:to>
      <xdr:col>8</xdr:col>
      <xdr:colOff>202121</xdr:colOff>
      <xdr:row>21</xdr:row>
      <xdr:rowOff>170536</xdr:rowOff>
    </xdr:to>
    <xdr:sp macro="" textlink="">
      <xdr:nvSpPr>
        <xdr:cNvPr id="8" name="Retângulo: Cantos Arredondados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6084EE-814D-4022-B43C-867773EB48B4}"/>
            </a:ext>
          </a:extLst>
        </xdr:cNvPr>
        <xdr:cNvSpPr/>
      </xdr:nvSpPr>
      <xdr:spPr>
        <a:xfrm>
          <a:off x="1640568" y="3871679"/>
          <a:ext cx="3922767" cy="353786"/>
        </a:xfrm>
        <a:prstGeom prst="roundRect">
          <a:avLst/>
        </a:prstGeom>
        <a:solidFill>
          <a:srgbClr val="0B514F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Trebuchet MS" panose="020B0603020202020204" pitchFamily="34" charset="0"/>
            </a:rPr>
            <a:t>DFC Contábil</a:t>
          </a:r>
        </a:p>
      </xdr:txBody>
    </xdr:sp>
    <xdr:clientData/>
  </xdr:twoCellAnchor>
  <xdr:twoCellAnchor>
    <xdr:from>
      <xdr:col>2</xdr:col>
      <xdr:colOff>419100</xdr:colOff>
      <xdr:row>17</xdr:row>
      <xdr:rowOff>73019</xdr:rowOff>
    </xdr:from>
    <xdr:to>
      <xdr:col>8</xdr:col>
      <xdr:colOff>221171</xdr:colOff>
      <xdr:row>19</xdr:row>
      <xdr:rowOff>53969</xdr:rowOff>
    </xdr:to>
    <xdr:sp macro="" textlink="">
      <xdr:nvSpPr>
        <xdr:cNvPr id="9" name="Retângulo: Cantos Arredondados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6D5D226-F0A2-4D09-938E-EAB368378FE4}"/>
            </a:ext>
          </a:extLst>
        </xdr:cNvPr>
        <xdr:cNvSpPr/>
      </xdr:nvSpPr>
      <xdr:spPr>
        <a:xfrm>
          <a:off x="1643743" y="3420376"/>
          <a:ext cx="3938642" cy="334736"/>
        </a:xfrm>
        <a:prstGeom prst="roundRect">
          <a:avLst/>
        </a:prstGeom>
        <a:solidFill>
          <a:srgbClr val="0B514F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Trebuchet MS" panose="020B0603020202020204" pitchFamily="34" charset="0"/>
            </a:rPr>
            <a:t>DMPL Contábil</a:t>
          </a:r>
        </a:p>
      </xdr:txBody>
    </xdr:sp>
    <xdr:clientData/>
  </xdr:twoCellAnchor>
  <xdr:twoCellAnchor>
    <xdr:from>
      <xdr:col>2</xdr:col>
      <xdr:colOff>419100</xdr:colOff>
      <xdr:row>14</xdr:row>
      <xdr:rowOff>129261</xdr:rowOff>
    </xdr:from>
    <xdr:to>
      <xdr:col>8</xdr:col>
      <xdr:colOff>221171</xdr:colOff>
      <xdr:row>16</xdr:row>
      <xdr:rowOff>129262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97E329-28CA-4EB2-8034-4F21A1AC2D00}"/>
            </a:ext>
          </a:extLst>
        </xdr:cNvPr>
        <xdr:cNvSpPr/>
      </xdr:nvSpPr>
      <xdr:spPr>
        <a:xfrm>
          <a:off x="1643743" y="2945940"/>
          <a:ext cx="3938642" cy="353786"/>
        </a:xfrm>
        <a:prstGeom prst="roundRect">
          <a:avLst/>
        </a:prstGeom>
        <a:solidFill>
          <a:srgbClr val="0B514F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Trebuchet MS" panose="020B0603020202020204" pitchFamily="34" charset="0"/>
            </a:rPr>
            <a:t>DRA Contábil</a:t>
          </a:r>
        </a:p>
      </xdr:txBody>
    </xdr:sp>
    <xdr:clientData/>
  </xdr:twoCellAnchor>
  <xdr:twoCellAnchor>
    <xdr:from>
      <xdr:col>2</xdr:col>
      <xdr:colOff>409575</xdr:colOff>
      <xdr:row>9</xdr:row>
      <xdr:rowOff>114300</xdr:rowOff>
    </xdr:from>
    <xdr:to>
      <xdr:col>8</xdr:col>
      <xdr:colOff>205296</xdr:colOff>
      <xdr:row>11</xdr:row>
      <xdr:rowOff>104775</xdr:rowOff>
    </xdr:to>
    <xdr:sp macro="" textlink="">
      <xdr:nvSpPr>
        <xdr:cNvPr id="12" name="Retângulo: Cantos Arredondado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6574CE5-B214-4EEF-9796-3E33F9D8AB74}"/>
            </a:ext>
          </a:extLst>
        </xdr:cNvPr>
        <xdr:cNvSpPr/>
      </xdr:nvSpPr>
      <xdr:spPr>
        <a:xfrm>
          <a:off x="1628775" y="2266950"/>
          <a:ext cx="3567621" cy="371475"/>
        </a:xfrm>
        <a:prstGeom prst="roundRect">
          <a:avLst/>
        </a:prstGeom>
        <a:solidFill>
          <a:srgbClr val="0B514F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Trebuchet MS" panose="020B0603020202020204" pitchFamily="34" charset="0"/>
            </a:rPr>
            <a:t>Balanço</a:t>
          </a:r>
          <a:r>
            <a:rPr lang="pt-BR" sz="1800" baseline="0">
              <a:latin typeface="Trebuchet MS" panose="020B0603020202020204" pitchFamily="34" charset="0"/>
            </a:rPr>
            <a:t> Patrimonial -</a:t>
          </a:r>
          <a:r>
            <a:rPr lang="pt-BR" sz="1800">
              <a:latin typeface="Trebuchet MS" panose="020B0603020202020204" pitchFamily="34" charset="0"/>
            </a:rPr>
            <a:t> Passivo</a:t>
          </a:r>
        </a:p>
      </xdr:txBody>
    </xdr:sp>
    <xdr:clientData/>
  </xdr:twoCellAnchor>
  <xdr:twoCellAnchor>
    <xdr:from>
      <xdr:col>2</xdr:col>
      <xdr:colOff>419100</xdr:colOff>
      <xdr:row>12</xdr:row>
      <xdr:rowOff>28575</xdr:rowOff>
    </xdr:from>
    <xdr:to>
      <xdr:col>8</xdr:col>
      <xdr:colOff>214821</xdr:colOff>
      <xdr:row>14</xdr:row>
      <xdr:rowOff>19050</xdr:rowOff>
    </xdr:to>
    <xdr:sp macro="" textlink="">
      <xdr:nvSpPr>
        <xdr:cNvPr id="13" name="Retângulo: Cantos Arredondado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439A9D0-4D01-49C1-89A2-63B10060E68E}"/>
            </a:ext>
          </a:extLst>
        </xdr:cNvPr>
        <xdr:cNvSpPr/>
      </xdr:nvSpPr>
      <xdr:spPr>
        <a:xfrm>
          <a:off x="1638300" y="2752725"/>
          <a:ext cx="3567621" cy="371475"/>
        </a:xfrm>
        <a:prstGeom prst="roundRect">
          <a:avLst/>
        </a:prstGeom>
        <a:solidFill>
          <a:srgbClr val="0B514F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Trebuchet MS" panose="020B0603020202020204" pitchFamily="34" charset="0"/>
            </a:rPr>
            <a:t>DRE Contábil</a:t>
          </a:r>
        </a:p>
      </xdr:txBody>
    </xdr:sp>
    <xdr:clientData/>
  </xdr:twoCellAnchor>
  <xdr:twoCellAnchor>
    <xdr:from>
      <xdr:col>2</xdr:col>
      <xdr:colOff>419100</xdr:colOff>
      <xdr:row>22</xdr:row>
      <xdr:rowOff>92069</xdr:rowOff>
    </xdr:from>
    <xdr:to>
      <xdr:col>8</xdr:col>
      <xdr:colOff>221171</xdr:colOff>
      <xdr:row>24</xdr:row>
      <xdr:rowOff>92069</xdr:rowOff>
    </xdr:to>
    <xdr:sp macro="" textlink="">
      <xdr:nvSpPr>
        <xdr:cNvPr id="14" name="Retângulo: Cantos Arredondados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098E9C9-FB96-4C80-A208-0C0B3880E9F3}"/>
            </a:ext>
          </a:extLst>
        </xdr:cNvPr>
        <xdr:cNvSpPr/>
      </xdr:nvSpPr>
      <xdr:spPr>
        <a:xfrm>
          <a:off x="1643743" y="4323890"/>
          <a:ext cx="3938642" cy="353786"/>
        </a:xfrm>
        <a:prstGeom prst="roundRect">
          <a:avLst/>
        </a:prstGeom>
        <a:solidFill>
          <a:srgbClr val="0B514F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Trebuchet MS" panose="020B0603020202020204" pitchFamily="34" charset="0"/>
            </a:rPr>
            <a:t>DVA Contábil</a:t>
          </a:r>
        </a:p>
      </xdr:txBody>
    </xdr:sp>
    <xdr:clientData/>
  </xdr:twoCellAnchor>
  <xdr:twoCellAnchor>
    <xdr:from>
      <xdr:col>8</xdr:col>
      <xdr:colOff>371475</xdr:colOff>
      <xdr:row>17</xdr:row>
      <xdr:rowOff>28575</xdr:rowOff>
    </xdr:from>
    <xdr:to>
      <xdr:col>14</xdr:col>
      <xdr:colOff>295274</xdr:colOff>
      <xdr:row>19</xdr:row>
      <xdr:rowOff>19050</xdr:rowOff>
    </xdr:to>
    <xdr:sp macro="" textlink="">
      <xdr:nvSpPr>
        <xdr:cNvPr id="15" name="Retângulo: Cantos Arredondados 1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98876BD-BE26-4BAE-B6D8-2CFEE471D204}"/>
            </a:ext>
          </a:extLst>
        </xdr:cNvPr>
        <xdr:cNvSpPr/>
      </xdr:nvSpPr>
      <xdr:spPr>
        <a:xfrm>
          <a:off x="5362575" y="3705225"/>
          <a:ext cx="3581399" cy="371475"/>
        </a:xfrm>
        <a:prstGeom prst="roundRect">
          <a:avLst/>
        </a:prstGeom>
        <a:solidFill>
          <a:srgbClr val="0B514F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Trebuchet MS" panose="020B0603020202020204" pitchFamily="34" charset="0"/>
            </a:rPr>
            <a:t>Dados Gerais</a:t>
          </a:r>
        </a:p>
      </xdr:txBody>
    </xdr:sp>
    <xdr:clientData/>
  </xdr:twoCellAnchor>
  <xdr:twoCellAnchor>
    <xdr:from>
      <xdr:col>8</xdr:col>
      <xdr:colOff>371475</xdr:colOff>
      <xdr:row>14</xdr:row>
      <xdr:rowOff>114300</xdr:rowOff>
    </xdr:from>
    <xdr:to>
      <xdr:col>14</xdr:col>
      <xdr:colOff>295274</xdr:colOff>
      <xdr:row>16</xdr:row>
      <xdr:rowOff>104775</xdr:rowOff>
    </xdr:to>
    <xdr:sp macro="" textlink="">
      <xdr:nvSpPr>
        <xdr:cNvPr id="4" name="Retângulo: Cantos Arredondados 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51E3E6-3B75-4E47-89B5-96358EA48DA0}"/>
            </a:ext>
          </a:extLst>
        </xdr:cNvPr>
        <xdr:cNvSpPr/>
      </xdr:nvSpPr>
      <xdr:spPr>
        <a:xfrm>
          <a:off x="5362575" y="3219450"/>
          <a:ext cx="3581399" cy="371475"/>
        </a:xfrm>
        <a:prstGeom prst="roundRect">
          <a:avLst/>
        </a:prstGeom>
        <a:solidFill>
          <a:srgbClr val="0B514F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Trebuchet MS" panose="020B0603020202020204" pitchFamily="34" charset="0"/>
            </a:rPr>
            <a:t>Dados</a:t>
          </a:r>
          <a:r>
            <a:rPr lang="pt-BR" sz="1800" baseline="0">
              <a:latin typeface="Trebuchet MS" panose="020B0603020202020204" pitchFamily="34" charset="0"/>
            </a:rPr>
            <a:t> Operacionais</a:t>
          </a:r>
          <a:endParaRPr lang="pt-BR" sz="1800">
            <a:latin typeface="Trebuchet MS" panose="020B0603020202020204" pitchFamily="34" charset="0"/>
          </a:endParaRPr>
        </a:p>
      </xdr:txBody>
    </xdr:sp>
    <xdr:clientData/>
  </xdr:twoCellAnchor>
  <xdr:twoCellAnchor>
    <xdr:from>
      <xdr:col>8</xdr:col>
      <xdr:colOff>371475</xdr:colOff>
      <xdr:row>7</xdr:row>
      <xdr:rowOff>19050</xdr:rowOff>
    </xdr:from>
    <xdr:to>
      <xdr:col>14</xdr:col>
      <xdr:colOff>295274</xdr:colOff>
      <xdr:row>9</xdr:row>
      <xdr:rowOff>9525</xdr:rowOff>
    </xdr:to>
    <xdr:sp macro="" textlink="">
      <xdr:nvSpPr>
        <xdr:cNvPr id="7" name="Retângulo: Cantos Arredondados 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D399F84C-9E42-45AE-A528-3B69E78E8A47}"/>
            </a:ext>
          </a:extLst>
        </xdr:cNvPr>
        <xdr:cNvSpPr/>
      </xdr:nvSpPr>
      <xdr:spPr>
        <a:xfrm>
          <a:off x="5362575" y="1790700"/>
          <a:ext cx="3581399" cy="371475"/>
        </a:xfrm>
        <a:prstGeom prst="roundRect">
          <a:avLst/>
        </a:prstGeom>
        <a:solidFill>
          <a:srgbClr val="0B514F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Trebuchet MS" panose="020B0603020202020204" pitchFamily="34" charset="0"/>
            </a:rPr>
            <a:t>Balanço Patrimonial - Histórico</a:t>
          </a:r>
        </a:p>
      </xdr:txBody>
    </xdr:sp>
    <xdr:clientData/>
  </xdr:twoCellAnchor>
  <xdr:twoCellAnchor>
    <xdr:from>
      <xdr:col>8</xdr:col>
      <xdr:colOff>371475</xdr:colOff>
      <xdr:row>9</xdr:row>
      <xdr:rowOff>114300</xdr:rowOff>
    </xdr:from>
    <xdr:to>
      <xdr:col>14</xdr:col>
      <xdr:colOff>295274</xdr:colOff>
      <xdr:row>11</xdr:row>
      <xdr:rowOff>104775</xdr:rowOff>
    </xdr:to>
    <xdr:sp macro="" textlink="">
      <xdr:nvSpPr>
        <xdr:cNvPr id="10" name="Retângulo: Cantos Arredondados 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0743F71-2C11-4674-80A5-A7AD40273437}"/>
            </a:ext>
          </a:extLst>
        </xdr:cNvPr>
        <xdr:cNvSpPr/>
      </xdr:nvSpPr>
      <xdr:spPr>
        <a:xfrm>
          <a:off x="5362575" y="2266950"/>
          <a:ext cx="3581399" cy="371475"/>
        </a:xfrm>
        <a:prstGeom prst="roundRect">
          <a:avLst/>
        </a:prstGeom>
        <a:solidFill>
          <a:srgbClr val="0B514F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Trebuchet MS" panose="020B0603020202020204" pitchFamily="34" charset="0"/>
            </a:rPr>
            <a:t>DRE Histórico</a:t>
          </a:r>
        </a:p>
      </xdr:txBody>
    </xdr:sp>
    <xdr:clientData/>
  </xdr:twoCellAnchor>
  <xdr:twoCellAnchor>
    <xdr:from>
      <xdr:col>8</xdr:col>
      <xdr:colOff>371475</xdr:colOff>
      <xdr:row>12</xdr:row>
      <xdr:rowOff>28575</xdr:rowOff>
    </xdr:from>
    <xdr:to>
      <xdr:col>14</xdr:col>
      <xdr:colOff>295274</xdr:colOff>
      <xdr:row>14</xdr:row>
      <xdr:rowOff>19050</xdr:rowOff>
    </xdr:to>
    <xdr:sp macro="" textlink="">
      <xdr:nvSpPr>
        <xdr:cNvPr id="16" name="Retângulo: Cantos Arredondados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7C8E8DCF-ADFF-4B8E-A5FD-A979D285FF71}"/>
            </a:ext>
          </a:extLst>
        </xdr:cNvPr>
        <xdr:cNvSpPr/>
      </xdr:nvSpPr>
      <xdr:spPr>
        <a:xfrm>
          <a:off x="5362575" y="2752725"/>
          <a:ext cx="3581399" cy="371475"/>
        </a:xfrm>
        <a:prstGeom prst="roundRect">
          <a:avLst/>
        </a:prstGeom>
        <a:solidFill>
          <a:srgbClr val="0B514F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Trebuchet MS" panose="020B0603020202020204" pitchFamily="34" charset="0"/>
            </a:rPr>
            <a:t>DFC Histórico</a:t>
          </a:r>
        </a:p>
      </xdr:txBody>
    </xdr:sp>
    <xdr:clientData/>
  </xdr:twoCellAnchor>
  <xdr:twoCellAnchor>
    <xdr:from>
      <xdr:col>8</xdr:col>
      <xdr:colOff>381000</xdr:colOff>
      <xdr:row>19</xdr:row>
      <xdr:rowOff>133350</xdr:rowOff>
    </xdr:from>
    <xdr:to>
      <xdr:col>14</xdr:col>
      <xdr:colOff>304799</xdr:colOff>
      <xdr:row>21</xdr:row>
      <xdr:rowOff>123825</xdr:rowOff>
    </xdr:to>
    <xdr:sp macro="" textlink="">
      <xdr:nvSpPr>
        <xdr:cNvPr id="5" name="Retângulo: Cantos Arredondados 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BDEA4BF-6279-440B-AB3D-979B2C52E0B8}"/>
            </a:ext>
          </a:extLst>
        </xdr:cNvPr>
        <xdr:cNvSpPr/>
      </xdr:nvSpPr>
      <xdr:spPr>
        <a:xfrm>
          <a:off x="5372100" y="4191000"/>
          <a:ext cx="3581399" cy="371475"/>
        </a:xfrm>
        <a:prstGeom prst="roundRect">
          <a:avLst/>
        </a:prstGeom>
        <a:solidFill>
          <a:srgbClr val="0B514F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Trebuchet MS" panose="020B0603020202020204" pitchFamily="34" charset="0"/>
            </a:rPr>
            <a:t>Lucro Bruto por segmento</a:t>
          </a:r>
        </a:p>
      </xdr:txBody>
    </xdr:sp>
    <xdr:clientData/>
  </xdr:twoCellAnchor>
  <xdr:twoCellAnchor>
    <xdr:from>
      <xdr:col>8</xdr:col>
      <xdr:colOff>387350</xdr:colOff>
      <xdr:row>22</xdr:row>
      <xdr:rowOff>28734</xdr:rowOff>
    </xdr:from>
    <xdr:to>
      <xdr:col>14</xdr:col>
      <xdr:colOff>317499</xdr:colOff>
      <xdr:row>24</xdr:row>
      <xdr:rowOff>29068</xdr:rowOff>
    </xdr:to>
    <xdr:sp macro="" textlink="">
      <xdr:nvSpPr>
        <xdr:cNvPr id="18" name="Retângulo: Cantos Arredondados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87E028E-CF01-4519-866E-2B23BD746778}"/>
            </a:ext>
          </a:extLst>
        </xdr:cNvPr>
        <xdr:cNvSpPr/>
      </xdr:nvSpPr>
      <xdr:spPr>
        <a:xfrm>
          <a:off x="5684587" y="4390181"/>
          <a:ext cx="4007517" cy="367966"/>
        </a:xfrm>
        <a:prstGeom prst="roundRect">
          <a:avLst/>
        </a:prstGeom>
        <a:solidFill>
          <a:srgbClr val="0B514F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Trebuchet MS" panose="020B0603020202020204" pitchFamily="34" charset="0"/>
            </a:rPr>
            <a:t>ROIC</a:t>
          </a:r>
        </a:p>
      </xdr:txBody>
    </xdr:sp>
    <xdr:clientData/>
  </xdr:twoCellAnchor>
  <xdr:twoCellAnchor>
    <xdr:from>
      <xdr:col>8</xdr:col>
      <xdr:colOff>387350</xdr:colOff>
      <xdr:row>24</xdr:row>
      <xdr:rowOff>104934</xdr:rowOff>
    </xdr:from>
    <xdr:to>
      <xdr:col>14</xdr:col>
      <xdr:colOff>317499</xdr:colOff>
      <xdr:row>26</xdr:row>
      <xdr:rowOff>104933</xdr:rowOff>
    </xdr:to>
    <xdr:sp macro="" textlink="">
      <xdr:nvSpPr>
        <xdr:cNvPr id="25" name="Retângulo: Cantos Arredondados 2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A3BADCB-86CE-456F-86E4-4AF49CD342FA}"/>
            </a:ext>
          </a:extLst>
        </xdr:cNvPr>
        <xdr:cNvSpPr/>
      </xdr:nvSpPr>
      <xdr:spPr>
        <a:xfrm>
          <a:off x="5684587" y="4834013"/>
          <a:ext cx="4007517" cy="367631"/>
        </a:xfrm>
        <a:prstGeom prst="roundRect">
          <a:avLst/>
        </a:prstGeom>
        <a:solidFill>
          <a:srgbClr val="0B514F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Trebuchet MS" panose="020B0603020202020204" pitchFamily="34" charset="0"/>
            </a:rPr>
            <a:t>Gráficos</a:t>
          </a:r>
        </a:p>
      </xdr:txBody>
    </xdr:sp>
    <xdr:clientData/>
  </xdr:twoCellAnchor>
  <xdr:twoCellAnchor>
    <xdr:from>
      <xdr:col>8</xdr:col>
      <xdr:colOff>387350</xdr:colOff>
      <xdr:row>26</xdr:row>
      <xdr:rowOff>162083</xdr:rowOff>
    </xdr:from>
    <xdr:to>
      <xdr:col>14</xdr:col>
      <xdr:colOff>317499</xdr:colOff>
      <xdr:row>28</xdr:row>
      <xdr:rowOff>162084</xdr:rowOff>
    </xdr:to>
    <xdr:sp macro="" textlink="">
      <xdr:nvSpPr>
        <xdr:cNvPr id="19" name="Retângulo: Cantos Arredondados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81BF337-1E1C-47E0-9FA6-3531E580358D}"/>
            </a:ext>
          </a:extLst>
        </xdr:cNvPr>
        <xdr:cNvSpPr/>
      </xdr:nvSpPr>
      <xdr:spPr>
        <a:xfrm>
          <a:off x="5684587" y="5258794"/>
          <a:ext cx="4007517" cy="367632"/>
        </a:xfrm>
        <a:prstGeom prst="roundRect">
          <a:avLst/>
        </a:prstGeom>
        <a:solidFill>
          <a:srgbClr val="0B514F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Trebuchet MS" panose="020B0603020202020204" pitchFamily="34" charset="0"/>
            </a:rPr>
            <a:t>Dados para Gráficos</a:t>
          </a:r>
        </a:p>
      </xdr:txBody>
    </xdr:sp>
    <xdr:clientData/>
  </xdr:twoCellAnchor>
  <xdr:twoCellAnchor>
    <xdr:from>
      <xdr:col>3</xdr:col>
      <xdr:colOff>104775</xdr:colOff>
      <xdr:row>1</xdr:row>
      <xdr:rowOff>104775</xdr:rowOff>
    </xdr:from>
    <xdr:to>
      <xdr:col>4</xdr:col>
      <xdr:colOff>114300</xdr:colOff>
      <xdr:row>2</xdr:row>
      <xdr:rowOff>123825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EEC50885-1A0F-8663-AE13-2371AB6ADFCC}"/>
            </a:ext>
          </a:extLst>
        </xdr:cNvPr>
        <xdr:cNvSpPr/>
      </xdr:nvSpPr>
      <xdr:spPr>
        <a:xfrm>
          <a:off x="1933575" y="295275"/>
          <a:ext cx="619125" cy="20955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264583</xdr:colOff>
      <xdr:row>1</xdr:row>
      <xdr:rowOff>74082</xdr:rowOff>
    </xdr:from>
    <xdr:to>
      <xdr:col>3</xdr:col>
      <xdr:colOff>74083</xdr:colOff>
      <xdr:row>2</xdr:row>
      <xdr:rowOff>338665</xdr:rowOff>
    </xdr:to>
    <xdr:pic>
      <xdr:nvPicPr>
        <xdr:cNvPr id="20" name="Google Shape;9;p39">
          <a:extLst>
            <a:ext uri="{FF2B5EF4-FFF2-40B4-BE49-F238E27FC236}">
              <a16:creationId xmlns:a16="http://schemas.microsoft.com/office/drawing/2014/main" id="{FA785668-4B72-2B82-3CD1-35AAA5451C07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7">
          <a:alphaModFix/>
        </a:blip>
        <a:srcRect/>
        <a:stretch/>
      </xdr:blipFill>
      <xdr:spPr>
        <a:xfrm>
          <a:off x="264583" y="264582"/>
          <a:ext cx="1651000" cy="4550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47625</xdr:rowOff>
    </xdr:from>
    <xdr:to>
      <xdr:col>0</xdr:col>
      <xdr:colOff>569119</xdr:colOff>
      <xdr:row>1</xdr:row>
      <xdr:rowOff>145257</xdr:rowOff>
    </xdr:to>
    <xdr:sp macro="" textlink="">
      <xdr:nvSpPr>
        <xdr:cNvPr id="2" name="Seta: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3C00ED-F9F9-4891-843F-15BCD7545C59}"/>
            </a:ext>
          </a:extLst>
        </xdr:cNvPr>
        <xdr:cNvSpPr/>
      </xdr:nvSpPr>
      <xdr:spPr>
        <a:xfrm>
          <a:off x="57150" y="44450"/>
          <a:ext cx="511969" cy="297657"/>
        </a:xfrm>
        <a:prstGeom prst="leftArrow">
          <a:avLst/>
        </a:prstGeom>
        <a:solidFill>
          <a:srgbClr val="0B514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700087</xdr:colOff>
      <xdr:row>0</xdr:row>
      <xdr:rowOff>71436</xdr:rowOff>
    </xdr:from>
    <xdr:to>
      <xdr:col>0</xdr:col>
      <xdr:colOff>2676525</xdr:colOff>
      <xdr:row>1</xdr:row>
      <xdr:rowOff>142874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38C0D920-81B0-4AC0-A4DF-0B6B2BDFE41E}"/>
            </a:ext>
          </a:extLst>
        </xdr:cNvPr>
        <xdr:cNvSpPr txBox="1"/>
      </xdr:nvSpPr>
      <xdr:spPr>
        <a:xfrm>
          <a:off x="696912" y="68261"/>
          <a:ext cx="1976438" cy="2778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>
              <a:latin typeface="Trebuchet MS" panose="020B0603020202020204" pitchFamily="34" charset="0"/>
            </a:rPr>
            <a:t>Voltar para o menu</a:t>
          </a:r>
        </a:p>
      </xdr:txBody>
    </xdr:sp>
    <xdr:clientData/>
  </xdr:twoCellAnchor>
  <xdr:twoCellAnchor>
    <xdr:from>
      <xdr:col>11</xdr:col>
      <xdr:colOff>47625</xdr:colOff>
      <xdr:row>6</xdr:row>
      <xdr:rowOff>123825</xdr:rowOff>
    </xdr:from>
    <xdr:to>
      <xdr:col>14</xdr:col>
      <xdr:colOff>978086</xdr:colOff>
      <xdr:row>11</xdr:row>
      <xdr:rowOff>171729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9AFA15C5-BA47-489B-8C41-FE34C881461A}"/>
            </a:ext>
          </a:extLst>
        </xdr:cNvPr>
        <xdr:cNvSpPr txBox="1"/>
      </xdr:nvSpPr>
      <xdr:spPr>
        <a:xfrm>
          <a:off x="10287000" y="1533525"/>
          <a:ext cx="4073711" cy="134330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/>
            <a:t>Nota: </a:t>
          </a:r>
          <a:r>
            <a:rPr lang="pt-BR" sz="1200"/>
            <a:t>Nas colunas denominadas "Controladora", as empresas controladas são reconhecidas pelo método de equivalência patrimonial.  Nas colunas denominadas "Consolidado", as informações contábeis dessas controladas são consolidadas linha a linha. Por esse motivo, a Administração recomenda ao público que baseiem suas análises no grupo "Consolidado". 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47625</xdr:rowOff>
    </xdr:from>
    <xdr:to>
      <xdr:col>0</xdr:col>
      <xdr:colOff>569119</xdr:colOff>
      <xdr:row>1</xdr:row>
      <xdr:rowOff>145257</xdr:rowOff>
    </xdr:to>
    <xdr:sp macro="" textlink="">
      <xdr:nvSpPr>
        <xdr:cNvPr id="2" name="Seta: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C5AE1F-3495-48A0-9A61-6C6221A4ACC1}"/>
            </a:ext>
          </a:extLst>
        </xdr:cNvPr>
        <xdr:cNvSpPr/>
      </xdr:nvSpPr>
      <xdr:spPr>
        <a:xfrm>
          <a:off x="57150" y="44450"/>
          <a:ext cx="511969" cy="297657"/>
        </a:xfrm>
        <a:prstGeom prst="leftArrow">
          <a:avLst/>
        </a:prstGeom>
        <a:solidFill>
          <a:srgbClr val="0B514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700087</xdr:colOff>
      <xdr:row>0</xdr:row>
      <xdr:rowOff>71436</xdr:rowOff>
    </xdr:from>
    <xdr:to>
      <xdr:col>0</xdr:col>
      <xdr:colOff>2676525</xdr:colOff>
      <xdr:row>1</xdr:row>
      <xdr:rowOff>142874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AF1F73FE-C6BD-4BF7-B643-119E8EAB8D55}"/>
            </a:ext>
          </a:extLst>
        </xdr:cNvPr>
        <xdr:cNvSpPr txBox="1"/>
      </xdr:nvSpPr>
      <xdr:spPr>
        <a:xfrm>
          <a:off x="696912" y="68261"/>
          <a:ext cx="1976438" cy="2778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>
              <a:latin typeface="Trebuchet MS" panose="020B0603020202020204" pitchFamily="34" charset="0"/>
            </a:rPr>
            <a:t>Voltar para o menu</a:t>
          </a:r>
        </a:p>
      </xdr:txBody>
    </xdr:sp>
    <xdr:clientData/>
  </xdr:twoCellAnchor>
  <xdr:twoCellAnchor>
    <xdr:from>
      <xdr:col>11</xdr:col>
      <xdr:colOff>0</xdr:colOff>
      <xdr:row>7</xdr:row>
      <xdr:rowOff>0</xdr:rowOff>
    </xdr:from>
    <xdr:to>
      <xdr:col>14</xdr:col>
      <xdr:colOff>1019794</xdr:colOff>
      <xdr:row>13</xdr:row>
      <xdr:rowOff>178497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5A58EB66-A6BF-4456-B953-EB809238ABAA}"/>
            </a:ext>
          </a:extLst>
        </xdr:cNvPr>
        <xdr:cNvSpPr txBox="1"/>
      </xdr:nvSpPr>
      <xdr:spPr>
        <a:xfrm>
          <a:off x="10239375" y="1638300"/>
          <a:ext cx="4163044" cy="17024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/>
            <a:t>Nota: </a:t>
          </a:r>
          <a:r>
            <a:rPr lang="pt-BR" sz="1200"/>
            <a:t>Nas colunas denominadas "Controladora", as empresas controladas são reconhecidas pelo método de equivalência patrimonial.  Nas colunas denominadas "Consolidado", as informações contábeis dessas controladas são consolidadas linha a linha. Por esse motivo, a Administração recomenda ao público que baseiem suas análises no grupo "Consolidado". 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47625</xdr:rowOff>
    </xdr:from>
    <xdr:to>
      <xdr:col>0</xdr:col>
      <xdr:colOff>569119</xdr:colOff>
      <xdr:row>1</xdr:row>
      <xdr:rowOff>145257</xdr:rowOff>
    </xdr:to>
    <xdr:sp macro="" textlink="">
      <xdr:nvSpPr>
        <xdr:cNvPr id="2" name="Seta: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DF40A8-979C-44C4-8170-2D4FED59B8E1}"/>
            </a:ext>
          </a:extLst>
        </xdr:cNvPr>
        <xdr:cNvSpPr/>
      </xdr:nvSpPr>
      <xdr:spPr>
        <a:xfrm>
          <a:off x="57150" y="44450"/>
          <a:ext cx="511969" cy="297657"/>
        </a:xfrm>
        <a:prstGeom prst="leftArrow">
          <a:avLst/>
        </a:prstGeom>
        <a:solidFill>
          <a:srgbClr val="0B514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700087</xdr:colOff>
      <xdr:row>0</xdr:row>
      <xdr:rowOff>71436</xdr:rowOff>
    </xdr:from>
    <xdr:to>
      <xdr:col>0</xdr:col>
      <xdr:colOff>2676525</xdr:colOff>
      <xdr:row>1</xdr:row>
      <xdr:rowOff>142874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C2DE33C9-36C3-4012-A90E-AF946FF4B0E4}"/>
            </a:ext>
          </a:extLst>
        </xdr:cNvPr>
        <xdr:cNvSpPr txBox="1"/>
      </xdr:nvSpPr>
      <xdr:spPr>
        <a:xfrm>
          <a:off x="696912" y="68261"/>
          <a:ext cx="1976438" cy="2778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>
              <a:latin typeface="Trebuchet MS" panose="020B0603020202020204" pitchFamily="34" charset="0"/>
            </a:rPr>
            <a:t>Voltar para o menu</a:t>
          </a:r>
        </a:p>
      </xdr:txBody>
    </xdr:sp>
    <xdr:clientData/>
  </xdr:twoCellAnchor>
  <xdr:twoCellAnchor>
    <xdr:from>
      <xdr:col>13</xdr:col>
      <xdr:colOff>0</xdr:colOff>
      <xdr:row>8</xdr:row>
      <xdr:rowOff>0</xdr:rowOff>
    </xdr:from>
    <xdr:to>
      <xdr:col>16</xdr:col>
      <xdr:colOff>1019794</xdr:colOff>
      <xdr:row>14</xdr:row>
      <xdr:rowOff>178497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F3AAE395-4858-4DA9-B289-BD3BAA7184F2}"/>
            </a:ext>
          </a:extLst>
        </xdr:cNvPr>
        <xdr:cNvSpPr txBox="1"/>
      </xdr:nvSpPr>
      <xdr:spPr>
        <a:xfrm>
          <a:off x="14316075" y="1866900"/>
          <a:ext cx="4163044" cy="17024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/>
            <a:t>Nota: </a:t>
          </a:r>
          <a:r>
            <a:rPr lang="pt-BR" sz="1200"/>
            <a:t>Nas colunas denominadas "Controladora", as empresas controladas são reconhecidas pelo método de equivalência patrimonial.  Nas colunas denominadas "Consolidado", as informações contábeis dessas controladas são consolidadas linha a linha. Por esse motivo, a Administração recomenda ao público que baseiem suas análises no grupo "Consolidado". 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47625</xdr:rowOff>
    </xdr:from>
    <xdr:to>
      <xdr:col>0</xdr:col>
      <xdr:colOff>569119</xdr:colOff>
      <xdr:row>1</xdr:row>
      <xdr:rowOff>145257</xdr:rowOff>
    </xdr:to>
    <xdr:sp macro="" textlink="">
      <xdr:nvSpPr>
        <xdr:cNvPr id="2" name="Seta: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807C8E-9436-4289-9C3C-0398365AD5E4}"/>
            </a:ext>
          </a:extLst>
        </xdr:cNvPr>
        <xdr:cNvSpPr/>
      </xdr:nvSpPr>
      <xdr:spPr>
        <a:xfrm>
          <a:off x="57150" y="44450"/>
          <a:ext cx="511969" cy="297657"/>
        </a:xfrm>
        <a:prstGeom prst="leftArrow">
          <a:avLst/>
        </a:prstGeom>
        <a:solidFill>
          <a:srgbClr val="0B514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700087</xdr:colOff>
      <xdr:row>0</xdr:row>
      <xdr:rowOff>71436</xdr:rowOff>
    </xdr:from>
    <xdr:to>
      <xdr:col>0</xdr:col>
      <xdr:colOff>2676525</xdr:colOff>
      <xdr:row>1</xdr:row>
      <xdr:rowOff>142874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6BB7809-5B1C-4C8C-AA2B-544D788E3851}"/>
            </a:ext>
          </a:extLst>
        </xdr:cNvPr>
        <xdr:cNvSpPr txBox="1"/>
      </xdr:nvSpPr>
      <xdr:spPr>
        <a:xfrm>
          <a:off x="696912" y="68261"/>
          <a:ext cx="1976438" cy="2778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>
              <a:latin typeface="Trebuchet MS" panose="020B0603020202020204" pitchFamily="34" charset="0"/>
            </a:rPr>
            <a:t>Voltar para o menu</a:t>
          </a:r>
        </a:p>
      </xdr:txBody>
    </xdr:sp>
    <xdr:clientData/>
  </xdr:twoCellAnchor>
  <xdr:twoCellAnchor>
    <xdr:from>
      <xdr:col>11</xdr:col>
      <xdr:colOff>0</xdr:colOff>
      <xdr:row>8</xdr:row>
      <xdr:rowOff>0</xdr:rowOff>
    </xdr:from>
    <xdr:to>
      <xdr:col>14</xdr:col>
      <xdr:colOff>1019794</xdr:colOff>
      <xdr:row>15</xdr:row>
      <xdr:rowOff>118966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43136C31-02F8-43A4-A7C7-45CD81481408}"/>
            </a:ext>
          </a:extLst>
        </xdr:cNvPr>
        <xdr:cNvSpPr txBox="1"/>
      </xdr:nvSpPr>
      <xdr:spPr>
        <a:xfrm>
          <a:off x="12954000" y="1857375"/>
          <a:ext cx="4163044" cy="17024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/>
            <a:t>Nota: </a:t>
          </a:r>
          <a:r>
            <a:rPr lang="pt-BR" sz="1200"/>
            <a:t>Nas colunas denominadas "Controladora", as empresas controladas são reconhecidas pelo método de equivalência patrimonial.  Nas colunas denominadas "Consolidado", as informações contábeis dessas controladas são consolidadas linha a linha. Por esse motivo, a Administração recomenda ao público que baseiem suas análises no grupo "Consolidado". 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47625</xdr:rowOff>
    </xdr:from>
    <xdr:to>
      <xdr:col>0</xdr:col>
      <xdr:colOff>569119</xdr:colOff>
      <xdr:row>1</xdr:row>
      <xdr:rowOff>145257</xdr:rowOff>
    </xdr:to>
    <xdr:sp macro="" textlink="">
      <xdr:nvSpPr>
        <xdr:cNvPr id="2" name="Seta: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96E68C-8C33-45A7-9424-4D4D4617D577}"/>
            </a:ext>
          </a:extLst>
        </xdr:cNvPr>
        <xdr:cNvSpPr/>
      </xdr:nvSpPr>
      <xdr:spPr>
        <a:xfrm>
          <a:off x="57150" y="44450"/>
          <a:ext cx="511969" cy="297657"/>
        </a:xfrm>
        <a:prstGeom prst="leftArrow">
          <a:avLst/>
        </a:prstGeom>
        <a:solidFill>
          <a:srgbClr val="0B514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700087</xdr:colOff>
      <xdr:row>0</xdr:row>
      <xdr:rowOff>71436</xdr:rowOff>
    </xdr:from>
    <xdr:to>
      <xdr:col>0</xdr:col>
      <xdr:colOff>2676525</xdr:colOff>
      <xdr:row>1</xdr:row>
      <xdr:rowOff>142874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CFF8E63F-B7AB-40E7-A6E2-C94FE5AFC6DE}"/>
            </a:ext>
          </a:extLst>
        </xdr:cNvPr>
        <xdr:cNvSpPr txBox="1"/>
      </xdr:nvSpPr>
      <xdr:spPr>
        <a:xfrm>
          <a:off x="696912" y="68261"/>
          <a:ext cx="1976438" cy="2778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>
              <a:latin typeface="Trebuchet MS" panose="020B0603020202020204" pitchFamily="34" charset="0"/>
            </a:rPr>
            <a:t>Voltar para o menu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47625</xdr:rowOff>
    </xdr:from>
    <xdr:to>
      <xdr:col>0</xdr:col>
      <xdr:colOff>569119</xdr:colOff>
      <xdr:row>1</xdr:row>
      <xdr:rowOff>145257</xdr:rowOff>
    </xdr:to>
    <xdr:sp macro="" textlink="">
      <xdr:nvSpPr>
        <xdr:cNvPr id="2" name="Seta: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1C19B7-160C-42DE-90A5-19F6B7C4CBCD}"/>
            </a:ext>
          </a:extLst>
        </xdr:cNvPr>
        <xdr:cNvSpPr/>
      </xdr:nvSpPr>
      <xdr:spPr>
        <a:xfrm>
          <a:off x="57150" y="44450"/>
          <a:ext cx="511969" cy="297657"/>
        </a:xfrm>
        <a:prstGeom prst="leftArrow">
          <a:avLst/>
        </a:prstGeom>
        <a:solidFill>
          <a:srgbClr val="0B514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700087</xdr:colOff>
      <xdr:row>0</xdr:row>
      <xdr:rowOff>71436</xdr:rowOff>
    </xdr:from>
    <xdr:to>
      <xdr:col>0</xdr:col>
      <xdr:colOff>2676525</xdr:colOff>
      <xdr:row>1</xdr:row>
      <xdr:rowOff>142874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11F78B67-6E53-41D0-8D08-FA8DFFAE1092}"/>
            </a:ext>
          </a:extLst>
        </xdr:cNvPr>
        <xdr:cNvSpPr txBox="1"/>
      </xdr:nvSpPr>
      <xdr:spPr>
        <a:xfrm>
          <a:off x="696912" y="68261"/>
          <a:ext cx="1976438" cy="2778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>
              <a:latin typeface="Trebuchet MS" panose="020B0603020202020204" pitchFamily="34" charset="0"/>
            </a:rPr>
            <a:t>Voltar para o menu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13</xdr:col>
      <xdr:colOff>1019794</xdr:colOff>
      <xdr:row>15</xdr:row>
      <xdr:rowOff>264222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ADDBC6DD-EB4B-46AD-A334-C1AEFE603B6E}"/>
            </a:ext>
          </a:extLst>
        </xdr:cNvPr>
        <xdr:cNvSpPr txBox="1"/>
      </xdr:nvSpPr>
      <xdr:spPr>
        <a:xfrm>
          <a:off x="10363200" y="1638300"/>
          <a:ext cx="4163044" cy="17024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/>
            <a:t>Nota: </a:t>
          </a:r>
          <a:r>
            <a:rPr lang="pt-BR" sz="1200"/>
            <a:t>Nas colunas denominadas "Controladora", as empresas controladas são reconhecidas pelo método de equivalência patrimonial.  Nas colunas denominadas "Consolidado", as informações contábeis dessas controladas são consolidadas linha a linha. Por esse motivo, a Administração recomenda ao público que baseiem suas análises no grupo "Consolidado". 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47625</xdr:rowOff>
    </xdr:from>
    <xdr:to>
      <xdr:col>0</xdr:col>
      <xdr:colOff>569119</xdr:colOff>
      <xdr:row>1</xdr:row>
      <xdr:rowOff>145257</xdr:rowOff>
    </xdr:to>
    <xdr:sp macro="" textlink="">
      <xdr:nvSpPr>
        <xdr:cNvPr id="2" name="Seta: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CC1BA7-7188-47F3-B7BE-CE441AF3A7A1}"/>
            </a:ext>
          </a:extLst>
        </xdr:cNvPr>
        <xdr:cNvSpPr/>
      </xdr:nvSpPr>
      <xdr:spPr>
        <a:xfrm>
          <a:off x="57150" y="44450"/>
          <a:ext cx="511969" cy="297657"/>
        </a:xfrm>
        <a:prstGeom prst="leftArrow">
          <a:avLst/>
        </a:prstGeom>
        <a:solidFill>
          <a:srgbClr val="0B514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700087</xdr:colOff>
      <xdr:row>0</xdr:row>
      <xdr:rowOff>71436</xdr:rowOff>
    </xdr:from>
    <xdr:to>
      <xdr:col>0</xdr:col>
      <xdr:colOff>2676525</xdr:colOff>
      <xdr:row>1</xdr:row>
      <xdr:rowOff>142874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851F27AE-2F42-4FF9-8A57-C4B1474C7B37}"/>
            </a:ext>
          </a:extLst>
        </xdr:cNvPr>
        <xdr:cNvSpPr txBox="1"/>
      </xdr:nvSpPr>
      <xdr:spPr>
        <a:xfrm>
          <a:off x="696912" y="68261"/>
          <a:ext cx="1976438" cy="2778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>
              <a:latin typeface="Trebuchet MS" panose="020B0603020202020204" pitchFamily="34" charset="0"/>
            </a:rPr>
            <a:t>Voltar para o menu</a:t>
          </a:r>
        </a:p>
      </xdr:txBody>
    </xdr:sp>
    <xdr:clientData/>
  </xdr:twoCellAnchor>
  <xdr:twoCellAnchor>
    <xdr:from>
      <xdr:col>13</xdr:col>
      <xdr:colOff>0</xdr:colOff>
      <xdr:row>7</xdr:row>
      <xdr:rowOff>0</xdr:rowOff>
    </xdr:from>
    <xdr:to>
      <xdr:col>16</xdr:col>
      <xdr:colOff>1019794</xdr:colOff>
      <xdr:row>13</xdr:row>
      <xdr:rowOff>345184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5A1CFC43-0212-4A4B-ABC5-5F2E20AD4935}"/>
            </a:ext>
          </a:extLst>
        </xdr:cNvPr>
        <xdr:cNvSpPr txBox="1"/>
      </xdr:nvSpPr>
      <xdr:spPr>
        <a:xfrm>
          <a:off x="9691688" y="1631156"/>
          <a:ext cx="4163044" cy="17024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/>
            <a:t>Nota: </a:t>
          </a:r>
          <a:r>
            <a:rPr lang="pt-BR" sz="1200"/>
            <a:t>Nas colunas denominadas "Controladora", as empresas controladas são reconhecidas pelo método de equivalência patrimonial.  Nas colunas denominadas "Consolidado", as informações contábeis dessas controladas são consolidadas linha a linha. Por esse motivo, a Administração recomenda ao público que baseiem suas análises no grupo "Consolidado". 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511969</xdr:colOff>
      <xdr:row>0</xdr:row>
      <xdr:rowOff>345282</xdr:rowOff>
    </xdr:to>
    <xdr:sp macro="" textlink="">
      <xdr:nvSpPr>
        <xdr:cNvPr id="2" name="Seta: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DA071F-A859-44EC-8F1B-743876316954}"/>
            </a:ext>
          </a:extLst>
        </xdr:cNvPr>
        <xdr:cNvSpPr/>
      </xdr:nvSpPr>
      <xdr:spPr>
        <a:xfrm>
          <a:off x="0" y="0"/>
          <a:ext cx="511969" cy="34528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642937</xdr:colOff>
      <xdr:row>0</xdr:row>
      <xdr:rowOff>23811</xdr:rowOff>
    </xdr:from>
    <xdr:to>
      <xdr:col>0</xdr:col>
      <xdr:colOff>2619375</xdr:colOff>
      <xdr:row>0</xdr:row>
      <xdr:rowOff>333374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106DECFA-5381-4490-865D-0D3F8262C4D1}"/>
            </a:ext>
          </a:extLst>
        </xdr:cNvPr>
        <xdr:cNvSpPr txBox="1"/>
      </xdr:nvSpPr>
      <xdr:spPr>
        <a:xfrm>
          <a:off x="642937" y="23811"/>
          <a:ext cx="1976438" cy="3095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>
              <a:latin typeface="Trebuchet MS" panose="020B0603020202020204" pitchFamily="34" charset="0"/>
            </a:rPr>
            <a:t>Voltar para o menu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511969</xdr:colOff>
      <xdr:row>0</xdr:row>
      <xdr:rowOff>345282</xdr:rowOff>
    </xdr:to>
    <xdr:sp macro="" textlink="">
      <xdr:nvSpPr>
        <xdr:cNvPr id="2" name="Seta: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4C7653-CECD-410C-B056-E15E2C97D97A}"/>
            </a:ext>
          </a:extLst>
        </xdr:cNvPr>
        <xdr:cNvSpPr/>
      </xdr:nvSpPr>
      <xdr:spPr>
        <a:xfrm>
          <a:off x="0" y="0"/>
          <a:ext cx="511969" cy="34528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642937</xdr:colOff>
      <xdr:row>0</xdr:row>
      <xdr:rowOff>23811</xdr:rowOff>
    </xdr:from>
    <xdr:to>
      <xdr:col>0</xdr:col>
      <xdr:colOff>2619375</xdr:colOff>
      <xdr:row>0</xdr:row>
      <xdr:rowOff>333374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17EFC7DA-B7B3-4479-92BF-4A85FFB82581}"/>
            </a:ext>
          </a:extLst>
        </xdr:cNvPr>
        <xdr:cNvSpPr txBox="1"/>
      </xdr:nvSpPr>
      <xdr:spPr>
        <a:xfrm>
          <a:off x="642937" y="23811"/>
          <a:ext cx="1976438" cy="3095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>
              <a:latin typeface="Trebuchet MS" panose="020B0603020202020204" pitchFamily="34" charset="0"/>
            </a:rPr>
            <a:t>Voltar para o menu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511969</xdr:colOff>
      <xdr:row>0</xdr:row>
      <xdr:rowOff>345282</xdr:rowOff>
    </xdr:to>
    <xdr:sp macro="" textlink="">
      <xdr:nvSpPr>
        <xdr:cNvPr id="2" name="Seta: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45B2A1-7729-48E8-96F5-D5028BD0F991}"/>
            </a:ext>
          </a:extLst>
        </xdr:cNvPr>
        <xdr:cNvSpPr/>
      </xdr:nvSpPr>
      <xdr:spPr>
        <a:xfrm>
          <a:off x="0" y="0"/>
          <a:ext cx="511969" cy="34528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642937</xdr:colOff>
      <xdr:row>0</xdr:row>
      <xdr:rowOff>23811</xdr:rowOff>
    </xdr:from>
    <xdr:to>
      <xdr:col>0</xdr:col>
      <xdr:colOff>2619375</xdr:colOff>
      <xdr:row>0</xdr:row>
      <xdr:rowOff>333374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491050D5-92D1-4F10-9EB3-6B13AA7ACDFC}"/>
            </a:ext>
          </a:extLst>
        </xdr:cNvPr>
        <xdr:cNvSpPr txBox="1"/>
      </xdr:nvSpPr>
      <xdr:spPr>
        <a:xfrm>
          <a:off x="642937" y="23811"/>
          <a:ext cx="1976438" cy="3095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>
              <a:latin typeface="Trebuchet MS" panose="020B0603020202020204" pitchFamily="34" charset="0"/>
            </a:rPr>
            <a:t>Voltar para o menu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511969</xdr:colOff>
      <xdr:row>0</xdr:row>
      <xdr:rowOff>345282</xdr:rowOff>
    </xdr:to>
    <xdr:sp macro="" textlink="">
      <xdr:nvSpPr>
        <xdr:cNvPr id="4" name="Seta: para a Esqu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0B6BB0-02B0-423B-9C1F-4D4501996E87}"/>
            </a:ext>
          </a:extLst>
        </xdr:cNvPr>
        <xdr:cNvSpPr/>
      </xdr:nvSpPr>
      <xdr:spPr>
        <a:xfrm>
          <a:off x="0" y="0"/>
          <a:ext cx="511969" cy="34528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642937</xdr:colOff>
      <xdr:row>0</xdr:row>
      <xdr:rowOff>23811</xdr:rowOff>
    </xdr:from>
    <xdr:to>
      <xdr:col>1</xdr:col>
      <xdr:colOff>2619375</xdr:colOff>
      <xdr:row>0</xdr:row>
      <xdr:rowOff>333374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B7F09C15-CD85-4DA2-A3A2-67BB234FCFF3}"/>
            </a:ext>
          </a:extLst>
        </xdr:cNvPr>
        <xdr:cNvSpPr txBox="1"/>
      </xdr:nvSpPr>
      <xdr:spPr>
        <a:xfrm>
          <a:off x="642937" y="23811"/>
          <a:ext cx="1976438" cy="3095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>
              <a:latin typeface="Trebuchet MS" panose="020B0603020202020204" pitchFamily="34" charset="0"/>
            </a:rPr>
            <a:t>Voltar para o menu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511969</xdr:colOff>
      <xdr:row>0</xdr:row>
      <xdr:rowOff>345282</xdr:rowOff>
    </xdr:to>
    <xdr:sp macro="" textlink="">
      <xdr:nvSpPr>
        <xdr:cNvPr id="2" name="Seta: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E13044-269F-4F8C-A3AE-7BB844332502}"/>
            </a:ext>
          </a:extLst>
        </xdr:cNvPr>
        <xdr:cNvSpPr/>
      </xdr:nvSpPr>
      <xdr:spPr>
        <a:xfrm>
          <a:off x="0" y="0"/>
          <a:ext cx="511969" cy="34528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642937</xdr:colOff>
      <xdr:row>0</xdr:row>
      <xdr:rowOff>23811</xdr:rowOff>
    </xdr:from>
    <xdr:to>
      <xdr:col>0</xdr:col>
      <xdr:colOff>2619375</xdr:colOff>
      <xdr:row>0</xdr:row>
      <xdr:rowOff>333374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2D4B6E42-4D52-41A4-8744-84748F0A8FA5}"/>
            </a:ext>
          </a:extLst>
        </xdr:cNvPr>
        <xdr:cNvSpPr txBox="1"/>
      </xdr:nvSpPr>
      <xdr:spPr>
        <a:xfrm>
          <a:off x="642937" y="23811"/>
          <a:ext cx="1976438" cy="3095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>
              <a:latin typeface="Trebuchet MS" panose="020B0603020202020204" pitchFamily="34" charset="0"/>
            </a:rPr>
            <a:t>Voltar para o menu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313766</xdr:colOff>
      <xdr:row>32</xdr:row>
      <xdr:rowOff>153707</xdr:rowOff>
    </xdr:from>
    <xdr:to>
      <xdr:col>24</xdr:col>
      <xdr:colOff>668832</xdr:colOff>
      <xdr:row>39</xdr:row>
      <xdr:rowOff>45757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2FDB89E6-017F-4CC3-B1EB-7188AD42FE80}"/>
            </a:ext>
          </a:extLst>
        </xdr:cNvPr>
        <xdr:cNvSpPr txBox="1"/>
      </xdr:nvSpPr>
      <xdr:spPr>
        <a:xfrm>
          <a:off x="16192501" y="5498913"/>
          <a:ext cx="3940949" cy="11471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/>
            <a:t>Nota1: </a:t>
          </a:r>
          <a:r>
            <a:rPr lang="pt-BR" sz="1200"/>
            <a:t>Valores ajustados</a:t>
          </a:r>
          <a:r>
            <a:rPr lang="pt-BR" sz="1200" baseline="0"/>
            <a:t> </a:t>
          </a:r>
          <a:r>
            <a:rPr lang="pt-BR" sz="1200"/>
            <a:t>do 2T22</a:t>
          </a:r>
          <a:r>
            <a:rPr lang="pt-BR" sz="1200" baseline="0"/>
            <a:t> ao 4T22 referem-se a dois contratos pontuais da gmaia que não foram adquiridos pela Priner em julho de 2022, conforme amplamente divulgado ao mercado. Valores ajustados a partir do 2T25 referem-se a exclusão da amortização de intangíveis.</a:t>
          </a:r>
        </a:p>
        <a:p>
          <a:endParaRPr lang="pt-BR" sz="1200" baseline="0"/>
        </a:p>
        <a:p>
          <a:endParaRPr lang="pt-BR" sz="1200"/>
        </a:p>
        <a:p>
          <a:endParaRPr lang="pt-BR" sz="12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511969</xdr:colOff>
      <xdr:row>0</xdr:row>
      <xdr:rowOff>345282</xdr:rowOff>
    </xdr:to>
    <xdr:sp macro="" textlink="">
      <xdr:nvSpPr>
        <xdr:cNvPr id="3" name="Seta: para a Esqu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44EE73-8D32-4EF5-9323-EF6081EA904A}"/>
            </a:ext>
          </a:extLst>
        </xdr:cNvPr>
        <xdr:cNvSpPr/>
      </xdr:nvSpPr>
      <xdr:spPr>
        <a:xfrm>
          <a:off x="0" y="0"/>
          <a:ext cx="511969" cy="34528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642937</xdr:colOff>
      <xdr:row>0</xdr:row>
      <xdr:rowOff>23811</xdr:rowOff>
    </xdr:from>
    <xdr:to>
      <xdr:col>0</xdr:col>
      <xdr:colOff>2619375</xdr:colOff>
      <xdr:row>0</xdr:row>
      <xdr:rowOff>333374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03C756D5-8ACB-45C3-9883-432A850D9EEF}"/>
            </a:ext>
          </a:extLst>
        </xdr:cNvPr>
        <xdr:cNvSpPr txBox="1"/>
      </xdr:nvSpPr>
      <xdr:spPr>
        <a:xfrm>
          <a:off x="642937" y="23811"/>
          <a:ext cx="1976438" cy="3095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>
              <a:latin typeface="Trebuchet MS" panose="020B0603020202020204" pitchFamily="34" charset="0"/>
            </a:rPr>
            <a:t>Voltar para o menu</a:t>
          </a:r>
        </a:p>
      </xdr:txBody>
    </xdr:sp>
    <xdr:clientData/>
  </xdr:twoCellAnchor>
  <xdr:twoCellAnchor>
    <xdr:from>
      <xdr:col>25</xdr:col>
      <xdr:colOff>504265</xdr:colOff>
      <xdr:row>32</xdr:row>
      <xdr:rowOff>145677</xdr:rowOff>
    </xdr:from>
    <xdr:to>
      <xdr:col>31</xdr:col>
      <xdr:colOff>590390</xdr:colOff>
      <xdr:row>39</xdr:row>
      <xdr:rowOff>40902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FA72D832-83DD-45BE-AD7F-FF27DCF5C0A9}"/>
            </a:ext>
          </a:extLst>
        </xdr:cNvPr>
        <xdr:cNvSpPr txBox="1"/>
      </xdr:nvSpPr>
      <xdr:spPr>
        <a:xfrm>
          <a:off x="20686059" y="6208059"/>
          <a:ext cx="3940949" cy="11502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/>
            <a:t>Nota2: </a:t>
          </a:r>
          <a:r>
            <a:rPr lang="pt-BR" sz="1200"/>
            <a:t>No 2T26,</a:t>
          </a:r>
          <a:r>
            <a:rPr lang="pt-BR" sz="1200" baseline="0"/>
            <a:t> passamos a considerar nos valores ajustados, além do clawback da Real no 1T26, a amortização de intangíveis (linha completa, não só do Laudo PPA da Real) e stock options. Os valores foram atualizados retroativamente até o 1T25.</a:t>
          </a:r>
        </a:p>
        <a:p>
          <a:endParaRPr lang="pt-BR" sz="1200" baseline="0"/>
        </a:p>
        <a:p>
          <a:endParaRPr lang="pt-BR" sz="1200"/>
        </a:p>
        <a:p>
          <a:endParaRPr lang="pt-BR" sz="12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511969</xdr:colOff>
      <xdr:row>0</xdr:row>
      <xdr:rowOff>345282</xdr:rowOff>
    </xdr:to>
    <xdr:sp macro="" textlink="">
      <xdr:nvSpPr>
        <xdr:cNvPr id="2" name="Seta: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BE068A-8AEC-4B12-B536-03CC7B3329B1}"/>
            </a:ext>
          </a:extLst>
        </xdr:cNvPr>
        <xdr:cNvSpPr/>
      </xdr:nvSpPr>
      <xdr:spPr>
        <a:xfrm>
          <a:off x="0" y="0"/>
          <a:ext cx="511969" cy="34528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642937</xdr:colOff>
      <xdr:row>0</xdr:row>
      <xdr:rowOff>23811</xdr:rowOff>
    </xdr:from>
    <xdr:to>
      <xdr:col>0</xdr:col>
      <xdr:colOff>2619375</xdr:colOff>
      <xdr:row>0</xdr:row>
      <xdr:rowOff>333374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C20F80F-466D-4AD6-A10F-FECAD9C36739}"/>
            </a:ext>
          </a:extLst>
        </xdr:cNvPr>
        <xdr:cNvSpPr txBox="1"/>
      </xdr:nvSpPr>
      <xdr:spPr>
        <a:xfrm>
          <a:off x="642937" y="23811"/>
          <a:ext cx="1976438" cy="3095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>
              <a:latin typeface="Trebuchet MS" panose="020B0603020202020204" pitchFamily="34" charset="0"/>
            </a:rPr>
            <a:t>Voltar para o menu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511969</xdr:colOff>
      <xdr:row>0</xdr:row>
      <xdr:rowOff>345282</xdr:rowOff>
    </xdr:to>
    <xdr:sp macro="" textlink="">
      <xdr:nvSpPr>
        <xdr:cNvPr id="2" name="Seta: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483DEC-8555-4D45-87D2-21A7585A013A}"/>
            </a:ext>
          </a:extLst>
        </xdr:cNvPr>
        <xdr:cNvSpPr/>
      </xdr:nvSpPr>
      <xdr:spPr>
        <a:xfrm>
          <a:off x="0" y="0"/>
          <a:ext cx="511969" cy="34528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642937</xdr:colOff>
      <xdr:row>0</xdr:row>
      <xdr:rowOff>23811</xdr:rowOff>
    </xdr:from>
    <xdr:to>
      <xdr:col>0</xdr:col>
      <xdr:colOff>2619375</xdr:colOff>
      <xdr:row>0</xdr:row>
      <xdr:rowOff>333374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D9755398-F938-4BF9-85D5-2D3900464B64}"/>
            </a:ext>
          </a:extLst>
        </xdr:cNvPr>
        <xdr:cNvSpPr txBox="1"/>
      </xdr:nvSpPr>
      <xdr:spPr>
        <a:xfrm>
          <a:off x="642937" y="23811"/>
          <a:ext cx="1976438" cy="3095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>
              <a:latin typeface="Trebuchet MS" panose="020B0603020202020204" pitchFamily="34" charset="0"/>
            </a:rPr>
            <a:t>Voltar para o menu</a:t>
          </a:r>
        </a:p>
      </xdr:txBody>
    </xdr:sp>
    <xdr:clientData/>
  </xdr:twoCellAnchor>
  <xdr:twoCellAnchor>
    <xdr:from>
      <xdr:col>0</xdr:col>
      <xdr:colOff>3569821</xdr:colOff>
      <xdr:row>33</xdr:row>
      <xdr:rowOff>108885</xdr:rowOff>
    </xdr:from>
    <xdr:to>
      <xdr:col>5</xdr:col>
      <xdr:colOff>73585</xdr:colOff>
      <xdr:row>39</xdr:row>
      <xdr:rowOff>70411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E4D8524E-5451-423D-946A-A834335B59C8}"/>
            </a:ext>
          </a:extLst>
        </xdr:cNvPr>
        <xdr:cNvSpPr txBox="1"/>
      </xdr:nvSpPr>
      <xdr:spPr>
        <a:xfrm>
          <a:off x="3569821" y="4882591"/>
          <a:ext cx="4908176" cy="9700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/>
            <a:t>Nota: </a:t>
          </a:r>
          <a:r>
            <a:rPr lang="pt-BR" sz="1200"/>
            <a:t>A partir da publicação do 4T23, alteramos o cálculo do ROIC, retroativamente. No novo conceito, incluímos os resultados gerenciais dos últimos 12 meses das empresas adquiridas (que não transitaram pelos resultados da Companhia), visto o balanço patrimonial (capital empregado) ser impactado imediatamente (no mês da aquisição).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110289</xdr:colOff>
      <xdr:row>1</xdr:row>
      <xdr:rowOff>89926</xdr:rowOff>
    </xdr:from>
    <xdr:to>
      <xdr:col>7</xdr:col>
      <xdr:colOff>101203</xdr:colOff>
      <xdr:row>14</xdr:row>
      <xdr:rowOff>19050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0C25329-0410-2E53-D223-87AF45C313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187093</xdr:colOff>
      <xdr:row>1</xdr:row>
      <xdr:rowOff>99674</xdr:rowOff>
    </xdr:from>
    <xdr:to>
      <xdr:col>27</xdr:col>
      <xdr:colOff>70182</xdr:colOff>
      <xdr:row>14</xdr:row>
      <xdr:rowOff>19552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E5C854E-E352-FB36-C271-2F01F7CD25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210990</xdr:colOff>
      <xdr:row>28</xdr:row>
      <xdr:rowOff>677</xdr:rowOff>
    </xdr:from>
    <xdr:to>
      <xdr:col>27</xdr:col>
      <xdr:colOff>60158</xdr:colOff>
      <xdr:row>40</xdr:row>
      <xdr:rowOff>140680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1E90C3BF-A640-409E-A261-0D96162552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89924</xdr:colOff>
      <xdr:row>14</xdr:row>
      <xdr:rowOff>127836</xdr:rowOff>
    </xdr:from>
    <xdr:to>
      <xdr:col>7</xdr:col>
      <xdr:colOff>60158</xdr:colOff>
      <xdr:row>27</xdr:row>
      <xdr:rowOff>80712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90F5A74B-4136-429B-8152-CC5F347A8C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220578</xdr:colOff>
      <xdr:row>28</xdr:row>
      <xdr:rowOff>32333</xdr:rowOff>
    </xdr:from>
    <xdr:to>
      <xdr:col>17</xdr:col>
      <xdr:colOff>60157</xdr:colOff>
      <xdr:row>40</xdr:row>
      <xdr:rowOff>160419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D2880E5-8A59-4E83-BFEB-A014C4ECC0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250659</xdr:colOff>
      <xdr:row>1</xdr:row>
      <xdr:rowOff>115804</xdr:rowOff>
    </xdr:from>
    <xdr:to>
      <xdr:col>17</xdr:col>
      <xdr:colOff>56775</xdr:colOff>
      <xdr:row>14</xdr:row>
      <xdr:rowOff>49129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3BCC4F7C-DB48-46BD-96DD-734E66EC07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230041</xdr:colOff>
      <xdr:row>14</xdr:row>
      <xdr:rowOff>161996</xdr:rowOff>
    </xdr:from>
    <xdr:to>
      <xdr:col>17</xdr:col>
      <xdr:colOff>40106</xdr:colOff>
      <xdr:row>27</xdr:row>
      <xdr:rowOff>110790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328CC81A-50BD-40B1-9723-2687E20171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87731</xdr:colOff>
      <xdr:row>28</xdr:row>
      <xdr:rowOff>39103</xdr:rowOff>
    </xdr:from>
    <xdr:to>
      <xdr:col>7</xdr:col>
      <xdr:colOff>60158</xdr:colOff>
      <xdr:row>40</xdr:row>
      <xdr:rowOff>177215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2CE53756-1AEB-42E3-A5EF-688B57936F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198523</xdr:colOff>
      <xdr:row>14</xdr:row>
      <xdr:rowOff>129841</xdr:rowOff>
    </xdr:from>
    <xdr:to>
      <xdr:col>27</xdr:col>
      <xdr:colOff>77385</xdr:colOff>
      <xdr:row>27</xdr:row>
      <xdr:rowOff>89371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F809B797-1C3D-415E-9044-94EA0D11D1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87732</xdr:colOff>
      <xdr:row>41</xdr:row>
      <xdr:rowOff>110791</xdr:rowOff>
    </xdr:from>
    <xdr:to>
      <xdr:col>7</xdr:col>
      <xdr:colOff>30079</xdr:colOff>
      <xdr:row>54</xdr:row>
      <xdr:rowOff>60295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B4AF9A4D-3F2D-4DC2-8C60-A633204397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511969</xdr:colOff>
      <xdr:row>0</xdr:row>
      <xdr:rowOff>345282</xdr:rowOff>
    </xdr:to>
    <xdr:sp macro="" textlink="">
      <xdr:nvSpPr>
        <xdr:cNvPr id="18" name="Seta: para a Esquerda 1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4287FEB-C629-46CB-8437-B3FBFEA61B3D}"/>
            </a:ext>
          </a:extLst>
        </xdr:cNvPr>
        <xdr:cNvSpPr/>
      </xdr:nvSpPr>
      <xdr:spPr>
        <a:xfrm>
          <a:off x="0" y="0"/>
          <a:ext cx="511969" cy="34528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642937</xdr:colOff>
      <xdr:row>0</xdr:row>
      <xdr:rowOff>23811</xdr:rowOff>
    </xdr:from>
    <xdr:to>
      <xdr:col>1</xdr:col>
      <xdr:colOff>400050</xdr:colOff>
      <xdr:row>0</xdr:row>
      <xdr:rowOff>333374</xdr:rowOff>
    </xdr:to>
    <xdr:sp macro="" textlink="">
      <xdr:nvSpPr>
        <xdr:cNvPr id="19" name="CaixaDeTexto 18">
          <a:extLst>
            <a:ext uri="{FF2B5EF4-FFF2-40B4-BE49-F238E27FC236}">
              <a16:creationId xmlns:a16="http://schemas.microsoft.com/office/drawing/2014/main" id="{D22B97DD-E42F-4FCD-A081-F237F8D33B0B}"/>
            </a:ext>
          </a:extLst>
        </xdr:cNvPr>
        <xdr:cNvSpPr txBox="1"/>
      </xdr:nvSpPr>
      <xdr:spPr>
        <a:xfrm>
          <a:off x="642937" y="23811"/>
          <a:ext cx="1976438" cy="3095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>
              <a:latin typeface="Trebuchet MS" panose="020B0603020202020204" pitchFamily="34" charset="0"/>
            </a:rPr>
            <a:t>Voltar para o menu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511969</xdr:colOff>
      <xdr:row>0</xdr:row>
      <xdr:rowOff>345282</xdr:rowOff>
    </xdr:to>
    <xdr:sp macro="" textlink="">
      <xdr:nvSpPr>
        <xdr:cNvPr id="14" name="Seta: para a Esquerda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D6556D-813D-4853-AA0E-5C33B0774DEF}"/>
            </a:ext>
          </a:extLst>
        </xdr:cNvPr>
        <xdr:cNvSpPr/>
      </xdr:nvSpPr>
      <xdr:spPr>
        <a:xfrm>
          <a:off x="0" y="0"/>
          <a:ext cx="511969" cy="34528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642937</xdr:colOff>
      <xdr:row>0</xdr:row>
      <xdr:rowOff>23811</xdr:rowOff>
    </xdr:from>
    <xdr:to>
      <xdr:col>1</xdr:col>
      <xdr:colOff>0</xdr:colOff>
      <xdr:row>0</xdr:row>
      <xdr:rowOff>333374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B323D635-C0BD-46D8-80C6-556506F10DBF}"/>
            </a:ext>
          </a:extLst>
        </xdr:cNvPr>
        <xdr:cNvSpPr txBox="1"/>
      </xdr:nvSpPr>
      <xdr:spPr>
        <a:xfrm>
          <a:off x="642937" y="23811"/>
          <a:ext cx="1976438" cy="3095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>
              <a:latin typeface="Trebuchet MS" panose="020B0603020202020204" pitchFamily="34" charset="0"/>
            </a:rPr>
            <a:t>Voltar para o menu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rinerservicos.sharepoint.com/sites/grupo-priner/DADOS/CONT/AUDITORIA%20_%20Grupo%20Priner/AUDITORIA%20EXTERNA%20-%20PAPEIS%20DE%20TRABALHO/Auditoria%202024/2TRIM2024/0%20-%20DFs/1.%20FINAL/PRINER%20-%202TRI2024%20v2.xlsx" TargetMode="External"/><Relationship Id="rId1" Type="http://schemas.openxmlformats.org/officeDocument/2006/relationships/externalLinkPath" Target="https://prinerservicos.sharepoint.com/sites/grupo-priner/DADOS/CONT/AUDITORIA%20_%20Grupo%20Priner/AUDITORIA%20EXTERNA%20-%20PAPEIS%20DE%20TRABALHO/Auditoria%202024/2TRIM2024/0%20-%20DFs/1.%20FINAL/PRINER%20-%202TRI2024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P Ativo"/>
      <sheetName val="BP Passivo"/>
      <sheetName val="DRE"/>
      <sheetName val="DRA"/>
      <sheetName val="DMPL"/>
      <sheetName val="DFC"/>
      <sheetName val="DVA"/>
    </sheetNames>
    <sheetDataSet>
      <sheetData sheetId="0"/>
      <sheetData sheetId="1"/>
      <sheetData sheetId="2"/>
      <sheetData sheetId="3"/>
      <sheetData sheetId="4"/>
      <sheetData sheetId="5">
        <row r="72">
          <cell r="G72">
            <v>-15512</v>
          </cell>
        </row>
        <row r="73">
          <cell r="G73">
            <v>-1228</v>
          </cell>
        </row>
        <row r="77">
          <cell r="G77">
            <v>-3661</v>
          </cell>
        </row>
        <row r="78">
          <cell r="G78">
            <v>-31641</v>
          </cell>
        </row>
        <row r="79">
          <cell r="G79">
            <v>-13592</v>
          </cell>
        </row>
        <row r="80">
          <cell r="G80">
            <v>-6029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0B8DB-F2BF-4B25-8699-B8246DA28BCB}">
  <sheetPr>
    <tabColor rgb="FF92D050"/>
  </sheetPr>
  <dimension ref="B1:S36"/>
  <sheetViews>
    <sheetView showGridLines="0" tabSelected="1" zoomScaleNormal="100" workbookViewId="0"/>
  </sheetViews>
  <sheetFormatPr defaultRowHeight="14.5" x14ac:dyDescent="0.35"/>
  <cols>
    <col min="6" max="6" width="10.81640625" customWidth="1"/>
    <col min="7" max="7" width="13.453125" customWidth="1"/>
    <col min="10" max="10" width="9.1796875" customWidth="1"/>
    <col min="14" max="14" width="14.81640625" customWidth="1"/>
  </cols>
  <sheetData>
    <row r="1" spans="2:19" s="184" customFormat="1" x14ac:dyDescent="0.35"/>
    <row r="2" spans="2:19" s="184" customFormat="1" x14ac:dyDescent="0.35"/>
    <row r="3" spans="2:19" s="184" customFormat="1" ht="34" x14ac:dyDescent="0.8">
      <c r="F3" s="187" t="s">
        <v>521</v>
      </c>
    </row>
    <row r="4" spans="2:19" s="184" customFormat="1" x14ac:dyDescent="0.35"/>
    <row r="5" spans="2:19" s="184" customFormat="1" x14ac:dyDescent="0.35"/>
    <row r="6" spans="2:19" s="184" customFormat="1" ht="20.5" x14ac:dyDescent="0.45">
      <c r="B6" s="185"/>
      <c r="C6" s="185"/>
      <c r="D6" s="374" t="s">
        <v>522</v>
      </c>
      <c r="E6" s="374"/>
      <c r="F6" s="374"/>
      <c r="G6" s="374"/>
      <c r="H6" s="374"/>
      <c r="J6" s="373" t="s">
        <v>287</v>
      </c>
      <c r="K6" s="373"/>
      <c r="L6" s="373"/>
      <c r="M6" s="373"/>
      <c r="N6" s="373"/>
    </row>
    <row r="7" spans="2:19" s="184" customFormat="1" x14ac:dyDescent="0.35"/>
    <row r="8" spans="2:19" s="184" customFormat="1" x14ac:dyDescent="0.35"/>
    <row r="9" spans="2:19" s="184" customFormat="1" x14ac:dyDescent="0.35">
      <c r="S9" s="188"/>
    </row>
    <row r="10" spans="2:19" s="184" customFormat="1" x14ac:dyDescent="0.35"/>
    <row r="11" spans="2:19" s="184" customFormat="1" x14ac:dyDescent="0.35"/>
    <row r="12" spans="2:19" s="184" customFormat="1" x14ac:dyDescent="0.35"/>
    <row r="13" spans="2:19" s="184" customFormat="1" x14ac:dyDescent="0.35"/>
    <row r="14" spans="2:19" s="184" customFormat="1" x14ac:dyDescent="0.35"/>
    <row r="15" spans="2:19" s="184" customFormat="1" x14ac:dyDescent="0.35"/>
    <row r="16" spans="2:19" s="184" customFormat="1" x14ac:dyDescent="0.35"/>
    <row r="17" s="184" customFormat="1" x14ac:dyDescent="0.35"/>
    <row r="18" s="184" customFormat="1" x14ac:dyDescent="0.35"/>
    <row r="19" s="184" customFormat="1" x14ac:dyDescent="0.35"/>
    <row r="20" s="184" customFormat="1" x14ac:dyDescent="0.35"/>
    <row r="21" s="184" customFormat="1" x14ac:dyDescent="0.35"/>
    <row r="22" s="184" customFormat="1" x14ac:dyDescent="0.35"/>
    <row r="23" s="184" customFormat="1" x14ac:dyDescent="0.35"/>
    <row r="24" s="184" customFormat="1" x14ac:dyDescent="0.35"/>
    <row r="25" s="184" customFormat="1" x14ac:dyDescent="0.35"/>
    <row r="26" s="184" customFormat="1" x14ac:dyDescent="0.35"/>
    <row r="27" s="184" customFormat="1" x14ac:dyDescent="0.35"/>
    <row r="28" s="184" customFormat="1" x14ac:dyDescent="0.35"/>
    <row r="29" s="184" customFormat="1" x14ac:dyDescent="0.35"/>
    <row r="30" s="184" customFormat="1" x14ac:dyDescent="0.35"/>
    <row r="31" s="184" customFormat="1" x14ac:dyDescent="0.35"/>
    <row r="32" s="184" customFormat="1" x14ac:dyDescent="0.35"/>
    <row r="33" s="184" customFormat="1" x14ac:dyDescent="0.35"/>
    <row r="34" s="184" customFormat="1" x14ac:dyDescent="0.35"/>
    <row r="35" s="184" customFormat="1" x14ac:dyDescent="0.35"/>
    <row r="36" s="184" customFormat="1" x14ac:dyDescent="0.35"/>
  </sheetData>
  <mergeCells count="2">
    <mergeCell ref="J6:N6"/>
    <mergeCell ref="D6:H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E2C55-C775-4E71-97AB-7CDCCD284314}">
  <sheetPr>
    <tabColor rgb="FF92D050"/>
    <pageSetUpPr fitToPage="1"/>
  </sheetPr>
  <dimension ref="A2:J50"/>
  <sheetViews>
    <sheetView showGridLines="0" zoomScaleNormal="100" zoomScaleSheetLayoutView="100" workbookViewId="0"/>
  </sheetViews>
  <sheetFormatPr defaultColWidth="15" defaultRowHeight="15.75" customHeight="1" x14ac:dyDescent="0.35"/>
  <cols>
    <col min="1" max="1" width="48" style="3" customWidth="1"/>
    <col min="2" max="2" width="13.54296875" style="3" customWidth="1"/>
    <col min="3" max="3" width="3.7265625" style="3" customWidth="1"/>
    <col min="4" max="4" width="15" style="3" bestFit="1" customWidth="1"/>
    <col min="5" max="5" width="1.54296875" style="3" customWidth="1"/>
    <col min="6" max="6" width="15" style="3" bestFit="1" customWidth="1"/>
    <col min="7" max="7" width="2.81640625" style="16" customWidth="1"/>
    <col min="8" max="8" width="15" style="3" bestFit="1" customWidth="1"/>
    <col min="9" max="9" width="2" style="3" customWidth="1"/>
    <col min="10" max="10" width="15" style="3" customWidth="1"/>
    <col min="11" max="16384" width="15" style="3"/>
  </cols>
  <sheetData>
    <row r="2" spans="1:10" ht="23.25" customHeight="1" x14ac:dyDescent="0.35"/>
    <row r="3" spans="1:10" ht="18" customHeight="1" x14ac:dyDescent="0.35">
      <c r="A3" s="292" t="s">
        <v>0</v>
      </c>
      <c r="B3" s="293"/>
      <c r="C3" s="293"/>
      <c r="D3" s="293"/>
      <c r="E3" s="293"/>
      <c r="F3" s="293"/>
      <c r="G3" s="293"/>
      <c r="H3" s="293"/>
      <c r="I3" s="293"/>
      <c r="J3" s="293"/>
    </row>
    <row r="4" spans="1:10" ht="18" customHeight="1" x14ac:dyDescent="0.4">
      <c r="A4" s="4"/>
      <c r="D4" s="375"/>
      <c r="E4" s="376"/>
      <c r="F4" s="376"/>
      <c r="G4" s="377"/>
      <c r="H4" s="376"/>
      <c r="I4" s="376"/>
      <c r="J4" s="376"/>
    </row>
    <row r="5" spans="1:10" ht="18" customHeight="1" x14ac:dyDescent="0.35">
      <c r="A5" s="294" t="s">
        <v>298</v>
      </c>
      <c r="B5" s="295"/>
      <c r="C5" s="295"/>
      <c r="D5" s="295"/>
      <c r="E5" s="295"/>
      <c r="F5" s="295"/>
      <c r="G5" s="295"/>
      <c r="H5" s="295"/>
      <c r="I5" s="295"/>
      <c r="J5" s="295"/>
    </row>
    <row r="6" spans="1:10" ht="18" customHeight="1" x14ac:dyDescent="0.35">
      <c r="A6" s="296" t="s">
        <v>532</v>
      </c>
      <c r="B6" s="297"/>
      <c r="C6" s="297"/>
      <c r="D6" s="297"/>
      <c r="E6" s="297"/>
      <c r="F6" s="297"/>
      <c r="G6" s="297"/>
      <c r="H6" s="297"/>
      <c r="I6" s="297"/>
      <c r="J6" s="297"/>
    </row>
    <row r="7" spans="1:10" ht="18" customHeight="1" x14ac:dyDescent="0.35">
      <c r="A7" s="298" t="s">
        <v>1</v>
      </c>
      <c r="B7" s="299"/>
      <c r="C7" s="299"/>
      <c r="D7" s="300"/>
      <c r="E7" s="299"/>
      <c r="F7" s="299"/>
      <c r="G7" s="299"/>
      <c r="H7" s="301"/>
      <c r="I7" s="299"/>
      <c r="J7" s="299"/>
    </row>
    <row r="8" spans="1:10" ht="18" customHeight="1" x14ac:dyDescent="0.35">
      <c r="A8" s="5"/>
      <c r="D8" s="17"/>
      <c r="G8" s="3"/>
    </row>
    <row r="9" spans="1:10" ht="18" customHeight="1" x14ac:dyDescent="0.4">
      <c r="B9" s="302"/>
      <c r="C9" s="302"/>
      <c r="D9" s="303"/>
      <c r="E9" s="302"/>
      <c r="F9" s="303"/>
      <c r="G9" s="302"/>
      <c r="H9" s="303"/>
      <c r="I9" s="302"/>
      <c r="J9" s="303"/>
    </row>
    <row r="10" spans="1:10" ht="18" customHeight="1" x14ac:dyDescent="0.35">
      <c r="A10" s="304" t="s">
        <v>2</v>
      </c>
      <c r="B10" s="305"/>
      <c r="C10" s="306"/>
      <c r="D10" s="378" t="s">
        <v>3</v>
      </c>
      <c r="E10" s="379"/>
      <c r="F10" s="379"/>
      <c r="G10" s="7"/>
      <c r="H10" s="378" t="s">
        <v>4</v>
      </c>
      <c r="I10" s="379"/>
      <c r="J10" s="379"/>
    </row>
    <row r="11" spans="1:10" ht="30" x14ac:dyDescent="0.35">
      <c r="A11" s="6"/>
      <c r="B11" s="307" t="s">
        <v>5</v>
      </c>
      <c r="C11" s="204"/>
      <c r="D11" s="308">
        <v>46203</v>
      </c>
      <c r="E11" s="217"/>
      <c r="F11" s="309">
        <v>46022</v>
      </c>
      <c r="G11" s="217"/>
      <c r="H11" s="310">
        <f>D11</f>
        <v>46203</v>
      </c>
      <c r="I11" s="217"/>
      <c r="J11" s="308">
        <f>F11</f>
        <v>46022</v>
      </c>
    </row>
    <row r="12" spans="1:10" ht="18" customHeight="1" x14ac:dyDescent="0.35">
      <c r="A12" s="311"/>
      <c r="B12" s="312"/>
      <c r="C12" s="312"/>
      <c r="D12" s="312"/>
      <c r="E12" s="312"/>
      <c r="F12" s="312"/>
      <c r="G12" s="312"/>
      <c r="H12" s="312"/>
      <c r="I12" s="312"/>
      <c r="J12" s="312"/>
    </row>
    <row r="13" spans="1:10" ht="18" customHeight="1" x14ac:dyDescent="0.35">
      <c r="A13" s="313" t="s">
        <v>6</v>
      </c>
      <c r="B13" s="314"/>
      <c r="C13" s="314"/>
      <c r="D13" s="314"/>
      <c r="E13" s="314"/>
      <c r="F13" s="314"/>
      <c r="G13" s="314"/>
      <c r="H13" s="315"/>
      <c r="I13" s="315"/>
      <c r="J13" s="315"/>
    </row>
    <row r="14" spans="1:10" ht="18" customHeight="1" x14ac:dyDescent="0.35">
      <c r="A14" s="311" t="s">
        <v>7</v>
      </c>
      <c r="B14" s="312">
        <v>4</v>
      </c>
      <c r="C14" s="312"/>
      <c r="D14" s="312">
        <v>189337</v>
      </c>
      <c r="E14" s="312"/>
      <c r="F14" s="312">
        <v>207752</v>
      </c>
      <c r="G14" s="312"/>
      <c r="H14" s="312">
        <v>301833</v>
      </c>
      <c r="I14" s="312"/>
      <c r="J14" s="312">
        <v>343246</v>
      </c>
    </row>
    <row r="15" spans="1:10" ht="18" customHeight="1" x14ac:dyDescent="0.35">
      <c r="A15" s="311" t="s">
        <v>8</v>
      </c>
      <c r="B15" s="312">
        <v>4</v>
      </c>
      <c r="C15" s="312"/>
      <c r="D15" s="312">
        <v>11554</v>
      </c>
      <c r="E15" s="312"/>
      <c r="F15" s="312">
        <v>11334</v>
      </c>
      <c r="G15" s="312"/>
      <c r="H15" s="312">
        <v>11554</v>
      </c>
      <c r="I15" s="312"/>
      <c r="J15" s="312">
        <v>11334</v>
      </c>
    </row>
    <row r="16" spans="1:10" ht="18" customHeight="1" x14ac:dyDescent="0.35">
      <c r="A16" s="311" t="s">
        <v>417</v>
      </c>
      <c r="B16" s="312">
        <v>5</v>
      </c>
      <c r="C16" s="312"/>
      <c r="D16" s="312">
        <v>213700</v>
      </c>
      <c r="E16" s="312"/>
      <c r="F16" s="312">
        <v>169688</v>
      </c>
      <c r="G16" s="312"/>
      <c r="H16" s="312">
        <v>435138</v>
      </c>
      <c r="I16" s="312"/>
      <c r="J16" s="312">
        <v>414199</v>
      </c>
    </row>
    <row r="17" spans="1:10" ht="18" customHeight="1" x14ac:dyDescent="0.35">
      <c r="A17" s="311" t="s">
        <v>10</v>
      </c>
      <c r="B17" s="312" t="s">
        <v>508</v>
      </c>
      <c r="C17" s="312"/>
      <c r="D17" s="312">
        <v>51263</v>
      </c>
      <c r="E17" s="312"/>
      <c r="F17" s="312">
        <v>44692</v>
      </c>
      <c r="G17" s="312"/>
      <c r="H17" s="312">
        <v>29441</v>
      </c>
      <c r="I17" s="312"/>
      <c r="J17" s="312">
        <v>15198</v>
      </c>
    </row>
    <row r="18" spans="1:10" ht="18" customHeight="1" x14ac:dyDescent="0.35">
      <c r="A18" s="311" t="s">
        <v>11</v>
      </c>
      <c r="B18" s="312" t="s">
        <v>508</v>
      </c>
      <c r="C18" s="312"/>
      <c r="D18" s="312">
        <v>3191</v>
      </c>
      <c r="E18" s="312"/>
      <c r="F18" s="312">
        <v>36615</v>
      </c>
      <c r="G18" s="312"/>
      <c r="H18" s="312">
        <f>6000-6000</f>
        <v>0</v>
      </c>
      <c r="I18" s="312"/>
      <c r="J18" s="312">
        <f>6000-6000</f>
        <v>0</v>
      </c>
    </row>
    <row r="19" spans="1:10" ht="18" customHeight="1" x14ac:dyDescent="0.35">
      <c r="A19" s="311" t="s">
        <v>12</v>
      </c>
      <c r="B19" s="312"/>
      <c r="C19" s="312"/>
      <c r="D19" s="312">
        <v>697</v>
      </c>
      <c r="E19" s="312"/>
      <c r="F19" s="312">
        <v>700</v>
      </c>
      <c r="G19" s="312"/>
      <c r="H19" s="312">
        <v>18915</v>
      </c>
      <c r="I19" s="312"/>
      <c r="J19" s="312">
        <v>8908</v>
      </c>
    </row>
    <row r="20" spans="1:10" ht="18" customHeight="1" x14ac:dyDescent="0.35">
      <c r="A20" s="311" t="s">
        <v>14</v>
      </c>
      <c r="B20" s="312">
        <v>6</v>
      </c>
      <c r="C20" s="312"/>
      <c r="D20" s="312">
        <v>28749</v>
      </c>
      <c r="E20" s="312"/>
      <c r="F20" s="312">
        <v>15020</v>
      </c>
      <c r="G20" s="312"/>
      <c r="H20" s="312">
        <v>43262</v>
      </c>
      <c r="I20" s="312"/>
      <c r="J20" s="312">
        <v>28171</v>
      </c>
    </row>
    <row r="21" spans="1:10" ht="18" customHeight="1" x14ac:dyDescent="0.35">
      <c r="A21" s="311" t="s">
        <v>418</v>
      </c>
      <c r="B21" s="312">
        <v>28</v>
      </c>
      <c r="C21" s="312"/>
      <c r="D21" s="312">
        <v>13</v>
      </c>
      <c r="E21" s="312"/>
      <c r="F21" s="312">
        <v>9564</v>
      </c>
      <c r="G21" s="312"/>
      <c r="H21" s="312">
        <v>13</v>
      </c>
      <c r="I21" s="312"/>
      <c r="J21" s="312">
        <v>9564</v>
      </c>
    </row>
    <row r="22" spans="1:10" ht="18" customHeight="1" thickBot="1" x14ac:dyDescent="0.4">
      <c r="A22" s="311" t="s">
        <v>16</v>
      </c>
      <c r="B22" s="312"/>
      <c r="C22" s="312"/>
      <c r="D22" s="312">
        <v>13186</v>
      </c>
      <c r="E22" s="312"/>
      <c r="F22" s="312">
        <v>8657</v>
      </c>
      <c r="G22" s="312"/>
      <c r="H22" s="312">
        <v>29893</v>
      </c>
      <c r="I22" s="312"/>
      <c r="J22" s="312">
        <f>16150+200</f>
        <v>16350</v>
      </c>
    </row>
    <row r="23" spans="1:10" ht="15" thickBot="1" x14ac:dyDescent="0.4">
      <c r="A23" s="316"/>
      <c r="B23" s="317"/>
      <c r="C23" s="317"/>
      <c r="D23" s="318">
        <f>SUM(D14:D22)</f>
        <v>511690</v>
      </c>
      <c r="E23" s="317"/>
      <c r="F23" s="318">
        <f>SUM(F14:F22)</f>
        <v>504022</v>
      </c>
      <c r="G23" s="318"/>
      <c r="H23" s="318">
        <f>SUM(H14:H22)</f>
        <v>870049</v>
      </c>
      <c r="I23" s="317"/>
      <c r="J23" s="318">
        <f>SUM(J14:J22)</f>
        <v>846970</v>
      </c>
    </row>
    <row r="24" spans="1:10" ht="18" customHeight="1" x14ac:dyDescent="0.35">
      <c r="A24" s="311"/>
      <c r="B24" s="312"/>
      <c r="C24" s="312"/>
      <c r="D24" s="312"/>
      <c r="E24" s="312"/>
      <c r="F24" s="312"/>
      <c r="G24" s="312"/>
      <c r="H24" s="312"/>
      <c r="I24" s="312"/>
      <c r="J24" s="312"/>
    </row>
    <row r="25" spans="1:10" ht="18" customHeight="1" x14ac:dyDescent="0.35">
      <c r="A25" s="311"/>
      <c r="B25" s="312"/>
      <c r="C25" s="312"/>
      <c r="D25" s="312"/>
      <c r="E25" s="312"/>
      <c r="F25" s="312"/>
      <c r="G25" s="312"/>
      <c r="H25" s="312"/>
      <c r="I25" s="312"/>
      <c r="J25" s="312"/>
    </row>
    <row r="26" spans="1:10" ht="18" customHeight="1" x14ac:dyDescent="0.35">
      <c r="A26" s="313" t="s">
        <v>17</v>
      </c>
      <c r="B26" s="314"/>
      <c r="C26" s="314"/>
      <c r="D26" s="314"/>
      <c r="E26" s="314"/>
      <c r="F26" s="314"/>
      <c r="G26" s="314"/>
      <c r="H26" s="314"/>
      <c r="I26" s="314"/>
      <c r="J26" s="314"/>
    </row>
    <row r="27" spans="1:10" ht="18" customHeight="1" x14ac:dyDescent="0.35">
      <c r="A27" s="311" t="s">
        <v>8</v>
      </c>
      <c r="B27" s="312">
        <v>4</v>
      </c>
      <c r="C27" s="312"/>
      <c r="D27" s="319">
        <v>1317</v>
      </c>
      <c r="E27" s="312"/>
      <c r="F27" s="319">
        <v>1317</v>
      </c>
      <c r="G27" s="312"/>
      <c r="H27" s="312">
        <v>3010</v>
      </c>
      <c r="I27" s="312"/>
      <c r="J27" s="312">
        <v>2928</v>
      </c>
    </row>
    <row r="28" spans="1:10" ht="18" customHeight="1" x14ac:dyDescent="0.35">
      <c r="A28" s="311" t="s">
        <v>417</v>
      </c>
      <c r="B28" s="312">
        <v>5</v>
      </c>
      <c r="C28" s="312"/>
      <c r="D28" s="319">
        <v>5521</v>
      </c>
      <c r="E28" s="312"/>
      <c r="F28" s="319">
        <v>5714</v>
      </c>
      <c r="G28" s="312"/>
      <c r="H28" s="312">
        <v>5582</v>
      </c>
      <c r="I28" s="312"/>
      <c r="J28" s="312">
        <v>5714</v>
      </c>
    </row>
    <row r="29" spans="1:10" ht="18" customHeight="1" x14ac:dyDescent="0.35">
      <c r="A29" s="311" t="s">
        <v>19</v>
      </c>
      <c r="B29" s="312" t="s">
        <v>508</v>
      </c>
      <c r="C29" s="312"/>
      <c r="D29" s="312">
        <v>12407</v>
      </c>
      <c r="E29" s="312"/>
      <c r="F29" s="312">
        <v>26580</v>
      </c>
      <c r="G29" s="312"/>
      <c r="H29" s="312">
        <v>0</v>
      </c>
      <c r="I29" s="312"/>
      <c r="J29" s="312">
        <v>0</v>
      </c>
    </row>
    <row r="30" spans="1:10" ht="18" customHeight="1" x14ac:dyDescent="0.35">
      <c r="A30" s="311" t="s">
        <v>21</v>
      </c>
      <c r="B30" s="312" t="s">
        <v>509</v>
      </c>
      <c r="C30" s="312"/>
      <c r="D30" s="312">
        <v>103468</v>
      </c>
      <c r="E30" s="312"/>
      <c r="F30" s="312">
        <v>98247</v>
      </c>
      <c r="G30" s="312"/>
      <c r="H30" s="312">
        <f>86299-326</f>
        <v>85973</v>
      </c>
      <c r="I30" s="312"/>
      <c r="J30" s="312">
        <v>82176</v>
      </c>
    </row>
    <row r="31" spans="1:10" ht="18" customHeight="1" x14ac:dyDescent="0.35">
      <c r="A31" s="311" t="s">
        <v>22</v>
      </c>
      <c r="B31" s="312">
        <v>8</v>
      </c>
      <c r="C31" s="312"/>
      <c r="D31" s="312">
        <v>6330</v>
      </c>
      <c r="E31" s="312"/>
      <c r="F31" s="312">
        <v>6086</v>
      </c>
      <c r="G31" s="312"/>
      <c r="H31" s="312">
        <v>17732</v>
      </c>
      <c r="I31" s="312"/>
      <c r="J31" s="312">
        <v>16856</v>
      </c>
    </row>
    <row r="32" spans="1:10" ht="18" customHeight="1" x14ac:dyDescent="0.35">
      <c r="A32" s="311" t="s">
        <v>24</v>
      </c>
      <c r="B32" s="312"/>
      <c r="C32" s="312"/>
      <c r="D32" s="312">
        <v>644</v>
      </c>
      <c r="E32" s="312"/>
      <c r="F32" s="312">
        <f>241+394</f>
        <v>635</v>
      </c>
      <c r="G32" s="312"/>
      <c r="H32" s="312">
        <f>1401+1</f>
        <v>1402</v>
      </c>
      <c r="I32" s="312"/>
      <c r="J32" s="312">
        <f>695+818</f>
        <v>1513</v>
      </c>
    </row>
    <row r="33" spans="1:10" ht="18" customHeight="1" x14ac:dyDescent="0.35">
      <c r="A33" s="311" t="s">
        <v>25</v>
      </c>
      <c r="B33" s="312">
        <v>9</v>
      </c>
      <c r="C33" s="312"/>
      <c r="D33" s="312">
        <v>720088</v>
      </c>
      <c r="E33" s="312"/>
      <c r="F33" s="312">
        <v>706117</v>
      </c>
      <c r="G33" s="312"/>
      <c r="H33" s="312">
        <v>474</v>
      </c>
      <c r="I33" s="312"/>
      <c r="J33" s="312">
        <v>224</v>
      </c>
    </row>
    <row r="34" spans="1:10" ht="18" customHeight="1" x14ac:dyDescent="0.35">
      <c r="A34" s="311" t="s">
        <v>385</v>
      </c>
      <c r="B34" s="312">
        <v>10</v>
      </c>
      <c r="C34" s="312"/>
      <c r="D34" s="312">
        <v>78660</v>
      </c>
      <c r="E34" s="312"/>
      <c r="F34" s="312">
        <f>70579+3925</f>
        <v>74504</v>
      </c>
      <c r="G34" s="312"/>
      <c r="H34" s="312">
        <v>573125</v>
      </c>
      <c r="I34" s="312"/>
      <c r="J34" s="312">
        <f>544205+27887</f>
        <v>572092</v>
      </c>
    </row>
    <row r="35" spans="1:10" ht="18" customHeight="1" thickBot="1" x14ac:dyDescent="0.4">
      <c r="A35" s="311" t="s">
        <v>26</v>
      </c>
      <c r="B35" s="312">
        <v>11</v>
      </c>
      <c r="C35" s="312"/>
      <c r="D35" s="312">
        <v>31868</v>
      </c>
      <c r="E35" s="312"/>
      <c r="F35" s="312">
        <v>33238</v>
      </c>
      <c r="G35" s="312"/>
      <c r="H35" s="312">
        <v>345118</v>
      </c>
      <c r="I35" s="312"/>
      <c r="J35" s="312">
        <v>362170</v>
      </c>
    </row>
    <row r="36" spans="1:10" ht="15" thickBot="1" x14ac:dyDescent="0.4">
      <c r="A36" s="316"/>
      <c r="B36" s="317"/>
      <c r="C36" s="317"/>
      <c r="D36" s="318">
        <f>SUM(D27:D35)</f>
        <v>960303</v>
      </c>
      <c r="E36" s="317"/>
      <c r="F36" s="318">
        <f>SUM(F27:F35)</f>
        <v>952438</v>
      </c>
      <c r="G36" s="318"/>
      <c r="H36" s="318">
        <f>SUM(H27:H35)</f>
        <v>1032416</v>
      </c>
      <c r="I36" s="317"/>
      <c r="J36" s="318">
        <f>SUM(J27:J35)</f>
        <v>1043673</v>
      </c>
    </row>
    <row r="37" spans="1:10" ht="18" customHeight="1" thickBot="1" x14ac:dyDescent="0.4">
      <c r="A37" s="311"/>
      <c r="B37" s="312"/>
      <c r="C37" s="312"/>
      <c r="D37" s="312"/>
      <c r="E37" s="312"/>
      <c r="F37" s="312"/>
      <c r="G37" s="312"/>
      <c r="H37" s="312"/>
      <c r="I37" s="312"/>
      <c r="J37" s="312"/>
    </row>
    <row r="38" spans="1:10" ht="18" customHeight="1" thickBot="1" x14ac:dyDescent="0.4">
      <c r="A38" s="316" t="s">
        <v>27</v>
      </c>
      <c r="B38" s="317"/>
      <c r="C38" s="317"/>
      <c r="D38" s="317">
        <f>D36+D23</f>
        <v>1471993</v>
      </c>
      <c r="E38" s="317"/>
      <c r="F38" s="317">
        <f>F36+F23</f>
        <v>1456460</v>
      </c>
      <c r="G38" s="317"/>
      <c r="H38" s="317">
        <f>H36+H23</f>
        <v>1902465</v>
      </c>
      <c r="I38" s="317"/>
      <c r="J38" s="317">
        <f>J36+J23</f>
        <v>1890643</v>
      </c>
    </row>
    <row r="39" spans="1:10" ht="18" customHeight="1" x14ac:dyDescent="0.35">
      <c r="A39" s="311"/>
      <c r="B39" s="312"/>
      <c r="C39" s="312"/>
      <c r="D39" s="312"/>
      <c r="E39" s="312"/>
      <c r="F39" s="312"/>
      <c r="G39" s="312"/>
      <c r="H39" s="312"/>
      <c r="I39" s="312"/>
      <c r="J39" s="312"/>
    </row>
    <row r="40" spans="1:10" ht="18" customHeight="1" x14ac:dyDescent="0.35">
      <c r="A40" s="311"/>
      <c r="B40" s="312"/>
      <c r="C40" s="312"/>
      <c r="D40" s="312"/>
      <c r="E40" s="312"/>
      <c r="F40" s="312"/>
      <c r="G40" s="312"/>
      <c r="H40" s="312"/>
      <c r="I40" s="312"/>
      <c r="J40" s="312"/>
    </row>
    <row r="41" spans="1:10" ht="18" customHeight="1" x14ac:dyDescent="0.35">
      <c r="A41" s="311"/>
      <c r="B41" s="312"/>
      <c r="C41" s="312"/>
      <c r="D41" s="312"/>
      <c r="E41" s="312"/>
      <c r="F41" s="312"/>
      <c r="G41" s="312"/>
      <c r="H41" s="312"/>
      <c r="I41" s="312"/>
      <c r="J41" s="312"/>
    </row>
    <row r="42" spans="1:10" ht="14.5" x14ac:dyDescent="0.35">
      <c r="A42" s="320" t="s">
        <v>299</v>
      </c>
      <c r="B42" s="314"/>
      <c r="C42" s="314"/>
      <c r="D42" s="314"/>
      <c r="E42" s="314"/>
      <c r="F42" s="314"/>
      <c r="G42" s="314"/>
      <c r="H42" s="314"/>
      <c r="I42" s="314"/>
      <c r="J42" s="314"/>
    </row>
    <row r="43" spans="1:10" ht="18" customHeight="1" x14ac:dyDescent="0.35">
      <c r="A43" s="311"/>
      <c r="B43" s="312"/>
      <c r="C43" s="312"/>
      <c r="D43" s="312"/>
      <c r="E43" s="312"/>
      <c r="F43" s="312"/>
      <c r="G43" s="312"/>
      <c r="H43" s="312"/>
      <c r="I43" s="312"/>
      <c r="J43" s="312"/>
    </row>
    <row r="44" spans="1:10" ht="18" customHeight="1" x14ac:dyDescent="0.35">
      <c r="A44" s="311"/>
      <c r="B44" s="312"/>
      <c r="C44" s="312"/>
      <c r="D44" s="312">
        <f>D38-'BP Passivo'!D49</f>
        <v>0</v>
      </c>
      <c r="E44" s="312"/>
      <c r="F44" s="312">
        <f>F38-'BP Passivo'!F49</f>
        <v>0</v>
      </c>
      <c r="G44" s="312"/>
      <c r="H44" s="312">
        <f>H38-'BP Passivo'!H49</f>
        <v>0</v>
      </c>
      <c r="I44" s="312"/>
      <c r="J44" s="312">
        <f>J38-'BP Passivo'!J49</f>
        <v>0</v>
      </c>
    </row>
    <row r="45" spans="1:10" ht="18" customHeight="1" x14ac:dyDescent="0.35">
      <c r="A45" s="311"/>
      <c r="B45" s="312"/>
      <c r="C45" s="312"/>
      <c r="D45" s="312"/>
      <c r="E45" s="312"/>
      <c r="F45" s="312"/>
      <c r="G45" s="312"/>
      <c r="H45" s="312"/>
      <c r="I45" s="312"/>
      <c r="J45" s="312"/>
    </row>
    <row r="46" spans="1:10" ht="18" customHeight="1" x14ac:dyDescent="0.35">
      <c r="A46" s="311"/>
      <c r="B46" s="312"/>
      <c r="C46" s="312"/>
      <c r="D46" s="312"/>
      <c r="E46" s="312"/>
      <c r="F46" s="312"/>
      <c r="G46" s="312"/>
      <c r="H46" s="312"/>
      <c r="I46" s="312"/>
      <c r="J46" s="312"/>
    </row>
    <row r="47" spans="1:10" ht="18" customHeight="1" x14ac:dyDescent="0.35">
      <c r="A47" s="311"/>
      <c r="B47" s="312"/>
      <c r="C47" s="312"/>
      <c r="D47" s="312"/>
      <c r="E47" s="312"/>
      <c r="F47" s="312"/>
      <c r="G47" s="312"/>
      <c r="H47" s="312"/>
      <c r="I47" s="312"/>
      <c r="J47" s="312"/>
    </row>
    <row r="48" spans="1:10" ht="18" customHeight="1" x14ac:dyDescent="0.35">
      <c r="A48" s="311"/>
      <c r="B48" s="312"/>
      <c r="C48" s="312"/>
      <c r="D48" s="312"/>
      <c r="E48" s="312"/>
      <c r="F48" s="312"/>
      <c r="G48" s="312"/>
      <c r="H48" s="312"/>
      <c r="I48" s="312"/>
      <c r="J48" s="312"/>
    </row>
    <row r="49" spans="1:10" ht="18" customHeight="1" x14ac:dyDescent="0.35">
      <c r="A49" s="311"/>
      <c r="B49" s="312"/>
      <c r="C49" s="312"/>
      <c r="D49" s="312"/>
      <c r="E49" s="312"/>
      <c r="F49" s="312"/>
      <c r="G49" s="312"/>
      <c r="H49" s="312"/>
      <c r="I49" s="312"/>
      <c r="J49" s="312"/>
    </row>
    <row r="50" spans="1:10" ht="18" customHeight="1" x14ac:dyDescent="0.35">
      <c r="A50" s="311"/>
      <c r="B50" s="312"/>
      <c r="C50" s="312"/>
      <c r="D50" s="312"/>
      <c r="E50" s="312"/>
      <c r="F50" s="312"/>
      <c r="G50" s="312"/>
      <c r="H50" s="312"/>
      <c r="I50" s="312"/>
      <c r="J50" s="312"/>
    </row>
  </sheetData>
  <mergeCells count="3">
    <mergeCell ref="D4:J4"/>
    <mergeCell ref="D10:F10"/>
    <mergeCell ref="H10:J10"/>
  </mergeCells>
  <pageMargins left="0.3" right="0.3" top="0.5" bottom="0.5" header="0.39370078740157483" footer="0.39370078740157483"/>
  <pageSetup paperSize="9" scale="74" firstPageNumber="14" fitToHeight="0" orientation="portrait" useFirstPageNumber="1" r:id="rId1"/>
  <headerFooter>
    <oddFooter>&amp;L&amp;"Open Sans Light"&amp;9 Priner | www.priner.com.br | Confidencial — uso interno&amp;R&amp;"Trebuchet MS,Normal"&amp;9 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918A9-4A9C-4C2D-B31A-B56A4588901F}">
  <sheetPr>
    <tabColor rgb="FF92D050"/>
    <pageSetUpPr fitToPage="1"/>
  </sheetPr>
  <dimension ref="A1:J56"/>
  <sheetViews>
    <sheetView showGridLines="0" zoomScaleNormal="100" zoomScaleSheetLayoutView="100" workbookViewId="0">
      <selection activeCell="K17" sqref="K17"/>
    </sheetView>
  </sheetViews>
  <sheetFormatPr defaultColWidth="15" defaultRowHeight="13.5" x14ac:dyDescent="0.35"/>
  <cols>
    <col min="1" max="1" width="48" style="3" customWidth="1"/>
    <col min="2" max="2" width="13.7265625" style="3" customWidth="1"/>
    <col min="3" max="3" width="2.26953125" style="3" customWidth="1"/>
    <col min="4" max="4" width="15" style="3" bestFit="1" customWidth="1"/>
    <col min="5" max="5" width="1.54296875" style="3" customWidth="1"/>
    <col min="6" max="6" width="15" style="3" bestFit="1" customWidth="1"/>
    <col min="7" max="7" width="4.54296875" style="16" customWidth="1"/>
    <col min="8" max="8" width="15" style="3" bestFit="1" customWidth="1"/>
    <col min="9" max="9" width="1.453125" style="3" customWidth="1"/>
    <col min="10" max="10" width="15" style="3" bestFit="1" customWidth="1"/>
    <col min="11" max="16384" width="15" style="3"/>
  </cols>
  <sheetData>
    <row r="1" spans="1:10" ht="15.75" customHeight="1" x14ac:dyDescent="0.35"/>
    <row r="2" spans="1:10" ht="23.25" customHeight="1" x14ac:dyDescent="0.35"/>
    <row r="3" spans="1:10" ht="18" customHeight="1" x14ac:dyDescent="0.35">
      <c r="A3" s="292" t="s">
        <v>0</v>
      </c>
      <c r="B3" s="293"/>
      <c r="C3" s="293"/>
      <c r="D3" s="293"/>
      <c r="E3" s="293"/>
      <c r="F3" s="293"/>
      <c r="G3" s="293"/>
      <c r="H3" s="293"/>
      <c r="I3" s="293"/>
      <c r="J3" s="293"/>
    </row>
    <row r="4" spans="1:10" ht="18" customHeight="1" x14ac:dyDescent="0.4">
      <c r="A4" s="4"/>
      <c r="D4" s="375"/>
      <c r="E4" s="376"/>
      <c r="F4" s="376"/>
      <c r="G4" s="377"/>
      <c r="H4" s="376"/>
      <c r="I4" s="376"/>
      <c r="J4" s="376"/>
    </row>
    <row r="5" spans="1:10" ht="18" customHeight="1" x14ac:dyDescent="0.35">
      <c r="A5" s="294" t="s">
        <v>298</v>
      </c>
      <c r="B5" s="295"/>
      <c r="C5" s="295"/>
      <c r="D5" s="295"/>
      <c r="E5" s="295"/>
      <c r="F5" s="295"/>
      <c r="G5" s="295"/>
      <c r="H5" s="295"/>
      <c r="I5" s="295"/>
      <c r="J5" s="295"/>
    </row>
    <row r="6" spans="1:10" ht="18" customHeight="1" x14ac:dyDescent="0.35">
      <c r="A6" s="297" t="str">
        <f>'BP Ativo'!A6</f>
        <v>Em 30 de junho de 2026 e 31 de dezembro de 2025</v>
      </c>
      <c r="B6" s="297"/>
      <c r="C6" s="297"/>
      <c r="D6" s="297"/>
      <c r="E6" s="297"/>
      <c r="F6" s="297"/>
      <c r="G6" s="297"/>
      <c r="H6" s="297"/>
      <c r="I6" s="297"/>
      <c r="J6" s="297"/>
    </row>
    <row r="7" spans="1:10" ht="18" customHeight="1" x14ac:dyDescent="0.35">
      <c r="A7" s="298" t="s">
        <v>1</v>
      </c>
      <c r="B7" s="299"/>
      <c r="C7" s="299"/>
      <c r="D7" s="299"/>
      <c r="E7" s="299"/>
      <c r="F7" s="299"/>
      <c r="G7" s="299"/>
      <c r="H7" s="299"/>
      <c r="I7" s="299"/>
      <c r="J7" s="299"/>
    </row>
    <row r="8" spans="1:10" ht="18" customHeight="1" x14ac:dyDescent="0.35">
      <c r="A8" s="5"/>
      <c r="G8" s="3"/>
    </row>
    <row r="9" spans="1:10" ht="18" customHeight="1" x14ac:dyDescent="0.4">
      <c r="B9" s="302"/>
      <c r="C9" s="302"/>
      <c r="D9" s="321"/>
      <c r="E9" s="302"/>
      <c r="F9" s="302"/>
      <c r="G9" s="302"/>
      <c r="H9" s="302"/>
      <c r="I9" s="302"/>
      <c r="J9" s="302"/>
    </row>
    <row r="10" spans="1:10" ht="18" customHeight="1" x14ac:dyDescent="0.35">
      <c r="A10" s="304" t="s">
        <v>28</v>
      </c>
      <c r="B10" s="305"/>
      <c r="C10" s="306"/>
      <c r="D10" s="378" t="s">
        <v>3</v>
      </c>
      <c r="E10" s="379"/>
      <c r="F10" s="379"/>
      <c r="G10" s="7"/>
      <c r="H10" s="378" t="s">
        <v>4</v>
      </c>
      <c r="I10" s="379"/>
      <c r="J10" s="379"/>
    </row>
    <row r="11" spans="1:10" ht="30" x14ac:dyDescent="0.35">
      <c r="A11" s="6"/>
      <c r="B11" s="307" t="s">
        <v>5</v>
      </c>
      <c r="C11" s="204"/>
      <c r="D11" s="308">
        <v>46203</v>
      </c>
      <c r="E11" s="217"/>
      <c r="F11" s="309">
        <v>46022</v>
      </c>
      <c r="G11" s="217"/>
      <c r="H11" s="310">
        <f>D11</f>
        <v>46203</v>
      </c>
      <c r="I11" s="18"/>
      <c r="J11" s="308">
        <f>F11</f>
        <v>46022</v>
      </c>
    </row>
    <row r="12" spans="1:10" ht="18" customHeight="1" x14ac:dyDescent="0.35">
      <c r="A12" s="311"/>
      <c r="B12" s="312"/>
      <c r="C12" s="312"/>
      <c r="D12" s="312"/>
      <c r="E12" s="312"/>
      <c r="F12" s="312"/>
      <c r="G12" s="312"/>
      <c r="H12" s="312"/>
      <c r="I12" s="312"/>
      <c r="J12" s="312"/>
    </row>
    <row r="13" spans="1:10" ht="18" customHeight="1" x14ac:dyDescent="0.35">
      <c r="A13" s="313" t="s">
        <v>6</v>
      </c>
      <c r="B13" s="314"/>
      <c r="C13" s="314"/>
      <c r="D13" s="314"/>
      <c r="E13" s="314"/>
      <c r="F13" s="314"/>
      <c r="G13" s="314"/>
      <c r="H13" s="314"/>
      <c r="I13" s="314"/>
      <c r="J13" s="314"/>
    </row>
    <row r="14" spans="1:10" ht="18" customHeight="1" x14ac:dyDescent="0.35">
      <c r="A14" s="311" t="s">
        <v>419</v>
      </c>
      <c r="B14" s="312">
        <v>12</v>
      </c>
      <c r="C14" s="312"/>
      <c r="D14" s="312">
        <v>14972</v>
      </c>
      <c r="E14" s="312"/>
      <c r="F14" s="312">
        <v>12263</v>
      </c>
      <c r="G14" s="312"/>
      <c r="H14" s="312">
        <v>56286</v>
      </c>
      <c r="I14" s="312"/>
      <c r="J14" s="312">
        <v>59384</v>
      </c>
    </row>
    <row r="15" spans="1:10" ht="18" customHeight="1" x14ac:dyDescent="0.35">
      <c r="A15" s="311" t="s">
        <v>30</v>
      </c>
      <c r="B15" s="312" t="s">
        <v>508</v>
      </c>
      <c r="C15" s="312"/>
      <c r="D15" s="312">
        <v>4634</v>
      </c>
      <c r="E15" s="312"/>
      <c r="F15" s="312">
        <v>22291</v>
      </c>
      <c r="G15" s="312"/>
      <c r="H15" s="312">
        <v>3199</v>
      </c>
      <c r="I15" s="312"/>
      <c r="J15" s="312">
        <v>2799</v>
      </c>
    </row>
    <row r="16" spans="1:10" ht="18" customHeight="1" x14ac:dyDescent="0.35">
      <c r="A16" s="311" t="s">
        <v>456</v>
      </c>
      <c r="B16" s="312">
        <v>13</v>
      </c>
      <c r="C16" s="312"/>
      <c r="D16" s="312">
        <v>55778</v>
      </c>
      <c r="E16" s="312"/>
      <c r="F16" s="312">
        <f>113734+9405</f>
        <v>123139</v>
      </c>
      <c r="G16" s="312"/>
      <c r="H16" s="312">
        <v>141755</v>
      </c>
      <c r="I16" s="312"/>
      <c r="J16" s="312">
        <f>193277+9405</f>
        <v>202682</v>
      </c>
    </row>
    <row r="17" spans="1:10" ht="18" customHeight="1" x14ac:dyDescent="0.35">
      <c r="A17" s="311" t="s">
        <v>418</v>
      </c>
      <c r="B17" s="312">
        <v>28</v>
      </c>
      <c r="C17" s="312"/>
      <c r="D17" s="312">
        <v>8711</v>
      </c>
      <c r="E17" s="312"/>
      <c r="F17" s="312">
        <v>2376</v>
      </c>
      <c r="G17" s="312"/>
      <c r="H17" s="312">
        <v>8711</v>
      </c>
      <c r="I17" s="312"/>
      <c r="J17" s="312">
        <v>2376</v>
      </c>
    </row>
    <row r="18" spans="1:10" ht="18" customHeight="1" x14ac:dyDescent="0.35">
      <c r="A18" s="311" t="s">
        <v>420</v>
      </c>
      <c r="B18" s="312">
        <v>14</v>
      </c>
      <c r="C18" s="312"/>
      <c r="D18" s="312">
        <v>2461</v>
      </c>
      <c r="E18" s="312"/>
      <c r="F18" s="312">
        <v>1495</v>
      </c>
      <c r="G18" s="312"/>
      <c r="H18" s="312">
        <v>6904</v>
      </c>
      <c r="I18" s="312"/>
      <c r="J18" s="312">
        <v>7485</v>
      </c>
    </row>
    <row r="19" spans="1:10" ht="18" customHeight="1" x14ac:dyDescent="0.35">
      <c r="A19" s="311" t="s">
        <v>34</v>
      </c>
      <c r="B19" s="312">
        <v>15</v>
      </c>
      <c r="C19" s="312"/>
      <c r="D19" s="312">
        <v>75614</v>
      </c>
      <c r="E19" s="312"/>
      <c r="F19" s="312">
        <v>60478</v>
      </c>
      <c r="G19" s="312"/>
      <c r="H19" s="312">
        <v>127529</v>
      </c>
      <c r="I19" s="312"/>
      <c r="J19" s="312">
        <v>121016</v>
      </c>
    </row>
    <row r="20" spans="1:10" ht="18" customHeight="1" x14ac:dyDescent="0.35">
      <c r="A20" s="311" t="s">
        <v>36</v>
      </c>
      <c r="B20" s="312">
        <v>17</v>
      </c>
      <c r="C20" s="312"/>
      <c r="D20" s="322">
        <v>9939</v>
      </c>
      <c r="E20" s="312"/>
      <c r="F20" s="322">
        <v>5410</v>
      </c>
      <c r="G20" s="312"/>
      <c r="H20" s="312">
        <v>17230</v>
      </c>
      <c r="I20" s="312"/>
      <c r="J20" s="312">
        <v>18266</v>
      </c>
    </row>
    <row r="21" spans="1:10" ht="18" customHeight="1" x14ac:dyDescent="0.35">
      <c r="A21" s="311" t="s">
        <v>37</v>
      </c>
      <c r="B21" s="312" t="s">
        <v>533</v>
      </c>
      <c r="C21" s="312"/>
      <c r="D21" s="322">
        <v>0</v>
      </c>
      <c r="E21" s="312"/>
      <c r="F21" s="322">
        <v>0</v>
      </c>
      <c r="G21" s="312"/>
      <c r="H21" s="312">
        <v>15708</v>
      </c>
      <c r="I21" s="312"/>
      <c r="J21" s="312">
        <v>41000</v>
      </c>
    </row>
    <row r="22" spans="1:10" ht="18" customHeight="1" x14ac:dyDescent="0.35">
      <c r="A22" s="311" t="s">
        <v>38</v>
      </c>
      <c r="B22" s="319">
        <v>19</v>
      </c>
      <c r="C22" s="312"/>
      <c r="D22" s="312">
        <v>68750</v>
      </c>
      <c r="E22" s="312"/>
      <c r="F22" s="312">
        <v>83303</v>
      </c>
      <c r="G22" s="312"/>
      <c r="H22" s="312">
        <v>68750</v>
      </c>
      <c r="I22" s="312"/>
      <c r="J22" s="312">
        <v>83303</v>
      </c>
    </row>
    <row r="23" spans="1:10" ht="18" customHeight="1" x14ac:dyDescent="0.35">
      <c r="A23" s="311" t="s">
        <v>39</v>
      </c>
      <c r="B23" s="312">
        <v>20</v>
      </c>
      <c r="C23" s="312"/>
      <c r="D23" s="312">
        <v>14871</v>
      </c>
      <c r="E23" s="312"/>
      <c r="F23" s="312">
        <v>16443</v>
      </c>
      <c r="G23" s="312"/>
      <c r="H23" s="312">
        <v>21504</v>
      </c>
      <c r="I23" s="312"/>
      <c r="J23" s="312">
        <v>26770</v>
      </c>
    </row>
    <row r="24" spans="1:10" ht="18" customHeight="1" thickBot="1" x14ac:dyDescent="0.4">
      <c r="A24" s="311" t="s">
        <v>40</v>
      </c>
      <c r="B24" s="312"/>
      <c r="C24" s="312"/>
      <c r="D24" s="312">
        <v>1710</v>
      </c>
      <c r="E24" s="312"/>
      <c r="F24" s="312">
        <f>585+6237</f>
        <v>6822</v>
      </c>
      <c r="G24" s="312"/>
      <c r="H24" s="312">
        <v>2928</v>
      </c>
      <c r="I24" s="312"/>
      <c r="J24" s="312">
        <f>8259+585</f>
        <v>8844</v>
      </c>
    </row>
    <row r="25" spans="1:10" ht="15" thickBot="1" x14ac:dyDescent="0.4">
      <c r="A25" s="316"/>
      <c r="B25" s="317"/>
      <c r="C25" s="317"/>
      <c r="D25" s="318">
        <f>SUM(D14:D24)</f>
        <v>257440</v>
      </c>
      <c r="E25" s="317"/>
      <c r="F25" s="318">
        <f>SUM(F14:F24)</f>
        <v>334020</v>
      </c>
      <c r="G25" s="318"/>
      <c r="H25" s="318">
        <f>SUM(H14:H24)</f>
        <v>470504</v>
      </c>
      <c r="I25" s="317"/>
      <c r="J25" s="318">
        <f>SUM(J14:J24)</f>
        <v>573925</v>
      </c>
    </row>
    <row r="26" spans="1:10" ht="18" customHeight="1" x14ac:dyDescent="0.35">
      <c r="A26" s="311"/>
      <c r="B26" s="312"/>
      <c r="C26" s="312"/>
      <c r="D26" s="322"/>
      <c r="E26" s="312"/>
      <c r="F26" s="322"/>
      <c r="G26" s="312"/>
      <c r="H26" s="322"/>
      <c r="I26" s="312"/>
      <c r="J26" s="322"/>
    </row>
    <row r="27" spans="1:10" ht="18" customHeight="1" x14ac:dyDescent="0.35">
      <c r="A27" s="313" t="s">
        <v>17</v>
      </c>
      <c r="B27" s="314"/>
      <c r="C27" s="314"/>
      <c r="D27" s="314"/>
      <c r="E27" s="314"/>
      <c r="F27" s="314"/>
      <c r="G27" s="314"/>
      <c r="H27" s="314"/>
      <c r="I27" s="314"/>
      <c r="J27" s="314"/>
    </row>
    <row r="28" spans="1:10" ht="18" customHeight="1" x14ac:dyDescent="0.35">
      <c r="A28" s="311" t="s">
        <v>456</v>
      </c>
      <c r="B28" s="312">
        <v>13</v>
      </c>
      <c r="C28" s="312"/>
      <c r="D28" s="312">
        <v>674598</v>
      </c>
      <c r="E28" s="312"/>
      <c r="F28" s="312">
        <f>319624+198013</f>
        <v>517637</v>
      </c>
      <c r="G28" s="312"/>
      <c r="H28" s="312">
        <v>796148</v>
      </c>
      <c r="I28" s="312"/>
      <c r="J28" s="312">
        <f>409914+198013</f>
        <v>607927</v>
      </c>
    </row>
    <row r="29" spans="1:10" ht="18" customHeight="1" x14ac:dyDescent="0.35">
      <c r="A29" s="311" t="s">
        <v>421</v>
      </c>
      <c r="B29" s="312">
        <v>14</v>
      </c>
      <c r="C29" s="312"/>
      <c r="D29" s="312">
        <v>3597</v>
      </c>
      <c r="E29" s="312"/>
      <c r="F29" s="312">
        <v>2930</v>
      </c>
      <c r="G29" s="312"/>
      <c r="H29" s="312">
        <v>21435</v>
      </c>
      <c r="I29" s="312"/>
      <c r="J29" s="312">
        <v>23312</v>
      </c>
    </row>
    <row r="30" spans="1:10" ht="18" customHeight="1" x14ac:dyDescent="0.35">
      <c r="A30" s="311" t="s">
        <v>38</v>
      </c>
      <c r="B30" s="319">
        <v>19</v>
      </c>
      <c r="C30" s="312"/>
      <c r="D30" s="312">
        <f>50475</f>
        <v>50475</v>
      </c>
      <c r="E30" s="312"/>
      <c r="F30" s="312">
        <f>112757</f>
        <v>112757</v>
      </c>
      <c r="G30" s="312"/>
      <c r="H30" s="312">
        <f>50475</f>
        <v>50475</v>
      </c>
      <c r="I30" s="312"/>
      <c r="J30" s="312">
        <f>112757</f>
        <v>112757</v>
      </c>
    </row>
    <row r="31" spans="1:10" ht="18" hidden="1" customHeight="1" x14ac:dyDescent="0.35">
      <c r="A31" s="311" t="s">
        <v>457</v>
      </c>
      <c r="B31" s="319">
        <v>19</v>
      </c>
      <c r="C31" s="312"/>
      <c r="D31" s="312">
        <f>4562*0</f>
        <v>0</v>
      </c>
      <c r="E31" s="312"/>
      <c r="F31" s="312">
        <f>4284*0</f>
        <v>0</v>
      </c>
      <c r="G31" s="312"/>
      <c r="H31" s="312">
        <f>4562*0</f>
        <v>0</v>
      </c>
      <c r="I31" s="312"/>
      <c r="J31" s="312">
        <f>4284*0</f>
        <v>0</v>
      </c>
    </row>
    <row r="32" spans="1:10" ht="18" customHeight="1" x14ac:dyDescent="0.35">
      <c r="A32" s="311" t="s">
        <v>42</v>
      </c>
      <c r="B32" s="312">
        <v>21</v>
      </c>
      <c r="C32" s="312"/>
      <c r="D32" s="312">
        <v>7691</v>
      </c>
      <c r="E32" s="312"/>
      <c r="F32" s="312">
        <v>6233</v>
      </c>
      <c r="G32" s="312"/>
      <c r="H32" s="312">
        <v>10336</v>
      </c>
      <c r="I32" s="312"/>
      <c r="J32" s="312">
        <v>8380</v>
      </c>
    </row>
    <row r="33" spans="1:10" ht="18" customHeight="1" thickBot="1" x14ac:dyDescent="0.4">
      <c r="A33" s="311" t="s">
        <v>43</v>
      </c>
      <c r="B33" s="312"/>
      <c r="C33" s="312"/>
      <c r="D33" s="312">
        <v>20</v>
      </c>
      <c r="E33" s="312"/>
      <c r="F33" s="312">
        <v>49</v>
      </c>
      <c r="G33" s="312"/>
      <c r="H33" s="312">
        <f>319-1</f>
        <v>318</v>
      </c>
      <c r="I33" s="312"/>
      <c r="J33" s="312">
        <f>176+1832</f>
        <v>2008</v>
      </c>
    </row>
    <row r="34" spans="1:10" ht="15" thickBot="1" x14ac:dyDescent="0.4">
      <c r="A34" s="316"/>
      <c r="B34" s="317"/>
      <c r="C34" s="317"/>
      <c r="D34" s="318">
        <f>SUM(D28:D33)</f>
        <v>736381</v>
      </c>
      <c r="E34" s="317"/>
      <c r="F34" s="318">
        <f>SUM(F28:F33)</f>
        <v>639606</v>
      </c>
      <c r="G34" s="318"/>
      <c r="H34" s="318">
        <f>SUM(H28:H33)</f>
        <v>878712</v>
      </c>
      <c r="I34" s="317"/>
      <c r="J34" s="318">
        <f>SUM(J28:J33)</f>
        <v>754384</v>
      </c>
    </row>
    <row r="35" spans="1:10" ht="18" customHeight="1" x14ac:dyDescent="0.35">
      <c r="A35" s="311"/>
      <c r="B35" s="312"/>
      <c r="C35" s="312"/>
      <c r="D35" s="322"/>
      <c r="E35" s="312"/>
      <c r="F35" s="322"/>
      <c r="G35" s="312"/>
      <c r="H35" s="322"/>
      <c r="I35" s="312"/>
      <c r="J35" s="322"/>
    </row>
    <row r="36" spans="1:10" ht="18" customHeight="1" x14ac:dyDescent="0.35">
      <c r="A36" s="313" t="s">
        <v>44</v>
      </c>
      <c r="B36" s="314"/>
      <c r="C36" s="314"/>
      <c r="D36" s="314"/>
      <c r="E36" s="314"/>
      <c r="F36" s="314"/>
      <c r="G36" s="314"/>
      <c r="H36" s="314"/>
      <c r="I36" s="314"/>
      <c r="J36" s="314"/>
    </row>
    <row r="37" spans="1:10" ht="18" customHeight="1" x14ac:dyDescent="0.35">
      <c r="A37" s="311" t="s">
        <v>45</v>
      </c>
      <c r="B37" s="312">
        <v>22</v>
      </c>
      <c r="C37" s="312"/>
      <c r="D37" s="312">
        <v>471327</v>
      </c>
      <c r="E37" s="312"/>
      <c r="F37" s="312">
        <v>468180</v>
      </c>
      <c r="G37" s="312"/>
      <c r="H37" s="312">
        <v>471327</v>
      </c>
      <c r="I37" s="312"/>
      <c r="J37" s="312">
        <v>468180</v>
      </c>
    </row>
    <row r="38" spans="1:10" ht="18" customHeight="1" x14ac:dyDescent="0.35">
      <c r="A38" s="311" t="s">
        <v>46</v>
      </c>
      <c r="B38" s="312">
        <v>22</v>
      </c>
      <c r="C38" s="312"/>
      <c r="D38" s="312">
        <v>27113</v>
      </c>
      <c r="E38" s="312"/>
      <c r="F38" s="312">
        <v>24910</v>
      </c>
      <c r="G38" s="312"/>
      <c r="H38" s="312">
        <v>27113</v>
      </c>
      <c r="I38" s="312"/>
      <c r="J38" s="312">
        <v>24910</v>
      </c>
    </row>
    <row r="39" spans="1:10" ht="18" customHeight="1" x14ac:dyDescent="0.35">
      <c r="A39" s="311" t="s">
        <v>48</v>
      </c>
      <c r="B39" s="312">
        <v>22</v>
      </c>
      <c r="C39" s="312"/>
      <c r="D39" s="312">
        <f>36289-11811</f>
        <v>24478</v>
      </c>
      <c r="E39" s="312"/>
      <c r="F39" s="312">
        <f>36289-11811</f>
        <v>24478</v>
      </c>
      <c r="G39" s="312"/>
      <c r="H39" s="312">
        <f>36289-11811</f>
        <v>24478</v>
      </c>
      <c r="I39" s="312"/>
      <c r="J39" s="312">
        <f>36289-11811</f>
        <v>24478</v>
      </c>
    </row>
    <row r="40" spans="1:10" ht="18" customHeight="1" x14ac:dyDescent="0.35">
      <c r="A40" s="311" t="s">
        <v>534</v>
      </c>
      <c r="B40" s="312">
        <v>22</v>
      </c>
      <c r="C40" s="312"/>
      <c r="D40" s="312">
        <v>-65720</v>
      </c>
      <c r="E40" s="312"/>
      <c r="F40" s="312">
        <v>0</v>
      </c>
      <c r="G40" s="312"/>
      <c r="H40" s="312">
        <v>-65720</v>
      </c>
      <c r="I40" s="312"/>
      <c r="J40" s="312">
        <v>0</v>
      </c>
    </row>
    <row r="41" spans="1:10" ht="18" customHeight="1" x14ac:dyDescent="0.35">
      <c r="A41" s="311" t="s">
        <v>466</v>
      </c>
      <c r="B41" s="312"/>
      <c r="C41" s="312"/>
      <c r="D41" s="322">
        <v>-34392</v>
      </c>
      <c r="E41" s="312"/>
      <c r="F41" s="322">
        <v>-34734</v>
      </c>
      <c r="G41" s="312"/>
      <c r="H41" s="322">
        <v>-34392</v>
      </c>
      <c r="I41" s="312"/>
      <c r="J41" s="322">
        <v>-34734</v>
      </c>
    </row>
    <row r="42" spans="1:10" ht="18" customHeight="1" thickBot="1" x14ac:dyDescent="0.4">
      <c r="A42" s="311" t="s">
        <v>510</v>
      </c>
      <c r="B42" s="312"/>
      <c r="C42" s="312"/>
      <c r="D42" s="322">
        <v>55366</v>
      </c>
      <c r="E42" s="312"/>
      <c r="F42" s="322">
        <v>0</v>
      </c>
      <c r="G42" s="312"/>
      <c r="H42" s="322">
        <f>D42</f>
        <v>55366</v>
      </c>
      <c r="I42" s="312"/>
      <c r="J42" s="322">
        <v>0</v>
      </c>
    </row>
    <row r="43" spans="1:10" ht="29.5" thickBot="1" x14ac:dyDescent="0.4">
      <c r="A43" s="316" t="s">
        <v>51</v>
      </c>
      <c r="B43" s="317"/>
      <c r="C43" s="317"/>
      <c r="D43" s="318">
        <f>SUM(D37:D42)</f>
        <v>478172</v>
      </c>
      <c r="E43" s="317"/>
      <c r="F43" s="318">
        <f>SUM(F37:F42)</f>
        <v>482834</v>
      </c>
      <c r="G43" s="318"/>
      <c r="H43" s="318">
        <f>SUM(H37:H42)</f>
        <v>478172</v>
      </c>
      <c r="I43" s="317"/>
      <c r="J43" s="318">
        <f>SUM(J37:J42)</f>
        <v>482834</v>
      </c>
    </row>
    <row r="44" spans="1:10" ht="18" customHeight="1" x14ac:dyDescent="0.35">
      <c r="A44" s="311"/>
      <c r="B44" s="312"/>
      <c r="C44" s="312"/>
      <c r="D44" s="322"/>
      <c r="E44" s="312"/>
      <c r="F44" s="322"/>
      <c r="G44" s="312"/>
      <c r="H44" s="322"/>
      <c r="I44" s="312"/>
      <c r="J44" s="322"/>
    </row>
    <row r="45" spans="1:10" ht="18" customHeight="1" x14ac:dyDescent="0.35">
      <c r="A45" s="311" t="s">
        <v>52</v>
      </c>
      <c r="B45" s="312">
        <v>22</v>
      </c>
      <c r="C45" s="312"/>
      <c r="D45" s="312">
        <v>0</v>
      </c>
      <c r="E45" s="312"/>
      <c r="F45" s="312">
        <v>0</v>
      </c>
      <c r="G45" s="312"/>
      <c r="H45" s="312">
        <v>75077</v>
      </c>
      <c r="I45" s="312"/>
      <c r="J45" s="312">
        <v>79500</v>
      </c>
    </row>
    <row r="46" spans="1:10" ht="18" customHeight="1" thickBot="1" x14ac:dyDescent="0.4">
      <c r="A46" s="311"/>
      <c r="B46" s="312"/>
      <c r="C46" s="312"/>
      <c r="D46" s="312"/>
      <c r="E46" s="312"/>
      <c r="F46" s="312"/>
      <c r="G46" s="312"/>
      <c r="H46" s="312"/>
      <c r="I46" s="312"/>
      <c r="J46" s="312"/>
    </row>
    <row r="47" spans="1:10" ht="15" thickBot="1" x14ac:dyDescent="0.4">
      <c r="A47" s="316" t="s">
        <v>535</v>
      </c>
      <c r="B47" s="317"/>
      <c r="C47" s="317"/>
      <c r="D47" s="318">
        <f>D43+D45</f>
        <v>478172</v>
      </c>
      <c r="E47" s="317"/>
      <c r="F47" s="318">
        <f>F43+F45</f>
        <v>482834</v>
      </c>
      <c r="G47" s="318"/>
      <c r="H47" s="318">
        <f>H43+H45</f>
        <v>553249</v>
      </c>
      <c r="I47" s="317"/>
      <c r="J47" s="318">
        <f>J43+J45</f>
        <v>562334</v>
      </c>
    </row>
    <row r="48" spans="1:10" ht="18" customHeight="1" thickBot="1" x14ac:dyDescent="0.4">
      <c r="A48" s="311"/>
      <c r="B48" s="312"/>
      <c r="C48" s="312"/>
      <c r="D48" s="322"/>
      <c r="E48" s="312"/>
      <c r="F48" s="322"/>
      <c r="G48" s="312"/>
      <c r="H48" s="322"/>
      <c r="I48" s="312"/>
      <c r="J48" s="322"/>
    </row>
    <row r="49" spans="1:10" ht="18" customHeight="1" thickBot="1" x14ac:dyDescent="0.4">
      <c r="A49" s="316" t="s">
        <v>53</v>
      </c>
      <c r="B49" s="317"/>
      <c r="C49" s="317"/>
      <c r="D49" s="318">
        <f>D47+D34+D25</f>
        <v>1471993</v>
      </c>
      <c r="E49" s="317"/>
      <c r="F49" s="318">
        <f>F47+F34+F25</f>
        <v>1456460</v>
      </c>
      <c r="G49" s="318"/>
      <c r="H49" s="318">
        <f>H47+H34+H25</f>
        <v>1902465</v>
      </c>
      <c r="I49" s="317"/>
      <c r="J49" s="318">
        <f>J47+J34+J25</f>
        <v>1890643</v>
      </c>
    </row>
    <row r="50" spans="1:10" ht="18" customHeight="1" x14ac:dyDescent="0.35">
      <c r="A50" s="311"/>
      <c r="B50" s="312"/>
      <c r="C50" s="312"/>
      <c r="D50" s="312"/>
      <c r="E50" s="312"/>
      <c r="F50" s="312"/>
      <c r="G50" s="312"/>
      <c r="H50" s="312"/>
      <c r="I50" s="312"/>
      <c r="J50" s="312"/>
    </row>
    <row r="51" spans="1:10" ht="18" customHeight="1" x14ac:dyDescent="0.35">
      <c r="A51" s="320" t="str">
        <f>'BP Ativo'!A42</f>
        <v>As notas explicativas são parte integrante das informações contábeis intermediárias individuais e consolidadas.</v>
      </c>
      <c r="B51" s="314"/>
      <c r="C51" s="314"/>
      <c r="D51" s="314"/>
      <c r="E51" s="314"/>
      <c r="F51" s="314"/>
      <c r="G51" s="314"/>
      <c r="H51" s="314"/>
      <c r="I51" s="314"/>
      <c r="J51" s="314"/>
    </row>
    <row r="52" spans="1:10" ht="18" customHeight="1" x14ac:dyDescent="0.35">
      <c r="A52" s="311"/>
      <c r="B52" s="312"/>
      <c r="C52" s="312"/>
      <c r="D52" s="312"/>
      <c r="E52" s="312"/>
      <c r="F52" s="312"/>
      <c r="G52" s="312"/>
      <c r="H52" s="312"/>
      <c r="I52" s="312"/>
      <c r="J52" s="312"/>
    </row>
    <row r="53" spans="1:10" ht="18" customHeight="1" x14ac:dyDescent="0.35">
      <c r="A53" s="311"/>
      <c r="B53" s="312"/>
      <c r="C53" s="312"/>
      <c r="D53" s="312">
        <f>D49-'BP Ativo'!D38</f>
        <v>0</v>
      </c>
      <c r="E53" s="312"/>
      <c r="F53" s="312">
        <f>F49-'BP Ativo'!F38</f>
        <v>0</v>
      </c>
      <c r="G53" s="312"/>
      <c r="H53" s="312">
        <f>H49-'BP Ativo'!H38</f>
        <v>0</v>
      </c>
      <c r="I53" s="312"/>
      <c r="J53" s="312">
        <f>J49-'BP Ativo'!J38</f>
        <v>0</v>
      </c>
    </row>
    <row r="54" spans="1:10" ht="18" customHeight="1" x14ac:dyDescent="0.35">
      <c r="A54" s="311"/>
      <c r="B54" s="312"/>
      <c r="C54" s="312"/>
      <c r="D54" s="312"/>
      <c r="E54" s="312"/>
      <c r="F54" s="312"/>
      <c r="G54" s="312"/>
      <c r="H54" s="312"/>
      <c r="I54" s="312"/>
      <c r="J54" s="312"/>
    </row>
    <row r="55" spans="1:10" ht="18" customHeight="1" x14ac:dyDescent="0.35">
      <c r="A55" s="311"/>
      <c r="B55" s="312"/>
      <c r="C55" s="312"/>
      <c r="D55" s="312"/>
      <c r="E55" s="312"/>
      <c r="F55" s="312"/>
      <c r="G55" s="312"/>
      <c r="H55" s="312"/>
      <c r="I55" s="312"/>
      <c r="J55" s="312"/>
    </row>
    <row r="56" spans="1:10" ht="18" customHeight="1" x14ac:dyDescent="0.35">
      <c r="A56" s="311"/>
      <c r="B56" s="312"/>
      <c r="C56" s="312"/>
      <c r="D56" s="312"/>
      <c r="E56" s="312"/>
      <c r="F56" s="312"/>
      <c r="G56" s="312"/>
      <c r="H56" s="312"/>
      <c r="I56" s="312"/>
      <c r="J56" s="312"/>
    </row>
  </sheetData>
  <mergeCells count="3">
    <mergeCell ref="D4:J4"/>
    <mergeCell ref="D10:F10"/>
    <mergeCell ref="H10:J10"/>
  </mergeCells>
  <pageMargins left="0.3" right="0.3" top="0.5" bottom="0.5" header="0.39370078740157483" footer="0.39370078740157483"/>
  <pageSetup paperSize="9" scale="74" firstPageNumber="14" fitToHeight="0" orientation="portrait" useFirstPageNumber="1" r:id="rId1"/>
  <headerFooter>
    <oddFooter>&amp;L&amp;"Open Sans Light"&amp;9 Priner | www.priner.com.br | Confidencial — uso interno&amp;R&amp;"Trebuchet MS,Normal"&amp;9 Página &amp;P de &amp;N</oddFooter>
  </headerFooter>
  <rowBreaks count="1" manualBreakCount="1">
    <brk id="51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2BB80-0F00-4711-B938-9014F3A36330}">
  <sheetPr>
    <tabColor rgb="FF92D050"/>
    <pageSetUpPr fitToPage="1"/>
  </sheetPr>
  <dimension ref="A1:L39"/>
  <sheetViews>
    <sheetView showGridLines="0" zoomScaleNormal="100" zoomScaleSheetLayoutView="100" workbookViewId="0">
      <selection activeCell="N9" sqref="N9"/>
    </sheetView>
  </sheetViews>
  <sheetFormatPr defaultColWidth="15" defaultRowHeight="13.5" x14ac:dyDescent="0.35"/>
  <cols>
    <col min="1" max="1" width="48" style="213" customWidth="1"/>
    <col min="2" max="2" width="14" style="1" customWidth="1"/>
    <col min="3" max="3" width="3.1796875" style="1" customWidth="1"/>
    <col min="4" max="7" width="15" style="1" customWidth="1"/>
    <col min="8" max="8" width="4.81640625" style="1" customWidth="1"/>
    <col min="9" max="12" width="15" style="1" customWidth="1"/>
    <col min="13" max="16384" width="15" style="1"/>
  </cols>
  <sheetData>
    <row r="1" spans="1:12" s="3" customFormat="1" ht="15.75" customHeight="1" x14ac:dyDescent="0.35">
      <c r="G1" s="16"/>
    </row>
    <row r="2" spans="1:12" s="3" customFormat="1" ht="23.25" customHeight="1" x14ac:dyDescent="0.35">
      <c r="G2" s="16"/>
    </row>
    <row r="3" spans="1:12" ht="18" customHeight="1" x14ac:dyDescent="0.35">
      <c r="A3" s="292" t="s">
        <v>0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</row>
    <row r="4" spans="1:12" ht="18" customHeight="1" x14ac:dyDescent="0.5">
      <c r="A4" s="22"/>
      <c r="F4" s="169"/>
      <c r="K4" s="169"/>
    </row>
    <row r="5" spans="1:12" ht="18" customHeight="1" x14ac:dyDescent="0.35">
      <c r="A5" s="295" t="s">
        <v>302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</row>
    <row r="6" spans="1:12" ht="18" customHeight="1" x14ac:dyDescent="0.35">
      <c r="A6" s="296" t="s">
        <v>536</v>
      </c>
      <c r="B6" s="323"/>
      <c r="C6" s="323"/>
      <c r="D6" s="323"/>
      <c r="E6" s="323"/>
      <c r="F6" s="323"/>
      <c r="G6" s="323"/>
      <c r="H6" s="323"/>
      <c r="I6" s="323"/>
      <c r="J6" s="323"/>
      <c r="K6" s="323"/>
      <c r="L6" s="323"/>
    </row>
    <row r="7" spans="1:12" ht="18" customHeight="1" x14ac:dyDescent="0.35">
      <c r="A7" s="299" t="s">
        <v>54</v>
      </c>
      <c r="B7" s="299"/>
      <c r="C7" s="299"/>
      <c r="D7" s="299"/>
      <c r="E7" s="299"/>
      <c r="F7" s="299"/>
      <c r="G7" s="299"/>
      <c r="H7" s="299"/>
      <c r="I7" s="299"/>
      <c r="J7" s="299"/>
      <c r="K7" s="299"/>
      <c r="L7" s="323"/>
    </row>
    <row r="8" spans="1:12" ht="18" customHeight="1" x14ac:dyDescent="0.35">
      <c r="A8" s="324"/>
      <c r="B8" s="325"/>
      <c r="C8" s="326"/>
      <c r="D8" s="327"/>
      <c r="E8" s="328"/>
      <c r="F8" s="327"/>
      <c r="G8" s="329"/>
      <c r="H8" s="329"/>
      <c r="I8" s="327"/>
      <c r="J8" s="329"/>
      <c r="K8" s="327"/>
    </row>
    <row r="9" spans="1:12" s="212" customFormat="1" ht="18" customHeight="1" x14ac:dyDescent="0.35">
      <c r="A9" s="305"/>
      <c r="B9" s="305"/>
      <c r="C9" s="305"/>
      <c r="D9" s="378" t="s">
        <v>3</v>
      </c>
      <c r="E9" s="379"/>
      <c r="F9" s="379"/>
      <c r="G9" s="379"/>
      <c r="H9"/>
      <c r="I9" s="378" t="s">
        <v>4</v>
      </c>
      <c r="J9" s="379"/>
      <c r="K9" s="379"/>
      <c r="L9" s="379"/>
    </row>
    <row r="10" spans="1:12" s="212" customFormat="1" ht="30" x14ac:dyDescent="0.35">
      <c r="A10" s="305"/>
      <c r="B10" s="305" t="s">
        <v>5</v>
      </c>
      <c r="C10" s="305"/>
      <c r="D10" s="380">
        <v>46203</v>
      </c>
      <c r="E10" s="379"/>
      <c r="F10" s="380">
        <v>45838</v>
      </c>
      <c r="G10" s="379"/>
      <c r="H10"/>
      <c r="I10" s="380">
        <v>46203</v>
      </c>
      <c r="J10" s="379"/>
      <c r="K10" s="380">
        <v>45838</v>
      </c>
      <c r="L10" s="379"/>
    </row>
    <row r="11" spans="1:12" ht="18" customHeight="1" x14ac:dyDescent="0.35">
      <c r="A11" s="278"/>
      <c r="B11" s="279"/>
      <c r="C11" s="280"/>
      <c r="D11" s="307" t="s">
        <v>537</v>
      </c>
      <c r="E11" s="307" t="s">
        <v>538</v>
      </c>
      <c r="F11" s="307" t="s">
        <v>537</v>
      </c>
      <c r="G11" s="330" t="s">
        <v>538</v>
      </c>
      <c r="H11" s="331"/>
      <c r="I11" s="332" t="s">
        <v>537</v>
      </c>
      <c r="J11" s="333" t="s">
        <v>538</v>
      </c>
      <c r="K11" s="307" t="s">
        <v>537</v>
      </c>
      <c r="L11" s="307" t="s">
        <v>538</v>
      </c>
    </row>
    <row r="12" spans="1:12" ht="18" customHeight="1" x14ac:dyDescent="0.35">
      <c r="A12" s="311"/>
      <c r="B12" s="312"/>
      <c r="C12" s="312"/>
      <c r="D12" s="312"/>
      <c r="E12" s="312"/>
      <c r="F12" s="312"/>
      <c r="G12" s="312"/>
      <c r="H12" s="312"/>
      <c r="I12" s="312"/>
      <c r="J12" s="312"/>
      <c r="K12" s="312"/>
      <c r="L12" s="312"/>
    </row>
    <row r="13" spans="1:12" s="2" customFormat="1" ht="18" customHeight="1" x14ac:dyDescent="0.35">
      <c r="A13" s="311" t="s">
        <v>478</v>
      </c>
      <c r="B13" s="312">
        <v>23</v>
      </c>
      <c r="C13" s="312"/>
      <c r="D13" s="322">
        <v>226696</v>
      </c>
      <c r="E13" s="322">
        <v>414515</v>
      </c>
      <c r="F13" s="322">
        <v>137579</v>
      </c>
      <c r="G13" s="322">
        <v>258922</v>
      </c>
      <c r="H13" s="322"/>
      <c r="I13" s="322">
        <v>462618</v>
      </c>
      <c r="J13" s="322">
        <v>883815</v>
      </c>
      <c r="K13" s="322">
        <v>361894</v>
      </c>
      <c r="L13" s="322">
        <v>730739</v>
      </c>
    </row>
    <row r="14" spans="1:12" ht="18" customHeight="1" x14ac:dyDescent="0.35">
      <c r="A14" s="311" t="s">
        <v>423</v>
      </c>
      <c r="B14" s="312">
        <v>24</v>
      </c>
      <c r="C14" s="312"/>
      <c r="D14" s="322">
        <v>-187380</v>
      </c>
      <c r="E14" s="322">
        <v>-347277</v>
      </c>
      <c r="F14" s="322">
        <v>-120041</v>
      </c>
      <c r="G14" s="322">
        <v>-227944</v>
      </c>
      <c r="H14" s="322"/>
      <c r="I14" s="322">
        <v>-375171</v>
      </c>
      <c r="J14" s="322">
        <v>-732347</v>
      </c>
      <c r="K14" s="322">
        <v>-290091</v>
      </c>
      <c r="L14" s="322">
        <v>-585095</v>
      </c>
    </row>
    <row r="15" spans="1:12" ht="18" customHeight="1" x14ac:dyDescent="0.35">
      <c r="A15" s="313" t="s">
        <v>56</v>
      </c>
      <c r="B15" s="314"/>
      <c r="C15" s="314"/>
      <c r="D15" s="315">
        <f t="shared" ref="D15:L15" si="0">SUM(D13:D14)</f>
        <v>39316</v>
      </c>
      <c r="E15" s="315">
        <f t="shared" si="0"/>
        <v>67238</v>
      </c>
      <c r="F15" s="315">
        <f t="shared" si="0"/>
        <v>17538</v>
      </c>
      <c r="G15" s="315">
        <f t="shared" si="0"/>
        <v>30978</v>
      </c>
      <c r="H15" s="315"/>
      <c r="I15" s="315">
        <f t="shared" si="0"/>
        <v>87447</v>
      </c>
      <c r="J15" s="315">
        <f t="shared" si="0"/>
        <v>151468</v>
      </c>
      <c r="K15" s="315">
        <f t="shared" si="0"/>
        <v>71803</v>
      </c>
      <c r="L15" s="315">
        <f t="shared" si="0"/>
        <v>145644</v>
      </c>
    </row>
    <row r="16" spans="1:12" ht="18" customHeight="1" x14ac:dyDescent="0.35">
      <c r="A16" s="311"/>
      <c r="B16" s="312"/>
      <c r="C16" s="312"/>
      <c r="D16" s="322"/>
      <c r="E16" s="322"/>
      <c r="F16" s="322"/>
      <c r="G16" s="322"/>
      <c r="H16" s="322"/>
      <c r="I16" s="322"/>
      <c r="J16" s="322"/>
      <c r="K16" s="322"/>
      <c r="L16" s="322"/>
    </row>
    <row r="17" spans="1:12" ht="18" customHeight="1" x14ac:dyDescent="0.35">
      <c r="A17" s="313" t="s">
        <v>303</v>
      </c>
      <c r="B17" s="314"/>
      <c r="C17" s="314"/>
      <c r="D17" s="315"/>
      <c r="E17" s="315"/>
      <c r="F17" s="315"/>
      <c r="G17" s="315"/>
      <c r="H17" s="315"/>
      <c r="I17" s="315"/>
      <c r="J17" s="315"/>
      <c r="K17" s="315"/>
      <c r="L17" s="315"/>
    </row>
    <row r="18" spans="1:12" ht="18" customHeight="1" x14ac:dyDescent="0.35">
      <c r="A18" s="311" t="s">
        <v>57</v>
      </c>
      <c r="B18" s="312">
        <v>24</v>
      </c>
      <c r="C18" s="312"/>
      <c r="D18" s="322">
        <v>-30380</v>
      </c>
      <c r="E18" s="322">
        <v>339</v>
      </c>
      <c r="F18" s="322">
        <v>-27535</v>
      </c>
      <c r="G18" s="322">
        <v>-47963</v>
      </c>
      <c r="H18" s="322"/>
      <c r="I18" s="322">
        <v>-52827</v>
      </c>
      <c r="J18" s="322">
        <v>-44413</v>
      </c>
      <c r="K18" s="322">
        <v>-50265</v>
      </c>
      <c r="L18" s="322">
        <v>-102460</v>
      </c>
    </row>
    <row r="19" spans="1:12" ht="18" customHeight="1" x14ac:dyDescent="0.35">
      <c r="A19" s="311" t="s">
        <v>106</v>
      </c>
      <c r="B19" s="312">
        <v>9</v>
      </c>
      <c r="C19" s="312"/>
      <c r="D19" s="322">
        <v>11142</v>
      </c>
      <c r="E19" s="322">
        <v>17445</v>
      </c>
      <c r="F19" s="322">
        <v>18627</v>
      </c>
      <c r="G19" s="322">
        <v>36287</v>
      </c>
      <c r="H19" s="322"/>
      <c r="I19" s="312">
        <v>0</v>
      </c>
      <c r="J19" s="312">
        <v>0</v>
      </c>
      <c r="K19" s="312">
        <v>0</v>
      </c>
      <c r="L19" s="312">
        <v>0</v>
      </c>
    </row>
    <row r="20" spans="1:12" ht="29" x14ac:dyDescent="0.35">
      <c r="A20" s="313" t="s">
        <v>304</v>
      </c>
      <c r="B20" s="314"/>
      <c r="C20" s="314"/>
      <c r="D20" s="315">
        <f t="shared" ref="D20:L20" si="1">SUM(D15:D19)</f>
        <v>20078</v>
      </c>
      <c r="E20" s="315">
        <f t="shared" si="1"/>
        <v>85022</v>
      </c>
      <c r="F20" s="315">
        <f t="shared" si="1"/>
        <v>8630</v>
      </c>
      <c r="G20" s="315">
        <f t="shared" si="1"/>
        <v>19302</v>
      </c>
      <c r="H20" s="315"/>
      <c r="I20" s="315">
        <f t="shared" si="1"/>
        <v>34620</v>
      </c>
      <c r="J20" s="315">
        <f t="shared" si="1"/>
        <v>107055</v>
      </c>
      <c r="K20" s="315">
        <f t="shared" si="1"/>
        <v>21538</v>
      </c>
      <c r="L20" s="315">
        <f t="shared" si="1"/>
        <v>43184</v>
      </c>
    </row>
    <row r="21" spans="1:12" ht="18" customHeight="1" x14ac:dyDescent="0.35">
      <c r="A21" s="311"/>
      <c r="B21" s="312"/>
      <c r="C21" s="312"/>
      <c r="D21" s="322"/>
      <c r="E21" s="322"/>
      <c r="F21" s="322"/>
      <c r="G21" s="322"/>
      <c r="H21" s="322"/>
      <c r="I21" s="322"/>
      <c r="J21" s="322"/>
      <c r="K21" s="322"/>
      <c r="L21" s="322"/>
    </row>
    <row r="22" spans="1:12" ht="18" customHeight="1" x14ac:dyDescent="0.35">
      <c r="A22" s="313" t="s">
        <v>59</v>
      </c>
      <c r="B22" s="314"/>
      <c r="C22" s="314"/>
      <c r="D22" s="315"/>
      <c r="E22" s="315"/>
      <c r="F22" s="315"/>
      <c r="G22" s="315"/>
      <c r="H22" s="315"/>
      <c r="I22" s="315"/>
      <c r="J22" s="315"/>
      <c r="K22" s="315"/>
      <c r="L22" s="315"/>
    </row>
    <row r="23" spans="1:12" ht="18" customHeight="1" x14ac:dyDescent="0.35">
      <c r="A23" s="311" t="s">
        <v>60</v>
      </c>
      <c r="B23" s="312">
        <v>25</v>
      </c>
      <c r="C23" s="312"/>
      <c r="D23" s="322">
        <v>10835</v>
      </c>
      <c r="E23" s="322">
        <v>29787</v>
      </c>
      <c r="F23" s="322">
        <v>10805</v>
      </c>
      <c r="G23" s="322">
        <v>16675</v>
      </c>
      <c r="H23" s="322"/>
      <c r="I23" s="322">
        <v>13986</v>
      </c>
      <c r="J23" s="322">
        <v>36997</v>
      </c>
      <c r="K23" s="322">
        <v>13196</v>
      </c>
      <c r="L23" s="322">
        <v>21173</v>
      </c>
    </row>
    <row r="24" spans="1:12" ht="18" customHeight="1" x14ac:dyDescent="0.35">
      <c r="A24" s="311" t="s">
        <v>61</v>
      </c>
      <c r="B24" s="312">
        <v>25</v>
      </c>
      <c r="C24" s="312"/>
      <c r="D24" s="322">
        <v>-38898</v>
      </c>
      <c r="E24" s="322">
        <v>-68589</v>
      </c>
      <c r="F24" s="322">
        <v>-31869</v>
      </c>
      <c r="G24" s="322">
        <v>-53558</v>
      </c>
      <c r="H24" s="322"/>
      <c r="I24" s="322">
        <v>-49291</v>
      </c>
      <c r="J24" s="322">
        <v>-89460</v>
      </c>
      <c r="K24" s="322">
        <v>-33992</v>
      </c>
      <c r="L24" s="322">
        <v>-57767</v>
      </c>
    </row>
    <row r="25" spans="1:12" ht="29" x14ac:dyDescent="0.35">
      <c r="A25" s="313" t="s">
        <v>539</v>
      </c>
      <c r="B25" s="314"/>
      <c r="C25" s="314"/>
      <c r="D25" s="315">
        <f t="shared" ref="D25:L25" si="2">SUM(D20:D24)</f>
        <v>-7985</v>
      </c>
      <c r="E25" s="315">
        <f t="shared" si="2"/>
        <v>46220</v>
      </c>
      <c r="F25" s="315">
        <f t="shared" si="2"/>
        <v>-12434</v>
      </c>
      <c r="G25" s="315">
        <f t="shared" si="2"/>
        <v>-17581</v>
      </c>
      <c r="H25" s="315"/>
      <c r="I25" s="315">
        <f t="shared" si="2"/>
        <v>-685</v>
      </c>
      <c r="J25" s="315">
        <f t="shared" si="2"/>
        <v>54592</v>
      </c>
      <c r="K25" s="315">
        <f t="shared" si="2"/>
        <v>742</v>
      </c>
      <c r="L25" s="315">
        <f t="shared" si="2"/>
        <v>6590</v>
      </c>
    </row>
    <row r="26" spans="1:12" ht="18" customHeight="1" x14ac:dyDescent="0.35">
      <c r="A26" s="311"/>
      <c r="B26" s="312"/>
      <c r="C26" s="312"/>
      <c r="D26" s="322"/>
      <c r="E26" s="322"/>
      <c r="F26" s="322"/>
      <c r="G26" s="322"/>
      <c r="H26" s="322"/>
      <c r="I26" s="322"/>
      <c r="J26" s="322"/>
      <c r="K26" s="322"/>
      <c r="L26" s="322"/>
    </row>
    <row r="27" spans="1:12" ht="18" customHeight="1" x14ac:dyDescent="0.35">
      <c r="A27" s="311" t="s">
        <v>424</v>
      </c>
      <c r="B27" s="312">
        <v>7</v>
      </c>
      <c r="C27" s="312"/>
      <c r="D27" s="312">
        <v>0</v>
      </c>
      <c r="E27" s="312">
        <v>0</v>
      </c>
      <c r="F27" s="312">
        <v>0</v>
      </c>
      <c r="G27" s="312">
        <v>0</v>
      </c>
      <c r="H27" s="312"/>
      <c r="I27" s="322">
        <v>-6003</v>
      </c>
      <c r="J27" s="322">
        <v>-14277</v>
      </c>
      <c r="K27" s="322">
        <v>-6853</v>
      </c>
      <c r="L27" s="322">
        <v>-18090</v>
      </c>
    </row>
    <row r="28" spans="1:12" ht="18" customHeight="1" thickBot="1" x14ac:dyDescent="0.4">
      <c r="A28" s="311" t="s">
        <v>21</v>
      </c>
      <c r="B28" s="312">
        <v>7</v>
      </c>
      <c r="C28" s="312"/>
      <c r="D28" s="322">
        <v>6586</v>
      </c>
      <c r="E28" s="322">
        <v>9146</v>
      </c>
      <c r="F28" s="322">
        <v>10342</v>
      </c>
      <c r="G28" s="322">
        <v>17292</v>
      </c>
      <c r="H28" s="322"/>
      <c r="I28" s="322">
        <v>5658</v>
      </c>
      <c r="J28" s="322">
        <v>11370</v>
      </c>
      <c r="K28" s="322">
        <v>6619</v>
      </c>
      <c r="L28" s="322">
        <v>16025</v>
      </c>
    </row>
    <row r="29" spans="1:12" s="2" customFormat="1" ht="15" thickBot="1" x14ac:dyDescent="0.4">
      <c r="A29" s="334" t="s">
        <v>540</v>
      </c>
      <c r="B29" s="317"/>
      <c r="C29" s="317"/>
      <c r="D29" s="318">
        <f t="shared" ref="D29:L29" si="3">SUM(D25:D28)</f>
        <v>-1399</v>
      </c>
      <c r="E29" s="318">
        <f t="shared" si="3"/>
        <v>55366</v>
      </c>
      <c r="F29" s="318">
        <f t="shared" si="3"/>
        <v>-2092</v>
      </c>
      <c r="G29" s="318">
        <f t="shared" si="3"/>
        <v>-289</v>
      </c>
      <c r="H29" s="318"/>
      <c r="I29" s="318">
        <f t="shared" si="3"/>
        <v>-1030</v>
      </c>
      <c r="J29" s="318">
        <f t="shared" si="3"/>
        <v>51685</v>
      </c>
      <c r="K29" s="318">
        <f t="shared" si="3"/>
        <v>508</v>
      </c>
      <c r="L29" s="318">
        <f t="shared" si="3"/>
        <v>4525</v>
      </c>
    </row>
    <row r="30" spans="1:12" ht="18" customHeight="1" x14ac:dyDescent="0.35">
      <c r="A30" s="311"/>
      <c r="B30" s="312"/>
      <c r="C30" s="312"/>
      <c r="D30" s="322"/>
      <c r="E30" s="322"/>
      <c r="F30" s="322"/>
      <c r="G30" s="322"/>
      <c r="H30" s="322"/>
      <c r="I30" s="322"/>
      <c r="J30" s="322"/>
      <c r="K30" s="322"/>
      <c r="L30" s="322"/>
    </row>
    <row r="31" spans="1:12" ht="18" customHeight="1" x14ac:dyDescent="0.35">
      <c r="A31" s="313" t="s">
        <v>63</v>
      </c>
      <c r="B31" s="314"/>
      <c r="C31" s="314"/>
      <c r="D31" s="315"/>
      <c r="E31" s="315"/>
      <c r="F31" s="315"/>
      <c r="G31" s="315"/>
      <c r="H31" s="315"/>
      <c r="I31" s="315"/>
      <c r="J31" s="315"/>
      <c r="K31" s="315"/>
      <c r="L31" s="315"/>
    </row>
    <row r="32" spans="1:12" ht="18" customHeight="1" x14ac:dyDescent="0.35">
      <c r="A32" s="311" t="s">
        <v>425</v>
      </c>
      <c r="B32" s="312"/>
      <c r="C32" s="312"/>
      <c r="D32" s="322">
        <f>D29</f>
        <v>-1399</v>
      </c>
      <c r="E32" s="322">
        <f>E29</f>
        <v>55366</v>
      </c>
      <c r="F32" s="322">
        <f>F29</f>
        <v>-2092</v>
      </c>
      <c r="G32" s="322">
        <f>G29</f>
        <v>-289</v>
      </c>
      <c r="H32" s="322"/>
      <c r="I32" s="322">
        <f>D32</f>
        <v>-1399</v>
      </c>
      <c r="J32" s="322">
        <f>E32</f>
        <v>55366</v>
      </c>
      <c r="K32" s="322">
        <f>F32</f>
        <v>-2092</v>
      </c>
      <c r="L32" s="322">
        <f>G32</f>
        <v>-289</v>
      </c>
    </row>
    <row r="33" spans="1:12" ht="18" customHeight="1" x14ac:dyDescent="0.35">
      <c r="A33" s="311" t="s">
        <v>426</v>
      </c>
      <c r="B33" s="312"/>
      <c r="C33" s="312"/>
      <c r="D33" s="312">
        <v>0</v>
      </c>
      <c r="E33" s="312">
        <v>0</v>
      </c>
      <c r="F33" s="312">
        <v>0</v>
      </c>
      <c r="G33" s="312">
        <v>0</v>
      </c>
      <c r="H33" s="312"/>
      <c r="I33" s="322">
        <f>I29-I32</f>
        <v>369</v>
      </c>
      <c r="J33" s="322">
        <f>J29-J32</f>
        <v>-3681</v>
      </c>
      <c r="K33" s="322">
        <f>K29-K32</f>
        <v>2600</v>
      </c>
      <c r="L33" s="322">
        <f>L29-L32</f>
        <v>4814</v>
      </c>
    </row>
    <row r="34" spans="1:12" ht="18" customHeight="1" thickBot="1" x14ac:dyDescent="0.4">
      <c r="A34" s="311"/>
      <c r="B34" s="312"/>
      <c r="C34" s="312"/>
      <c r="D34" s="322"/>
      <c r="E34" s="322"/>
      <c r="F34" s="322"/>
      <c r="G34" s="322"/>
      <c r="H34" s="322"/>
      <c r="I34" s="322"/>
      <c r="J34" s="322"/>
      <c r="K34" s="322"/>
      <c r="L34" s="322"/>
    </row>
    <row r="35" spans="1:12" s="2" customFormat="1" ht="14.5" x14ac:dyDescent="0.35">
      <c r="A35" s="335" t="s">
        <v>541</v>
      </c>
      <c r="B35" s="336"/>
      <c r="C35" s="336"/>
      <c r="D35" s="337"/>
      <c r="E35" s="337"/>
      <c r="F35" s="337"/>
      <c r="G35" s="337"/>
      <c r="H35" s="337"/>
      <c r="I35" s="337"/>
      <c r="J35" s="337"/>
      <c r="K35" s="337"/>
      <c r="L35" s="337"/>
    </row>
    <row r="36" spans="1:12" ht="18" customHeight="1" x14ac:dyDescent="0.35">
      <c r="A36" s="311" t="s">
        <v>65</v>
      </c>
      <c r="B36" s="312">
        <v>26</v>
      </c>
      <c r="C36" s="312"/>
      <c r="D36" s="338">
        <v>-24.6</v>
      </c>
      <c r="E36" s="338">
        <v>974.82</v>
      </c>
      <c r="F36" s="338">
        <v>-44.79</v>
      </c>
      <c r="G36" s="338">
        <v>-6.2</v>
      </c>
      <c r="H36" s="339"/>
      <c r="I36" s="339"/>
      <c r="J36" s="339"/>
      <c r="K36" s="339"/>
      <c r="L36" s="339"/>
    </row>
    <row r="37" spans="1:12" ht="18" customHeight="1" x14ac:dyDescent="0.35">
      <c r="A37" s="311" t="s">
        <v>66</v>
      </c>
      <c r="B37" s="312">
        <v>26</v>
      </c>
      <c r="C37" s="312"/>
      <c r="D37" s="340">
        <v>-23.84</v>
      </c>
      <c r="E37" s="340">
        <v>944.45</v>
      </c>
      <c r="F37" s="340">
        <v>-43.45</v>
      </c>
      <c r="G37" s="340">
        <v>-6.01</v>
      </c>
      <c r="H37" s="339"/>
      <c r="I37" s="339"/>
      <c r="J37" s="339"/>
      <c r="K37" s="339"/>
      <c r="L37" s="339"/>
    </row>
    <row r="38" spans="1:12" ht="18" customHeight="1" x14ac:dyDescent="0.35">
      <c r="A38" s="311"/>
      <c r="B38" s="312"/>
      <c r="C38" s="312"/>
      <c r="D38" s="322"/>
      <c r="E38" s="322"/>
      <c r="F38" s="322"/>
      <c r="G38" s="322"/>
      <c r="H38" s="322"/>
      <c r="I38" s="322"/>
      <c r="J38" s="322"/>
      <c r="K38" s="322"/>
      <c r="L38" s="322"/>
    </row>
    <row r="39" spans="1:12" ht="18" customHeight="1" x14ac:dyDescent="0.35">
      <c r="A39" s="320" t="s">
        <v>299</v>
      </c>
      <c r="B39" s="314"/>
      <c r="C39" s="314"/>
      <c r="D39" s="314"/>
      <c r="E39" s="314"/>
      <c r="F39" s="314"/>
      <c r="G39" s="314"/>
      <c r="H39" s="314"/>
      <c r="I39" s="314"/>
      <c r="J39" s="314"/>
      <c r="K39" s="314"/>
      <c r="L39" s="314"/>
    </row>
  </sheetData>
  <mergeCells count="6">
    <mergeCell ref="D9:G9"/>
    <mergeCell ref="I9:L9"/>
    <mergeCell ref="D10:E10"/>
    <mergeCell ref="F10:G10"/>
    <mergeCell ref="I10:J10"/>
    <mergeCell ref="K10:L10"/>
  </mergeCells>
  <pageMargins left="0.7" right="0.7" top="0.75" bottom="0.75" header="0.3" footer="0.3"/>
  <pageSetup paperSize="9" scale="69" firstPageNumber="14" fitToHeight="0" orientation="landscape" useFirstPageNumber="1" r:id="rId1"/>
  <headerFooter>
    <oddFooter>&amp;L&amp;"Open Sans Light"&amp;9 Priner | www.priner.com.br | Confidencial — uso interno&amp;R&amp;"Trebuchet MS,Normal"&amp;9 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EE04E-8375-4819-9E99-DCE7DF2EF7D4}">
  <sheetPr>
    <tabColor rgb="FF92D050"/>
    <pageSetUpPr fitToPage="1"/>
  </sheetPr>
  <dimension ref="A1:J53"/>
  <sheetViews>
    <sheetView showGridLines="0" zoomScale="80" zoomScaleNormal="80" zoomScaleSheetLayoutView="100" workbookViewId="0">
      <selection activeCell="L9" sqref="L9"/>
    </sheetView>
  </sheetViews>
  <sheetFormatPr defaultColWidth="15" defaultRowHeight="15.75" customHeight="1" x14ac:dyDescent="0.3"/>
  <cols>
    <col min="1" max="1" width="48" style="214" customWidth="1"/>
    <col min="2" max="2" width="14" style="214" customWidth="1"/>
    <col min="3" max="5" width="15" style="214" customWidth="1"/>
    <col min="6" max="6" width="3.453125" style="214" customWidth="1"/>
    <col min="7" max="10" width="15" style="214" customWidth="1"/>
    <col min="11" max="16384" width="15" style="214"/>
  </cols>
  <sheetData>
    <row r="1" spans="1:10" s="3" customFormat="1" ht="15.75" customHeight="1" x14ac:dyDescent="0.35">
      <c r="G1" s="16"/>
    </row>
    <row r="2" spans="1:10" s="3" customFormat="1" ht="23.25" customHeight="1" x14ac:dyDescent="0.35">
      <c r="G2" s="16"/>
    </row>
    <row r="3" spans="1:10" ht="18" customHeight="1" x14ac:dyDescent="0.3">
      <c r="A3" s="292" t="s">
        <v>0</v>
      </c>
      <c r="B3" s="293"/>
      <c r="C3" s="293"/>
      <c r="D3" s="293"/>
      <c r="E3" s="293"/>
      <c r="F3" s="293"/>
      <c r="G3" s="293"/>
      <c r="H3" s="293"/>
      <c r="I3" s="293"/>
      <c r="J3" s="293"/>
    </row>
    <row r="4" spans="1:10" ht="18" customHeight="1" x14ac:dyDescent="0.35">
      <c r="A4" s="171"/>
      <c r="B4" s="172"/>
      <c r="C4" s="172"/>
      <c r="D4" s="172"/>
      <c r="E4" s="172"/>
      <c r="F4" s="172"/>
    </row>
    <row r="5" spans="1:10" ht="18" customHeight="1" x14ac:dyDescent="0.3">
      <c r="A5" s="294" t="s">
        <v>305</v>
      </c>
      <c r="B5" s="295"/>
      <c r="C5" s="295"/>
      <c r="D5" s="295"/>
      <c r="E5" s="295"/>
      <c r="F5" s="295"/>
      <c r="G5" s="295"/>
      <c r="H5" s="295"/>
      <c r="I5" s="295"/>
      <c r="J5" s="295"/>
    </row>
    <row r="6" spans="1:10" ht="18" customHeight="1" x14ac:dyDescent="0.3">
      <c r="A6" s="296" t="s">
        <v>536</v>
      </c>
      <c r="B6" s="323"/>
      <c r="C6" s="323"/>
      <c r="D6" s="323"/>
      <c r="E6" s="323"/>
      <c r="F6" s="323"/>
      <c r="G6" s="323"/>
      <c r="H6" s="323"/>
      <c r="I6" s="323"/>
      <c r="J6" s="323"/>
    </row>
    <row r="7" spans="1:10" ht="18" customHeight="1" x14ac:dyDescent="0.3">
      <c r="A7" s="298" t="s">
        <v>1</v>
      </c>
      <c r="B7" s="299"/>
      <c r="C7" s="299"/>
      <c r="D7" s="299"/>
      <c r="E7" s="299"/>
      <c r="F7" s="299"/>
      <c r="G7" s="299"/>
      <c r="H7" s="299"/>
      <c r="I7" s="299"/>
      <c r="J7" s="323"/>
    </row>
    <row r="8" spans="1:10" ht="18" customHeight="1" x14ac:dyDescent="0.3">
      <c r="A8" s="173"/>
    </row>
    <row r="9" spans="1:10" s="1" customFormat="1" ht="18" customHeight="1" x14ac:dyDescent="0.35">
      <c r="A9" s="341"/>
      <c r="B9" s="381" t="s">
        <v>3</v>
      </c>
      <c r="C9" s="382"/>
      <c r="D9" s="382"/>
      <c r="E9" s="382"/>
      <c r="F9"/>
      <c r="G9" s="381" t="s">
        <v>4</v>
      </c>
      <c r="H9" s="382"/>
      <c r="I9" s="382"/>
      <c r="J9" s="382"/>
    </row>
    <row r="10" spans="1:10" s="1" customFormat="1" ht="18" customHeight="1" x14ac:dyDescent="0.35">
      <c r="A10" s="341"/>
      <c r="B10" s="383">
        <v>46203</v>
      </c>
      <c r="C10" s="382"/>
      <c r="D10" s="383">
        <v>45838</v>
      </c>
      <c r="E10" s="382"/>
      <c r="F10"/>
      <c r="G10" s="383">
        <f>B10</f>
        <v>46203</v>
      </c>
      <c r="H10" s="382"/>
      <c r="I10" s="383">
        <f>D10</f>
        <v>45838</v>
      </c>
      <c r="J10" s="382"/>
    </row>
    <row r="11" spans="1:10" s="1" customFormat="1" ht="18" customHeight="1" thickBot="1" x14ac:dyDescent="0.4">
      <c r="A11" s="341"/>
      <c r="B11" s="342" t="s">
        <v>537</v>
      </c>
      <c r="C11" s="342" t="s">
        <v>538</v>
      </c>
      <c r="D11" s="343" t="s">
        <v>537</v>
      </c>
      <c r="E11" s="344" t="s">
        <v>538</v>
      </c>
      <c r="F11" s="345"/>
      <c r="G11" s="346" t="s">
        <v>537</v>
      </c>
      <c r="H11" s="342" t="s">
        <v>538</v>
      </c>
      <c r="I11" s="343" t="s">
        <v>537</v>
      </c>
      <c r="J11" s="342" t="s">
        <v>538</v>
      </c>
    </row>
    <row r="12" spans="1:10" s="2" customFormat="1" ht="18" customHeight="1" thickBot="1" x14ac:dyDescent="0.4">
      <c r="A12" s="316" t="s">
        <v>542</v>
      </c>
      <c r="B12" s="318">
        <f>DRE!D29</f>
        <v>-1399</v>
      </c>
      <c r="C12" s="318">
        <f>DRE!E29</f>
        <v>55366</v>
      </c>
      <c r="D12" s="318">
        <f>DRE!F29</f>
        <v>-2092</v>
      </c>
      <c r="E12" s="318">
        <f>DRE!G29</f>
        <v>-289</v>
      </c>
      <c r="F12" s="315"/>
      <c r="G12" s="318">
        <f>DRE!I29</f>
        <v>-1030</v>
      </c>
      <c r="H12" s="318">
        <f>DRE!J29</f>
        <v>51685</v>
      </c>
      <c r="I12" s="318">
        <f>DRE!K29</f>
        <v>508</v>
      </c>
      <c r="J12" s="318">
        <f>DRE!L29</f>
        <v>4525</v>
      </c>
    </row>
    <row r="13" spans="1:10" s="2" customFormat="1" ht="18" customHeight="1" x14ac:dyDescent="0.35">
      <c r="A13" s="311"/>
      <c r="B13" s="322"/>
      <c r="C13" s="322"/>
      <c r="D13" s="322"/>
      <c r="E13" s="322"/>
      <c r="F13" s="322"/>
      <c r="G13" s="322"/>
      <c r="H13" s="322"/>
      <c r="I13" s="322"/>
      <c r="J13" s="322"/>
    </row>
    <row r="14" spans="1:10" s="2" customFormat="1" ht="18" customHeight="1" x14ac:dyDescent="0.35">
      <c r="A14" s="311" t="s">
        <v>543</v>
      </c>
      <c r="B14" s="322">
        <v>68</v>
      </c>
      <c r="C14" s="322">
        <v>515</v>
      </c>
      <c r="D14" s="322">
        <v>-3257</v>
      </c>
      <c r="E14" s="322">
        <v>-3257</v>
      </c>
      <c r="F14" s="322"/>
      <c r="G14" s="322">
        <v>68</v>
      </c>
      <c r="H14" s="322">
        <v>515</v>
      </c>
      <c r="I14" s="322">
        <v>-3257</v>
      </c>
      <c r="J14" s="322">
        <v>-3257</v>
      </c>
    </row>
    <row r="15" spans="1:10" s="2" customFormat="1" ht="18" customHeight="1" x14ac:dyDescent="0.35">
      <c r="A15" s="311" t="s">
        <v>544</v>
      </c>
      <c r="B15" s="322">
        <v>-22</v>
      </c>
      <c r="C15" s="322">
        <v>-173</v>
      </c>
      <c r="D15" s="322">
        <v>1106</v>
      </c>
      <c r="E15" s="322">
        <v>1106</v>
      </c>
      <c r="F15" s="322"/>
      <c r="G15" s="322">
        <v>-22</v>
      </c>
      <c r="H15" s="322">
        <v>-173</v>
      </c>
      <c r="I15" s="322">
        <v>1106</v>
      </c>
      <c r="J15" s="322">
        <v>1106</v>
      </c>
    </row>
    <row r="16" spans="1:10" s="1" customFormat="1" ht="18" customHeight="1" thickBot="1" x14ac:dyDescent="0.4">
      <c r="A16" s="311"/>
      <c r="B16" s="312"/>
      <c r="C16" s="312"/>
      <c r="D16" s="347"/>
      <c r="E16" s="347"/>
      <c r="F16" s="322"/>
      <c r="G16" s="312"/>
      <c r="H16" s="312"/>
      <c r="I16" s="347"/>
      <c r="J16" s="347"/>
    </row>
    <row r="17" spans="1:10" s="2" customFormat="1" ht="18" customHeight="1" thickBot="1" x14ac:dyDescent="0.4">
      <c r="A17" s="316" t="s">
        <v>67</v>
      </c>
      <c r="B17" s="318">
        <f t="shared" ref="B17:J17" si="0">SUM(B12:B16)</f>
        <v>-1353</v>
      </c>
      <c r="C17" s="318">
        <f t="shared" si="0"/>
        <v>55708</v>
      </c>
      <c r="D17" s="318">
        <f t="shared" si="0"/>
        <v>-4243</v>
      </c>
      <c r="E17" s="318">
        <f t="shared" si="0"/>
        <v>-2440</v>
      </c>
      <c r="F17" s="315"/>
      <c r="G17" s="318">
        <f t="shared" si="0"/>
        <v>-984</v>
      </c>
      <c r="H17" s="318">
        <f t="shared" si="0"/>
        <v>52027</v>
      </c>
      <c r="I17" s="318">
        <f t="shared" si="0"/>
        <v>-1643</v>
      </c>
      <c r="J17" s="318">
        <f t="shared" si="0"/>
        <v>2374</v>
      </c>
    </row>
    <row r="18" spans="1:10" s="1" customFormat="1" ht="18" customHeight="1" x14ac:dyDescent="0.35">
      <c r="A18" s="311"/>
      <c r="B18" s="312"/>
      <c r="C18" s="312"/>
      <c r="D18" s="322"/>
      <c r="E18" s="322"/>
      <c r="F18" s="322"/>
      <c r="G18" s="312"/>
      <c r="H18" s="312"/>
      <c r="I18" s="312"/>
      <c r="J18" s="312"/>
    </row>
    <row r="19" spans="1:10" s="1" customFormat="1" ht="18" customHeight="1" x14ac:dyDescent="0.35">
      <c r="A19" s="313" t="s">
        <v>63</v>
      </c>
      <c r="B19" s="314"/>
      <c r="C19" s="314"/>
      <c r="D19" s="315"/>
      <c r="E19" s="315"/>
      <c r="F19" s="315"/>
      <c r="G19" s="314"/>
      <c r="H19" s="314"/>
      <c r="I19" s="314"/>
      <c r="J19" s="314"/>
    </row>
    <row r="20" spans="1:10" s="1" customFormat="1" ht="18" customHeight="1" x14ac:dyDescent="0.35">
      <c r="A20" s="311" t="s">
        <v>64</v>
      </c>
      <c r="B20" s="322">
        <f>B17</f>
        <v>-1353</v>
      </c>
      <c r="C20" s="322">
        <f>C17</f>
        <v>55708</v>
      </c>
      <c r="D20" s="322">
        <f>D17</f>
        <v>-4243</v>
      </c>
      <c r="E20" s="322">
        <f>E17</f>
        <v>-2440</v>
      </c>
      <c r="F20" s="322"/>
      <c r="G20" s="312">
        <f>B20</f>
        <v>-1353</v>
      </c>
      <c r="H20" s="312">
        <f>C20</f>
        <v>55708</v>
      </c>
      <c r="I20" s="322">
        <f>D20</f>
        <v>-4243</v>
      </c>
      <c r="J20" s="322">
        <f>E20</f>
        <v>-2440</v>
      </c>
    </row>
    <row r="21" spans="1:10" s="1" customFormat="1" ht="18" customHeight="1" x14ac:dyDescent="0.35">
      <c r="A21" s="311" t="s">
        <v>68</v>
      </c>
      <c r="B21" s="312">
        <v>0</v>
      </c>
      <c r="C21" s="312">
        <v>0</v>
      </c>
      <c r="D21" s="312">
        <v>0</v>
      </c>
      <c r="E21" s="312">
        <v>0</v>
      </c>
      <c r="F21" s="312"/>
      <c r="G21" s="312">
        <f>G17-G20</f>
        <v>369</v>
      </c>
      <c r="H21" s="312">
        <f>H17-H20</f>
        <v>-3681</v>
      </c>
      <c r="I21" s="312">
        <f>I17-I20</f>
        <v>2600</v>
      </c>
      <c r="J21" s="312">
        <f>J17-J20</f>
        <v>4814</v>
      </c>
    </row>
    <row r="22" spans="1:10" s="1" customFormat="1" ht="18" customHeight="1" x14ac:dyDescent="0.35">
      <c r="A22" s="311"/>
      <c r="B22" s="312"/>
      <c r="C22" s="312"/>
      <c r="D22" s="312"/>
      <c r="E22" s="312"/>
      <c r="F22" s="312"/>
      <c r="G22" s="312"/>
      <c r="H22" s="312"/>
      <c r="I22" s="312"/>
      <c r="J22" s="312"/>
    </row>
    <row r="23" spans="1:10" s="1" customFormat="1" ht="18" customHeight="1" x14ac:dyDescent="0.35">
      <c r="A23" s="320" t="s">
        <v>299</v>
      </c>
      <c r="B23" s="314"/>
      <c r="C23" s="314"/>
      <c r="D23" s="314"/>
      <c r="E23" s="314"/>
      <c r="F23" s="314"/>
      <c r="G23" s="314"/>
      <c r="H23" s="314"/>
      <c r="I23" s="314"/>
      <c r="J23" s="314"/>
    </row>
    <row r="24" spans="1:10" ht="18" customHeight="1" x14ac:dyDescent="0.3">
      <c r="A24" s="311"/>
      <c r="B24" s="312"/>
      <c r="C24" s="312"/>
      <c r="D24" s="312"/>
      <c r="E24" s="312"/>
      <c r="F24" s="312"/>
      <c r="G24" s="312"/>
      <c r="H24" s="312"/>
      <c r="I24" s="312"/>
      <c r="J24" s="312"/>
    </row>
    <row r="25" spans="1:10" ht="18" customHeight="1" x14ac:dyDescent="0.3">
      <c r="A25" s="311"/>
      <c r="B25" s="312"/>
      <c r="C25" s="312"/>
      <c r="D25" s="312"/>
      <c r="E25" s="312"/>
      <c r="F25" s="312"/>
      <c r="G25" s="312"/>
      <c r="H25" s="312"/>
      <c r="I25" s="312"/>
      <c r="J25" s="312"/>
    </row>
    <row r="26" spans="1:10" ht="18" customHeight="1" x14ac:dyDescent="0.3">
      <c r="A26" s="311"/>
      <c r="B26" s="312"/>
      <c r="C26" s="312"/>
      <c r="D26" s="312"/>
      <c r="E26" s="312"/>
      <c r="F26" s="312"/>
      <c r="G26" s="312"/>
      <c r="H26" s="312"/>
      <c r="I26" s="312"/>
      <c r="J26" s="312"/>
    </row>
    <row r="27" spans="1:10" ht="18" customHeight="1" x14ac:dyDescent="0.3">
      <c r="A27" s="311"/>
      <c r="B27" s="312"/>
      <c r="C27" s="312"/>
      <c r="D27" s="312"/>
      <c r="E27" s="312"/>
      <c r="F27" s="312"/>
      <c r="G27" s="312"/>
      <c r="H27" s="312"/>
      <c r="I27" s="312"/>
      <c r="J27" s="312"/>
    </row>
    <row r="28" spans="1:10" ht="18" customHeight="1" x14ac:dyDescent="0.3">
      <c r="A28" s="311"/>
      <c r="B28" s="312"/>
      <c r="C28" s="312"/>
      <c r="D28" s="312"/>
      <c r="E28" s="312"/>
      <c r="F28" s="312"/>
      <c r="G28" s="312"/>
      <c r="H28" s="312"/>
      <c r="I28" s="312"/>
      <c r="J28" s="312"/>
    </row>
    <row r="29" spans="1:10" ht="18" customHeight="1" x14ac:dyDescent="0.3">
      <c r="A29" s="311"/>
      <c r="B29" s="312"/>
      <c r="C29" s="312"/>
      <c r="D29" s="312"/>
      <c r="E29" s="312"/>
      <c r="F29" s="312"/>
      <c r="G29" s="312"/>
      <c r="H29" s="312"/>
      <c r="I29" s="312"/>
      <c r="J29" s="312"/>
    </row>
    <row r="30" spans="1:10" ht="18" customHeight="1" x14ac:dyDescent="0.3">
      <c r="A30" s="311"/>
      <c r="B30" s="312"/>
      <c r="C30" s="312"/>
      <c r="D30" s="312"/>
      <c r="E30" s="312"/>
      <c r="F30" s="312"/>
      <c r="G30" s="312"/>
      <c r="H30" s="312"/>
      <c r="I30" s="312"/>
      <c r="J30" s="312"/>
    </row>
    <row r="31" spans="1:10" ht="18" customHeight="1" x14ac:dyDescent="0.3">
      <c r="A31" s="311"/>
      <c r="B31" s="312"/>
      <c r="C31" s="312"/>
      <c r="D31" s="312"/>
      <c r="E31" s="312"/>
      <c r="F31" s="312"/>
      <c r="G31" s="312"/>
      <c r="H31" s="312"/>
      <c r="I31" s="312"/>
      <c r="J31" s="312"/>
    </row>
    <row r="32" spans="1:10" ht="18" customHeight="1" x14ac:dyDescent="0.3">
      <c r="A32" s="311"/>
      <c r="B32" s="312"/>
      <c r="C32" s="312"/>
      <c r="D32" s="312"/>
      <c r="E32" s="312"/>
      <c r="F32" s="312"/>
      <c r="G32" s="312"/>
      <c r="H32" s="312"/>
      <c r="I32" s="312"/>
      <c r="J32" s="312"/>
    </row>
    <row r="33" spans="1:10" ht="18" customHeight="1" x14ac:dyDescent="0.3">
      <c r="A33" s="311"/>
      <c r="B33" s="312"/>
      <c r="C33" s="312"/>
      <c r="D33" s="312"/>
      <c r="E33" s="312"/>
      <c r="F33" s="312"/>
      <c r="G33" s="312"/>
      <c r="H33" s="312"/>
      <c r="I33" s="312"/>
      <c r="J33" s="312"/>
    </row>
    <row r="34" spans="1:10" ht="18" customHeight="1" x14ac:dyDescent="0.3">
      <c r="A34" s="311"/>
      <c r="B34" s="312"/>
      <c r="C34" s="312"/>
      <c r="D34" s="312"/>
      <c r="E34" s="312"/>
      <c r="F34" s="312"/>
      <c r="G34" s="312"/>
      <c r="H34" s="312"/>
      <c r="I34" s="312"/>
      <c r="J34" s="312"/>
    </row>
    <row r="35" spans="1:10" ht="18" customHeight="1" x14ac:dyDescent="0.3">
      <c r="A35" s="311"/>
      <c r="B35" s="312"/>
      <c r="C35" s="312"/>
      <c r="D35" s="312"/>
      <c r="E35" s="312"/>
      <c r="F35" s="312"/>
      <c r="G35" s="312"/>
      <c r="H35" s="312"/>
      <c r="I35" s="312"/>
      <c r="J35" s="312"/>
    </row>
    <row r="36" spans="1:10" ht="18" customHeight="1" x14ac:dyDescent="0.3">
      <c r="A36" s="311"/>
      <c r="B36" s="312"/>
      <c r="C36" s="312"/>
      <c r="D36" s="312"/>
      <c r="E36" s="312"/>
      <c r="F36" s="312"/>
      <c r="G36" s="312"/>
      <c r="H36" s="312"/>
      <c r="I36" s="312"/>
      <c r="J36" s="312"/>
    </row>
    <row r="37" spans="1:10" ht="18" customHeight="1" x14ac:dyDescent="0.3">
      <c r="A37" s="311"/>
      <c r="B37" s="312"/>
      <c r="C37" s="312"/>
      <c r="D37" s="312"/>
      <c r="E37" s="312"/>
      <c r="F37" s="312"/>
      <c r="G37" s="312"/>
      <c r="H37" s="312"/>
      <c r="I37" s="312"/>
      <c r="J37" s="312"/>
    </row>
    <row r="38" spans="1:10" ht="18" customHeight="1" x14ac:dyDescent="0.3">
      <c r="A38" s="311"/>
      <c r="B38" s="312"/>
      <c r="C38" s="312"/>
      <c r="D38" s="312"/>
      <c r="E38" s="312"/>
      <c r="F38" s="312"/>
      <c r="G38" s="312"/>
      <c r="H38" s="312"/>
      <c r="I38" s="312"/>
      <c r="J38" s="312"/>
    </row>
    <row r="39" spans="1:10" ht="18" customHeight="1" x14ac:dyDescent="0.3">
      <c r="A39" s="311"/>
      <c r="B39" s="312"/>
      <c r="C39" s="312"/>
      <c r="D39" s="312"/>
      <c r="E39" s="312"/>
      <c r="F39" s="312"/>
      <c r="G39" s="312"/>
      <c r="H39" s="312"/>
      <c r="I39" s="312"/>
      <c r="J39" s="312"/>
    </row>
    <row r="40" spans="1:10" ht="18" customHeight="1" x14ac:dyDescent="0.3">
      <c r="A40" s="311"/>
      <c r="B40" s="312"/>
      <c r="C40" s="312"/>
      <c r="D40" s="312"/>
      <c r="E40" s="312"/>
      <c r="F40" s="312"/>
      <c r="G40" s="312"/>
      <c r="H40" s="312"/>
      <c r="I40" s="312"/>
      <c r="J40" s="312"/>
    </row>
    <row r="41" spans="1:10" ht="18" customHeight="1" x14ac:dyDescent="0.3">
      <c r="A41" s="311"/>
      <c r="B41" s="312"/>
      <c r="C41" s="312"/>
      <c r="D41" s="312"/>
      <c r="E41" s="312"/>
      <c r="F41" s="312"/>
      <c r="G41" s="312"/>
      <c r="H41" s="312"/>
      <c r="I41" s="312"/>
      <c r="J41" s="312"/>
    </row>
    <row r="42" spans="1:10" ht="18" customHeight="1" x14ac:dyDescent="0.3">
      <c r="A42" s="311"/>
      <c r="B42" s="312"/>
      <c r="C42" s="312"/>
      <c r="D42" s="312"/>
      <c r="E42" s="312"/>
      <c r="F42" s="312"/>
      <c r="G42" s="312"/>
      <c r="H42" s="312"/>
      <c r="I42" s="312"/>
      <c r="J42" s="312"/>
    </row>
    <row r="43" spans="1:10" ht="18" customHeight="1" x14ac:dyDescent="0.3">
      <c r="A43" s="311"/>
      <c r="B43" s="312"/>
      <c r="C43" s="312"/>
      <c r="D43" s="312"/>
      <c r="E43" s="312"/>
      <c r="F43" s="312"/>
      <c r="G43" s="312"/>
      <c r="H43" s="312"/>
      <c r="I43" s="312"/>
      <c r="J43" s="312"/>
    </row>
    <row r="44" spans="1:10" ht="18" customHeight="1" x14ac:dyDescent="0.3">
      <c r="A44" s="311"/>
      <c r="B44" s="312"/>
      <c r="C44" s="312"/>
      <c r="D44" s="312"/>
      <c r="E44" s="312"/>
      <c r="F44" s="312"/>
      <c r="G44" s="312"/>
      <c r="H44" s="312"/>
      <c r="I44" s="312"/>
      <c r="J44" s="312"/>
    </row>
    <row r="45" spans="1:10" ht="18" customHeight="1" x14ac:dyDescent="0.3">
      <c r="A45" s="311"/>
      <c r="B45" s="312"/>
      <c r="C45" s="312"/>
      <c r="D45" s="312"/>
      <c r="E45" s="312"/>
      <c r="F45" s="312"/>
      <c r="G45" s="312"/>
      <c r="H45" s="312"/>
      <c r="I45" s="312"/>
      <c r="J45" s="312"/>
    </row>
    <row r="46" spans="1:10" ht="18" customHeight="1" x14ac:dyDescent="0.3">
      <c r="A46" s="311"/>
      <c r="B46" s="312"/>
      <c r="C46" s="312"/>
      <c r="D46" s="312"/>
      <c r="E46" s="312"/>
      <c r="F46" s="312"/>
      <c r="G46" s="312"/>
      <c r="H46" s="312"/>
      <c r="I46" s="312"/>
      <c r="J46" s="312"/>
    </row>
    <row r="47" spans="1:10" ht="18" customHeight="1" x14ac:dyDescent="0.3">
      <c r="A47" s="311"/>
      <c r="B47" s="312"/>
      <c r="C47" s="312"/>
      <c r="D47" s="312"/>
      <c r="E47" s="312"/>
      <c r="F47" s="312"/>
      <c r="G47" s="312"/>
      <c r="H47" s="312"/>
      <c r="I47" s="312"/>
      <c r="J47" s="312"/>
    </row>
    <row r="48" spans="1:10" ht="18" customHeight="1" x14ac:dyDescent="0.3">
      <c r="A48" s="311"/>
      <c r="B48" s="312"/>
      <c r="C48" s="312"/>
      <c r="D48" s="312"/>
      <c r="E48" s="312"/>
      <c r="F48" s="312"/>
      <c r="G48" s="312"/>
      <c r="H48" s="312"/>
      <c r="I48" s="312"/>
      <c r="J48" s="312"/>
    </row>
    <row r="49" spans="1:10" ht="18" customHeight="1" x14ac:dyDescent="0.3">
      <c r="A49" s="311"/>
      <c r="B49" s="312"/>
      <c r="C49" s="312"/>
      <c r="D49" s="312"/>
      <c r="E49" s="312"/>
      <c r="F49" s="312"/>
      <c r="G49" s="312"/>
      <c r="H49" s="312"/>
      <c r="I49" s="312"/>
      <c r="J49" s="312"/>
    </row>
    <row r="50" spans="1:10" ht="18" customHeight="1" x14ac:dyDescent="0.3">
      <c r="A50" s="311"/>
      <c r="B50" s="312"/>
      <c r="C50" s="312"/>
      <c r="D50" s="312"/>
      <c r="E50" s="312"/>
      <c r="F50" s="312"/>
      <c r="G50" s="312"/>
      <c r="H50" s="312"/>
      <c r="I50" s="312"/>
      <c r="J50" s="312"/>
    </row>
    <row r="51" spans="1:10" ht="18" customHeight="1" x14ac:dyDescent="0.3">
      <c r="A51" s="311"/>
      <c r="B51" s="312"/>
      <c r="C51" s="312"/>
      <c r="D51" s="312"/>
      <c r="E51" s="312"/>
      <c r="F51" s="312"/>
      <c r="G51" s="312"/>
      <c r="H51" s="312"/>
      <c r="I51" s="312"/>
      <c r="J51" s="312"/>
    </row>
    <row r="52" spans="1:10" ht="18" customHeight="1" x14ac:dyDescent="0.3">
      <c r="A52" s="311"/>
      <c r="B52" s="312"/>
      <c r="C52" s="312"/>
      <c r="D52" s="312"/>
      <c r="E52" s="312"/>
      <c r="F52" s="312"/>
      <c r="G52" s="312"/>
      <c r="H52" s="312"/>
      <c r="I52" s="312"/>
      <c r="J52" s="312"/>
    </row>
    <row r="53" spans="1:10" ht="18" customHeight="1" x14ac:dyDescent="0.3">
      <c r="A53" s="311"/>
      <c r="B53" s="312"/>
      <c r="C53" s="312"/>
      <c r="D53" s="312"/>
      <c r="E53" s="312"/>
      <c r="F53" s="312"/>
      <c r="G53" s="312"/>
      <c r="H53" s="312"/>
      <c r="I53" s="312"/>
      <c r="J53" s="312"/>
    </row>
  </sheetData>
  <mergeCells count="6">
    <mergeCell ref="B9:E9"/>
    <mergeCell ref="G9:J9"/>
    <mergeCell ref="B10:C10"/>
    <mergeCell ref="D10:E10"/>
    <mergeCell ref="G10:H10"/>
    <mergeCell ref="I10:J10"/>
  </mergeCells>
  <pageMargins left="0.7" right="0.7" top="0.75" bottom="0.75" header="0.3" footer="0.3"/>
  <pageSetup paperSize="9" scale="76" firstPageNumber="14" fitToHeight="0" orientation="landscape" useFirstPageNumber="1" r:id="rId1"/>
  <headerFooter>
    <oddFooter>&amp;L&amp;"Open Sans Light"&amp;9 Priner | www.priner.com.br | Confidencial — uso interno&amp;R&amp;"Trebuchet MS,Normal"&amp;9 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17137-4CC4-439F-8849-499741C1F0DD}">
  <sheetPr>
    <tabColor rgb="FF92D050"/>
    <pageSetUpPr fitToPage="1"/>
  </sheetPr>
  <dimension ref="A1:AB41"/>
  <sheetViews>
    <sheetView showGridLines="0" zoomScale="90" zoomScaleNormal="90" zoomScaleSheetLayoutView="90" workbookViewId="0">
      <selection sqref="A1:XFD2"/>
    </sheetView>
  </sheetViews>
  <sheetFormatPr defaultColWidth="15" defaultRowHeight="13.5" x14ac:dyDescent="0.35"/>
  <cols>
    <col min="1" max="1" width="48" style="3" customWidth="1"/>
    <col min="2" max="2" width="3" style="3" customWidth="1"/>
    <col min="3" max="3" width="15" style="3" customWidth="1"/>
    <col min="4" max="4" width="1.1796875" style="3" customWidth="1"/>
    <col min="5" max="5" width="15" style="3" bestFit="1" customWidth="1"/>
    <col min="6" max="6" width="1.1796875" style="3" customWidth="1"/>
    <col min="7" max="7" width="15" style="3" customWidth="1"/>
    <col min="8" max="8" width="1.81640625" style="3" customWidth="1"/>
    <col min="9" max="9" width="15" style="3" bestFit="1" customWidth="1"/>
    <col min="10" max="10" width="2.26953125" style="3" customWidth="1"/>
    <col min="11" max="11" width="15" style="3" customWidth="1"/>
    <col min="12" max="12" width="2.453125" style="3" customWidth="1"/>
    <col min="13" max="13" width="15" style="3" bestFit="1" customWidth="1"/>
    <col min="14" max="14" width="2.453125" style="3" customWidth="1"/>
    <col min="15" max="15" width="15" style="3" customWidth="1"/>
    <col min="16" max="16" width="2.26953125" style="3" customWidth="1"/>
    <col min="17" max="17" width="15" style="3" bestFit="1" customWidth="1"/>
    <col min="18" max="18" width="1.81640625" style="3" customWidth="1"/>
    <col min="19" max="19" width="15" style="3" bestFit="1" customWidth="1"/>
    <col min="20" max="20" width="2" style="3" customWidth="1"/>
    <col min="21" max="21" width="15" style="25" customWidth="1"/>
    <col min="22" max="22" width="1.26953125" style="3" customWidth="1"/>
    <col min="23" max="23" width="15" style="3" bestFit="1" customWidth="1"/>
    <col min="24" max="16384" width="15" style="3"/>
  </cols>
  <sheetData>
    <row r="1" spans="1:23" ht="15.75" customHeight="1" x14ac:dyDescent="0.35">
      <c r="G1" s="16"/>
      <c r="U1" s="3"/>
    </row>
    <row r="2" spans="1:23" ht="23.25" customHeight="1" x14ac:dyDescent="0.35">
      <c r="G2" s="16"/>
      <c r="U2" s="3"/>
    </row>
    <row r="3" spans="1:23" ht="18" customHeight="1" x14ac:dyDescent="0.35">
      <c r="A3" s="292" t="s">
        <v>0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</row>
    <row r="4" spans="1:23" ht="18" customHeight="1" x14ac:dyDescent="0.35">
      <c r="A4" s="29"/>
    </row>
    <row r="5" spans="1:23" ht="18" customHeight="1" x14ac:dyDescent="0.35">
      <c r="A5" s="294" t="s">
        <v>306</v>
      </c>
      <c r="B5" s="294"/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294"/>
      <c r="U5" s="294"/>
      <c r="V5" s="294"/>
      <c r="W5" s="294"/>
    </row>
    <row r="6" spans="1:23" ht="18" customHeight="1" x14ac:dyDescent="0.35">
      <c r="A6" s="299" t="s">
        <v>54</v>
      </c>
      <c r="B6" s="299"/>
      <c r="C6" s="299"/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</row>
    <row r="7" spans="1:23" ht="18" customHeight="1" x14ac:dyDescent="0.35">
      <c r="A7" s="323"/>
      <c r="B7" s="323"/>
      <c r="C7" s="323"/>
      <c r="D7" s="348"/>
      <c r="E7" s="348"/>
      <c r="F7" s="348"/>
      <c r="G7" s="323"/>
      <c r="H7" s="323"/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23"/>
      <c r="U7" s="323"/>
      <c r="V7" s="323"/>
      <c r="W7" s="323"/>
    </row>
    <row r="8" spans="1:23" s="25" customFormat="1" ht="18" customHeight="1" x14ac:dyDescent="0.35">
      <c r="A8" s="384" t="s">
        <v>69</v>
      </c>
      <c r="B8" s="384"/>
      <c r="C8" s="384"/>
      <c r="D8" s="384"/>
      <c r="E8" s="384"/>
      <c r="F8" s="384"/>
      <c r="G8" s="384"/>
      <c r="H8" s="384"/>
      <c r="I8" s="384"/>
      <c r="J8" s="384"/>
      <c r="K8" s="384"/>
      <c r="L8" s="384"/>
      <c r="M8" s="384"/>
      <c r="N8" s="384"/>
      <c r="O8" s="384"/>
      <c r="P8" s="384"/>
      <c r="Q8" s="384"/>
      <c r="R8" s="384"/>
      <c r="S8" s="384"/>
      <c r="T8" s="384"/>
      <c r="U8" s="384"/>
      <c r="V8" s="384"/>
      <c r="W8" s="384"/>
    </row>
    <row r="9" spans="1:23" s="28" customFormat="1" ht="18" customHeight="1" x14ac:dyDescent="0.35">
      <c r="A9" s="27"/>
      <c r="B9" s="27"/>
      <c r="C9" s="385" t="s">
        <v>70</v>
      </c>
      <c r="D9" s="382"/>
      <c r="E9" s="382"/>
      <c r="F9" s="205"/>
      <c r="G9" s="206"/>
      <c r="H9" s="205"/>
      <c r="I9" s="385" t="s">
        <v>71</v>
      </c>
      <c r="J9" s="382"/>
      <c r="K9" s="382"/>
      <c r="L9" s="205"/>
      <c r="M9" s="206"/>
      <c r="N9" s="206"/>
      <c r="O9" s="206"/>
      <c r="P9" s="206"/>
      <c r="Q9" s="206"/>
      <c r="R9" s="207"/>
      <c r="S9" s="206"/>
      <c r="T9" s="207"/>
      <c r="U9" s="206"/>
      <c r="V9" s="207"/>
      <c r="W9" s="206"/>
    </row>
    <row r="10" spans="1:23" s="30" customFormat="1" ht="45" x14ac:dyDescent="0.35">
      <c r="C10" s="349" t="s">
        <v>70</v>
      </c>
      <c r="D10" s="206"/>
      <c r="E10" s="349" t="s">
        <v>72</v>
      </c>
      <c r="F10" s="206"/>
      <c r="G10" s="349" t="s">
        <v>46</v>
      </c>
      <c r="H10" s="206"/>
      <c r="I10" s="349" t="s">
        <v>73</v>
      </c>
      <c r="J10" s="206"/>
      <c r="K10" s="349" t="s">
        <v>74</v>
      </c>
      <c r="L10" s="206"/>
      <c r="M10" s="349" t="s">
        <v>511</v>
      </c>
      <c r="N10" s="206"/>
      <c r="O10" s="305" t="s">
        <v>545</v>
      </c>
      <c r="P10" s="206"/>
      <c r="Q10" s="349" t="s">
        <v>466</v>
      </c>
      <c r="R10" s="206"/>
      <c r="S10" s="349" t="s">
        <v>75</v>
      </c>
      <c r="T10" s="206"/>
      <c r="U10" s="349" t="s">
        <v>52</v>
      </c>
      <c r="V10" s="207"/>
      <c r="W10" s="349" t="s">
        <v>76</v>
      </c>
    </row>
    <row r="11" spans="1:23" s="208" customFormat="1" ht="18" customHeight="1" x14ac:dyDescent="0.3">
      <c r="A11" s="342" t="s">
        <v>428</v>
      </c>
      <c r="B11" s="350"/>
      <c r="C11" s="351">
        <v>339562</v>
      </c>
      <c r="D11" s="352"/>
      <c r="E11" s="351">
        <v>-21278</v>
      </c>
      <c r="F11" s="352"/>
      <c r="G11" s="351">
        <v>19790</v>
      </c>
      <c r="H11" s="352"/>
      <c r="I11" s="351">
        <v>2930</v>
      </c>
      <c r="J11" s="352"/>
      <c r="K11" s="351">
        <v>33359</v>
      </c>
      <c r="L11" s="352"/>
      <c r="M11" s="351">
        <v>0</v>
      </c>
      <c r="N11" s="352"/>
      <c r="O11" s="351">
        <v>0</v>
      </c>
      <c r="P11" s="353"/>
      <c r="Q11" s="351">
        <v>-33621</v>
      </c>
      <c r="R11" s="352"/>
      <c r="S11" s="351">
        <v>340742</v>
      </c>
      <c r="T11" s="352"/>
      <c r="U11" s="351">
        <v>13908</v>
      </c>
      <c r="V11" s="352"/>
      <c r="W11" s="351">
        <v>354650</v>
      </c>
    </row>
    <row r="12" spans="1:23" s="208" customFormat="1" ht="18" customHeight="1" x14ac:dyDescent="0.3">
      <c r="A12" s="311"/>
      <c r="B12" s="312"/>
      <c r="C12" s="322"/>
      <c r="D12" s="312"/>
      <c r="E12" s="322"/>
      <c r="F12" s="312"/>
      <c r="G12" s="322"/>
      <c r="H12" s="312"/>
      <c r="I12" s="322"/>
      <c r="J12" s="312"/>
      <c r="K12" s="322"/>
      <c r="L12" s="312"/>
      <c r="M12" s="322"/>
      <c r="N12" s="312"/>
      <c r="O12" s="322"/>
      <c r="P12" s="322"/>
      <c r="Q12" s="322"/>
      <c r="R12" s="312"/>
      <c r="S12" s="322"/>
      <c r="T12" s="312"/>
      <c r="U12" s="322"/>
      <c r="V12" s="312"/>
      <c r="W12" s="322"/>
    </row>
    <row r="13" spans="1:23" s="208" customFormat="1" ht="18" customHeight="1" x14ac:dyDescent="0.3">
      <c r="A13" s="354" t="s">
        <v>157</v>
      </c>
      <c r="B13" s="355"/>
      <c r="C13" s="356">
        <v>0</v>
      </c>
      <c r="D13" s="355"/>
      <c r="E13" s="356">
        <v>0</v>
      </c>
      <c r="F13" s="355"/>
      <c r="G13" s="356">
        <v>0</v>
      </c>
      <c r="H13" s="355"/>
      <c r="I13" s="356">
        <v>0</v>
      </c>
      <c r="J13" s="355"/>
      <c r="K13" s="356">
        <v>0</v>
      </c>
      <c r="L13" s="355"/>
      <c r="M13" s="356">
        <v>0</v>
      </c>
      <c r="N13" s="355"/>
      <c r="O13" s="356">
        <v>0</v>
      </c>
      <c r="P13" s="356"/>
      <c r="Q13" s="356">
        <v>0</v>
      </c>
      <c r="R13" s="355"/>
      <c r="S13" s="356">
        <f t="shared" ref="S13:S22" si="0">SUM(C13:Q13)</f>
        <v>0</v>
      </c>
      <c r="T13" s="355"/>
      <c r="U13" s="356">
        <v>0</v>
      </c>
      <c r="V13" s="355"/>
      <c r="W13" s="356">
        <f t="shared" ref="W13:W22" si="1">S13+U13</f>
        <v>0</v>
      </c>
    </row>
    <row r="14" spans="1:23" s="208" customFormat="1" ht="18" customHeight="1" x14ac:dyDescent="0.3">
      <c r="A14" s="354" t="s">
        <v>72</v>
      </c>
      <c r="B14" s="355"/>
      <c r="C14" s="356">
        <v>0</v>
      </c>
      <c r="D14" s="355"/>
      <c r="E14" s="356">
        <v>0</v>
      </c>
      <c r="F14" s="355"/>
      <c r="G14" s="356">
        <v>0</v>
      </c>
      <c r="H14" s="355"/>
      <c r="I14" s="356">
        <v>0</v>
      </c>
      <c r="J14" s="355"/>
      <c r="K14" s="356">
        <v>0</v>
      </c>
      <c r="L14" s="355"/>
      <c r="M14" s="356">
        <v>0</v>
      </c>
      <c r="N14" s="355"/>
      <c r="O14" s="356">
        <v>0</v>
      </c>
      <c r="P14" s="356"/>
      <c r="Q14" s="356">
        <v>0</v>
      </c>
      <c r="R14" s="355"/>
      <c r="S14" s="356">
        <f t="shared" si="0"/>
        <v>0</v>
      </c>
      <c r="T14" s="355"/>
      <c r="U14" s="356">
        <v>0</v>
      </c>
      <c r="V14" s="355"/>
      <c r="W14" s="356">
        <f t="shared" si="1"/>
        <v>0</v>
      </c>
    </row>
    <row r="15" spans="1:23" s="208" customFormat="1" ht="18" customHeight="1" x14ac:dyDescent="0.3">
      <c r="A15" s="354" t="s">
        <v>467</v>
      </c>
      <c r="B15" s="355"/>
      <c r="C15" s="356">
        <v>0</v>
      </c>
      <c r="D15" s="355"/>
      <c r="E15" s="356">
        <v>0</v>
      </c>
      <c r="F15" s="355"/>
      <c r="G15" s="356">
        <v>0</v>
      </c>
      <c r="H15" s="355"/>
      <c r="I15" s="356">
        <v>0</v>
      </c>
      <c r="J15" s="355"/>
      <c r="K15" s="356">
        <v>0</v>
      </c>
      <c r="L15" s="355"/>
      <c r="M15" s="356">
        <v>0</v>
      </c>
      <c r="N15" s="355"/>
      <c r="O15" s="356">
        <v>0</v>
      </c>
      <c r="P15" s="356"/>
      <c r="Q15" s="356">
        <v>0</v>
      </c>
      <c r="R15" s="355"/>
      <c r="S15" s="356">
        <f t="shared" si="0"/>
        <v>0</v>
      </c>
      <c r="T15" s="355"/>
      <c r="U15" s="356">
        <v>0</v>
      </c>
      <c r="V15" s="355"/>
      <c r="W15" s="356">
        <f t="shared" si="1"/>
        <v>0</v>
      </c>
    </row>
    <row r="16" spans="1:23" s="215" customFormat="1" ht="18" customHeight="1" x14ac:dyDescent="0.3">
      <c r="A16" s="354" t="s">
        <v>442</v>
      </c>
      <c r="B16" s="355"/>
      <c r="C16" s="356">
        <v>0</v>
      </c>
      <c r="D16" s="355"/>
      <c r="E16" s="356">
        <v>0</v>
      </c>
      <c r="F16" s="355"/>
      <c r="G16" s="356">
        <v>2009</v>
      </c>
      <c r="H16" s="355"/>
      <c r="I16" s="356">
        <v>0</v>
      </c>
      <c r="J16" s="355"/>
      <c r="K16" s="356">
        <v>0</v>
      </c>
      <c r="L16" s="355"/>
      <c r="M16" s="356">
        <v>0</v>
      </c>
      <c r="N16" s="355"/>
      <c r="O16" s="356">
        <v>0</v>
      </c>
      <c r="P16" s="356"/>
      <c r="Q16" s="356">
        <v>0</v>
      </c>
      <c r="R16" s="355"/>
      <c r="S16" s="356">
        <f t="shared" si="0"/>
        <v>2009</v>
      </c>
      <c r="T16" s="355"/>
      <c r="U16" s="356">
        <v>0</v>
      </c>
      <c r="V16" s="355"/>
      <c r="W16" s="356">
        <f t="shared" si="1"/>
        <v>2009</v>
      </c>
    </row>
    <row r="17" spans="1:28" s="215" customFormat="1" ht="29" x14ac:dyDescent="0.3">
      <c r="A17" s="354" t="s">
        <v>459</v>
      </c>
      <c r="B17" s="355"/>
      <c r="C17" s="356">
        <v>0</v>
      </c>
      <c r="D17" s="355"/>
      <c r="E17" s="356">
        <v>0</v>
      </c>
      <c r="F17" s="355"/>
      <c r="G17" s="356">
        <v>0</v>
      </c>
      <c r="H17" s="355"/>
      <c r="I17" s="356">
        <v>0</v>
      </c>
      <c r="J17" s="355"/>
      <c r="K17" s="356">
        <v>0</v>
      </c>
      <c r="L17" s="355"/>
      <c r="M17" s="356">
        <v>0</v>
      </c>
      <c r="N17" s="355"/>
      <c r="O17" s="356">
        <v>0</v>
      </c>
      <c r="P17" s="356"/>
      <c r="Q17" s="356">
        <v>-2151</v>
      </c>
      <c r="R17" s="355"/>
      <c r="S17" s="356">
        <f t="shared" si="0"/>
        <v>-2151</v>
      </c>
      <c r="T17" s="355"/>
      <c r="U17" s="356">
        <v>0</v>
      </c>
      <c r="V17" s="355"/>
      <c r="W17" s="356">
        <f t="shared" si="1"/>
        <v>-2151</v>
      </c>
    </row>
    <row r="18" spans="1:28" s="215" customFormat="1" ht="29" x14ac:dyDescent="0.3">
      <c r="A18" s="354" t="s">
        <v>480</v>
      </c>
      <c r="B18" s="355"/>
      <c r="C18" s="356">
        <v>0</v>
      </c>
      <c r="D18" s="355"/>
      <c r="E18" s="356">
        <v>0</v>
      </c>
      <c r="F18" s="355"/>
      <c r="G18" s="356">
        <v>0</v>
      </c>
      <c r="H18" s="355"/>
      <c r="I18" s="356">
        <v>0</v>
      </c>
      <c r="J18" s="355"/>
      <c r="K18" s="356">
        <v>0</v>
      </c>
      <c r="L18" s="355"/>
      <c r="M18" s="356">
        <v>0</v>
      </c>
      <c r="N18" s="355"/>
      <c r="O18" s="356">
        <v>0</v>
      </c>
      <c r="P18" s="356"/>
      <c r="Q18" s="356">
        <v>0</v>
      </c>
      <c r="R18" s="355"/>
      <c r="S18" s="356">
        <f t="shared" si="0"/>
        <v>0</v>
      </c>
      <c r="T18" s="355"/>
      <c r="U18" s="356">
        <v>0</v>
      </c>
      <c r="V18" s="355"/>
      <c r="W18" s="356">
        <f t="shared" si="1"/>
        <v>0</v>
      </c>
    </row>
    <row r="19" spans="1:28" s="215" customFormat="1" ht="18" customHeight="1" x14ac:dyDescent="0.3">
      <c r="A19" s="354" t="s">
        <v>481</v>
      </c>
      <c r="B19" s="355"/>
      <c r="C19" s="356">
        <v>0</v>
      </c>
      <c r="D19" s="355"/>
      <c r="E19" s="356">
        <v>0</v>
      </c>
      <c r="F19" s="355"/>
      <c r="G19" s="356">
        <v>0</v>
      </c>
      <c r="H19" s="355"/>
      <c r="I19" s="356">
        <v>0</v>
      </c>
      <c r="J19" s="355"/>
      <c r="K19" s="356">
        <v>0</v>
      </c>
      <c r="L19" s="355"/>
      <c r="M19" s="356">
        <v>-289</v>
      </c>
      <c r="N19" s="355"/>
      <c r="O19" s="356">
        <v>0</v>
      </c>
      <c r="P19" s="356"/>
      <c r="Q19" s="356">
        <v>0</v>
      </c>
      <c r="R19" s="355"/>
      <c r="S19" s="356">
        <f t="shared" si="0"/>
        <v>-289</v>
      </c>
      <c r="T19" s="355"/>
      <c r="U19" s="356">
        <v>4814</v>
      </c>
      <c r="V19" s="355"/>
      <c r="W19" s="356">
        <f t="shared" si="1"/>
        <v>4525</v>
      </c>
    </row>
    <row r="20" spans="1:28" s="215" customFormat="1" ht="18" customHeight="1" x14ac:dyDescent="0.3">
      <c r="A20" s="354" t="s">
        <v>482</v>
      </c>
      <c r="B20" s="355"/>
      <c r="C20" s="356">
        <v>0</v>
      </c>
      <c r="D20" s="355"/>
      <c r="E20" s="356">
        <v>0</v>
      </c>
      <c r="F20" s="355"/>
      <c r="G20" s="356">
        <v>0</v>
      </c>
      <c r="H20" s="355"/>
      <c r="I20" s="356">
        <v>0</v>
      </c>
      <c r="J20" s="355"/>
      <c r="K20" s="356">
        <v>0</v>
      </c>
      <c r="L20" s="355"/>
      <c r="M20" s="356">
        <v>0</v>
      </c>
      <c r="N20" s="355"/>
      <c r="O20" s="356">
        <v>0</v>
      </c>
      <c r="P20" s="356"/>
      <c r="Q20" s="356">
        <v>0</v>
      </c>
      <c r="R20" s="355"/>
      <c r="S20" s="356">
        <f t="shared" si="0"/>
        <v>0</v>
      </c>
      <c r="T20" s="355"/>
      <c r="U20" s="356">
        <v>0</v>
      </c>
      <c r="V20" s="355"/>
      <c r="W20" s="356">
        <f t="shared" si="1"/>
        <v>0</v>
      </c>
    </row>
    <row r="21" spans="1:28" s="215" customFormat="1" ht="29" x14ac:dyDescent="0.3">
      <c r="A21" s="354" t="s">
        <v>427</v>
      </c>
      <c r="B21" s="355"/>
      <c r="C21" s="356">
        <v>0</v>
      </c>
      <c r="D21" s="355"/>
      <c r="E21" s="356">
        <v>0</v>
      </c>
      <c r="F21" s="355"/>
      <c r="G21" s="356">
        <v>0</v>
      </c>
      <c r="H21" s="355"/>
      <c r="I21" s="356">
        <v>0</v>
      </c>
      <c r="J21" s="355"/>
      <c r="K21" s="356">
        <v>0</v>
      </c>
      <c r="L21" s="355"/>
      <c r="M21" s="356">
        <v>0</v>
      </c>
      <c r="N21" s="355"/>
      <c r="O21" s="356">
        <v>0</v>
      </c>
      <c r="P21" s="356"/>
      <c r="Q21" s="356">
        <v>0</v>
      </c>
      <c r="R21" s="355"/>
      <c r="S21" s="356">
        <f t="shared" si="0"/>
        <v>0</v>
      </c>
      <c r="T21" s="355"/>
      <c r="U21" s="356">
        <v>0</v>
      </c>
      <c r="V21" s="355"/>
      <c r="W21" s="356">
        <f t="shared" si="1"/>
        <v>0</v>
      </c>
    </row>
    <row r="22" spans="1:28" s="215" customFormat="1" ht="29" x14ac:dyDescent="0.3">
      <c r="A22" s="354" t="s">
        <v>483</v>
      </c>
      <c r="B22" s="355"/>
      <c r="C22" s="356">
        <v>0</v>
      </c>
      <c r="D22" s="355"/>
      <c r="E22" s="356">
        <v>0</v>
      </c>
      <c r="F22" s="355"/>
      <c r="G22" s="356">
        <v>0</v>
      </c>
      <c r="H22" s="355"/>
      <c r="I22" s="356">
        <v>0</v>
      </c>
      <c r="J22" s="355"/>
      <c r="K22" s="356">
        <v>0</v>
      </c>
      <c r="L22" s="355"/>
      <c r="M22" s="356">
        <v>0</v>
      </c>
      <c r="N22" s="355"/>
      <c r="O22" s="356">
        <v>0</v>
      </c>
      <c r="P22" s="356"/>
      <c r="Q22" s="356">
        <v>0</v>
      </c>
      <c r="R22" s="355"/>
      <c r="S22" s="356">
        <f t="shared" si="0"/>
        <v>0</v>
      </c>
      <c r="T22" s="355"/>
      <c r="U22" s="356">
        <v>0</v>
      </c>
      <c r="V22" s="355"/>
      <c r="W22" s="356">
        <f t="shared" si="1"/>
        <v>0</v>
      </c>
    </row>
    <row r="23" spans="1:28" s="208" customFormat="1" ht="18" customHeight="1" x14ac:dyDescent="0.3">
      <c r="A23" s="311"/>
      <c r="B23" s="312"/>
      <c r="C23" s="322"/>
      <c r="D23" s="312"/>
      <c r="E23" s="322"/>
      <c r="F23" s="312"/>
      <c r="G23" s="322"/>
      <c r="H23" s="312"/>
      <c r="I23" s="322"/>
      <c r="J23" s="312"/>
      <c r="K23" s="322"/>
      <c r="L23" s="312"/>
      <c r="M23" s="322"/>
      <c r="N23" s="312"/>
      <c r="O23" s="322"/>
      <c r="P23" s="322"/>
      <c r="Q23" s="322"/>
      <c r="R23" s="312"/>
      <c r="S23" s="322"/>
      <c r="T23" s="312"/>
      <c r="U23" s="322"/>
      <c r="V23" s="312"/>
      <c r="W23" s="322"/>
    </row>
    <row r="24" spans="1:28" s="208" customFormat="1" ht="18" customHeight="1" x14ac:dyDescent="0.3">
      <c r="A24" s="342" t="s">
        <v>546</v>
      </c>
      <c r="B24" s="350"/>
      <c r="C24" s="351">
        <f>SUM(C11:C23)</f>
        <v>339562</v>
      </c>
      <c r="D24" s="352"/>
      <c r="E24" s="351">
        <f>SUM(E11:E23)</f>
        <v>-21278</v>
      </c>
      <c r="F24" s="352"/>
      <c r="G24" s="351">
        <f>SUM(G11:G23)</f>
        <v>21799</v>
      </c>
      <c r="H24" s="352"/>
      <c r="I24" s="351">
        <f>SUM(I11:I23)</f>
        <v>2930</v>
      </c>
      <c r="J24" s="352"/>
      <c r="K24" s="351">
        <f>SUM(K11:K23)</f>
        <v>33359</v>
      </c>
      <c r="L24" s="352"/>
      <c r="M24" s="351">
        <f>SUM(M11:M23)</f>
        <v>-289</v>
      </c>
      <c r="N24" s="352"/>
      <c r="O24" s="357">
        <v>0</v>
      </c>
      <c r="P24" s="353"/>
      <c r="Q24" s="351">
        <f>SUM(Q11:Q23)</f>
        <v>-35772</v>
      </c>
      <c r="R24" s="352"/>
      <c r="S24" s="351">
        <f>SUM(S11:S23)</f>
        <v>340311</v>
      </c>
      <c r="T24" s="352"/>
      <c r="U24" s="351">
        <f>SUM(U11:U23)</f>
        <v>18722</v>
      </c>
      <c r="V24" s="352"/>
      <c r="W24" s="351">
        <f>SUM(W11:W23)</f>
        <v>359033</v>
      </c>
    </row>
    <row r="25" spans="1:28" s="208" customFormat="1" ht="18" customHeight="1" x14ac:dyDescent="0.3">
      <c r="A25" s="311"/>
      <c r="B25" s="312"/>
      <c r="C25" s="322"/>
      <c r="D25" s="312"/>
      <c r="E25" s="322"/>
      <c r="F25" s="312"/>
      <c r="G25" s="322"/>
      <c r="H25" s="312"/>
      <c r="I25" s="322"/>
      <c r="J25" s="312"/>
      <c r="K25" s="322"/>
      <c r="L25" s="312"/>
      <c r="M25" s="322"/>
      <c r="N25" s="312"/>
      <c r="O25" s="322"/>
      <c r="P25" s="322"/>
      <c r="Q25" s="322"/>
      <c r="R25" s="312"/>
      <c r="S25" s="322"/>
      <c r="T25" s="312"/>
      <c r="U25" s="322"/>
      <c r="V25" s="312"/>
      <c r="W25" s="322"/>
    </row>
    <row r="26" spans="1:28" s="208" customFormat="1" ht="18" customHeight="1" x14ac:dyDescent="0.3">
      <c r="A26" s="342" t="s">
        <v>479</v>
      </c>
      <c r="B26" s="350"/>
      <c r="C26" s="351">
        <v>489562</v>
      </c>
      <c r="D26" s="352"/>
      <c r="E26" s="351">
        <v>-21382</v>
      </c>
      <c r="F26" s="352"/>
      <c r="G26" s="351">
        <v>24910</v>
      </c>
      <c r="H26" s="352"/>
      <c r="I26" s="351">
        <f>SUM(I13:I25)</f>
        <v>2930</v>
      </c>
      <c r="J26" s="352"/>
      <c r="K26" s="351">
        <v>21548</v>
      </c>
      <c r="L26" s="352"/>
      <c r="M26" s="351">
        <v>0</v>
      </c>
      <c r="N26" s="352"/>
      <c r="O26" s="357">
        <v>0</v>
      </c>
      <c r="P26" s="353"/>
      <c r="Q26" s="351">
        <v>-34734</v>
      </c>
      <c r="R26" s="352"/>
      <c r="S26" s="351">
        <v>482834</v>
      </c>
      <c r="T26" s="352"/>
      <c r="U26" s="351">
        <v>79500</v>
      </c>
      <c r="V26" s="352"/>
      <c r="W26" s="351">
        <f>SUM(S26:U26)</f>
        <v>562334</v>
      </c>
    </row>
    <row r="27" spans="1:28" s="208" customFormat="1" ht="18" customHeight="1" x14ac:dyDescent="0.3">
      <c r="A27" s="311"/>
      <c r="B27" s="312"/>
      <c r="C27" s="322"/>
      <c r="D27" s="312"/>
      <c r="E27" s="322"/>
      <c r="F27" s="312"/>
      <c r="G27" s="322"/>
      <c r="H27" s="312"/>
      <c r="I27" s="322"/>
      <c r="J27" s="312"/>
      <c r="K27" s="322"/>
      <c r="L27" s="312"/>
      <c r="M27" s="322"/>
      <c r="N27" s="312"/>
      <c r="O27" s="322"/>
      <c r="P27" s="322"/>
      <c r="Q27" s="322"/>
      <c r="R27" s="312"/>
      <c r="S27" s="322"/>
      <c r="T27" s="312"/>
      <c r="U27" s="322"/>
      <c r="V27" s="312"/>
      <c r="W27" s="322"/>
      <c r="AB27" s="215"/>
    </row>
    <row r="28" spans="1:28" s="215" customFormat="1" ht="18" customHeight="1" x14ac:dyDescent="0.3">
      <c r="A28" s="354" t="s">
        <v>442</v>
      </c>
      <c r="B28" s="355"/>
      <c r="C28" s="356">
        <v>0</v>
      </c>
      <c r="D28" s="355"/>
      <c r="E28" s="356">
        <v>0</v>
      </c>
      <c r="F28" s="355"/>
      <c r="G28" s="356">
        <v>2203</v>
      </c>
      <c r="H28" s="355"/>
      <c r="I28" s="356">
        <v>0</v>
      </c>
      <c r="J28" s="355"/>
      <c r="K28" s="356">
        <v>0</v>
      </c>
      <c r="L28" s="355"/>
      <c r="M28" s="356">
        <v>0</v>
      </c>
      <c r="N28" s="355"/>
      <c r="O28" s="356">
        <v>0</v>
      </c>
      <c r="P28" s="356"/>
      <c r="Q28" s="356">
        <v>0</v>
      </c>
      <c r="R28" s="355"/>
      <c r="S28" s="356">
        <f t="shared" ref="S28:S36" si="2">SUM(C28:Q28)</f>
        <v>2203</v>
      </c>
      <c r="T28" s="355"/>
      <c r="U28" s="356">
        <v>0</v>
      </c>
      <c r="V28" s="355"/>
      <c r="W28" s="356">
        <f t="shared" ref="W28:W36" si="3">S28+U28</f>
        <v>2203</v>
      </c>
    </row>
    <row r="29" spans="1:28" s="215" customFormat="1" ht="29" x14ac:dyDescent="0.3">
      <c r="A29" s="354" t="s">
        <v>547</v>
      </c>
      <c r="B29" s="355"/>
      <c r="C29" s="356">
        <v>0</v>
      </c>
      <c r="D29" s="355"/>
      <c r="E29" s="356">
        <v>0</v>
      </c>
      <c r="F29" s="355"/>
      <c r="G29" s="356">
        <v>0</v>
      </c>
      <c r="H29" s="355"/>
      <c r="I29" s="356">
        <v>0</v>
      </c>
      <c r="J29" s="355"/>
      <c r="K29" s="356">
        <v>0</v>
      </c>
      <c r="L29" s="355"/>
      <c r="M29" s="356">
        <v>0</v>
      </c>
      <c r="N29" s="355"/>
      <c r="O29" s="356">
        <v>0</v>
      </c>
      <c r="P29" s="356"/>
      <c r="Q29" s="356">
        <f>340+2</f>
        <v>342</v>
      </c>
      <c r="R29" s="355"/>
      <c r="S29" s="356">
        <f t="shared" si="2"/>
        <v>342</v>
      </c>
      <c r="T29" s="355"/>
      <c r="U29" s="356">
        <v>0</v>
      </c>
      <c r="V29" s="355"/>
      <c r="W29" s="356">
        <f t="shared" si="3"/>
        <v>342</v>
      </c>
    </row>
    <row r="30" spans="1:28" s="215" customFormat="1" ht="18" customHeight="1" x14ac:dyDescent="0.3">
      <c r="A30" s="354" t="s">
        <v>548</v>
      </c>
      <c r="B30" s="355"/>
      <c r="C30" s="356">
        <v>3147</v>
      </c>
      <c r="D30" s="355"/>
      <c r="E30" s="356">
        <v>0</v>
      </c>
      <c r="F30" s="355"/>
      <c r="G30" s="356">
        <v>0</v>
      </c>
      <c r="H30" s="355"/>
      <c r="I30" s="356">
        <v>0</v>
      </c>
      <c r="J30" s="355"/>
      <c r="K30" s="356">
        <v>0</v>
      </c>
      <c r="L30" s="355"/>
      <c r="M30" s="356">
        <v>0</v>
      </c>
      <c r="N30" s="355"/>
      <c r="O30" s="356">
        <v>0</v>
      </c>
      <c r="P30" s="356"/>
      <c r="Q30" s="356">
        <v>0</v>
      </c>
      <c r="R30" s="355"/>
      <c r="S30" s="356">
        <f t="shared" si="2"/>
        <v>3147</v>
      </c>
      <c r="T30" s="355"/>
      <c r="U30" s="356">
        <v>0</v>
      </c>
      <c r="V30" s="355"/>
      <c r="W30" s="356">
        <f t="shared" si="3"/>
        <v>3147</v>
      </c>
    </row>
    <row r="31" spans="1:28" s="215" customFormat="1" ht="18" customHeight="1" x14ac:dyDescent="0.3">
      <c r="A31" s="354" t="s">
        <v>549</v>
      </c>
      <c r="B31" s="355"/>
      <c r="C31" s="356">
        <v>0</v>
      </c>
      <c r="D31" s="355"/>
      <c r="E31" s="356">
        <v>0</v>
      </c>
      <c r="F31" s="355"/>
      <c r="G31" s="356">
        <v>0</v>
      </c>
      <c r="H31" s="355"/>
      <c r="I31" s="356">
        <v>0</v>
      </c>
      <c r="J31" s="355"/>
      <c r="K31" s="356">
        <v>0</v>
      </c>
      <c r="L31" s="355"/>
      <c r="M31" s="356">
        <v>0</v>
      </c>
      <c r="N31" s="355"/>
      <c r="O31" s="356">
        <v>0</v>
      </c>
      <c r="P31" s="356"/>
      <c r="Q31" s="356">
        <v>0</v>
      </c>
      <c r="R31" s="355"/>
      <c r="S31" s="356">
        <f t="shared" si="2"/>
        <v>0</v>
      </c>
      <c r="T31" s="355"/>
      <c r="U31" s="356">
        <v>-1400</v>
      </c>
      <c r="V31" s="355"/>
      <c r="W31" s="356">
        <f t="shared" si="3"/>
        <v>-1400</v>
      </c>
    </row>
    <row r="32" spans="1:28" s="215" customFormat="1" ht="18" customHeight="1" x14ac:dyDescent="0.3">
      <c r="A32" s="354" t="s">
        <v>550</v>
      </c>
      <c r="B32" s="355"/>
      <c r="C32" s="356">
        <v>0</v>
      </c>
      <c r="D32" s="355"/>
      <c r="E32" s="356">
        <v>0</v>
      </c>
      <c r="F32" s="355"/>
      <c r="G32" s="356">
        <v>0</v>
      </c>
      <c r="H32" s="355"/>
      <c r="I32" s="356">
        <v>0</v>
      </c>
      <c r="J32" s="355"/>
      <c r="K32" s="356">
        <v>0</v>
      </c>
      <c r="L32" s="355"/>
      <c r="M32" s="356">
        <v>0</v>
      </c>
      <c r="N32" s="355"/>
      <c r="O32" s="356">
        <v>0</v>
      </c>
      <c r="P32" s="356"/>
      <c r="Q32" s="356">
        <v>0</v>
      </c>
      <c r="R32" s="355"/>
      <c r="S32" s="356">
        <f t="shared" si="2"/>
        <v>0</v>
      </c>
      <c r="T32" s="355"/>
      <c r="U32" s="356">
        <v>-3080</v>
      </c>
      <c r="V32" s="355"/>
      <c r="W32" s="356">
        <f t="shared" si="3"/>
        <v>-3080</v>
      </c>
    </row>
    <row r="33" spans="1:28" s="215" customFormat="1" ht="14.5" x14ac:dyDescent="0.3">
      <c r="A33" s="354" t="s">
        <v>551</v>
      </c>
      <c r="B33" s="355"/>
      <c r="C33" s="356">
        <v>0</v>
      </c>
      <c r="D33" s="355"/>
      <c r="E33" s="356">
        <v>0</v>
      </c>
      <c r="F33" s="355"/>
      <c r="G33" s="356">
        <v>0</v>
      </c>
      <c r="H33" s="355"/>
      <c r="I33" s="356">
        <v>0</v>
      </c>
      <c r="J33" s="355"/>
      <c r="K33" s="356">
        <v>0</v>
      </c>
      <c r="L33" s="355"/>
      <c r="M33" s="356">
        <v>0</v>
      </c>
      <c r="N33" s="355"/>
      <c r="O33" s="356">
        <f>-65720</f>
        <v>-65720</v>
      </c>
      <c r="P33" s="356"/>
      <c r="Q33" s="356">
        <v>0</v>
      </c>
      <c r="R33" s="355"/>
      <c r="S33" s="356">
        <f t="shared" si="2"/>
        <v>-65720</v>
      </c>
      <c r="T33" s="355"/>
      <c r="U33" s="356">
        <f>-838-120-772</f>
        <v>-1730</v>
      </c>
      <c r="V33" s="355"/>
      <c r="W33" s="356">
        <f t="shared" si="3"/>
        <v>-67450</v>
      </c>
      <c r="Y33" s="208"/>
      <c r="Z33" s="208"/>
      <c r="AA33" s="208"/>
      <c r="AB33" s="208"/>
    </row>
    <row r="34" spans="1:28" s="215" customFormat="1" ht="29" x14ac:dyDescent="0.3">
      <c r="A34" s="358" t="s">
        <v>552</v>
      </c>
      <c r="B34" s="355"/>
      <c r="C34" s="356">
        <v>0</v>
      </c>
      <c r="D34" s="355"/>
      <c r="E34" s="356">
        <v>0</v>
      </c>
      <c r="F34" s="355"/>
      <c r="G34" s="356">
        <v>0</v>
      </c>
      <c r="H34" s="355"/>
      <c r="I34" s="356">
        <v>0</v>
      </c>
      <c r="J34" s="355"/>
      <c r="K34" s="356">
        <v>0</v>
      </c>
      <c r="L34" s="355"/>
      <c r="M34" s="356">
        <v>0</v>
      </c>
      <c r="N34" s="355"/>
      <c r="O34" s="356">
        <v>0</v>
      </c>
      <c r="P34" s="356"/>
      <c r="Q34" s="356">
        <v>0</v>
      </c>
      <c r="R34" s="355"/>
      <c r="S34" s="356">
        <f t="shared" si="2"/>
        <v>0</v>
      </c>
      <c r="T34" s="355"/>
      <c r="U34" s="356">
        <v>120</v>
      </c>
      <c r="V34" s="355"/>
      <c r="W34" s="356">
        <f t="shared" si="3"/>
        <v>120</v>
      </c>
      <c r="Y34" s="208"/>
      <c r="Z34" s="208"/>
      <c r="AA34" s="208"/>
      <c r="AB34" s="208"/>
    </row>
    <row r="35" spans="1:28" s="215" customFormat="1" ht="14.5" x14ac:dyDescent="0.3">
      <c r="A35" s="354" t="s">
        <v>513</v>
      </c>
      <c r="B35" s="355"/>
      <c r="C35" s="356">
        <v>0</v>
      </c>
      <c r="D35" s="355"/>
      <c r="E35" s="356">
        <v>0</v>
      </c>
      <c r="F35" s="355"/>
      <c r="G35" s="356">
        <v>0</v>
      </c>
      <c r="H35" s="355"/>
      <c r="I35" s="356">
        <v>0</v>
      </c>
      <c r="J35" s="355"/>
      <c r="K35" s="356">
        <v>0</v>
      </c>
      <c r="L35" s="355"/>
      <c r="M35" s="356">
        <v>0</v>
      </c>
      <c r="N35" s="355"/>
      <c r="O35" s="356">
        <v>0</v>
      </c>
      <c r="P35" s="356"/>
      <c r="Q35" s="356">
        <v>0</v>
      </c>
      <c r="R35" s="355"/>
      <c r="S35" s="356">
        <f t="shared" si="2"/>
        <v>0</v>
      </c>
      <c r="T35" s="355"/>
      <c r="U35" s="356">
        <v>5348</v>
      </c>
      <c r="V35" s="355"/>
      <c r="W35" s="356">
        <f t="shared" si="3"/>
        <v>5348</v>
      </c>
      <c r="Y35" s="208"/>
      <c r="Z35" s="208"/>
      <c r="AA35" s="208"/>
    </row>
    <row r="36" spans="1:28" s="215" customFormat="1" ht="18" customHeight="1" x14ac:dyDescent="0.3">
      <c r="A36" s="354" t="s">
        <v>458</v>
      </c>
      <c r="B36" s="355"/>
      <c r="C36" s="356">
        <v>0</v>
      </c>
      <c r="D36" s="355"/>
      <c r="E36" s="356">
        <v>0</v>
      </c>
      <c r="F36" s="355"/>
      <c r="G36" s="356">
        <v>0</v>
      </c>
      <c r="H36" s="355"/>
      <c r="I36" s="356">
        <v>0</v>
      </c>
      <c r="J36" s="355"/>
      <c r="K36" s="356">
        <v>0</v>
      </c>
      <c r="L36" s="355"/>
      <c r="M36" s="356">
        <f>DRE!E32</f>
        <v>55366</v>
      </c>
      <c r="N36" s="355"/>
      <c r="O36" s="356">
        <v>0</v>
      </c>
      <c r="P36" s="356"/>
      <c r="Q36" s="356">
        <v>0</v>
      </c>
      <c r="R36" s="355"/>
      <c r="S36" s="356">
        <f t="shared" si="2"/>
        <v>55366</v>
      </c>
      <c r="T36" s="355"/>
      <c r="U36" s="356">
        <f>DRE!J33</f>
        <v>-3681</v>
      </c>
      <c r="V36" s="355"/>
      <c r="W36" s="356">
        <f t="shared" si="3"/>
        <v>51685</v>
      </c>
    </row>
    <row r="37" spans="1:28" s="208" customFormat="1" ht="18" customHeight="1" x14ac:dyDescent="0.3">
      <c r="A37" s="311"/>
      <c r="B37" s="312"/>
      <c r="C37" s="322"/>
      <c r="D37" s="312"/>
      <c r="E37" s="322"/>
      <c r="F37" s="312"/>
      <c r="G37" s="322"/>
      <c r="H37" s="312"/>
      <c r="I37" s="322"/>
      <c r="J37" s="312"/>
      <c r="K37" s="322"/>
      <c r="L37" s="312"/>
      <c r="M37" s="322"/>
      <c r="N37" s="312"/>
      <c r="O37" s="322"/>
      <c r="P37" s="322"/>
      <c r="Q37" s="322"/>
      <c r="R37" s="312"/>
      <c r="S37" s="322"/>
      <c r="T37" s="312"/>
      <c r="U37" s="322"/>
      <c r="V37" s="312"/>
      <c r="W37" s="322"/>
      <c r="Y37" s="215"/>
      <c r="Z37" s="215"/>
      <c r="AA37" s="215"/>
      <c r="AB37" s="215"/>
    </row>
    <row r="38" spans="1:28" s="208" customFormat="1" ht="18" customHeight="1" x14ac:dyDescent="0.3">
      <c r="A38" s="342" t="s">
        <v>553</v>
      </c>
      <c r="B38" s="350"/>
      <c r="C38" s="351">
        <f>SUM(C26:C37)</f>
        <v>492709</v>
      </c>
      <c r="D38" s="352"/>
      <c r="E38" s="351">
        <f>SUM(E26:E37)</f>
        <v>-21382</v>
      </c>
      <c r="F38" s="352"/>
      <c r="G38" s="351">
        <f>SUM(G26:G37)</f>
        <v>27113</v>
      </c>
      <c r="H38" s="352"/>
      <c r="I38" s="351">
        <f>SUM(I26:I37)</f>
        <v>2930</v>
      </c>
      <c r="J38" s="352"/>
      <c r="K38" s="351">
        <f>SUM(K26:K37)</f>
        <v>21548</v>
      </c>
      <c r="L38" s="352"/>
      <c r="M38" s="351">
        <f>SUM(M26:M37)</f>
        <v>55366</v>
      </c>
      <c r="N38" s="352"/>
      <c r="O38" s="351">
        <f>SUM(O26:O37)</f>
        <v>-65720</v>
      </c>
      <c r="P38" s="353"/>
      <c r="Q38" s="351">
        <f>SUM(Q26:Q37)</f>
        <v>-34392</v>
      </c>
      <c r="R38" s="352"/>
      <c r="S38" s="351">
        <f>SUM(S26:S37)</f>
        <v>478172</v>
      </c>
      <c r="T38" s="352"/>
      <c r="U38" s="351">
        <f>SUM(U26:U37)</f>
        <v>75077</v>
      </c>
      <c r="V38" s="352"/>
      <c r="W38" s="351">
        <f>SUM(W26:W37)</f>
        <v>553249</v>
      </c>
    </row>
    <row r="39" spans="1:28" s="208" customFormat="1" ht="18" customHeight="1" x14ac:dyDescent="0.3">
      <c r="A39" s="311"/>
      <c r="B39" s="312"/>
      <c r="C39" s="322"/>
      <c r="D39" s="312"/>
      <c r="E39" s="322"/>
      <c r="F39" s="312"/>
      <c r="G39" s="322"/>
      <c r="H39" s="312"/>
      <c r="I39" s="322"/>
      <c r="J39" s="312"/>
      <c r="K39" s="322"/>
      <c r="L39" s="312"/>
      <c r="M39" s="322"/>
      <c r="N39" s="312"/>
      <c r="O39" s="322"/>
      <c r="P39" s="322"/>
      <c r="Q39" s="322"/>
      <c r="R39" s="312"/>
      <c r="S39" s="322"/>
      <c r="T39" s="312"/>
      <c r="U39" s="322"/>
      <c r="V39" s="312"/>
      <c r="W39" s="322"/>
    </row>
    <row r="40" spans="1:28" ht="18" customHeight="1" x14ac:dyDescent="0.35">
      <c r="A40" s="311"/>
      <c r="B40" s="312"/>
      <c r="C40" s="312"/>
      <c r="D40" s="312"/>
      <c r="E40" s="312"/>
      <c r="F40" s="312"/>
      <c r="G40" s="312"/>
      <c r="H40" s="312"/>
      <c r="I40" s="312"/>
      <c r="J40" s="312"/>
      <c r="K40" s="312"/>
      <c r="L40" s="312"/>
      <c r="M40" s="312"/>
      <c r="N40" s="312"/>
      <c r="O40" s="312"/>
      <c r="P40" s="312"/>
      <c r="Q40" s="312"/>
      <c r="R40" s="312"/>
      <c r="S40" s="312"/>
      <c r="T40" s="312"/>
      <c r="U40" s="312"/>
      <c r="V40" s="312"/>
      <c r="W40" s="312"/>
    </row>
    <row r="41" spans="1:28" s="215" customFormat="1" ht="18" customHeight="1" x14ac:dyDescent="0.3">
      <c r="A41" s="320" t="str">
        <f>'BP Passivo'!A51</f>
        <v>As notas explicativas são parte integrante das informações contábeis intermediárias individuais e consolidadas.</v>
      </c>
      <c r="B41" s="359"/>
      <c r="C41" s="314"/>
      <c r="D41" s="314"/>
      <c r="E41" s="314"/>
      <c r="F41" s="314"/>
      <c r="G41" s="314"/>
      <c r="H41" s="314"/>
      <c r="I41" s="314"/>
      <c r="J41" s="314"/>
      <c r="K41" s="314"/>
      <c r="L41" s="314"/>
      <c r="M41" s="314"/>
      <c r="N41" s="314"/>
      <c r="O41" s="314"/>
      <c r="P41" s="314"/>
      <c r="Q41" s="314"/>
      <c r="R41" s="314"/>
      <c r="S41" s="314"/>
      <c r="T41" s="314"/>
      <c r="U41" s="314"/>
      <c r="V41" s="314"/>
      <c r="W41" s="314"/>
    </row>
  </sheetData>
  <mergeCells count="3">
    <mergeCell ref="A8:W8"/>
    <mergeCell ref="C9:E9"/>
    <mergeCell ref="I9:K9"/>
  </mergeCells>
  <conditionalFormatting sqref="A3:XFD7 A8 X8:XFD8 A9:XFD9 O10:XFD25 A10:N41 O26:X26 Z26:XFD26 O27:XFD32 Z33:AB34 O33:X37 AC33:XFD37 Y35:AB37 O38:XFD41 A42:XFD1048576">
    <cfRule type="cellIs" dxfId="20" priority="1" operator="equal">
      <formula>0</formula>
    </cfRule>
  </conditionalFormatting>
  <pageMargins left="0.3" right="0.3" top="0.5" bottom="0.5" header="0.39370078740157483" footer="0.39370078740157483"/>
  <pageSetup paperSize="9" scale="65" firstPageNumber="14" fitToHeight="0" orientation="landscape" useFirstPageNumber="1"/>
  <headerFooter>
    <oddFooter>&amp;L&amp;"Open Sans Light"&amp;9 Priner | www.priner.com.br | Confidencial — uso interno&amp;R&amp;"Trebuchet MS,Normal"&amp;9 Página &amp;P de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FA421-E780-4B86-99F3-66D9079AA475}">
  <sheetPr>
    <tabColor rgb="FF92D050"/>
    <pageSetUpPr fitToPage="1"/>
  </sheetPr>
  <dimension ref="A1:I87"/>
  <sheetViews>
    <sheetView showGridLines="0" zoomScaleNormal="100" zoomScaleSheetLayoutView="80" workbookViewId="0">
      <selection activeCell="K8" sqref="K8"/>
    </sheetView>
  </sheetViews>
  <sheetFormatPr defaultColWidth="15" defaultRowHeight="13.5" x14ac:dyDescent="0.35"/>
  <cols>
    <col min="1" max="1" width="48" style="21" customWidth="1"/>
    <col min="2" max="2" width="14" style="3" customWidth="1"/>
    <col min="3" max="3" width="15" style="26" bestFit="1" customWidth="1"/>
    <col min="4" max="4" width="3" style="3" customWidth="1"/>
    <col min="5" max="5" width="15" style="3" bestFit="1" customWidth="1"/>
    <col min="6" max="6" width="5.54296875" style="3" customWidth="1"/>
    <col min="7" max="7" width="15" style="3" bestFit="1" customWidth="1"/>
    <col min="8" max="8" width="2.7265625" style="3" customWidth="1"/>
    <col min="9" max="9" width="15" style="26" bestFit="1" customWidth="1"/>
    <col min="10" max="16384" width="15" style="3"/>
  </cols>
  <sheetData>
    <row r="1" spans="1:9" ht="15.75" customHeight="1" x14ac:dyDescent="0.35">
      <c r="A1" s="3"/>
      <c r="C1" s="3"/>
      <c r="G1" s="16"/>
      <c r="I1" s="3"/>
    </row>
    <row r="2" spans="1:9" ht="23.25" customHeight="1" x14ac:dyDescent="0.35">
      <c r="A2" s="3"/>
      <c r="C2" s="3"/>
      <c r="G2" s="16"/>
      <c r="I2" s="3"/>
    </row>
    <row r="3" spans="1:9" ht="21.5" x14ac:dyDescent="0.35">
      <c r="A3" s="292" t="s">
        <v>0</v>
      </c>
      <c r="B3" s="293"/>
      <c r="C3" s="293"/>
      <c r="D3" s="293"/>
      <c r="E3" s="293"/>
      <c r="F3" s="293"/>
      <c r="G3" s="293"/>
      <c r="H3" s="293"/>
      <c r="I3" s="293"/>
    </row>
    <row r="4" spans="1:9" x14ac:dyDescent="0.35">
      <c r="A4" s="29"/>
    </row>
    <row r="5" spans="1:9" ht="18.5" x14ac:dyDescent="0.35">
      <c r="A5" s="384" t="s">
        <v>307</v>
      </c>
      <c r="B5" s="386"/>
      <c r="C5" s="386"/>
      <c r="D5" s="386"/>
      <c r="E5" s="386"/>
      <c r="F5" s="386"/>
      <c r="G5" s="386"/>
      <c r="H5" s="386"/>
      <c r="I5" s="386"/>
    </row>
    <row r="6" spans="1:9" ht="18" x14ac:dyDescent="0.35">
      <c r="A6" s="296" t="s">
        <v>536</v>
      </c>
      <c r="B6" s="323"/>
      <c r="C6" s="323"/>
      <c r="D6" s="323"/>
      <c r="E6" s="348"/>
      <c r="F6" s="323"/>
      <c r="G6" s="323"/>
      <c r="H6" s="323"/>
      <c r="I6" s="323"/>
    </row>
    <row r="7" spans="1:9" ht="18" x14ac:dyDescent="0.35">
      <c r="A7" s="298" t="s">
        <v>1</v>
      </c>
      <c r="B7" s="299"/>
      <c r="C7" s="299"/>
      <c r="D7" s="299"/>
      <c r="E7" s="299"/>
      <c r="F7" s="299"/>
      <c r="G7" s="299"/>
      <c r="H7" s="299"/>
      <c r="I7" s="299"/>
    </row>
    <row r="8" spans="1:9" x14ac:dyDescent="0.35">
      <c r="A8" s="29"/>
    </row>
    <row r="9" spans="1:9" ht="14.5" x14ac:dyDescent="0.35">
      <c r="A9" s="9"/>
      <c r="B9" s="15"/>
      <c r="C9" s="385" t="s">
        <v>3</v>
      </c>
      <c r="D9" s="382"/>
      <c r="E9" s="382"/>
      <c r="F9" s="7"/>
      <c r="G9" s="385" t="s">
        <v>4</v>
      </c>
      <c r="H9" s="382"/>
      <c r="I9" s="382"/>
    </row>
    <row r="10" spans="1:9" ht="15" x14ac:dyDescent="0.35">
      <c r="A10" s="9"/>
      <c r="B10" s="15"/>
      <c r="C10" s="360">
        <v>46203</v>
      </c>
      <c r="D10" s="31"/>
      <c r="E10" s="360">
        <v>45838</v>
      </c>
      <c r="F10" s="31"/>
      <c r="G10" s="360">
        <f>C10</f>
        <v>46203</v>
      </c>
      <c r="H10" s="31"/>
      <c r="I10" s="360">
        <f>E10</f>
        <v>45838</v>
      </c>
    </row>
    <row r="11" spans="1:9" x14ac:dyDescent="0.35">
      <c r="A11" s="9"/>
      <c r="B11" s="15"/>
      <c r="C11" s="10"/>
      <c r="D11" s="15"/>
      <c r="E11" s="10"/>
      <c r="F11" s="32"/>
      <c r="G11" s="33"/>
      <c r="H11" s="33"/>
      <c r="I11" s="33"/>
    </row>
    <row r="12" spans="1:9" ht="14.5" x14ac:dyDescent="0.35">
      <c r="A12" s="361" t="s">
        <v>77</v>
      </c>
      <c r="B12" s="314"/>
      <c r="C12" s="314"/>
      <c r="D12" s="314"/>
      <c r="E12" s="314"/>
      <c r="F12" s="314"/>
      <c r="G12" s="314"/>
      <c r="H12" s="314"/>
      <c r="I12" s="314"/>
    </row>
    <row r="13" spans="1:9" ht="14.5" x14ac:dyDescent="0.35">
      <c r="A13" s="311" t="s">
        <v>460</v>
      </c>
      <c r="B13" s="312"/>
      <c r="C13" s="322">
        <f>DRE!E25</f>
        <v>46220</v>
      </c>
      <c r="D13" s="312"/>
      <c r="E13" s="322">
        <f>DRE!G25</f>
        <v>-17581</v>
      </c>
      <c r="F13" s="322"/>
      <c r="G13" s="322">
        <f>DRE!J25</f>
        <v>54592</v>
      </c>
      <c r="H13" s="322"/>
      <c r="I13" s="322">
        <f>DRE!L25</f>
        <v>6590</v>
      </c>
    </row>
    <row r="14" spans="1:9" ht="14.5" x14ac:dyDescent="0.35">
      <c r="A14" s="311"/>
      <c r="B14" s="312"/>
      <c r="C14" s="322"/>
      <c r="D14" s="312"/>
      <c r="E14" s="322"/>
      <c r="F14" s="322"/>
      <c r="G14" s="322"/>
      <c r="H14" s="322"/>
      <c r="I14" s="322"/>
    </row>
    <row r="15" spans="1:9" ht="14.5" x14ac:dyDescent="0.35">
      <c r="A15" s="362" t="s">
        <v>308</v>
      </c>
      <c r="B15" s="314"/>
      <c r="C15" s="315"/>
      <c r="D15" s="314"/>
      <c r="E15" s="315"/>
      <c r="F15" s="315"/>
      <c r="G15" s="315"/>
      <c r="H15" s="315"/>
      <c r="I15" s="315"/>
    </row>
    <row r="16" spans="1:9" ht="29" x14ac:dyDescent="0.35">
      <c r="A16" s="311" t="s">
        <v>461</v>
      </c>
      <c r="B16" s="312"/>
      <c r="C16" s="322">
        <f>9921+11030</f>
        <v>20951</v>
      </c>
      <c r="D16" s="312"/>
      <c r="E16" s="322">
        <v>18046</v>
      </c>
      <c r="F16" s="322"/>
      <c r="G16" s="322">
        <v>73259</v>
      </c>
      <c r="H16" s="322"/>
      <c r="I16" s="322">
        <v>36944</v>
      </c>
    </row>
    <row r="17" spans="1:9" ht="30.75" customHeight="1" x14ac:dyDescent="0.35">
      <c r="A17" s="311" t="s">
        <v>79</v>
      </c>
      <c r="B17" s="312"/>
      <c r="C17" s="322">
        <v>1</v>
      </c>
      <c r="D17" s="312"/>
      <c r="E17" s="322">
        <v>-164</v>
      </c>
      <c r="F17" s="322"/>
      <c r="G17" s="322">
        <v>-15769</v>
      </c>
      <c r="H17" s="322"/>
      <c r="I17" s="322">
        <v>-5331</v>
      </c>
    </row>
    <row r="18" spans="1:9" ht="14.5" x14ac:dyDescent="0.35">
      <c r="A18" s="311" t="s">
        <v>80</v>
      </c>
      <c r="B18" s="312"/>
      <c r="C18" s="322">
        <v>-17445</v>
      </c>
      <c r="D18" s="312"/>
      <c r="E18" s="322">
        <v>-36287</v>
      </c>
      <c r="F18" s="322"/>
      <c r="G18" s="322">
        <v>0</v>
      </c>
      <c r="H18" s="322"/>
      <c r="I18" s="322">
        <v>0</v>
      </c>
    </row>
    <row r="19" spans="1:9" ht="29" x14ac:dyDescent="0.35">
      <c r="A19" s="311" t="s">
        <v>514</v>
      </c>
      <c r="B19" s="312"/>
      <c r="C19" s="322">
        <f>51136+245</f>
        <v>51381</v>
      </c>
      <c r="D19" s="312"/>
      <c r="E19" s="322">
        <f>39893+470</f>
        <v>40363</v>
      </c>
      <c r="F19" s="322"/>
      <c r="G19" s="322">
        <f>65785+1300</f>
        <v>67085</v>
      </c>
      <c r="H19" s="322"/>
      <c r="I19" s="322">
        <f>41476+1176</f>
        <v>42652</v>
      </c>
    </row>
    <row r="20" spans="1:9" ht="14.5" x14ac:dyDescent="0.35">
      <c r="A20" s="311" t="s">
        <v>468</v>
      </c>
      <c r="B20" s="312"/>
      <c r="C20" s="322">
        <v>-8946</v>
      </c>
      <c r="D20" s="312"/>
      <c r="E20" s="322">
        <v>0</v>
      </c>
      <c r="F20" s="322"/>
      <c r="G20" s="322">
        <v>-8994</v>
      </c>
      <c r="H20" s="322"/>
      <c r="I20" s="322">
        <v>0</v>
      </c>
    </row>
    <row r="21" spans="1:9" ht="14.5" x14ac:dyDescent="0.35">
      <c r="A21" s="311" t="s">
        <v>443</v>
      </c>
      <c r="B21" s="312"/>
      <c r="C21" s="322">
        <v>-2320</v>
      </c>
      <c r="D21" s="312"/>
      <c r="E21" s="322">
        <v>-1839</v>
      </c>
      <c r="F21" s="322"/>
      <c r="G21" s="322">
        <v>0</v>
      </c>
      <c r="H21" s="322"/>
      <c r="I21" s="322">
        <v>0</v>
      </c>
    </row>
    <row r="22" spans="1:9" ht="29" x14ac:dyDescent="0.35">
      <c r="A22" s="311" t="s">
        <v>429</v>
      </c>
      <c r="B22" s="312"/>
      <c r="C22" s="322">
        <v>11538</v>
      </c>
      <c r="D22" s="312"/>
      <c r="E22" s="322">
        <v>-2825</v>
      </c>
      <c r="F22" s="322"/>
      <c r="G22" s="322">
        <v>11538</v>
      </c>
      <c r="H22" s="312"/>
      <c r="I22" s="322">
        <v>-2825</v>
      </c>
    </row>
    <row r="23" spans="1:9" ht="29" x14ac:dyDescent="0.35">
      <c r="A23" s="311" t="s">
        <v>430</v>
      </c>
      <c r="B23" s="312"/>
      <c r="C23" s="322">
        <v>-1003</v>
      </c>
      <c r="D23" s="312"/>
      <c r="E23" s="322">
        <v>9042</v>
      </c>
      <c r="F23" s="322"/>
      <c r="G23" s="322">
        <v>-1003</v>
      </c>
      <c r="H23" s="322"/>
      <c r="I23" s="322">
        <v>9055</v>
      </c>
    </row>
    <row r="24" spans="1:9" ht="14.5" x14ac:dyDescent="0.35">
      <c r="A24" s="311" t="s">
        <v>431</v>
      </c>
      <c r="B24" s="312"/>
      <c r="C24" s="322">
        <v>1458</v>
      </c>
      <c r="D24" s="312"/>
      <c r="E24" s="322">
        <v>167</v>
      </c>
      <c r="F24" s="322"/>
      <c r="G24" s="322">
        <v>1955</v>
      </c>
      <c r="H24" s="322"/>
      <c r="I24" s="322">
        <v>280</v>
      </c>
    </row>
    <row r="25" spans="1:9" ht="14.5" x14ac:dyDescent="0.35">
      <c r="A25" s="311" t="s">
        <v>477</v>
      </c>
      <c r="B25" s="312"/>
      <c r="C25" s="322">
        <v>-54804</v>
      </c>
      <c r="D25" s="312"/>
      <c r="E25" s="322">
        <v>501</v>
      </c>
      <c r="F25" s="322"/>
      <c r="G25" s="322">
        <v>-54804</v>
      </c>
      <c r="H25" s="322"/>
      <c r="I25" s="322">
        <v>501</v>
      </c>
    </row>
    <row r="26" spans="1:9" ht="14.5" x14ac:dyDescent="0.35">
      <c r="A26" s="311" t="s">
        <v>279</v>
      </c>
      <c r="B26" s="312"/>
      <c r="C26" s="322">
        <f>48-88+2203-4198+384+105+2</f>
        <v>-1544</v>
      </c>
      <c r="D26" s="312"/>
      <c r="E26" s="322">
        <f>-1001+84-501</f>
        <v>-1418</v>
      </c>
      <c r="F26" s="322"/>
      <c r="G26" s="322">
        <f>-698+901+2203-4198+384-178</f>
        <v>-1586</v>
      </c>
      <c r="H26" s="322"/>
      <c r="I26" s="322">
        <f>-1144+1972-501</f>
        <v>327</v>
      </c>
    </row>
    <row r="27" spans="1:9" ht="14.5" x14ac:dyDescent="0.35">
      <c r="A27" s="311"/>
      <c r="B27" s="312"/>
      <c r="C27" s="322"/>
      <c r="D27" s="312"/>
      <c r="E27" s="322"/>
      <c r="F27" s="322"/>
      <c r="G27" s="322"/>
      <c r="H27" s="322"/>
      <c r="I27" s="322"/>
    </row>
    <row r="28" spans="1:9" s="25" customFormat="1" ht="14.5" x14ac:dyDescent="0.35">
      <c r="A28" s="363"/>
      <c r="B28" s="364"/>
      <c r="C28" s="365">
        <f>SUM(C13:C27)</f>
        <v>45487</v>
      </c>
      <c r="D28" s="364"/>
      <c r="E28" s="365">
        <f>SUM(E13:E27)</f>
        <v>8005</v>
      </c>
      <c r="F28" s="365"/>
      <c r="G28" s="365">
        <f>SUM(G13:G27)</f>
        <v>126273</v>
      </c>
      <c r="H28" s="365"/>
      <c r="I28" s="365">
        <f>SUM(I13:I27)</f>
        <v>88193</v>
      </c>
    </row>
    <row r="29" spans="1:9" ht="14.5" x14ac:dyDescent="0.35">
      <c r="A29" s="311"/>
      <c r="B29" s="312"/>
      <c r="C29" s="322"/>
      <c r="D29" s="312"/>
      <c r="E29" s="322"/>
      <c r="F29" s="322"/>
      <c r="G29" s="322"/>
      <c r="H29" s="322"/>
      <c r="I29" s="322"/>
    </row>
    <row r="30" spans="1:9" ht="14.5" x14ac:dyDescent="0.35">
      <c r="A30" s="366" t="s">
        <v>444</v>
      </c>
      <c r="B30" s="314"/>
      <c r="C30" s="315"/>
      <c r="D30" s="314"/>
      <c r="E30" s="315"/>
      <c r="F30" s="315"/>
      <c r="G30" s="315"/>
      <c r="H30" s="315"/>
      <c r="I30" s="315"/>
    </row>
    <row r="31" spans="1:9" ht="29" x14ac:dyDescent="0.35">
      <c r="A31" s="311" t="s">
        <v>515</v>
      </c>
      <c r="B31" s="312"/>
      <c r="C31" s="322">
        <f>-43731-6571</f>
        <v>-50302</v>
      </c>
      <c r="D31" s="312"/>
      <c r="E31" s="322">
        <v>-42426</v>
      </c>
      <c r="F31" s="322"/>
      <c r="G31" s="322">
        <f>1622-14243</f>
        <v>-12621</v>
      </c>
      <c r="H31" s="322"/>
      <c r="I31" s="322">
        <v>-58664</v>
      </c>
    </row>
    <row r="32" spans="1:9" ht="14.5" x14ac:dyDescent="0.35">
      <c r="A32" s="311" t="s">
        <v>12</v>
      </c>
      <c r="B32" s="312"/>
      <c r="C32" s="322">
        <v>3</v>
      </c>
      <c r="D32" s="312"/>
      <c r="E32" s="322">
        <v>-633</v>
      </c>
      <c r="F32" s="322"/>
      <c r="G32" s="312">
        <v>-10007</v>
      </c>
      <c r="H32" s="322"/>
      <c r="I32" s="312">
        <v>-186</v>
      </c>
    </row>
    <row r="33" spans="1:9" ht="14.5" x14ac:dyDescent="0.35">
      <c r="A33" s="311" t="s">
        <v>14</v>
      </c>
      <c r="B33" s="312"/>
      <c r="C33" s="322">
        <v>-13729</v>
      </c>
      <c r="D33" s="312"/>
      <c r="E33" s="322">
        <v>-6610</v>
      </c>
      <c r="F33" s="322"/>
      <c r="G33" s="322">
        <v>-15091</v>
      </c>
      <c r="H33" s="322"/>
      <c r="I33" s="322">
        <v>-13887</v>
      </c>
    </row>
    <row r="34" spans="1:9" ht="14.5" x14ac:dyDescent="0.35">
      <c r="A34" s="311" t="s">
        <v>445</v>
      </c>
      <c r="B34" s="312"/>
      <c r="C34" s="322">
        <v>-4782</v>
      </c>
      <c r="D34" s="312"/>
      <c r="E34" s="322">
        <v>-1110</v>
      </c>
      <c r="F34" s="322"/>
      <c r="G34" s="322">
        <v>-14308</v>
      </c>
      <c r="H34" s="322"/>
      <c r="I34" s="322">
        <v>-2976</v>
      </c>
    </row>
    <row r="35" spans="1:9" ht="14.5" x14ac:dyDescent="0.35">
      <c r="A35" s="366" t="s">
        <v>446</v>
      </c>
      <c r="B35" s="314"/>
      <c r="C35" s="315"/>
      <c r="D35" s="314"/>
      <c r="E35" s="315"/>
      <c r="F35" s="315"/>
      <c r="G35" s="315"/>
      <c r="H35" s="315"/>
      <c r="I35" s="315"/>
    </row>
    <row r="36" spans="1:9" ht="29" x14ac:dyDescent="0.35">
      <c r="A36" s="311" t="s">
        <v>516</v>
      </c>
      <c r="B36" s="312"/>
      <c r="C36" s="322">
        <f>1858-17657</f>
        <v>-15799</v>
      </c>
      <c r="D36" s="312"/>
      <c r="E36" s="322">
        <v>-6810</v>
      </c>
      <c r="F36" s="322"/>
      <c r="G36" s="322">
        <f>-6563+400</f>
        <v>-6163</v>
      </c>
      <c r="H36" s="322"/>
      <c r="I36" s="322">
        <v>-9342</v>
      </c>
    </row>
    <row r="37" spans="1:9" ht="14.5" x14ac:dyDescent="0.35">
      <c r="A37" s="311" t="s">
        <v>83</v>
      </c>
      <c r="B37" s="312"/>
      <c r="C37" s="322">
        <v>15136</v>
      </c>
      <c r="D37" s="312"/>
      <c r="E37" s="322">
        <v>9745</v>
      </c>
      <c r="F37" s="322"/>
      <c r="G37" s="322">
        <v>6513</v>
      </c>
      <c r="H37" s="322"/>
      <c r="I37" s="322">
        <v>10015</v>
      </c>
    </row>
    <row r="38" spans="1:9" ht="29" x14ac:dyDescent="0.35">
      <c r="A38" s="311" t="s">
        <v>517</v>
      </c>
      <c r="B38" s="312"/>
      <c r="C38" s="322">
        <v>4529</v>
      </c>
      <c r="D38" s="312"/>
      <c r="E38" s="322">
        <v>614</v>
      </c>
      <c r="F38" s="322"/>
      <c r="G38" s="322">
        <v>-2672</v>
      </c>
      <c r="H38" s="322"/>
      <c r="I38" s="322">
        <v>-2580</v>
      </c>
    </row>
    <row r="39" spans="1:9" ht="14.5" x14ac:dyDescent="0.35">
      <c r="A39" s="311" t="s">
        <v>86</v>
      </c>
      <c r="B39" s="312"/>
      <c r="C39" s="322">
        <v>-6713</v>
      </c>
      <c r="D39" s="312"/>
      <c r="E39" s="322">
        <v>-4681</v>
      </c>
      <c r="F39" s="322"/>
      <c r="G39" s="322">
        <v>-12872</v>
      </c>
      <c r="H39" s="322"/>
      <c r="I39" s="322">
        <v>-14687</v>
      </c>
    </row>
    <row r="40" spans="1:9" s="25" customFormat="1" ht="14.5" x14ac:dyDescent="0.35">
      <c r="A40" s="363" t="s">
        <v>432</v>
      </c>
      <c r="B40" s="364"/>
      <c r="C40" s="365">
        <f>SUM(C28:C39)</f>
        <v>-26170</v>
      </c>
      <c r="D40" s="364"/>
      <c r="E40" s="365">
        <f>SUM(E28:E39)</f>
        <v>-43906</v>
      </c>
      <c r="F40" s="365"/>
      <c r="G40" s="365">
        <f>SUM(G28:G39)</f>
        <v>59052</v>
      </c>
      <c r="H40" s="365"/>
      <c r="I40" s="365">
        <f>SUM(I28:I39)</f>
        <v>-4114</v>
      </c>
    </row>
    <row r="41" spans="1:9" ht="14.5" x14ac:dyDescent="0.35">
      <c r="A41" s="311" t="s">
        <v>433</v>
      </c>
      <c r="B41" s="312"/>
      <c r="C41" s="322">
        <v>0</v>
      </c>
      <c r="D41" s="312"/>
      <c r="E41" s="322">
        <v>0</v>
      </c>
      <c r="F41" s="322"/>
      <c r="G41" s="322">
        <v>-15203</v>
      </c>
      <c r="H41" s="322"/>
      <c r="I41" s="322">
        <v>-18335</v>
      </c>
    </row>
    <row r="42" spans="1:9" ht="29" x14ac:dyDescent="0.35">
      <c r="A42" s="366" t="s">
        <v>554</v>
      </c>
      <c r="B42" s="314"/>
      <c r="C42" s="315">
        <f>C40+C41</f>
        <v>-26170</v>
      </c>
      <c r="D42" s="314"/>
      <c r="E42" s="315">
        <f>E40+E41</f>
        <v>-43906</v>
      </c>
      <c r="F42" s="315"/>
      <c r="G42" s="315">
        <f>G40+G41</f>
        <v>43849</v>
      </c>
      <c r="H42" s="315"/>
      <c r="I42" s="315">
        <f>I40+I41</f>
        <v>-22449</v>
      </c>
    </row>
    <row r="43" spans="1:9" ht="14.5" x14ac:dyDescent="0.35">
      <c r="A43" s="311"/>
      <c r="B43" s="312"/>
      <c r="C43" s="312"/>
      <c r="D43" s="312"/>
      <c r="E43" s="312"/>
      <c r="F43" s="312"/>
      <c r="G43" s="312"/>
      <c r="H43" s="312"/>
      <c r="I43" s="312"/>
    </row>
    <row r="44" spans="1:9" ht="14.5" x14ac:dyDescent="0.35">
      <c r="A44" s="366" t="s">
        <v>88</v>
      </c>
      <c r="B44" s="314"/>
      <c r="C44" s="315"/>
      <c r="D44" s="314"/>
      <c r="E44" s="315"/>
      <c r="F44" s="315"/>
      <c r="G44" s="315"/>
      <c r="H44" s="315"/>
      <c r="I44" s="315"/>
    </row>
    <row r="45" spans="1:9" ht="14.5" x14ac:dyDescent="0.35">
      <c r="A45" s="311" t="s">
        <v>89</v>
      </c>
      <c r="B45" s="312"/>
      <c r="C45" s="322">
        <v>-220</v>
      </c>
      <c r="D45" s="322"/>
      <c r="E45" s="322">
        <v>-169</v>
      </c>
      <c r="F45" s="322"/>
      <c r="G45" s="322">
        <v>-302</v>
      </c>
      <c r="H45" s="322"/>
      <c r="I45" s="322">
        <v>-227</v>
      </c>
    </row>
    <row r="46" spans="1:9" ht="29" x14ac:dyDescent="0.35">
      <c r="A46" s="367" t="s">
        <v>555</v>
      </c>
      <c r="B46" s="312"/>
      <c r="C46" s="322">
        <f>-50751+1+24429</f>
        <v>-26321</v>
      </c>
      <c r="D46" s="322"/>
      <c r="E46" s="322">
        <v>-57</v>
      </c>
      <c r="F46" s="322"/>
      <c r="G46" s="322">
        <f>-251+1</f>
        <v>-250</v>
      </c>
      <c r="H46" s="322"/>
      <c r="I46" s="322">
        <v>-57</v>
      </c>
    </row>
    <row r="47" spans="1:9" ht="14.5" x14ac:dyDescent="0.35">
      <c r="A47" s="367" t="s">
        <v>368</v>
      </c>
      <c r="B47" s="312"/>
      <c r="C47" s="322">
        <v>85992</v>
      </c>
      <c r="D47" s="322"/>
      <c r="E47" s="322">
        <v>8784</v>
      </c>
      <c r="F47" s="322"/>
      <c r="G47" s="322">
        <v>0</v>
      </c>
      <c r="H47" s="322"/>
      <c r="I47" s="322">
        <v>0</v>
      </c>
    </row>
    <row r="48" spans="1:9" ht="14.5" x14ac:dyDescent="0.35">
      <c r="A48" s="367" t="s">
        <v>551</v>
      </c>
      <c r="B48" s="312"/>
      <c r="C48" s="322">
        <v>-66676</v>
      </c>
      <c r="D48" s="322"/>
      <c r="E48" s="322">
        <v>0</v>
      </c>
      <c r="F48" s="322"/>
      <c r="G48" s="322">
        <v>-66676</v>
      </c>
      <c r="H48" s="322"/>
      <c r="I48" s="322">
        <v>0</v>
      </c>
    </row>
    <row r="49" spans="1:9" ht="14.5" x14ac:dyDescent="0.35">
      <c r="A49" s="367" t="s">
        <v>556</v>
      </c>
      <c r="B49" s="312"/>
      <c r="C49" s="322">
        <v>0</v>
      </c>
      <c r="D49" s="322"/>
      <c r="E49" s="322">
        <v>1843</v>
      </c>
      <c r="F49" s="322"/>
      <c r="G49" s="322">
        <v>0</v>
      </c>
      <c r="H49" s="322"/>
      <c r="I49" s="322">
        <v>0</v>
      </c>
    </row>
    <row r="50" spans="1:9" ht="29" x14ac:dyDescent="0.35">
      <c r="A50" s="367" t="s">
        <v>557</v>
      </c>
      <c r="B50" s="312"/>
      <c r="C50" s="322">
        <v>0</v>
      </c>
      <c r="D50" s="322"/>
      <c r="E50" s="322">
        <v>0</v>
      </c>
      <c r="F50" s="322"/>
      <c r="G50" s="322">
        <v>0</v>
      </c>
      <c r="H50" s="322"/>
      <c r="I50" s="322">
        <v>862</v>
      </c>
    </row>
    <row r="51" spans="1:9" ht="14.5" x14ac:dyDescent="0.35">
      <c r="A51" s="311" t="s">
        <v>447</v>
      </c>
      <c r="B51" s="312"/>
      <c r="C51" s="322">
        <v>-29227</v>
      </c>
      <c r="D51" s="322"/>
      <c r="E51" s="322">
        <v>-19770</v>
      </c>
      <c r="F51" s="322"/>
      <c r="G51" s="322">
        <v>0</v>
      </c>
      <c r="H51" s="322"/>
      <c r="I51" s="322">
        <v>0</v>
      </c>
    </row>
    <row r="52" spans="1:9" ht="29" x14ac:dyDescent="0.35">
      <c r="A52" s="311" t="s">
        <v>558</v>
      </c>
      <c r="B52" s="312"/>
      <c r="C52" s="322">
        <v>17877</v>
      </c>
      <c r="D52" s="322"/>
      <c r="E52" s="322">
        <v>24366</v>
      </c>
      <c r="F52" s="322"/>
      <c r="G52" s="322">
        <v>0</v>
      </c>
      <c r="H52" s="322"/>
      <c r="I52" s="322">
        <v>0</v>
      </c>
    </row>
    <row r="53" spans="1:9" ht="29" x14ac:dyDescent="0.35">
      <c r="A53" s="311" t="s">
        <v>559</v>
      </c>
      <c r="B53" s="312"/>
      <c r="C53" s="322">
        <v>3414</v>
      </c>
      <c r="D53" s="322"/>
      <c r="E53" s="322">
        <v>952</v>
      </c>
      <c r="F53" s="322"/>
      <c r="G53" s="322">
        <v>0</v>
      </c>
      <c r="H53" s="322"/>
      <c r="I53" s="322">
        <v>0</v>
      </c>
    </row>
    <row r="54" spans="1:9" ht="29" x14ac:dyDescent="0.35">
      <c r="A54" s="311" t="s">
        <v>310</v>
      </c>
      <c r="B54" s="312"/>
      <c r="C54" s="322">
        <v>-9430</v>
      </c>
      <c r="D54" s="322"/>
      <c r="E54" s="322">
        <v>-5405</v>
      </c>
      <c r="F54" s="322"/>
      <c r="G54" s="322">
        <v>-69851</v>
      </c>
      <c r="H54" s="322"/>
      <c r="I54" s="322">
        <v>-14395</v>
      </c>
    </row>
    <row r="55" spans="1:9" ht="14.5" x14ac:dyDescent="0.35">
      <c r="A55" s="311" t="s">
        <v>90</v>
      </c>
      <c r="B55" s="312"/>
      <c r="C55" s="322">
        <v>80</v>
      </c>
      <c r="D55" s="312"/>
      <c r="E55" s="322">
        <v>291</v>
      </c>
      <c r="F55" s="322"/>
      <c r="G55" s="322">
        <v>29055</v>
      </c>
      <c r="H55" s="322"/>
      <c r="I55" s="322">
        <v>6126</v>
      </c>
    </row>
    <row r="56" spans="1:9" ht="29" x14ac:dyDescent="0.35">
      <c r="A56" s="366" t="s">
        <v>560</v>
      </c>
      <c r="B56" s="314"/>
      <c r="C56" s="315">
        <f>SUM(C45:C55)</f>
        <v>-24511</v>
      </c>
      <c r="D56" s="314"/>
      <c r="E56" s="315">
        <f>SUM(E45:E55)</f>
        <v>10835</v>
      </c>
      <c r="F56" s="315"/>
      <c r="G56" s="315">
        <f>SUM(G45:G55)</f>
        <v>-108024</v>
      </c>
      <c r="H56" s="315"/>
      <c r="I56" s="315">
        <f>SUM(I45:I55)</f>
        <v>-7691</v>
      </c>
    </row>
    <row r="57" spans="1:9" ht="14.5" x14ac:dyDescent="0.35">
      <c r="A57" s="311"/>
      <c r="B57" s="312"/>
      <c r="C57" s="312"/>
      <c r="D57" s="312"/>
      <c r="E57" s="312"/>
      <c r="F57" s="312"/>
      <c r="G57" s="312"/>
      <c r="H57" s="312"/>
      <c r="I57" s="312"/>
    </row>
    <row r="58" spans="1:9" ht="14.5" x14ac:dyDescent="0.35">
      <c r="A58" s="366" t="s">
        <v>91</v>
      </c>
      <c r="B58" s="314"/>
      <c r="C58" s="315"/>
      <c r="D58" s="314"/>
      <c r="E58" s="315"/>
      <c r="F58" s="315"/>
      <c r="G58" s="315"/>
      <c r="H58" s="315"/>
      <c r="I58" s="315"/>
    </row>
    <row r="59" spans="1:9" ht="14.5" x14ac:dyDescent="0.35">
      <c r="A59" s="367" t="s">
        <v>157</v>
      </c>
      <c r="B59" s="312"/>
      <c r="C59" s="322">
        <v>3147</v>
      </c>
      <c r="D59" s="312"/>
      <c r="E59" s="368">
        <v>0</v>
      </c>
      <c r="F59" s="368"/>
      <c r="G59" s="322">
        <v>3147</v>
      </c>
      <c r="H59" s="368"/>
      <c r="I59" s="368">
        <v>0</v>
      </c>
    </row>
    <row r="60" spans="1:9" ht="14.5" x14ac:dyDescent="0.35">
      <c r="A60" s="367" t="s">
        <v>561</v>
      </c>
      <c r="B60" s="312"/>
      <c r="C60" s="322">
        <v>0</v>
      </c>
      <c r="D60" s="312"/>
      <c r="E60" s="368">
        <v>0</v>
      </c>
      <c r="F60" s="368"/>
      <c r="G60" s="322">
        <v>-1400</v>
      </c>
      <c r="H60" s="368"/>
      <c r="I60" s="368">
        <v>0</v>
      </c>
    </row>
    <row r="61" spans="1:9" ht="14.5" x14ac:dyDescent="0.35">
      <c r="A61" s="311" t="s">
        <v>562</v>
      </c>
      <c r="B61" s="312"/>
      <c r="C61" s="368">
        <v>0</v>
      </c>
      <c r="D61" s="312"/>
      <c r="E61" s="322">
        <v>-2410</v>
      </c>
      <c r="F61" s="322"/>
      <c r="G61" s="322">
        <v>-27853</v>
      </c>
      <c r="H61" s="322"/>
      <c r="I61" s="322">
        <v>-13373</v>
      </c>
    </row>
    <row r="62" spans="1:9" ht="29" x14ac:dyDescent="0.35">
      <c r="A62" s="311" t="s">
        <v>394</v>
      </c>
      <c r="B62" s="312"/>
      <c r="C62" s="322">
        <v>-20847</v>
      </c>
      <c r="D62" s="312"/>
      <c r="E62" s="322">
        <v>-23427</v>
      </c>
      <c r="F62" s="322"/>
      <c r="G62" s="322">
        <v>-20847</v>
      </c>
      <c r="H62" s="322"/>
      <c r="I62" s="322">
        <v>-28699</v>
      </c>
    </row>
    <row r="63" spans="1:9" ht="29" x14ac:dyDescent="0.35">
      <c r="A63" s="311" t="s">
        <v>395</v>
      </c>
      <c r="B63" s="312"/>
      <c r="C63" s="322">
        <v>-4848</v>
      </c>
      <c r="D63" s="312"/>
      <c r="E63" s="322">
        <v>-2834</v>
      </c>
      <c r="F63" s="322"/>
      <c r="G63" s="322">
        <v>-4848</v>
      </c>
      <c r="H63" s="322"/>
      <c r="I63" s="322">
        <v>-3554</v>
      </c>
    </row>
    <row r="64" spans="1:9" ht="14.5" x14ac:dyDescent="0.35">
      <c r="A64" s="311" t="s">
        <v>95</v>
      </c>
      <c r="B64" s="312"/>
      <c r="C64" s="322">
        <v>-1168</v>
      </c>
      <c r="D64" s="312"/>
      <c r="E64" s="322">
        <v>-1355</v>
      </c>
      <c r="F64" s="322"/>
      <c r="G64" s="322">
        <v>-4795</v>
      </c>
      <c r="H64" s="322"/>
      <c r="I64" s="322">
        <v>-4013</v>
      </c>
    </row>
    <row r="65" spans="1:9" ht="14.5" x14ac:dyDescent="0.35">
      <c r="A65" s="311" t="s">
        <v>94</v>
      </c>
      <c r="B65" s="312"/>
      <c r="C65" s="322">
        <v>40000</v>
      </c>
      <c r="D65" s="312"/>
      <c r="E65" s="322">
        <v>150000</v>
      </c>
      <c r="F65" s="322"/>
      <c r="G65" s="322">
        <v>119361</v>
      </c>
      <c r="H65" s="322"/>
      <c r="I65" s="322">
        <v>150000</v>
      </c>
    </row>
    <row r="66" spans="1:9" ht="14.5" x14ac:dyDescent="0.35">
      <c r="A66" s="311" t="s">
        <v>563</v>
      </c>
      <c r="B66" s="312"/>
      <c r="C66" s="322">
        <v>250000</v>
      </c>
      <c r="D66" s="312"/>
      <c r="E66" s="322">
        <v>200000</v>
      </c>
      <c r="F66" s="322"/>
      <c r="G66" s="322">
        <v>250000</v>
      </c>
      <c r="H66" s="322"/>
      <c r="I66" s="322">
        <v>200000</v>
      </c>
    </row>
    <row r="67" spans="1:9" ht="14.5" x14ac:dyDescent="0.35">
      <c r="A67" s="311" t="s">
        <v>404</v>
      </c>
      <c r="B67" s="312"/>
      <c r="C67" s="322">
        <v>-163985</v>
      </c>
      <c r="D67" s="312"/>
      <c r="E67" s="322">
        <v>-123555</v>
      </c>
      <c r="F67" s="322"/>
      <c r="G67" s="322">
        <v>-205108</v>
      </c>
      <c r="H67" s="322"/>
      <c r="I67" s="322">
        <v>-125781</v>
      </c>
    </row>
    <row r="68" spans="1:9" ht="14.5" x14ac:dyDescent="0.35">
      <c r="A68" s="311" t="s">
        <v>448</v>
      </c>
      <c r="B68" s="312"/>
      <c r="C68" s="322">
        <v>-63219</v>
      </c>
      <c r="D68" s="312"/>
      <c r="E68" s="322">
        <v>-16384</v>
      </c>
      <c r="F68" s="322"/>
      <c r="G68" s="322">
        <v>-78081</v>
      </c>
      <c r="H68" s="322"/>
      <c r="I68" s="322">
        <v>-18146</v>
      </c>
    </row>
    <row r="69" spans="1:9" ht="14.5" x14ac:dyDescent="0.35">
      <c r="A69" s="311" t="s">
        <v>449</v>
      </c>
      <c r="B69" s="312"/>
      <c r="C69" s="322">
        <v>-6814</v>
      </c>
      <c r="D69" s="312"/>
      <c r="E69" s="322">
        <v>-2291</v>
      </c>
      <c r="F69" s="322"/>
      <c r="G69" s="322">
        <v>-6814</v>
      </c>
      <c r="H69" s="322"/>
      <c r="I69" s="322">
        <v>-2306</v>
      </c>
    </row>
    <row r="70" spans="1:9" ht="29" x14ac:dyDescent="0.35">
      <c r="A70" s="366" t="s">
        <v>564</v>
      </c>
      <c r="B70" s="314"/>
      <c r="C70" s="315">
        <f>SUM(C59:C69)</f>
        <v>32266</v>
      </c>
      <c r="D70" s="314"/>
      <c r="E70" s="315">
        <f>SUM(E59:E69)</f>
        <v>177744</v>
      </c>
      <c r="F70" s="315"/>
      <c r="G70" s="315">
        <f>SUM(G59:G69)</f>
        <v>22762</v>
      </c>
      <c r="H70" s="315"/>
      <c r="I70" s="315">
        <f>SUM(I59:I69)</f>
        <v>154128</v>
      </c>
    </row>
    <row r="71" spans="1:9" ht="14.5" x14ac:dyDescent="0.35">
      <c r="A71" s="311"/>
      <c r="B71" s="312"/>
      <c r="C71" s="312"/>
      <c r="D71" s="312"/>
      <c r="E71" s="312"/>
      <c r="F71" s="312"/>
      <c r="G71" s="312"/>
      <c r="H71" s="312"/>
      <c r="I71" s="312"/>
    </row>
    <row r="72" spans="1:9" s="25" customFormat="1" ht="29" x14ac:dyDescent="0.35">
      <c r="A72" s="369" t="s">
        <v>314</v>
      </c>
      <c r="B72" s="364"/>
      <c r="C72" s="365">
        <f>+C42+C56+C70</f>
        <v>-18415</v>
      </c>
      <c r="D72" s="364"/>
      <c r="E72" s="365">
        <f>+E42+E56+E70</f>
        <v>144673</v>
      </c>
      <c r="F72" s="365"/>
      <c r="G72" s="365">
        <f>+G42+G56+G70</f>
        <v>-41413</v>
      </c>
      <c r="H72" s="365"/>
      <c r="I72" s="365">
        <f>+I42+I56+I70</f>
        <v>123988</v>
      </c>
    </row>
    <row r="73" spans="1:9" ht="14.5" x14ac:dyDescent="0.35">
      <c r="A73" s="311"/>
      <c r="B73" s="312"/>
      <c r="C73" s="312"/>
      <c r="D73" s="312"/>
      <c r="E73" s="312"/>
      <c r="F73" s="312"/>
      <c r="G73" s="312"/>
      <c r="H73" s="312"/>
      <c r="I73" s="312"/>
    </row>
    <row r="74" spans="1:9" ht="14.5" x14ac:dyDescent="0.35">
      <c r="A74" s="370" t="s">
        <v>96</v>
      </c>
      <c r="B74" s="312"/>
      <c r="C74" s="322">
        <f>'BP Ativo'!F14</f>
        <v>207752</v>
      </c>
      <c r="D74" s="312"/>
      <c r="E74" s="322">
        <v>111098</v>
      </c>
      <c r="F74" s="322"/>
      <c r="G74" s="322">
        <f>'BP Ativo'!J14</f>
        <v>343246</v>
      </c>
      <c r="H74" s="322"/>
      <c r="I74" s="322">
        <v>232537</v>
      </c>
    </row>
    <row r="75" spans="1:9" ht="14.5" x14ac:dyDescent="0.35">
      <c r="A75" s="370" t="s">
        <v>97</v>
      </c>
      <c r="B75" s="312"/>
      <c r="C75" s="322">
        <f>'BP Ativo'!D14</f>
        <v>189337</v>
      </c>
      <c r="D75" s="312"/>
      <c r="E75" s="322">
        <v>255771</v>
      </c>
      <c r="F75" s="322"/>
      <c r="G75" s="322">
        <f>'BP Ativo'!H14</f>
        <v>301833</v>
      </c>
      <c r="H75" s="322"/>
      <c r="I75" s="322">
        <v>356525</v>
      </c>
    </row>
    <row r="76" spans="1:9" ht="14.5" x14ac:dyDescent="0.35">
      <c r="A76" s="311"/>
      <c r="B76" s="312"/>
      <c r="C76" s="312"/>
      <c r="D76" s="312"/>
      <c r="E76" s="312"/>
      <c r="F76" s="312"/>
      <c r="G76" s="312"/>
      <c r="H76" s="312"/>
      <c r="I76" s="312"/>
    </row>
    <row r="77" spans="1:9" s="25" customFormat="1" ht="29" x14ac:dyDescent="0.35">
      <c r="A77" s="369" t="s">
        <v>314</v>
      </c>
      <c r="B77" s="364"/>
      <c r="C77" s="365">
        <f>C75-C74</f>
        <v>-18415</v>
      </c>
      <c r="D77" s="364"/>
      <c r="E77" s="365">
        <f>E75-E74</f>
        <v>144673</v>
      </c>
      <c r="F77" s="365"/>
      <c r="G77" s="365">
        <f>G75-G74</f>
        <v>-41413</v>
      </c>
      <c r="H77" s="365"/>
      <c r="I77" s="365">
        <f>I75-I74</f>
        <v>123988</v>
      </c>
    </row>
    <row r="78" spans="1:9" ht="14.5" x14ac:dyDescent="0.35">
      <c r="A78" s="311"/>
      <c r="B78" s="312"/>
      <c r="C78" s="322"/>
      <c r="D78" s="312"/>
      <c r="E78" s="322"/>
      <c r="F78" s="322"/>
      <c r="G78" s="322"/>
      <c r="H78" s="322"/>
      <c r="I78" s="322"/>
    </row>
    <row r="79" spans="1:9" ht="14.5" x14ac:dyDescent="0.35">
      <c r="A79" s="320" t="str">
        <f>'BP Passivo'!A51</f>
        <v>As notas explicativas são parte integrante das informações contábeis intermediárias individuais e consolidadas.</v>
      </c>
      <c r="B79" s="314"/>
      <c r="C79" s="314"/>
      <c r="D79" s="314"/>
      <c r="E79" s="314"/>
      <c r="F79" s="314"/>
      <c r="G79" s="314"/>
      <c r="H79" s="314"/>
      <c r="I79" s="314"/>
    </row>
    <row r="80" spans="1:9" ht="14.5" x14ac:dyDescent="0.35">
      <c r="A80" s="311"/>
      <c r="B80" s="312"/>
      <c r="C80" s="312"/>
      <c r="D80" s="312"/>
      <c r="E80" s="312"/>
      <c r="F80" s="312"/>
      <c r="G80" s="312"/>
      <c r="H80" s="312"/>
      <c r="I80" s="312"/>
    </row>
    <row r="81" spans="1:9" s="372" customFormat="1" ht="14.5" x14ac:dyDescent="0.35">
      <c r="A81" s="371"/>
      <c r="B81" s="312"/>
      <c r="C81" s="322"/>
      <c r="D81" s="312"/>
      <c r="E81" s="322"/>
      <c r="F81" s="312"/>
      <c r="G81" s="322"/>
      <c r="H81" s="312"/>
      <c r="I81" s="322"/>
    </row>
    <row r="82" spans="1:9" ht="14.5" x14ac:dyDescent="0.35">
      <c r="A82" s="311"/>
      <c r="B82" s="312"/>
      <c r="C82" s="322"/>
      <c r="D82" s="312"/>
      <c r="E82" s="322"/>
      <c r="F82" s="322"/>
      <c r="G82" s="322"/>
      <c r="H82" s="322"/>
      <c r="I82" s="322"/>
    </row>
    <row r="83" spans="1:9" ht="14.5" x14ac:dyDescent="0.35">
      <c r="A83" s="311"/>
      <c r="B83" s="312"/>
      <c r="C83" s="322">
        <f>C75-C74</f>
        <v>-18415</v>
      </c>
      <c r="D83" s="312"/>
      <c r="E83" s="322">
        <f>E75-E74</f>
        <v>144673</v>
      </c>
      <c r="F83" s="312"/>
      <c r="G83" s="322">
        <f>G75-G74</f>
        <v>-41413</v>
      </c>
      <c r="H83" s="312"/>
      <c r="I83" s="322">
        <f>I75-I74</f>
        <v>123988</v>
      </c>
    </row>
    <row r="84" spans="1:9" ht="14.5" x14ac:dyDescent="0.35">
      <c r="A84" s="311"/>
      <c r="B84" s="312"/>
      <c r="C84" s="322">
        <f>C72-C83</f>
        <v>0</v>
      </c>
      <c r="D84" s="312"/>
      <c r="E84" s="322">
        <f>E72-E83</f>
        <v>0</v>
      </c>
      <c r="F84" s="322"/>
      <c r="G84" s="322">
        <f>G72-G83</f>
        <v>0</v>
      </c>
      <c r="H84" s="322"/>
      <c r="I84" s="322">
        <f>I72-I83</f>
        <v>0</v>
      </c>
    </row>
    <row r="85" spans="1:9" ht="14.5" x14ac:dyDescent="0.35">
      <c r="A85" s="311"/>
      <c r="B85" s="312"/>
      <c r="C85" s="322"/>
      <c r="D85" s="312"/>
      <c r="E85" s="322"/>
      <c r="F85" s="322"/>
      <c r="G85" s="322"/>
      <c r="H85" s="322"/>
      <c r="I85" s="322"/>
    </row>
    <row r="86" spans="1:9" ht="14.5" x14ac:dyDescent="0.35">
      <c r="A86" s="311"/>
      <c r="B86" s="312"/>
      <c r="C86" s="312"/>
      <c r="D86" s="312"/>
      <c r="E86" s="312"/>
      <c r="F86" s="312"/>
      <c r="G86" s="312"/>
      <c r="H86" s="312"/>
      <c r="I86" s="312"/>
    </row>
    <row r="87" spans="1:9" ht="14.5" x14ac:dyDescent="0.35">
      <c r="A87" s="311"/>
      <c r="B87" s="312"/>
      <c r="C87" s="312"/>
      <c r="D87" s="312"/>
      <c r="E87" s="312"/>
      <c r="F87" s="312"/>
      <c r="G87" s="312"/>
      <c r="H87" s="312"/>
      <c r="I87" s="312"/>
    </row>
  </sheetData>
  <mergeCells count="3">
    <mergeCell ref="A5:I5"/>
    <mergeCell ref="C9:E9"/>
    <mergeCell ref="G9:I9"/>
  </mergeCells>
  <conditionalFormatting sqref="A5 A6:XFD1048576">
    <cfRule type="cellIs" dxfId="19" priority="6" operator="equal">
      <formula>0</formula>
    </cfRule>
  </conditionalFormatting>
  <conditionalFormatting sqref="A30">
    <cfRule type="cellIs" dxfId="18" priority="12" operator="equal">
      <formula>0</formula>
    </cfRule>
  </conditionalFormatting>
  <conditionalFormatting sqref="A35">
    <cfRule type="cellIs" dxfId="17" priority="1" operator="equal">
      <formula>0</formula>
    </cfRule>
  </conditionalFormatting>
  <conditionalFormatting sqref="A42">
    <cfRule type="cellIs" dxfId="16" priority="11" operator="equal">
      <formula>0</formula>
    </cfRule>
  </conditionalFormatting>
  <conditionalFormatting sqref="A44">
    <cfRule type="cellIs" dxfId="15" priority="10" operator="equal">
      <formula>0</formula>
    </cfRule>
  </conditionalFormatting>
  <conditionalFormatting sqref="A49:A53">
    <cfRule type="cellIs" dxfId="14" priority="4" operator="equal">
      <formula>0</formula>
    </cfRule>
  </conditionalFormatting>
  <conditionalFormatting sqref="A56">
    <cfRule type="cellIs" dxfId="13" priority="9" operator="equal">
      <formula>0</formula>
    </cfRule>
  </conditionalFormatting>
  <conditionalFormatting sqref="A58">
    <cfRule type="cellIs" dxfId="12" priority="8" operator="equal">
      <formula>0</formula>
    </cfRule>
  </conditionalFormatting>
  <conditionalFormatting sqref="A72:A76">
    <cfRule type="cellIs" dxfId="11" priority="5" operator="equal">
      <formula>0</formula>
    </cfRule>
  </conditionalFormatting>
  <conditionalFormatting sqref="A74:B75">
    <cfRule type="cellIs" dxfId="10" priority="7" operator="equal">
      <formula>0</formula>
    </cfRule>
  </conditionalFormatting>
  <conditionalFormatting sqref="A3:I4 J3:XFD5">
    <cfRule type="cellIs" dxfId="9" priority="13" operator="equal">
      <formula>0</formula>
    </cfRule>
  </conditionalFormatting>
  <conditionalFormatting sqref="C49:C53">
    <cfRule type="cellIs" dxfId="8" priority="3" operator="equal">
      <formula>0</formula>
    </cfRule>
  </conditionalFormatting>
  <conditionalFormatting sqref="C28:I28">
    <cfRule type="cellIs" dxfId="7" priority="2" operator="equal">
      <formula>0</formula>
    </cfRule>
  </conditionalFormatting>
  <pageMargins left="0.3" right="0.3" top="0.5" bottom="0.5" header="0.39370078740157483" footer="0.39370078740157483"/>
  <pageSetup paperSize="9" scale="54" firstPageNumber="12" orientation="portrait" r:id="rId1"/>
  <headerFooter>
    <oddFooter>&amp;L&amp;"Open Sans Light"&amp;9 Priner | www.priner.com.br | Confidencial — uso interno&amp;R&amp;"Trebuchet MS,Normal"&amp;9 Página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BFF6D-7940-4AA2-ADB1-770EB437FB5F}">
  <sheetPr>
    <tabColor rgb="FF92D050"/>
    <pageSetUpPr fitToPage="1"/>
  </sheetPr>
  <dimension ref="A1:L90"/>
  <sheetViews>
    <sheetView showGridLines="0" zoomScale="80" zoomScaleNormal="80" zoomScaleSheetLayoutView="80" workbookViewId="0">
      <selection activeCell="O16" sqref="O16"/>
    </sheetView>
  </sheetViews>
  <sheetFormatPr defaultColWidth="15" defaultRowHeight="13.5" x14ac:dyDescent="0.35"/>
  <cols>
    <col min="1" max="1" width="48" style="21" customWidth="1"/>
    <col min="2" max="2" width="6.1796875" style="3" customWidth="1"/>
    <col min="3" max="3" width="15" style="3" bestFit="1" customWidth="1"/>
    <col min="4" max="4" width="3.453125" style="3" customWidth="1"/>
    <col min="5" max="5" width="15" style="3" bestFit="1" customWidth="1"/>
    <col min="6" max="6" width="3.453125" style="3" customWidth="1"/>
    <col min="7" max="7" width="15" style="3" bestFit="1" customWidth="1"/>
    <col min="8" max="8" width="2.7265625" style="3" customWidth="1"/>
    <col min="9" max="9" width="15" style="3" bestFit="1" customWidth="1"/>
    <col min="10" max="12" width="15" style="3" hidden="1" customWidth="1"/>
    <col min="13" max="16384" width="15" style="3"/>
  </cols>
  <sheetData>
    <row r="1" spans="1:12" ht="15.75" customHeight="1" x14ac:dyDescent="0.35">
      <c r="A1" s="3"/>
      <c r="G1" s="16"/>
    </row>
    <row r="2" spans="1:12" ht="23.25" customHeight="1" x14ac:dyDescent="0.35">
      <c r="A2" s="3"/>
      <c r="G2" s="16"/>
    </row>
    <row r="3" spans="1:12" ht="18" customHeight="1" x14ac:dyDescent="0.35">
      <c r="A3" s="292" t="s">
        <v>0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</row>
    <row r="4" spans="1:12" ht="18" customHeight="1" x14ac:dyDescent="0.35">
      <c r="A4" s="29"/>
      <c r="B4" s="29"/>
      <c r="C4" s="29"/>
    </row>
    <row r="5" spans="1:12" ht="18" customHeight="1" x14ac:dyDescent="0.35">
      <c r="A5" s="384" t="s">
        <v>315</v>
      </c>
      <c r="B5" s="386"/>
      <c r="C5" s="386"/>
      <c r="D5" s="386"/>
      <c r="E5" s="386"/>
      <c r="F5" s="386"/>
      <c r="G5" s="386"/>
      <c r="H5" s="386"/>
      <c r="I5" s="386"/>
      <c r="J5" s="295"/>
      <c r="K5" s="295"/>
      <c r="L5" s="295"/>
    </row>
    <row r="6" spans="1:12" ht="18" customHeight="1" x14ac:dyDescent="0.35">
      <c r="A6" s="297" t="str">
        <f>DFC!A6</f>
        <v>Períodos findos em 30 de junho de 2026 e 2025</v>
      </c>
      <c r="B6" s="323"/>
      <c r="C6" s="323"/>
      <c r="D6" s="323"/>
      <c r="E6" s="323"/>
      <c r="F6" s="323"/>
      <c r="G6" s="323"/>
      <c r="H6" s="323"/>
      <c r="I6" s="323"/>
      <c r="J6" s="323"/>
      <c r="K6" s="323"/>
      <c r="L6" s="323"/>
    </row>
    <row r="7" spans="1:12" ht="18" customHeight="1" x14ac:dyDescent="0.35">
      <c r="A7" s="298" t="s">
        <v>1</v>
      </c>
      <c r="B7" s="299"/>
      <c r="C7" s="299"/>
      <c r="D7" s="323"/>
      <c r="E7" s="299"/>
      <c r="F7" s="299"/>
      <c r="G7" s="299"/>
      <c r="H7" s="299"/>
      <c r="I7" s="299"/>
      <c r="J7" s="323"/>
      <c r="K7" s="323"/>
      <c r="L7" s="323"/>
    </row>
    <row r="8" spans="1:12" ht="18" customHeight="1" x14ac:dyDescent="0.35">
      <c r="A8" s="9"/>
      <c r="B8" s="4"/>
      <c r="C8" s="385" t="s">
        <v>3</v>
      </c>
      <c r="D8" s="382"/>
      <c r="E8" s="382"/>
      <c r="F8" s="24"/>
      <c r="G8" s="385" t="s">
        <v>4</v>
      </c>
      <c r="H8" s="382"/>
      <c r="I8" s="382"/>
    </row>
    <row r="9" spans="1:12" ht="18" customHeight="1" x14ac:dyDescent="0.35">
      <c r="C9" s="360">
        <v>46203</v>
      </c>
      <c r="D9" s="18"/>
      <c r="E9" s="360">
        <v>45838</v>
      </c>
      <c r="F9" s="18"/>
      <c r="G9" s="360">
        <f>C9</f>
        <v>46203</v>
      </c>
      <c r="H9" s="18"/>
      <c r="I9" s="360">
        <f>E9</f>
        <v>45838</v>
      </c>
      <c r="K9" s="349">
        <v>2016</v>
      </c>
    </row>
    <row r="10" spans="1:12" s="23" customFormat="1" ht="18" customHeight="1" x14ac:dyDescent="0.35">
      <c r="A10" s="9"/>
      <c r="B10" s="34"/>
      <c r="C10" s="34"/>
      <c r="D10" s="35"/>
      <c r="E10" s="34"/>
      <c r="F10" s="36"/>
      <c r="G10" s="36"/>
      <c r="I10" s="36"/>
    </row>
    <row r="11" spans="1:12" ht="18" customHeight="1" x14ac:dyDescent="0.4">
      <c r="A11" s="387" t="s">
        <v>98</v>
      </c>
      <c r="B11" s="388"/>
      <c r="C11" s="388"/>
      <c r="D11" s="388"/>
      <c r="E11" s="388"/>
      <c r="F11" s="388"/>
      <c r="G11" s="388"/>
      <c r="H11" s="388"/>
      <c r="I11" s="388"/>
      <c r="J11" s="302"/>
      <c r="K11" s="302"/>
      <c r="L11" s="302"/>
    </row>
    <row r="12" spans="1:12" ht="18" customHeight="1" x14ac:dyDescent="0.35">
      <c r="A12" s="313" t="s">
        <v>99</v>
      </c>
      <c r="B12" s="314"/>
      <c r="C12" s="314"/>
      <c r="D12" s="314"/>
      <c r="E12" s="314"/>
      <c r="F12" s="315"/>
      <c r="G12" s="315"/>
      <c r="H12" s="314"/>
      <c r="I12" s="315"/>
      <c r="J12" s="314"/>
      <c r="K12" s="314"/>
      <c r="L12" s="314"/>
    </row>
    <row r="13" spans="1:12" ht="18" customHeight="1" x14ac:dyDescent="0.35">
      <c r="A13" s="311" t="s">
        <v>434</v>
      </c>
      <c r="B13" s="312"/>
      <c r="C13" s="322">
        <v>452781</v>
      </c>
      <c r="D13" s="322"/>
      <c r="E13" s="322">
        <v>282461</v>
      </c>
      <c r="F13" s="322"/>
      <c r="G13" s="322">
        <v>971460</v>
      </c>
      <c r="H13" s="312"/>
      <c r="I13" s="322">
        <v>794838</v>
      </c>
      <c r="J13" s="322"/>
      <c r="K13" s="322">
        <v>233780</v>
      </c>
      <c r="L13" s="312"/>
    </row>
    <row r="14" spans="1:12" ht="29" x14ac:dyDescent="0.35">
      <c r="A14" s="311" t="s">
        <v>462</v>
      </c>
      <c r="B14" s="312"/>
      <c r="C14" s="322">
        <v>88</v>
      </c>
      <c r="D14" s="322"/>
      <c r="E14" s="322">
        <v>-84</v>
      </c>
      <c r="F14" s="322"/>
      <c r="G14" s="322">
        <v>-901</v>
      </c>
      <c r="H14" s="312"/>
      <c r="I14" s="322">
        <v>-1972</v>
      </c>
      <c r="J14" s="322"/>
      <c r="K14" s="322">
        <v>-1853</v>
      </c>
      <c r="L14" s="312"/>
    </row>
    <row r="15" spans="1:12" ht="18" customHeight="1" x14ac:dyDescent="0.35">
      <c r="A15" s="311" t="s">
        <v>518</v>
      </c>
      <c r="B15" s="312"/>
      <c r="C15" s="322">
        <v>54804</v>
      </c>
      <c r="D15" s="322"/>
      <c r="E15" s="322">
        <v>-501</v>
      </c>
      <c r="F15" s="322"/>
      <c r="G15" s="322">
        <v>54804</v>
      </c>
      <c r="H15" s="312"/>
      <c r="I15" s="322">
        <v>-501</v>
      </c>
      <c r="J15" s="322"/>
      <c r="K15" s="322"/>
      <c r="L15" s="312"/>
    </row>
    <row r="16" spans="1:12" s="25" customFormat="1" ht="18" customHeight="1" x14ac:dyDescent="0.35">
      <c r="A16" s="363"/>
      <c r="B16" s="364"/>
      <c r="C16" s="365">
        <f>SUM(C13:C15)</f>
        <v>507673</v>
      </c>
      <c r="D16" s="365"/>
      <c r="E16" s="365">
        <f>SUM(E13:E15)</f>
        <v>281876</v>
      </c>
      <c r="F16" s="365"/>
      <c r="G16" s="365">
        <f>SUM(G13:G15)</f>
        <v>1025363</v>
      </c>
      <c r="H16" s="364"/>
      <c r="I16" s="365">
        <f>SUM(I13:I15)</f>
        <v>792365</v>
      </c>
      <c r="J16" s="365"/>
      <c r="K16" s="365">
        <v>228553</v>
      </c>
      <c r="L16" s="364"/>
    </row>
    <row r="17" spans="1:12" ht="18" customHeight="1" x14ac:dyDescent="0.35">
      <c r="A17" s="311"/>
      <c r="B17" s="312"/>
      <c r="C17" s="312"/>
      <c r="D17" s="312"/>
      <c r="E17" s="312"/>
      <c r="F17" s="312"/>
      <c r="G17" s="312"/>
      <c r="H17" s="312"/>
      <c r="I17" s="312"/>
      <c r="J17" s="312"/>
      <c r="K17" s="312"/>
      <c r="L17" s="312"/>
    </row>
    <row r="18" spans="1:12" ht="18" customHeight="1" x14ac:dyDescent="0.35">
      <c r="A18" s="313" t="s">
        <v>100</v>
      </c>
      <c r="B18" s="314"/>
      <c r="C18" s="314"/>
      <c r="D18" s="315"/>
      <c r="E18" s="314"/>
      <c r="F18" s="315"/>
      <c r="G18" s="315"/>
      <c r="H18" s="314"/>
      <c r="I18" s="315"/>
      <c r="J18" s="315"/>
      <c r="K18" s="315"/>
      <c r="L18" s="314"/>
    </row>
    <row r="19" spans="1:12" ht="29" x14ac:dyDescent="0.35">
      <c r="A19" s="311" t="s">
        <v>435</v>
      </c>
      <c r="B19" s="312"/>
      <c r="C19" s="322">
        <v>-248</v>
      </c>
      <c r="D19" s="322"/>
      <c r="E19" s="322">
        <v>-2890</v>
      </c>
      <c r="F19" s="322"/>
      <c r="G19" s="322">
        <v>-2016</v>
      </c>
      <c r="H19" s="312"/>
      <c r="I19" s="322">
        <v>-2958</v>
      </c>
      <c r="J19" s="322"/>
      <c r="K19" s="322">
        <v>-2122</v>
      </c>
      <c r="L19" s="312"/>
    </row>
    <row r="20" spans="1:12" ht="18" customHeight="1" x14ac:dyDescent="0.35">
      <c r="A20" s="311" t="s">
        <v>101</v>
      </c>
      <c r="B20" s="312"/>
      <c r="C20" s="312">
        <v>-81676</v>
      </c>
      <c r="D20" s="322"/>
      <c r="E20" s="312">
        <v>-36512</v>
      </c>
      <c r="F20" s="322"/>
      <c r="G20" s="312">
        <v>-220258</v>
      </c>
      <c r="H20" s="312"/>
      <c r="I20" s="312">
        <v>-141756</v>
      </c>
      <c r="J20" s="322"/>
      <c r="K20" s="322">
        <v>-37889</v>
      </c>
      <c r="L20" s="312"/>
    </row>
    <row r="21" spans="1:12" ht="18" customHeight="1" x14ac:dyDescent="0.35">
      <c r="A21" s="311"/>
      <c r="B21" s="312"/>
      <c r="C21" s="312"/>
      <c r="D21" s="312"/>
      <c r="E21" s="312"/>
      <c r="F21" s="312"/>
      <c r="G21" s="312"/>
      <c r="H21" s="312"/>
      <c r="I21" s="312"/>
      <c r="J21" s="312"/>
      <c r="K21" s="312"/>
      <c r="L21" s="312"/>
    </row>
    <row r="22" spans="1:12" ht="18" customHeight="1" x14ac:dyDescent="0.35">
      <c r="A22" s="313" t="s">
        <v>102</v>
      </c>
      <c r="B22" s="314"/>
      <c r="C22" s="315">
        <f>SUM(C16:C20)</f>
        <v>425749</v>
      </c>
      <c r="D22" s="315"/>
      <c r="E22" s="315">
        <f>SUM(E16:E20)</f>
        <v>242474</v>
      </c>
      <c r="F22" s="315"/>
      <c r="G22" s="315">
        <f>SUM(G16:G20)</f>
        <v>803089</v>
      </c>
      <c r="H22" s="314"/>
      <c r="I22" s="315">
        <f>SUM(I16:I20)</f>
        <v>647651</v>
      </c>
      <c r="J22" s="315"/>
      <c r="K22" s="315">
        <v>184962</v>
      </c>
      <c r="L22" s="314"/>
    </row>
    <row r="23" spans="1:12" ht="18" customHeight="1" x14ac:dyDescent="0.35">
      <c r="A23" s="311"/>
      <c r="B23" s="312"/>
      <c r="C23" s="312"/>
      <c r="D23" s="312"/>
      <c r="E23" s="312"/>
      <c r="F23" s="312"/>
      <c r="G23" s="312"/>
      <c r="H23" s="312"/>
      <c r="I23" s="312"/>
      <c r="J23" s="312"/>
      <c r="K23" s="312"/>
      <c r="L23" s="312"/>
    </row>
    <row r="24" spans="1:12" ht="18" customHeight="1" x14ac:dyDescent="0.35">
      <c r="A24" s="311" t="s">
        <v>103</v>
      </c>
      <c r="B24" s="312"/>
      <c r="C24" s="312">
        <v>-20951</v>
      </c>
      <c r="D24" s="322"/>
      <c r="E24" s="312">
        <v>-18046</v>
      </c>
      <c r="F24" s="322"/>
      <c r="G24" s="322">
        <v>-73259</v>
      </c>
      <c r="H24" s="312"/>
      <c r="I24" s="322">
        <v>-36944</v>
      </c>
      <c r="J24" s="322"/>
      <c r="K24" s="322">
        <v>-9991</v>
      </c>
      <c r="L24" s="312"/>
    </row>
    <row r="25" spans="1:12" ht="18" customHeight="1" x14ac:dyDescent="0.35">
      <c r="A25" s="311"/>
      <c r="B25" s="312"/>
      <c r="C25" s="312"/>
      <c r="D25" s="312"/>
      <c r="E25" s="312"/>
      <c r="F25" s="312"/>
      <c r="G25" s="312"/>
      <c r="H25" s="312"/>
      <c r="I25" s="312"/>
      <c r="J25" s="312"/>
      <c r="K25" s="312"/>
      <c r="L25" s="312"/>
    </row>
    <row r="26" spans="1:12" ht="29" x14ac:dyDescent="0.35">
      <c r="A26" s="313" t="s">
        <v>104</v>
      </c>
      <c r="B26" s="314"/>
      <c r="C26" s="315">
        <f>SUM(C22:C24)</f>
        <v>404798</v>
      </c>
      <c r="D26" s="315"/>
      <c r="E26" s="315">
        <f>SUM(E22:E24)</f>
        <v>224428</v>
      </c>
      <c r="F26" s="315"/>
      <c r="G26" s="315">
        <f>SUM(G22:G24)</f>
        <v>729830</v>
      </c>
      <c r="H26" s="314"/>
      <c r="I26" s="315">
        <f>SUM(I22:I24)</f>
        <v>610707</v>
      </c>
      <c r="J26" s="315"/>
      <c r="K26" s="315">
        <v>174971</v>
      </c>
      <c r="L26" s="314"/>
    </row>
    <row r="27" spans="1:12" ht="18" customHeight="1" x14ac:dyDescent="0.35">
      <c r="A27" s="311"/>
      <c r="B27" s="312"/>
      <c r="C27" s="312"/>
      <c r="D27" s="312"/>
      <c r="E27" s="312"/>
      <c r="F27" s="312"/>
      <c r="G27" s="312"/>
      <c r="H27" s="312"/>
      <c r="I27" s="312"/>
      <c r="J27" s="312"/>
      <c r="K27" s="312"/>
      <c r="L27" s="312"/>
    </row>
    <row r="28" spans="1:12" ht="18" customHeight="1" x14ac:dyDescent="0.35">
      <c r="A28" s="313" t="s">
        <v>105</v>
      </c>
      <c r="B28" s="314"/>
      <c r="C28" s="315"/>
      <c r="D28" s="315"/>
      <c r="E28" s="315"/>
      <c r="F28" s="315"/>
      <c r="G28" s="315"/>
      <c r="H28" s="314"/>
      <c r="I28" s="315"/>
      <c r="J28" s="315"/>
      <c r="K28" s="315"/>
      <c r="L28" s="314"/>
    </row>
    <row r="29" spans="1:12" ht="18" customHeight="1" x14ac:dyDescent="0.35">
      <c r="A29" s="311" t="s">
        <v>106</v>
      </c>
      <c r="B29" s="312"/>
      <c r="C29" s="322">
        <v>17445</v>
      </c>
      <c r="D29" s="322"/>
      <c r="E29" s="322">
        <v>36287</v>
      </c>
      <c r="F29" s="322"/>
      <c r="G29" s="322">
        <v>0</v>
      </c>
      <c r="H29" s="312"/>
      <c r="I29" s="322">
        <v>0</v>
      </c>
      <c r="J29" s="322">
        <v>0</v>
      </c>
      <c r="K29" s="322">
        <v>-40</v>
      </c>
      <c r="L29" s="312"/>
    </row>
    <row r="30" spans="1:12" ht="18" customHeight="1" x14ac:dyDescent="0.35">
      <c r="A30" s="311" t="s">
        <v>60</v>
      </c>
      <c r="B30" s="312"/>
      <c r="C30" s="322">
        <v>29787</v>
      </c>
      <c r="D30" s="322"/>
      <c r="E30" s="322">
        <v>16675</v>
      </c>
      <c r="F30" s="322"/>
      <c r="G30" s="322">
        <v>36997</v>
      </c>
      <c r="H30" s="312"/>
      <c r="I30" s="322">
        <v>21173</v>
      </c>
      <c r="J30" s="322"/>
      <c r="K30" s="322">
        <v>3460</v>
      </c>
      <c r="L30" s="312"/>
    </row>
    <row r="31" spans="1:12" ht="18" customHeight="1" x14ac:dyDescent="0.35">
      <c r="A31" s="311" t="s">
        <v>436</v>
      </c>
      <c r="B31" s="312"/>
      <c r="C31" s="322">
        <v>15269</v>
      </c>
      <c r="D31" s="322"/>
      <c r="E31" s="322">
        <f>683</f>
        <v>683</v>
      </c>
      <c r="F31" s="322"/>
      <c r="G31" s="322">
        <v>22082</v>
      </c>
      <c r="H31" s="312"/>
      <c r="I31" s="322">
        <f>1012</f>
        <v>1012</v>
      </c>
      <c r="J31" s="322"/>
      <c r="K31" s="322">
        <v>160</v>
      </c>
      <c r="L31" s="312"/>
    </row>
    <row r="32" spans="1:12" ht="18" customHeight="1" thickBot="1" x14ac:dyDescent="0.4">
      <c r="A32" s="311"/>
      <c r="B32" s="312"/>
      <c r="C32" s="312"/>
      <c r="D32" s="312"/>
      <c r="E32" s="312"/>
      <c r="F32" s="312"/>
      <c r="G32" s="312"/>
      <c r="H32" s="312"/>
      <c r="I32" s="312"/>
      <c r="J32" s="312"/>
      <c r="K32" s="312"/>
      <c r="L32" s="312"/>
    </row>
    <row r="33" spans="1:12" ht="18" customHeight="1" thickBot="1" x14ac:dyDescent="0.4">
      <c r="A33" s="316" t="s">
        <v>107</v>
      </c>
      <c r="B33" s="317"/>
      <c r="C33" s="318">
        <f>SUM(C26:C31)</f>
        <v>467299</v>
      </c>
      <c r="D33" s="318"/>
      <c r="E33" s="318">
        <f>SUM(E26:E31)</f>
        <v>278073</v>
      </c>
      <c r="F33" s="318"/>
      <c r="G33" s="318">
        <f>SUM(G26:G31)</f>
        <v>788909</v>
      </c>
      <c r="H33" s="317"/>
      <c r="I33" s="318">
        <f>SUM(I26:I31)</f>
        <v>632892</v>
      </c>
      <c r="J33" s="318"/>
      <c r="K33" s="318">
        <v>178551</v>
      </c>
      <c r="L33" s="317"/>
    </row>
    <row r="34" spans="1:12" ht="18" customHeight="1" x14ac:dyDescent="0.35">
      <c r="A34" s="311"/>
      <c r="B34" s="312"/>
      <c r="C34" s="312"/>
      <c r="D34" s="312"/>
      <c r="E34" s="312"/>
      <c r="F34" s="312"/>
      <c r="G34" s="312"/>
      <c r="H34" s="312"/>
      <c r="I34" s="312"/>
      <c r="J34" s="312"/>
      <c r="K34" s="312"/>
      <c r="L34" s="312"/>
    </row>
    <row r="35" spans="1:12" ht="18" customHeight="1" x14ac:dyDescent="0.4">
      <c r="A35" s="387" t="s">
        <v>108</v>
      </c>
      <c r="B35" s="388"/>
      <c r="C35" s="388"/>
      <c r="D35" s="388"/>
      <c r="E35" s="388"/>
      <c r="F35" s="388"/>
      <c r="G35" s="388"/>
      <c r="H35" s="388"/>
      <c r="I35" s="388"/>
      <c r="J35" s="302"/>
      <c r="K35" s="302"/>
      <c r="L35" s="302"/>
    </row>
    <row r="36" spans="1:12" s="25" customFormat="1" ht="18" customHeight="1" x14ac:dyDescent="0.35">
      <c r="A36" s="363" t="s">
        <v>109</v>
      </c>
      <c r="B36" s="364"/>
      <c r="C36" s="365">
        <f>SUM(C37:C39)</f>
        <v>253176</v>
      </c>
      <c r="D36" s="365"/>
      <c r="E36" s="365">
        <f>SUM(E37:E39)</f>
        <v>187646</v>
      </c>
      <c r="F36" s="365"/>
      <c r="G36" s="365">
        <f>SUM(G37:G39)</f>
        <v>428878</v>
      </c>
      <c r="H36" s="364"/>
      <c r="I36" s="365">
        <f>SUM(I37:I39)</f>
        <v>384982</v>
      </c>
      <c r="J36" s="365"/>
      <c r="K36" s="365">
        <v>116168</v>
      </c>
      <c r="L36" s="364"/>
    </row>
    <row r="37" spans="1:12" ht="18" customHeight="1" x14ac:dyDescent="0.35">
      <c r="A37" s="311" t="s">
        <v>110</v>
      </c>
      <c r="B37" s="312"/>
      <c r="C37" s="322">
        <v>192414</v>
      </c>
      <c r="D37" s="322"/>
      <c r="E37" s="322">
        <v>140978</v>
      </c>
      <c r="F37" s="322"/>
      <c r="G37" s="322">
        <v>326440</v>
      </c>
      <c r="H37" s="312"/>
      <c r="I37" s="322">
        <v>285354</v>
      </c>
      <c r="J37" s="322"/>
      <c r="K37" s="322">
        <v>86829</v>
      </c>
      <c r="L37" s="312"/>
    </row>
    <row r="38" spans="1:12" ht="18" customHeight="1" x14ac:dyDescent="0.35">
      <c r="A38" s="311" t="s">
        <v>111</v>
      </c>
      <c r="B38" s="312"/>
      <c r="C38" s="322">
        <v>46826</v>
      </c>
      <c r="D38" s="322"/>
      <c r="E38" s="322">
        <v>36743</v>
      </c>
      <c r="F38" s="322"/>
      <c r="G38" s="322">
        <v>77757</v>
      </c>
      <c r="H38" s="312"/>
      <c r="I38" s="322">
        <v>79593</v>
      </c>
      <c r="J38" s="322"/>
      <c r="K38" s="322">
        <v>23148</v>
      </c>
      <c r="L38" s="312"/>
    </row>
    <row r="39" spans="1:12" ht="18" customHeight="1" x14ac:dyDescent="0.35">
      <c r="A39" s="311" t="s">
        <v>112</v>
      </c>
      <c r="B39" s="312"/>
      <c r="C39" s="322">
        <v>13936</v>
      </c>
      <c r="D39" s="322"/>
      <c r="E39" s="322">
        <v>9925</v>
      </c>
      <c r="F39" s="322"/>
      <c r="G39" s="322">
        <v>24681</v>
      </c>
      <c r="H39" s="312"/>
      <c r="I39" s="322">
        <v>20035</v>
      </c>
      <c r="J39" s="322"/>
      <c r="K39" s="322">
        <v>6191</v>
      </c>
      <c r="L39" s="312"/>
    </row>
    <row r="40" spans="1:12" ht="18" customHeight="1" x14ac:dyDescent="0.35">
      <c r="A40" s="311"/>
      <c r="B40" s="312"/>
      <c r="C40" s="312"/>
      <c r="D40" s="312"/>
      <c r="E40" s="312"/>
      <c r="F40" s="312"/>
      <c r="G40" s="312"/>
      <c r="H40" s="312"/>
      <c r="I40" s="312"/>
      <c r="J40" s="312"/>
      <c r="K40" s="312"/>
      <c r="L40" s="312"/>
    </row>
    <row r="41" spans="1:12" s="25" customFormat="1" ht="18" customHeight="1" x14ac:dyDescent="0.35">
      <c r="A41" s="363" t="s">
        <v>113</v>
      </c>
      <c r="B41" s="364"/>
      <c r="C41" s="365">
        <f>SUM(C42:C44)</f>
        <v>72965</v>
      </c>
      <c r="D41" s="365"/>
      <c r="E41" s="365">
        <f>SUM(E42:E44)</f>
        <v>33360</v>
      </c>
      <c r="F41" s="365"/>
      <c r="G41" s="365">
        <f>SUM(G42:G44)</f>
        <v>165619</v>
      </c>
      <c r="H41" s="364"/>
      <c r="I41" s="365">
        <f>SUM(I42:I44)</f>
        <v>124895</v>
      </c>
      <c r="J41" s="365"/>
      <c r="K41" s="365">
        <v>44961</v>
      </c>
      <c r="L41" s="364"/>
    </row>
    <row r="42" spans="1:12" ht="18" customHeight="1" x14ac:dyDescent="0.35">
      <c r="A42" s="311" t="s">
        <v>114</v>
      </c>
      <c r="B42" s="312"/>
      <c r="C42" s="322">
        <v>57258</v>
      </c>
      <c r="D42" s="322"/>
      <c r="E42" s="322">
        <v>23209</v>
      </c>
      <c r="F42" s="322"/>
      <c r="G42" s="322">
        <v>130842</v>
      </c>
      <c r="H42" s="312"/>
      <c r="I42" s="322">
        <v>97746</v>
      </c>
      <c r="J42" s="322"/>
      <c r="K42" s="322">
        <v>35124</v>
      </c>
      <c r="L42" s="312"/>
    </row>
    <row r="43" spans="1:12" ht="18" customHeight="1" x14ac:dyDescent="0.35">
      <c r="A43" s="311" t="s">
        <v>115</v>
      </c>
      <c r="B43" s="312"/>
      <c r="C43" s="322">
        <v>170</v>
      </c>
      <c r="D43" s="322"/>
      <c r="E43" s="322">
        <v>735</v>
      </c>
      <c r="F43" s="322"/>
      <c r="G43" s="322">
        <v>3390</v>
      </c>
      <c r="H43" s="312"/>
      <c r="I43" s="322">
        <v>2767</v>
      </c>
      <c r="J43" s="322"/>
      <c r="K43" s="322">
        <v>574</v>
      </c>
      <c r="L43" s="312"/>
    </row>
    <row r="44" spans="1:12" ht="18" customHeight="1" x14ac:dyDescent="0.35">
      <c r="A44" s="311" t="s">
        <v>116</v>
      </c>
      <c r="B44" s="312"/>
      <c r="C44" s="322">
        <v>15537</v>
      </c>
      <c r="D44" s="322"/>
      <c r="E44" s="322">
        <v>9416</v>
      </c>
      <c r="F44" s="322"/>
      <c r="G44" s="322">
        <v>31387</v>
      </c>
      <c r="H44" s="312"/>
      <c r="I44" s="322">
        <v>24382</v>
      </c>
      <c r="J44" s="322"/>
      <c r="K44" s="322">
        <v>9263</v>
      </c>
      <c r="L44" s="312"/>
    </row>
    <row r="45" spans="1:12" ht="18" customHeight="1" x14ac:dyDescent="0.35">
      <c r="A45" s="311"/>
      <c r="B45" s="312"/>
      <c r="C45" s="312"/>
      <c r="D45" s="312"/>
      <c r="E45" s="312"/>
      <c r="F45" s="312"/>
      <c r="G45" s="312"/>
      <c r="H45" s="312"/>
      <c r="I45" s="312"/>
      <c r="J45" s="312"/>
      <c r="K45" s="312"/>
      <c r="L45" s="312"/>
    </row>
    <row r="46" spans="1:12" s="25" customFormat="1" ht="18" customHeight="1" x14ac:dyDescent="0.35">
      <c r="A46" s="363" t="s">
        <v>117</v>
      </c>
      <c r="B46" s="364"/>
      <c r="C46" s="365">
        <f>SUM(C47:C49)</f>
        <v>85792</v>
      </c>
      <c r="D46" s="365"/>
      <c r="E46" s="365">
        <f>SUM(E47:E49)</f>
        <v>57356</v>
      </c>
      <c r="F46" s="365"/>
      <c r="G46" s="365">
        <f>SUM(G47:G49)</f>
        <v>142727</v>
      </c>
      <c r="H46" s="364"/>
      <c r="I46" s="365">
        <f>SUM(I47:I49)</f>
        <v>118490</v>
      </c>
      <c r="J46" s="365"/>
      <c r="K46" s="365">
        <v>17422</v>
      </c>
      <c r="L46" s="364"/>
    </row>
    <row r="47" spans="1:12" ht="29" x14ac:dyDescent="0.35">
      <c r="A47" s="311" t="s">
        <v>118</v>
      </c>
      <c r="B47" s="312"/>
      <c r="C47" s="322">
        <v>62798</v>
      </c>
      <c r="D47" s="322"/>
      <c r="E47" s="322">
        <v>49625</v>
      </c>
      <c r="F47" s="322"/>
      <c r="G47" s="322">
        <v>80128</v>
      </c>
      <c r="H47" s="312"/>
      <c r="I47" s="322">
        <v>52560</v>
      </c>
      <c r="J47" s="322"/>
      <c r="K47" s="322">
        <v>5577</v>
      </c>
      <c r="L47" s="312"/>
    </row>
    <row r="48" spans="1:12" ht="18" customHeight="1" x14ac:dyDescent="0.35">
      <c r="A48" s="311" t="s">
        <v>119</v>
      </c>
      <c r="B48" s="312"/>
      <c r="C48" s="322">
        <v>22994</v>
      </c>
      <c r="D48" s="322"/>
      <c r="E48" s="322">
        <v>7731</v>
      </c>
      <c r="F48" s="322"/>
      <c r="G48" s="322">
        <v>62599</v>
      </c>
      <c r="H48" s="312"/>
      <c r="I48" s="322">
        <v>65930</v>
      </c>
      <c r="J48" s="322"/>
      <c r="K48" s="322">
        <v>5576</v>
      </c>
      <c r="L48" s="312"/>
    </row>
    <row r="49" spans="1:12" ht="18" customHeight="1" x14ac:dyDescent="0.35">
      <c r="A49" s="311" t="s">
        <v>279</v>
      </c>
      <c r="B49" s="312"/>
      <c r="C49" s="322">
        <v>0</v>
      </c>
      <c r="D49" s="322"/>
      <c r="E49" s="322">
        <v>0</v>
      </c>
      <c r="F49" s="322"/>
      <c r="G49" s="322">
        <v>0</v>
      </c>
      <c r="H49" s="312"/>
      <c r="I49" s="322">
        <v>0</v>
      </c>
      <c r="J49" s="322"/>
      <c r="K49" s="322"/>
      <c r="L49" s="312"/>
    </row>
    <row r="50" spans="1:12" ht="18" customHeight="1" x14ac:dyDescent="0.35">
      <c r="A50" s="311"/>
      <c r="B50" s="312"/>
      <c r="C50" s="312"/>
      <c r="D50" s="312"/>
      <c r="E50" s="312"/>
      <c r="F50" s="312"/>
      <c r="G50" s="312"/>
      <c r="H50" s="312"/>
      <c r="I50" s="312"/>
      <c r="J50" s="312"/>
      <c r="K50" s="312"/>
      <c r="L50" s="312"/>
    </row>
    <row r="51" spans="1:12" s="25" customFormat="1" ht="18" customHeight="1" x14ac:dyDescent="0.35">
      <c r="A51" s="363" t="s">
        <v>120</v>
      </c>
      <c r="B51" s="364"/>
      <c r="C51" s="365">
        <f>SUM(C52:C54)</f>
        <v>55366</v>
      </c>
      <c r="D51" s="365"/>
      <c r="E51" s="365">
        <f>SUM(E52:E54)</f>
        <v>-289</v>
      </c>
      <c r="F51" s="365"/>
      <c r="G51" s="365">
        <f>SUM(G52:G54)</f>
        <v>51685</v>
      </c>
      <c r="H51" s="364"/>
      <c r="I51" s="365">
        <f>SUM(I52:I54)</f>
        <v>4525</v>
      </c>
      <c r="J51" s="365"/>
      <c r="K51" s="365"/>
      <c r="L51" s="364"/>
    </row>
    <row r="52" spans="1:12" ht="18" customHeight="1" x14ac:dyDescent="0.35">
      <c r="A52" s="311" t="s">
        <v>316</v>
      </c>
      <c r="B52" s="312"/>
      <c r="C52" s="322">
        <v>0</v>
      </c>
      <c r="D52" s="322"/>
      <c r="E52" s="322">
        <v>0</v>
      </c>
      <c r="F52" s="322"/>
      <c r="G52" s="322">
        <v>0</v>
      </c>
      <c r="H52" s="312"/>
      <c r="I52" s="322">
        <v>0</v>
      </c>
      <c r="J52" s="322"/>
      <c r="K52" s="322"/>
      <c r="L52" s="312"/>
    </row>
    <row r="53" spans="1:12" ht="18" customHeight="1" x14ac:dyDescent="0.35">
      <c r="A53" s="311" t="s">
        <v>405</v>
      </c>
      <c r="B53" s="312"/>
      <c r="C53" s="322">
        <v>0</v>
      </c>
      <c r="D53" s="322"/>
      <c r="E53" s="322">
        <v>0</v>
      </c>
      <c r="F53" s="322"/>
      <c r="G53" s="322">
        <v>0</v>
      </c>
      <c r="H53" s="312"/>
      <c r="I53" s="322">
        <v>0</v>
      </c>
      <c r="J53" s="322"/>
      <c r="K53" s="322"/>
      <c r="L53" s="312"/>
    </row>
    <row r="54" spans="1:12" ht="18" customHeight="1" x14ac:dyDescent="0.35">
      <c r="A54" s="367" t="s">
        <v>565</v>
      </c>
      <c r="B54" s="312"/>
      <c r="C54" s="322">
        <v>55366</v>
      </c>
      <c r="D54" s="322"/>
      <c r="E54" s="322">
        <v>-289</v>
      </c>
      <c r="F54" s="322"/>
      <c r="G54" s="322">
        <v>51685</v>
      </c>
      <c r="H54" s="312"/>
      <c r="I54" s="322">
        <v>4525</v>
      </c>
      <c r="J54" s="322"/>
      <c r="K54" s="322">
        <v>2269</v>
      </c>
      <c r="L54" s="312"/>
    </row>
    <row r="55" spans="1:12" ht="18" customHeight="1" thickBot="1" x14ac:dyDescent="0.4">
      <c r="A55" s="311"/>
      <c r="B55" s="312"/>
      <c r="C55" s="312"/>
      <c r="D55" s="312"/>
      <c r="E55" s="312"/>
      <c r="F55" s="312"/>
      <c r="G55" s="312"/>
      <c r="H55" s="312"/>
      <c r="I55" s="312"/>
      <c r="J55" s="312"/>
      <c r="K55" s="312"/>
      <c r="L55" s="312"/>
    </row>
    <row r="56" spans="1:12" ht="18" customHeight="1" thickBot="1" x14ac:dyDescent="0.4">
      <c r="A56" s="316" t="s">
        <v>121</v>
      </c>
      <c r="B56" s="317"/>
      <c r="C56" s="318">
        <f>C36+C41+C46+C51</f>
        <v>467299</v>
      </c>
      <c r="D56" s="318"/>
      <c r="E56" s="318">
        <f>E36+E41+E46+E51</f>
        <v>278073</v>
      </c>
      <c r="F56" s="318"/>
      <c r="G56" s="318">
        <f>G36+G41+G46+G51</f>
        <v>788909</v>
      </c>
      <c r="H56" s="317"/>
      <c r="I56" s="318">
        <f>I36+I41+I46+I51</f>
        <v>632892</v>
      </c>
      <c r="J56" s="318"/>
      <c r="K56" s="318">
        <v>178551</v>
      </c>
      <c r="L56" s="317"/>
    </row>
    <row r="57" spans="1:12" ht="18" customHeight="1" x14ac:dyDescent="0.35">
      <c r="A57" s="311"/>
      <c r="B57" s="312"/>
      <c r="C57" s="312"/>
      <c r="D57" s="312"/>
      <c r="E57" s="312"/>
      <c r="F57" s="312"/>
      <c r="G57" s="312"/>
      <c r="H57" s="312"/>
      <c r="I57" s="312"/>
      <c r="J57" s="312"/>
      <c r="K57" s="312"/>
      <c r="L57" s="312"/>
    </row>
    <row r="58" spans="1:12" ht="18" customHeight="1" x14ac:dyDescent="0.35">
      <c r="A58" s="320" t="str">
        <f>'BP Passivo'!A51</f>
        <v>As notas explicativas são parte integrante das informações contábeis intermediárias individuais e consolidadas.</v>
      </c>
      <c r="B58" s="359"/>
      <c r="C58" s="359"/>
      <c r="D58" s="314"/>
      <c r="E58" s="314"/>
      <c r="F58" s="314"/>
      <c r="G58" s="314"/>
      <c r="H58" s="314"/>
      <c r="I58" s="314"/>
      <c r="J58" s="314"/>
      <c r="K58" s="314"/>
      <c r="L58" s="314"/>
    </row>
    <row r="59" spans="1:12" ht="18" customHeight="1" x14ac:dyDescent="0.35">
      <c r="A59" s="311"/>
      <c r="B59" s="312"/>
      <c r="C59" s="312"/>
      <c r="D59" s="312"/>
      <c r="E59" s="312"/>
      <c r="F59" s="312"/>
      <c r="G59" s="312"/>
      <c r="H59" s="312"/>
      <c r="I59" s="322"/>
      <c r="J59" s="312"/>
      <c r="K59" s="312"/>
      <c r="L59" s="312"/>
    </row>
    <row r="60" spans="1:12" ht="18" customHeight="1" x14ac:dyDescent="0.35">
      <c r="A60" s="311"/>
      <c r="B60" s="312"/>
      <c r="C60" s="312">
        <f>C56-C33</f>
        <v>0</v>
      </c>
      <c r="D60" s="312"/>
      <c r="E60" s="312">
        <f>E56-E33</f>
        <v>0</v>
      </c>
      <c r="F60" s="312"/>
      <c r="G60" s="312">
        <f>G56-G33</f>
        <v>0</v>
      </c>
      <c r="H60" s="312"/>
      <c r="I60" s="312">
        <f>I56-I33</f>
        <v>0</v>
      </c>
      <c r="J60" s="312"/>
      <c r="K60" s="312"/>
      <c r="L60" s="312"/>
    </row>
    <row r="61" spans="1:12" ht="14.15" customHeight="1" x14ac:dyDescent="0.35"/>
    <row r="62" spans="1:12" ht="14.15" customHeight="1" x14ac:dyDescent="0.35"/>
    <row r="63" spans="1:12" ht="14.15" customHeight="1" x14ac:dyDescent="0.35"/>
    <row r="64" spans="1:12" ht="14.15" customHeight="1" x14ac:dyDescent="0.35"/>
    <row r="65" spans="2:12" ht="14.15" customHeight="1" x14ac:dyDescent="0.35"/>
    <row r="66" spans="2:12" ht="14.15" customHeight="1" x14ac:dyDescent="0.35"/>
    <row r="67" spans="2:12" s="21" customFormat="1" ht="14.15" customHeight="1" x14ac:dyDescent="0.3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 s="21" customFormat="1" ht="14.15" customHeight="1" x14ac:dyDescent="0.3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 s="21" customFormat="1" ht="14.15" customHeight="1" x14ac:dyDescent="0.3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 s="21" customFormat="1" ht="14.15" customHeight="1" x14ac:dyDescent="0.3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 s="21" customFormat="1" ht="14.15" customHeight="1" x14ac:dyDescent="0.3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 s="21" customFormat="1" ht="14.15" customHeight="1" x14ac:dyDescent="0.3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 s="21" customFormat="1" ht="14.15" customHeight="1" x14ac:dyDescent="0.3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 s="21" customFormat="1" ht="14.15" customHeight="1" x14ac:dyDescent="0.3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 s="21" customFormat="1" ht="14.15" customHeight="1" x14ac:dyDescent="0.3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 s="21" customFormat="1" ht="14.15" customHeight="1" x14ac:dyDescent="0.3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 s="21" customFormat="1" ht="14.15" customHeight="1" x14ac:dyDescent="0.3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 s="21" customFormat="1" ht="14.15" customHeight="1" x14ac:dyDescent="0.3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88" spans="2:12" s="21" customFormat="1" ht="9" customHeight="1" x14ac:dyDescent="0.3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90" spans="2:12" s="21" customFormat="1" ht="8.25" customHeight="1" x14ac:dyDescent="0.3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</sheetData>
  <mergeCells count="5">
    <mergeCell ref="A5:I5"/>
    <mergeCell ref="C8:E8"/>
    <mergeCell ref="G8:I8"/>
    <mergeCell ref="A11:I11"/>
    <mergeCell ref="A35:I35"/>
  </mergeCells>
  <conditionalFormatting sqref="A58">
    <cfRule type="cellIs" dxfId="6" priority="7" operator="equal">
      <formula>0</formula>
    </cfRule>
  </conditionalFormatting>
  <conditionalFormatting sqref="C9">
    <cfRule type="cellIs" dxfId="5" priority="6" operator="equal">
      <formula>0</formula>
    </cfRule>
  </conditionalFormatting>
  <conditionalFormatting sqref="C8:E8">
    <cfRule type="cellIs" dxfId="4" priority="2" operator="equal">
      <formula>0</formula>
    </cfRule>
  </conditionalFormatting>
  <conditionalFormatting sqref="E9">
    <cfRule type="cellIs" dxfId="3" priority="5" operator="equal">
      <formula>0</formula>
    </cfRule>
  </conditionalFormatting>
  <conditionalFormatting sqref="G9">
    <cfRule type="cellIs" dxfId="2" priority="4" operator="equal">
      <formula>0</formula>
    </cfRule>
  </conditionalFormatting>
  <conditionalFormatting sqref="G8:I8">
    <cfRule type="cellIs" dxfId="1" priority="1" operator="equal">
      <formula>0</formula>
    </cfRule>
  </conditionalFormatting>
  <conditionalFormatting sqref="I9">
    <cfRule type="cellIs" dxfId="0" priority="3" operator="equal">
      <formula>0</formula>
    </cfRule>
  </conditionalFormatting>
  <pageMargins left="0.3" right="0.3" top="0.5" bottom="0.5" header="0.39370078740157483" footer="0.39370078740157483"/>
  <pageSetup paperSize="9" scale="75" firstPageNumber="13" orientation="portrait" r:id="rId1"/>
  <headerFooter>
    <oddFooter>&amp;L&amp;"Open Sans Light"&amp;9 Priner | www.priner.com.br | Confidencial — uso interno&amp;R&amp;"Trebuchet MS,Normal"&amp;9 Página 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176A9-FE33-4A6B-96FB-D1310146B052}">
  <sheetPr>
    <tabColor rgb="FF92D050"/>
  </sheetPr>
  <dimension ref="A1:BR159"/>
  <sheetViews>
    <sheetView showGridLines="0" zoomScale="75" zoomScaleNormal="85" workbookViewId="0">
      <pane xSplit="1" topLeftCell="BH1" activePane="topRight" state="frozen"/>
      <selection pane="topRight" activeCell="BS37" sqref="BS37"/>
    </sheetView>
  </sheetViews>
  <sheetFormatPr defaultRowHeight="13.5" x14ac:dyDescent="0.3"/>
  <cols>
    <col min="1" max="1" width="82.1796875" style="38" customWidth="1"/>
    <col min="2" max="2" width="14.81640625" style="38" customWidth="1"/>
    <col min="3" max="3" width="2.7265625" style="38" customWidth="1"/>
    <col min="4" max="4" width="14.453125" style="38" bestFit="1" customWidth="1"/>
    <col min="5" max="5" width="2.7265625" style="38" customWidth="1"/>
    <col min="6" max="6" width="14.81640625" style="38" bestFit="1" customWidth="1"/>
    <col min="7" max="7" width="2.7265625" style="38" customWidth="1"/>
    <col min="8" max="8" width="12.7265625" style="38" customWidth="1"/>
    <col min="9" max="9" width="2.7265625" style="38" customWidth="1"/>
    <col min="10" max="10" width="12.7265625" style="38" customWidth="1"/>
    <col min="11" max="11" width="2.7265625" style="38" customWidth="1"/>
    <col min="12" max="12" width="12.7265625" style="38" customWidth="1"/>
    <col min="13" max="13" width="2.7265625" style="38" customWidth="1"/>
    <col min="14" max="14" width="12.7265625" style="38" customWidth="1"/>
    <col min="15" max="15" width="2.7265625" style="38" customWidth="1"/>
    <col min="16" max="16" width="12.7265625" style="38" customWidth="1"/>
    <col min="17" max="17" width="2.7265625" style="38" customWidth="1"/>
    <col min="18" max="18" width="12.7265625" style="38" customWidth="1"/>
    <col min="19" max="19" width="2.7265625" style="38" customWidth="1"/>
    <col min="20" max="20" width="12.7265625" style="38" customWidth="1"/>
    <col min="21" max="21" width="2.7265625" style="38" customWidth="1"/>
    <col min="22" max="22" width="12.7265625" style="38" customWidth="1"/>
    <col min="23" max="23" width="2" style="38" customWidth="1"/>
    <col min="24" max="24" width="12.7265625" style="38" customWidth="1"/>
    <col min="25" max="25" width="2.453125" style="38" customWidth="1"/>
    <col min="26" max="26" width="12.7265625" style="38" customWidth="1"/>
    <col min="27" max="27" width="2.26953125" style="38" customWidth="1"/>
    <col min="28" max="28" width="11.81640625" style="38" customWidth="1"/>
    <col min="29" max="29" width="2.26953125" style="38" customWidth="1"/>
    <col min="30" max="30" width="12.7265625" style="38" customWidth="1"/>
    <col min="31" max="31" width="3.54296875" style="38" customWidth="1"/>
    <col min="32" max="32" width="12.7265625" style="38" customWidth="1"/>
    <col min="33" max="33" width="3.54296875" style="38" customWidth="1"/>
    <col min="34" max="34" width="12.7265625" style="38" customWidth="1"/>
    <col min="35" max="35" width="3.54296875" style="38" customWidth="1"/>
    <col min="36" max="36" width="12.7265625" style="38" customWidth="1"/>
    <col min="37" max="37" width="3.54296875" style="38" customWidth="1"/>
    <col min="38" max="38" width="12.7265625" style="38" customWidth="1"/>
    <col min="39" max="39" width="3.54296875" style="38" customWidth="1"/>
    <col min="40" max="40" width="12.7265625" style="38" customWidth="1"/>
    <col min="41" max="41" width="3.54296875" style="38" customWidth="1"/>
    <col min="42" max="42" width="12.7265625" style="38" customWidth="1"/>
    <col min="43" max="43" width="3.54296875" style="38" customWidth="1"/>
    <col min="44" max="44" width="12.7265625" style="38" customWidth="1"/>
    <col min="45" max="45" width="3.54296875" style="38" customWidth="1"/>
    <col min="46" max="46" width="12.7265625" style="38" customWidth="1"/>
    <col min="47" max="47" width="3.54296875" style="38" customWidth="1"/>
    <col min="48" max="48" width="12.7265625" style="38" customWidth="1"/>
    <col min="49" max="49" width="3.54296875" style="38" customWidth="1"/>
    <col min="50" max="50" width="13.1796875" style="38" bestFit="1" customWidth="1"/>
    <col min="51" max="51" width="3.54296875" style="38" customWidth="1"/>
    <col min="52" max="52" width="13.453125" style="38" bestFit="1" customWidth="1"/>
    <col min="53" max="53" width="3.54296875" style="38" hidden="1" customWidth="1"/>
    <col min="54" max="54" width="13.81640625" style="38" bestFit="1" customWidth="1"/>
    <col min="55" max="55" width="3.453125" style="38" bestFit="1" customWidth="1"/>
    <col min="56" max="56" width="13.7265625" style="38" bestFit="1" customWidth="1"/>
    <col min="57" max="57" width="3.54296875" style="38" customWidth="1"/>
    <col min="58" max="58" width="13.7265625" style="38" bestFit="1" customWidth="1"/>
    <col min="59" max="59" width="3.54296875" style="38" customWidth="1"/>
    <col min="60" max="60" width="13.453125" style="38" bestFit="1" customWidth="1"/>
    <col min="61" max="61" width="3.54296875" style="38" customWidth="1"/>
    <col min="62" max="62" width="13.81640625" style="38" bestFit="1" customWidth="1"/>
    <col min="63" max="63" width="3.54296875" style="38" customWidth="1"/>
    <col min="64" max="64" width="13.81640625" style="38" bestFit="1" customWidth="1"/>
    <col min="65" max="65" width="3.54296875" style="38" customWidth="1"/>
    <col min="66" max="66" width="14.81640625" style="38" bestFit="1" customWidth="1"/>
    <col min="67" max="67" width="3.54296875" style="38" customWidth="1"/>
    <col min="68" max="68" width="14.81640625" style="38" bestFit="1" customWidth="1"/>
    <col min="69" max="69" width="3.54296875" style="38" customWidth="1"/>
    <col min="70" max="70" width="14.81640625" style="38" bestFit="1" customWidth="1"/>
    <col min="71" max="267" width="9.1796875" style="38"/>
    <col min="268" max="268" width="79.7265625" style="38" customWidth="1"/>
    <col min="269" max="269" width="8.7265625" style="38" customWidth="1"/>
    <col min="270" max="270" width="0.81640625" style="38" customWidth="1"/>
    <col min="271" max="271" width="12.81640625" style="38" customWidth="1"/>
    <col min="272" max="272" width="0.81640625" style="38" customWidth="1"/>
    <col min="273" max="273" width="18.1796875" style="38" customWidth="1"/>
    <col min="274" max="274" width="0.81640625" style="38" customWidth="1"/>
    <col min="275" max="275" width="12.81640625" style="38" customWidth="1"/>
    <col min="276" max="276" width="0.81640625" style="38" customWidth="1"/>
    <col min="277" max="277" width="18.453125" style="38" customWidth="1"/>
    <col min="278" max="278" width="0.1796875" style="38" customWidth="1"/>
    <col min="279" max="279" width="9.1796875" style="38"/>
    <col min="280" max="280" width="11.26953125" style="38" customWidth="1"/>
    <col min="281" max="281" width="17.81640625" style="38" bestFit="1" customWidth="1"/>
    <col min="282" max="523" width="9.1796875" style="38"/>
    <col min="524" max="524" width="79.7265625" style="38" customWidth="1"/>
    <col min="525" max="525" width="8.7265625" style="38" customWidth="1"/>
    <col min="526" max="526" width="0.81640625" style="38" customWidth="1"/>
    <col min="527" max="527" width="12.81640625" style="38" customWidth="1"/>
    <col min="528" max="528" width="0.81640625" style="38" customWidth="1"/>
    <col min="529" max="529" width="18.1796875" style="38" customWidth="1"/>
    <col min="530" max="530" width="0.81640625" style="38" customWidth="1"/>
    <col min="531" max="531" width="12.81640625" style="38" customWidth="1"/>
    <col min="532" max="532" width="0.81640625" style="38" customWidth="1"/>
    <col min="533" max="533" width="18.453125" style="38" customWidth="1"/>
    <col min="534" max="534" width="0.1796875" style="38" customWidth="1"/>
    <col min="535" max="535" width="9.1796875" style="38"/>
    <col min="536" max="536" width="11.26953125" style="38" customWidth="1"/>
    <col min="537" max="537" width="17.81640625" style="38" bestFit="1" customWidth="1"/>
    <col min="538" max="779" width="9.1796875" style="38"/>
    <col min="780" max="780" width="79.7265625" style="38" customWidth="1"/>
    <col min="781" max="781" width="8.7265625" style="38" customWidth="1"/>
    <col min="782" max="782" width="0.81640625" style="38" customWidth="1"/>
    <col min="783" max="783" width="12.81640625" style="38" customWidth="1"/>
    <col min="784" max="784" width="0.81640625" style="38" customWidth="1"/>
    <col min="785" max="785" width="18.1796875" style="38" customWidth="1"/>
    <col min="786" max="786" width="0.81640625" style="38" customWidth="1"/>
    <col min="787" max="787" width="12.81640625" style="38" customWidth="1"/>
    <col min="788" max="788" width="0.81640625" style="38" customWidth="1"/>
    <col min="789" max="789" width="18.453125" style="38" customWidth="1"/>
    <col min="790" max="790" width="0.1796875" style="38" customWidth="1"/>
    <col min="791" max="791" width="9.1796875" style="38"/>
    <col min="792" max="792" width="11.26953125" style="38" customWidth="1"/>
    <col min="793" max="793" width="17.81640625" style="38" bestFit="1" customWidth="1"/>
    <col min="794" max="1035" width="9.1796875" style="38"/>
    <col min="1036" max="1036" width="79.7265625" style="38" customWidth="1"/>
    <col min="1037" max="1037" width="8.7265625" style="38" customWidth="1"/>
    <col min="1038" max="1038" width="0.81640625" style="38" customWidth="1"/>
    <col min="1039" max="1039" width="12.81640625" style="38" customWidth="1"/>
    <col min="1040" max="1040" width="0.81640625" style="38" customWidth="1"/>
    <col min="1041" max="1041" width="18.1796875" style="38" customWidth="1"/>
    <col min="1042" max="1042" width="0.81640625" style="38" customWidth="1"/>
    <col min="1043" max="1043" width="12.81640625" style="38" customWidth="1"/>
    <col min="1044" max="1044" width="0.81640625" style="38" customWidth="1"/>
    <col min="1045" max="1045" width="18.453125" style="38" customWidth="1"/>
    <col min="1046" max="1046" width="0.1796875" style="38" customWidth="1"/>
    <col min="1047" max="1047" width="9.1796875" style="38"/>
    <col min="1048" max="1048" width="11.26953125" style="38" customWidth="1"/>
    <col min="1049" max="1049" width="17.81640625" style="38" bestFit="1" customWidth="1"/>
    <col min="1050" max="1291" width="9.1796875" style="38"/>
    <col min="1292" max="1292" width="79.7265625" style="38" customWidth="1"/>
    <col min="1293" max="1293" width="8.7265625" style="38" customWidth="1"/>
    <col min="1294" max="1294" width="0.81640625" style="38" customWidth="1"/>
    <col min="1295" max="1295" width="12.81640625" style="38" customWidth="1"/>
    <col min="1296" max="1296" width="0.81640625" style="38" customWidth="1"/>
    <col min="1297" max="1297" width="18.1796875" style="38" customWidth="1"/>
    <col min="1298" max="1298" width="0.81640625" style="38" customWidth="1"/>
    <col min="1299" max="1299" width="12.81640625" style="38" customWidth="1"/>
    <col min="1300" max="1300" width="0.81640625" style="38" customWidth="1"/>
    <col min="1301" max="1301" width="18.453125" style="38" customWidth="1"/>
    <col min="1302" max="1302" width="0.1796875" style="38" customWidth="1"/>
    <col min="1303" max="1303" width="9.1796875" style="38"/>
    <col min="1304" max="1304" width="11.26953125" style="38" customWidth="1"/>
    <col min="1305" max="1305" width="17.81640625" style="38" bestFit="1" customWidth="1"/>
    <col min="1306" max="1547" width="9.1796875" style="38"/>
    <col min="1548" max="1548" width="79.7265625" style="38" customWidth="1"/>
    <col min="1549" max="1549" width="8.7265625" style="38" customWidth="1"/>
    <col min="1550" max="1550" width="0.81640625" style="38" customWidth="1"/>
    <col min="1551" max="1551" width="12.81640625" style="38" customWidth="1"/>
    <col min="1552" max="1552" width="0.81640625" style="38" customWidth="1"/>
    <col min="1553" max="1553" width="18.1796875" style="38" customWidth="1"/>
    <col min="1554" max="1554" width="0.81640625" style="38" customWidth="1"/>
    <col min="1555" max="1555" width="12.81640625" style="38" customWidth="1"/>
    <col min="1556" max="1556" width="0.81640625" style="38" customWidth="1"/>
    <col min="1557" max="1557" width="18.453125" style="38" customWidth="1"/>
    <col min="1558" max="1558" width="0.1796875" style="38" customWidth="1"/>
    <col min="1559" max="1559" width="9.1796875" style="38"/>
    <col min="1560" max="1560" width="11.26953125" style="38" customWidth="1"/>
    <col min="1561" max="1561" width="17.81640625" style="38" bestFit="1" customWidth="1"/>
    <col min="1562" max="1803" width="9.1796875" style="38"/>
    <col min="1804" max="1804" width="79.7265625" style="38" customWidth="1"/>
    <col min="1805" max="1805" width="8.7265625" style="38" customWidth="1"/>
    <col min="1806" max="1806" width="0.81640625" style="38" customWidth="1"/>
    <col min="1807" max="1807" width="12.81640625" style="38" customWidth="1"/>
    <col min="1808" max="1808" width="0.81640625" style="38" customWidth="1"/>
    <col min="1809" max="1809" width="18.1796875" style="38" customWidth="1"/>
    <col min="1810" max="1810" width="0.81640625" style="38" customWidth="1"/>
    <col min="1811" max="1811" width="12.81640625" style="38" customWidth="1"/>
    <col min="1812" max="1812" width="0.81640625" style="38" customWidth="1"/>
    <col min="1813" max="1813" width="18.453125" style="38" customWidth="1"/>
    <col min="1814" max="1814" width="0.1796875" style="38" customWidth="1"/>
    <col min="1815" max="1815" width="9.1796875" style="38"/>
    <col min="1816" max="1816" width="11.26953125" style="38" customWidth="1"/>
    <col min="1817" max="1817" width="17.81640625" style="38" bestFit="1" customWidth="1"/>
    <col min="1818" max="2059" width="9.1796875" style="38"/>
    <col min="2060" max="2060" width="79.7265625" style="38" customWidth="1"/>
    <col min="2061" max="2061" width="8.7265625" style="38" customWidth="1"/>
    <col min="2062" max="2062" width="0.81640625" style="38" customWidth="1"/>
    <col min="2063" max="2063" width="12.81640625" style="38" customWidth="1"/>
    <col min="2064" max="2064" width="0.81640625" style="38" customWidth="1"/>
    <col min="2065" max="2065" width="18.1796875" style="38" customWidth="1"/>
    <col min="2066" max="2066" width="0.81640625" style="38" customWidth="1"/>
    <col min="2067" max="2067" width="12.81640625" style="38" customWidth="1"/>
    <col min="2068" max="2068" width="0.81640625" style="38" customWidth="1"/>
    <col min="2069" max="2069" width="18.453125" style="38" customWidth="1"/>
    <col min="2070" max="2070" width="0.1796875" style="38" customWidth="1"/>
    <col min="2071" max="2071" width="9.1796875" style="38"/>
    <col min="2072" max="2072" width="11.26953125" style="38" customWidth="1"/>
    <col min="2073" max="2073" width="17.81640625" style="38" bestFit="1" customWidth="1"/>
    <col min="2074" max="2315" width="9.1796875" style="38"/>
    <col min="2316" max="2316" width="79.7265625" style="38" customWidth="1"/>
    <col min="2317" max="2317" width="8.7265625" style="38" customWidth="1"/>
    <col min="2318" max="2318" width="0.81640625" style="38" customWidth="1"/>
    <col min="2319" max="2319" width="12.81640625" style="38" customWidth="1"/>
    <col min="2320" max="2320" width="0.81640625" style="38" customWidth="1"/>
    <col min="2321" max="2321" width="18.1796875" style="38" customWidth="1"/>
    <col min="2322" max="2322" width="0.81640625" style="38" customWidth="1"/>
    <col min="2323" max="2323" width="12.81640625" style="38" customWidth="1"/>
    <col min="2324" max="2324" width="0.81640625" style="38" customWidth="1"/>
    <col min="2325" max="2325" width="18.453125" style="38" customWidth="1"/>
    <col min="2326" max="2326" width="0.1796875" style="38" customWidth="1"/>
    <col min="2327" max="2327" width="9.1796875" style="38"/>
    <col min="2328" max="2328" width="11.26953125" style="38" customWidth="1"/>
    <col min="2329" max="2329" width="17.81640625" style="38" bestFit="1" customWidth="1"/>
    <col min="2330" max="2571" width="9.1796875" style="38"/>
    <col min="2572" max="2572" width="79.7265625" style="38" customWidth="1"/>
    <col min="2573" max="2573" width="8.7265625" style="38" customWidth="1"/>
    <col min="2574" max="2574" width="0.81640625" style="38" customWidth="1"/>
    <col min="2575" max="2575" width="12.81640625" style="38" customWidth="1"/>
    <col min="2576" max="2576" width="0.81640625" style="38" customWidth="1"/>
    <col min="2577" max="2577" width="18.1796875" style="38" customWidth="1"/>
    <col min="2578" max="2578" width="0.81640625" style="38" customWidth="1"/>
    <col min="2579" max="2579" width="12.81640625" style="38" customWidth="1"/>
    <col min="2580" max="2580" width="0.81640625" style="38" customWidth="1"/>
    <col min="2581" max="2581" width="18.453125" style="38" customWidth="1"/>
    <col min="2582" max="2582" width="0.1796875" style="38" customWidth="1"/>
    <col min="2583" max="2583" width="9.1796875" style="38"/>
    <col min="2584" max="2584" width="11.26953125" style="38" customWidth="1"/>
    <col min="2585" max="2585" width="17.81640625" style="38" bestFit="1" customWidth="1"/>
    <col min="2586" max="2827" width="9.1796875" style="38"/>
    <col min="2828" max="2828" width="79.7265625" style="38" customWidth="1"/>
    <col min="2829" max="2829" width="8.7265625" style="38" customWidth="1"/>
    <col min="2830" max="2830" width="0.81640625" style="38" customWidth="1"/>
    <col min="2831" max="2831" width="12.81640625" style="38" customWidth="1"/>
    <col min="2832" max="2832" width="0.81640625" style="38" customWidth="1"/>
    <col min="2833" max="2833" width="18.1796875" style="38" customWidth="1"/>
    <col min="2834" max="2834" width="0.81640625" style="38" customWidth="1"/>
    <col min="2835" max="2835" width="12.81640625" style="38" customWidth="1"/>
    <col min="2836" max="2836" width="0.81640625" style="38" customWidth="1"/>
    <col min="2837" max="2837" width="18.453125" style="38" customWidth="1"/>
    <col min="2838" max="2838" width="0.1796875" style="38" customWidth="1"/>
    <col min="2839" max="2839" width="9.1796875" style="38"/>
    <col min="2840" max="2840" width="11.26953125" style="38" customWidth="1"/>
    <col min="2841" max="2841" width="17.81640625" style="38" bestFit="1" customWidth="1"/>
    <col min="2842" max="3083" width="9.1796875" style="38"/>
    <col min="3084" max="3084" width="79.7265625" style="38" customWidth="1"/>
    <col min="3085" max="3085" width="8.7265625" style="38" customWidth="1"/>
    <col min="3086" max="3086" width="0.81640625" style="38" customWidth="1"/>
    <col min="3087" max="3087" width="12.81640625" style="38" customWidth="1"/>
    <col min="3088" max="3088" width="0.81640625" style="38" customWidth="1"/>
    <col min="3089" max="3089" width="18.1796875" style="38" customWidth="1"/>
    <col min="3090" max="3090" width="0.81640625" style="38" customWidth="1"/>
    <col min="3091" max="3091" width="12.81640625" style="38" customWidth="1"/>
    <col min="3092" max="3092" width="0.81640625" style="38" customWidth="1"/>
    <col min="3093" max="3093" width="18.453125" style="38" customWidth="1"/>
    <col min="3094" max="3094" width="0.1796875" style="38" customWidth="1"/>
    <col min="3095" max="3095" width="9.1796875" style="38"/>
    <col min="3096" max="3096" width="11.26953125" style="38" customWidth="1"/>
    <col min="3097" max="3097" width="17.81640625" style="38" bestFit="1" customWidth="1"/>
    <col min="3098" max="3339" width="9.1796875" style="38"/>
    <col min="3340" max="3340" width="79.7265625" style="38" customWidth="1"/>
    <col min="3341" max="3341" width="8.7265625" style="38" customWidth="1"/>
    <col min="3342" max="3342" width="0.81640625" style="38" customWidth="1"/>
    <col min="3343" max="3343" width="12.81640625" style="38" customWidth="1"/>
    <col min="3344" max="3344" width="0.81640625" style="38" customWidth="1"/>
    <col min="3345" max="3345" width="18.1796875" style="38" customWidth="1"/>
    <col min="3346" max="3346" width="0.81640625" style="38" customWidth="1"/>
    <col min="3347" max="3347" width="12.81640625" style="38" customWidth="1"/>
    <col min="3348" max="3348" width="0.81640625" style="38" customWidth="1"/>
    <col min="3349" max="3349" width="18.453125" style="38" customWidth="1"/>
    <col min="3350" max="3350" width="0.1796875" style="38" customWidth="1"/>
    <col min="3351" max="3351" width="9.1796875" style="38"/>
    <col min="3352" max="3352" width="11.26953125" style="38" customWidth="1"/>
    <col min="3353" max="3353" width="17.81640625" style="38" bestFit="1" customWidth="1"/>
    <col min="3354" max="3595" width="9.1796875" style="38"/>
    <col min="3596" max="3596" width="79.7265625" style="38" customWidth="1"/>
    <col min="3597" max="3597" width="8.7265625" style="38" customWidth="1"/>
    <col min="3598" max="3598" width="0.81640625" style="38" customWidth="1"/>
    <col min="3599" max="3599" width="12.81640625" style="38" customWidth="1"/>
    <col min="3600" max="3600" width="0.81640625" style="38" customWidth="1"/>
    <col min="3601" max="3601" width="18.1796875" style="38" customWidth="1"/>
    <col min="3602" max="3602" width="0.81640625" style="38" customWidth="1"/>
    <col min="3603" max="3603" width="12.81640625" style="38" customWidth="1"/>
    <col min="3604" max="3604" width="0.81640625" style="38" customWidth="1"/>
    <col min="3605" max="3605" width="18.453125" style="38" customWidth="1"/>
    <col min="3606" max="3606" width="0.1796875" style="38" customWidth="1"/>
    <col min="3607" max="3607" width="9.1796875" style="38"/>
    <col min="3608" max="3608" width="11.26953125" style="38" customWidth="1"/>
    <col min="3609" max="3609" width="17.81640625" style="38" bestFit="1" customWidth="1"/>
    <col min="3610" max="3851" width="9.1796875" style="38"/>
    <col min="3852" max="3852" width="79.7265625" style="38" customWidth="1"/>
    <col min="3853" max="3853" width="8.7265625" style="38" customWidth="1"/>
    <col min="3854" max="3854" width="0.81640625" style="38" customWidth="1"/>
    <col min="3855" max="3855" width="12.81640625" style="38" customWidth="1"/>
    <col min="3856" max="3856" width="0.81640625" style="38" customWidth="1"/>
    <col min="3857" max="3857" width="18.1796875" style="38" customWidth="1"/>
    <col min="3858" max="3858" width="0.81640625" style="38" customWidth="1"/>
    <col min="3859" max="3859" width="12.81640625" style="38" customWidth="1"/>
    <col min="3860" max="3860" width="0.81640625" style="38" customWidth="1"/>
    <col min="3861" max="3861" width="18.453125" style="38" customWidth="1"/>
    <col min="3862" max="3862" width="0.1796875" style="38" customWidth="1"/>
    <col min="3863" max="3863" width="9.1796875" style="38"/>
    <col min="3864" max="3864" width="11.26953125" style="38" customWidth="1"/>
    <col min="3865" max="3865" width="17.81640625" style="38" bestFit="1" customWidth="1"/>
    <col min="3866" max="4107" width="9.1796875" style="38"/>
    <col min="4108" max="4108" width="79.7265625" style="38" customWidth="1"/>
    <col min="4109" max="4109" width="8.7265625" style="38" customWidth="1"/>
    <col min="4110" max="4110" width="0.81640625" style="38" customWidth="1"/>
    <col min="4111" max="4111" width="12.81640625" style="38" customWidth="1"/>
    <col min="4112" max="4112" width="0.81640625" style="38" customWidth="1"/>
    <col min="4113" max="4113" width="18.1796875" style="38" customWidth="1"/>
    <col min="4114" max="4114" width="0.81640625" style="38" customWidth="1"/>
    <col min="4115" max="4115" width="12.81640625" style="38" customWidth="1"/>
    <col min="4116" max="4116" width="0.81640625" style="38" customWidth="1"/>
    <col min="4117" max="4117" width="18.453125" style="38" customWidth="1"/>
    <col min="4118" max="4118" width="0.1796875" style="38" customWidth="1"/>
    <col min="4119" max="4119" width="9.1796875" style="38"/>
    <col min="4120" max="4120" width="11.26953125" style="38" customWidth="1"/>
    <col min="4121" max="4121" width="17.81640625" style="38" bestFit="1" customWidth="1"/>
    <col min="4122" max="4363" width="9.1796875" style="38"/>
    <col min="4364" max="4364" width="79.7265625" style="38" customWidth="1"/>
    <col min="4365" max="4365" width="8.7265625" style="38" customWidth="1"/>
    <col min="4366" max="4366" width="0.81640625" style="38" customWidth="1"/>
    <col min="4367" max="4367" width="12.81640625" style="38" customWidth="1"/>
    <col min="4368" max="4368" width="0.81640625" style="38" customWidth="1"/>
    <col min="4369" max="4369" width="18.1796875" style="38" customWidth="1"/>
    <col min="4370" max="4370" width="0.81640625" style="38" customWidth="1"/>
    <col min="4371" max="4371" width="12.81640625" style="38" customWidth="1"/>
    <col min="4372" max="4372" width="0.81640625" style="38" customWidth="1"/>
    <col min="4373" max="4373" width="18.453125" style="38" customWidth="1"/>
    <col min="4374" max="4374" width="0.1796875" style="38" customWidth="1"/>
    <col min="4375" max="4375" width="9.1796875" style="38"/>
    <col min="4376" max="4376" width="11.26953125" style="38" customWidth="1"/>
    <col min="4377" max="4377" width="17.81640625" style="38" bestFit="1" customWidth="1"/>
    <col min="4378" max="4619" width="9.1796875" style="38"/>
    <col min="4620" max="4620" width="79.7265625" style="38" customWidth="1"/>
    <col min="4621" max="4621" width="8.7265625" style="38" customWidth="1"/>
    <col min="4622" max="4622" width="0.81640625" style="38" customWidth="1"/>
    <col min="4623" max="4623" width="12.81640625" style="38" customWidth="1"/>
    <col min="4624" max="4624" width="0.81640625" style="38" customWidth="1"/>
    <col min="4625" max="4625" width="18.1796875" style="38" customWidth="1"/>
    <col min="4626" max="4626" width="0.81640625" style="38" customWidth="1"/>
    <col min="4627" max="4627" width="12.81640625" style="38" customWidth="1"/>
    <col min="4628" max="4628" width="0.81640625" style="38" customWidth="1"/>
    <col min="4629" max="4629" width="18.453125" style="38" customWidth="1"/>
    <col min="4630" max="4630" width="0.1796875" style="38" customWidth="1"/>
    <col min="4631" max="4631" width="9.1796875" style="38"/>
    <col min="4632" max="4632" width="11.26953125" style="38" customWidth="1"/>
    <col min="4633" max="4633" width="17.81640625" style="38" bestFit="1" customWidth="1"/>
    <col min="4634" max="4875" width="9.1796875" style="38"/>
    <col min="4876" max="4876" width="79.7265625" style="38" customWidth="1"/>
    <col min="4877" max="4877" width="8.7265625" style="38" customWidth="1"/>
    <col min="4878" max="4878" width="0.81640625" style="38" customWidth="1"/>
    <col min="4879" max="4879" width="12.81640625" style="38" customWidth="1"/>
    <col min="4880" max="4880" width="0.81640625" style="38" customWidth="1"/>
    <col min="4881" max="4881" width="18.1796875" style="38" customWidth="1"/>
    <col min="4882" max="4882" width="0.81640625" style="38" customWidth="1"/>
    <col min="4883" max="4883" width="12.81640625" style="38" customWidth="1"/>
    <col min="4884" max="4884" width="0.81640625" style="38" customWidth="1"/>
    <col min="4885" max="4885" width="18.453125" style="38" customWidth="1"/>
    <col min="4886" max="4886" width="0.1796875" style="38" customWidth="1"/>
    <col min="4887" max="4887" width="9.1796875" style="38"/>
    <col min="4888" max="4888" width="11.26953125" style="38" customWidth="1"/>
    <col min="4889" max="4889" width="17.81640625" style="38" bestFit="1" customWidth="1"/>
    <col min="4890" max="5131" width="9.1796875" style="38"/>
    <col min="5132" max="5132" width="79.7265625" style="38" customWidth="1"/>
    <col min="5133" max="5133" width="8.7265625" style="38" customWidth="1"/>
    <col min="5134" max="5134" width="0.81640625" style="38" customWidth="1"/>
    <col min="5135" max="5135" width="12.81640625" style="38" customWidth="1"/>
    <col min="5136" max="5136" width="0.81640625" style="38" customWidth="1"/>
    <col min="5137" max="5137" width="18.1796875" style="38" customWidth="1"/>
    <col min="5138" max="5138" width="0.81640625" style="38" customWidth="1"/>
    <col min="5139" max="5139" width="12.81640625" style="38" customWidth="1"/>
    <col min="5140" max="5140" width="0.81640625" style="38" customWidth="1"/>
    <col min="5141" max="5141" width="18.453125" style="38" customWidth="1"/>
    <col min="5142" max="5142" width="0.1796875" style="38" customWidth="1"/>
    <col min="5143" max="5143" width="9.1796875" style="38"/>
    <col min="5144" max="5144" width="11.26953125" style="38" customWidth="1"/>
    <col min="5145" max="5145" width="17.81640625" style="38" bestFit="1" customWidth="1"/>
    <col min="5146" max="5387" width="9.1796875" style="38"/>
    <col min="5388" max="5388" width="79.7265625" style="38" customWidth="1"/>
    <col min="5389" max="5389" width="8.7265625" style="38" customWidth="1"/>
    <col min="5390" max="5390" width="0.81640625" style="38" customWidth="1"/>
    <col min="5391" max="5391" width="12.81640625" style="38" customWidth="1"/>
    <col min="5392" max="5392" width="0.81640625" style="38" customWidth="1"/>
    <col min="5393" max="5393" width="18.1796875" style="38" customWidth="1"/>
    <col min="5394" max="5394" width="0.81640625" style="38" customWidth="1"/>
    <col min="5395" max="5395" width="12.81640625" style="38" customWidth="1"/>
    <col min="5396" max="5396" width="0.81640625" style="38" customWidth="1"/>
    <col min="5397" max="5397" width="18.453125" style="38" customWidth="1"/>
    <col min="5398" max="5398" width="0.1796875" style="38" customWidth="1"/>
    <col min="5399" max="5399" width="9.1796875" style="38"/>
    <col min="5400" max="5400" width="11.26953125" style="38" customWidth="1"/>
    <col min="5401" max="5401" width="17.81640625" style="38" bestFit="1" customWidth="1"/>
    <col min="5402" max="5643" width="9.1796875" style="38"/>
    <col min="5644" max="5644" width="79.7265625" style="38" customWidth="1"/>
    <col min="5645" max="5645" width="8.7265625" style="38" customWidth="1"/>
    <col min="5646" max="5646" width="0.81640625" style="38" customWidth="1"/>
    <col min="5647" max="5647" width="12.81640625" style="38" customWidth="1"/>
    <col min="5648" max="5648" width="0.81640625" style="38" customWidth="1"/>
    <col min="5649" max="5649" width="18.1796875" style="38" customWidth="1"/>
    <col min="5650" max="5650" width="0.81640625" style="38" customWidth="1"/>
    <col min="5651" max="5651" width="12.81640625" style="38" customWidth="1"/>
    <col min="5652" max="5652" width="0.81640625" style="38" customWidth="1"/>
    <col min="5653" max="5653" width="18.453125" style="38" customWidth="1"/>
    <col min="5654" max="5654" width="0.1796875" style="38" customWidth="1"/>
    <col min="5655" max="5655" width="9.1796875" style="38"/>
    <col min="5656" max="5656" width="11.26953125" style="38" customWidth="1"/>
    <col min="5657" max="5657" width="17.81640625" style="38" bestFit="1" customWidth="1"/>
    <col min="5658" max="5899" width="9.1796875" style="38"/>
    <col min="5900" max="5900" width="79.7265625" style="38" customWidth="1"/>
    <col min="5901" max="5901" width="8.7265625" style="38" customWidth="1"/>
    <col min="5902" max="5902" width="0.81640625" style="38" customWidth="1"/>
    <col min="5903" max="5903" width="12.81640625" style="38" customWidth="1"/>
    <col min="5904" max="5904" width="0.81640625" style="38" customWidth="1"/>
    <col min="5905" max="5905" width="18.1796875" style="38" customWidth="1"/>
    <col min="5906" max="5906" width="0.81640625" style="38" customWidth="1"/>
    <col min="5907" max="5907" width="12.81640625" style="38" customWidth="1"/>
    <col min="5908" max="5908" width="0.81640625" style="38" customWidth="1"/>
    <col min="5909" max="5909" width="18.453125" style="38" customWidth="1"/>
    <col min="5910" max="5910" width="0.1796875" style="38" customWidth="1"/>
    <col min="5911" max="5911" width="9.1796875" style="38"/>
    <col min="5912" max="5912" width="11.26953125" style="38" customWidth="1"/>
    <col min="5913" max="5913" width="17.81640625" style="38" bestFit="1" customWidth="1"/>
    <col min="5914" max="6155" width="9.1796875" style="38"/>
    <col min="6156" max="6156" width="79.7265625" style="38" customWidth="1"/>
    <col min="6157" max="6157" width="8.7265625" style="38" customWidth="1"/>
    <col min="6158" max="6158" width="0.81640625" style="38" customWidth="1"/>
    <col min="6159" max="6159" width="12.81640625" style="38" customWidth="1"/>
    <col min="6160" max="6160" width="0.81640625" style="38" customWidth="1"/>
    <col min="6161" max="6161" width="18.1796875" style="38" customWidth="1"/>
    <col min="6162" max="6162" width="0.81640625" style="38" customWidth="1"/>
    <col min="6163" max="6163" width="12.81640625" style="38" customWidth="1"/>
    <col min="6164" max="6164" width="0.81640625" style="38" customWidth="1"/>
    <col min="6165" max="6165" width="18.453125" style="38" customWidth="1"/>
    <col min="6166" max="6166" width="0.1796875" style="38" customWidth="1"/>
    <col min="6167" max="6167" width="9.1796875" style="38"/>
    <col min="6168" max="6168" width="11.26953125" style="38" customWidth="1"/>
    <col min="6169" max="6169" width="17.81640625" style="38" bestFit="1" customWidth="1"/>
    <col min="6170" max="6411" width="9.1796875" style="38"/>
    <col min="6412" max="6412" width="79.7265625" style="38" customWidth="1"/>
    <col min="6413" max="6413" width="8.7265625" style="38" customWidth="1"/>
    <col min="6414" max="6414" width="0.81640625" style="38" customWidth="1"/>
    <col min="6415" max="6415" width="12.81640625" style="38" customWidth="1"/>
    <col min="6416" max="6416" width="0.81640625" style="38" customWidth="1"/>
    <col min="6417" max="6417" width="18.1796875" style="38" customWidth="1"/>
    <col min="6418" max="6418" width="0.81640625" style="38" customWidth="1"/>
    <col min="6419" max="6419" width="12.81640625" style="38" customWidth="1"/>
    <col min="6420" max="6420" width="0.81640625" style="38" customWidth="1"/>
    <col min="6421" max="6421" width="18.453125" style="38" customWidth="1"/>
    <col min="6422" max="6422" width="0.1796875" style="38" customWidth="1"/>
    <col min="6423" max="6423" width="9.1796875" style="38"/>
    <col min="6424" max="6424" width="11.26953125" style="38" customWidth="1"/>
    <col min="6425" max="6425" width="17.81640625" style="38" bestFit="1" customWidth="1"/>
    <col min="6426" max="6667" width="9.1796875" style="38"/>
    <col min="6668" max="6668" width="79.7265625" style="38" customWidth="1"/>
    <col min="6669" max="6669" width="8.7265625" style="38" customWidth="1"/>
    <col min="6670" max="6670" width="0.81640625" style="38" customWidth="1"/>
    <col min="6671" max="6671" width="12.81640625" style="38" customWidth="1"/>
    <col min="6672" max="6672" width="0.81640625" style="38" customWidth="1"/>
    <col min="6673" max="6673" width="18.1796875" style="38" customWidth="1"/>
    <col min="6674" max="6674" width="0.81640625" style="38" customWidth="1"/>
    <col min="6675" max="6675" width="12.81640625" style="38" customWidth="1"/>
    <col min="6676" max="6676" width="0.81640625" style="38" customWidth="1"/>
    <col min="6677" max="6677" width="18.453125" style="38" customWidth="1"/>
    <col min="6678" max="6678" width="0.1796875" style="38" customWidth="1"/>
    <col min="6679" max="6679" width="9.1796875" style="38"/>
    <col min="6680" max="6680" width="11.26953125" style="38" customWidth="1"/>
    <col min="6681" max="6681" width="17.81640625" style="38" bestFit="1" customWidth="1"/>
    <col min="6682" max="6923" width="9.1796875" style="38"/>
    <col min="6924" max="6924" width="79.7265625" style="38" customWidth="1"/>
    <col min="6925" max="6925" width="8.7265625" style="38" customWidth="1"/>
    <col min="6926" max="6926" width="0.81640625" style="38" customWidth="1"/>
    <col min="6927" max="6927" width="12.81640625" style="38" customWidth="1"/>
    <col min="6928" max="6928" width="0.81640625" style="38" customWidth="1"/>
    <col min="6929" max="6929" width="18.1796875" style="38" customWidth="1"/>
    <col min="6930" max="6930" width="0.81640625" style="38" customWidth="1"/>
    <col min="6931" max="6931" width="12.81640625" style="38" customWidth="1"/>
    <col min="6932" max="6932" width="0.81640625" style="38" customWidth="1"/>
    <col min="6933" max="6933" width="18.453125" style="38" customWidth="1"/>
    <col min="6934" max="6934" width="0.1796875" style="38" customWidth="1"/>
    <col min="6935" max="6935" width="9.1796875" style="38"/>
    <col min="6936" max="6936" width="11.26953125" style="38" customWidth="1"/>
    <col min="6937" max="6937" width="17.81640625" style="38" bestFit="1" customWidth="1"/>
    <col min="6938" max="7179" width="9.1796875" style="38"/>
    <col min="7180" max="7180" width="79.7265625" style="38" customWidth="1"/>
    <col min="7181" max="7181" width="8.7265625" style="38" customWidth="1"/>
    <col min="7182" max="7182" width="0.81640625" style="38" customWidth="1"/>
    <col min="7183" max="7183" width="12.81640625" style="38" customWidth="1"/>
    <col min="7184" max="7184" width="0.81640625" style="38" customWidth="1"/>
    <col min="7185" max="7185" width="18.1796875" style="38" customWidth="1"/>
    <col min="7186" max="7186" width="0.81640625" style="38" customWidth="1"/>
    <col min="7187" max="7187" width="12.81640625" style="38" customWidth="1"/>
    <col min="7188" max="7188" width="0.81640625" style="38" customWidth="1"/>
    <col min="7189" max="7189" width="18.453125" style="38" customWidth="1"/>
    <col min="7190" max="7190" width="0.1796875" style="38" customWidth="1"/>
    <col min="7191" max="7191" width="9.1796875" style="38"/>
    <col min="7192" max="7192" width="11.26953125" style="38" customWidth="1"/>
    <col min="7193" max="7193" width="17.81640625" style="38" bestFit="1" customWidth="1"/>
    <col min="7194" max="7435" width="9.1796875" style="38"/>
    <col min="7436" max="7436" width="79.7265625" style="38" customWidth="1"/>
    <col min="7437" max="7437" width="8.7265625" style="38" customWidth="1"/>
    <col min="7438" max="7438" width="0.81640625" style="38" customWidth="1"/>
    <col min="7439" max="7439" width="12.81640625" style="38" customWidth="1"/>
    <col min="7440" max="7440" width="0.81640625" style="38" customWidth="1"/>
    <col min="7441" max="7441" width="18.1796875" style="38" customWidth="1"/>
    <col min="7442" max="7442" width="0.81640625" style="38" customWidth="1"/>
    <col min="7443" max="7443" width="12.81640625" style="38" customWidth="1"/>
    <col min="7444" max="7444" width="0.81640625" style="38" customWidth="1"/>
    <col min="7445" max="7445" width="18.453125" style="38" customWidth="1"/>
    <col min="7446" max="7446" width="0.1796875" style="38" customWidth="1"/>
    <col min="7447" max="7447" width="9.1796875" style="38"/>
    <col min="7448" max="7448" width="11.26953125" style="38" customWidth="1"/>
    <col min="7449" max="7449" width="17.81640625" style="38" bestFit="1" customWidth="1"/>
    <col min="7450" max="7691" width="9.1796875" style="38"/>
    <col min="7692" max="7692" width="79.7265625" style="38" customWidth="1"/>
    <col min="7693" max="7693" width="8.7265625" style="38" customWidth="1"/>
    <col min="7694" max="7694" width="0.81640625" style="38" customWidth="1"/>
    <col min="7695" max="7695" width="12.81640625" style="38" customWidth="1"/>
    <col min="7696" max="7696" width="0.81640625" style="38" customWidth="1"/>
    <col min="7697" max="7697" width="18.1796875" style="38" customWidth="1"/>
    <col min="7698" max="7698" width="0.81640625" style="38" customWidth="1"/>
    <col min="7699" max="7699" width="12.81640625" style="38" customWidth="1"/>
    <col min="7700" max="7700" width="0.81640625" style="38" customWidth="1"/>
    <col min="7701" max="7701" width="18.453125" style="38" customWidth="1"/>
    <col min="7702" max="7702" width="0.1796875" style="38" customWidth="1"/>
    <col min="7703" max="7703" width="9.1796875" style="38"/>
    <col min="7704" max="7704" width="11.26953125" style="38" customWidth="1"/>
    <col min="7705" max="7705" width="17.81640625" style="38" bestFit="1" customWidth="1"/>
    <col min="7706" max="7947" width="9.1796875" style="38"/>
    <col min="7948" max="7948" width="79.7265625" style="38" customWidth="1"/>
    <col min="7949" max="7949" width="8.7265625" style="38" customWidth="1"/>
    <col min="7950" max="7950" width="0.81640625" style="38" customWidth="1"/>
    <col min="7951" max="7951" width="12.81640625" style="38" customWidth="1"/>
    <col min="7952" max="7952" width="0.81640625" style="38" customWidth="1"/>
    <col min="7953" max="7953" width="18.1796875" style="38" customWidth="1"/>
    <col min="7954" max="7954" width="0.81640625" style="38" customWidth="1"/>
    <col min="7955" max="7955" width="12.81640625" style="38" customWidth="1"/>
    <col min="7956" max="7956" width="0.81640625" style="38" customWidth="1"/>
    <col min="7957" max="7957" width="18.453125" style="38" customWidth="1"/>
    <col min="7958" max="7958" width="0.1796875" style="38" customWidth="1"/>
    <col min="7959" max="7959" width="9.1796875" style="38"/>
    <col min="7960" max="7960" width="11.26953125" style="38" customWidth="1"/>
    <col min="7961" max="7961" width="17.81640625" style="38" bestFit="1" customWidth="1"/>
    <col min="7962" max="8203" width="9.1796875" style="38"/>
    <col min="8204" max="8204" width="79.7265625" style="38" customWidth="1"/>
    <col min="8205" max="8205" width="8.7265625" style="38" customWidth="1"/>
    <col min="8206" max="8206" width="0.81640625" style="38" customWidth="1"/>
    <col min="8207" max="8207" width="12.81640625" style="38" customWidth="1"/>
    <col min="8208" max="8208" width="0.81640625" style="38" customWidth="1"/>
    <col min="8209" max="8209" width="18.1796875" style="38" customWidth="1"/>
    <col min="8210" max="8210" width="0.81640625" style="38" customWidth="1"/>
    <col min="8211" max="8211" width="12.81640625" style="38" customWidth="1"/>
    <col min="8212" max="8212" width="0.81640625" style="38" customWidth="1"/>
    <col min="8213" max="8213" width="18.453125" style="38" customWidth="1"/>
    <col min="8214" max="8214" width="0.1796875" style="38" customWidth="1"/>
    <col min="8215" max="8215" width="9.1796875" style="38"/>
    <col min="8216" max="8216" width="11.26953125" style="38" customWidth="1"/>
    <col min="8217" max="8217" width="17.81640625" style="38" bestFit="1" customWidth="1"/>
    <col min="8218" max="8459" width="9.1796875" style="38"/>
    <col min="8460" max="8460" width="79.7265625" style="38" customWidth="1"/>
    <col min="8461" max="8461" width="8.7265625" style="38" customWidth="1"/>
    <col min="8462" max="8462" width="0.81640625" style="38" customWidth="1"/>
    <col min="8463" max="8463" width="12.81640625" style="38" customWidth="1"/>
    <col min="8464" max="8464" width="0.81640625" style="38" customWidth="1"/>
    <col min="8465" max="8465" width="18.1796875" style="38" customWidth="1"/>
    <col min="8466" max="8466" width="0.81640625" style="38" customWidth="1"/>
    <col min="8467" max="8467" width="12.81640625" style="38" customWidth="1"/>
    <col min="8468" max="8468" width="0.81640625" style="38" customWidth="1"/>
    <col min="8469" max="8469" width="18.453125" style="38" customWidth="1"/>
    <col min="8470" max="8470" width="0.1796875" style="38" customWidth="1"/>
    <col min="8471" max="8471" width="9.1796875" style="38"/>
    <col min="8472" max="8472" width="11.26953125" style="38" customWidth="1"/>
    <col min="8473" max="8473" width="17.81640625" style="38" bestFit="1" customWidth="1"/>
    <col min="8474" max="8715" width="9.1796875" style="38"/>
    <col min="8716" max="8716" width="79.7265625" style="38" customWidth="1"/>
    <col min="8717" max="8717" width="8.7265625" style="38" customWidth="1"/>
    <col min="8718" max="8718" width="0.81640625" style="38" customWidth="1"/>
    <col min="8719" max="8719" width="12.81640625" style="38" customWidth="1"/>
    <col min="8720" max="8720" width="0.81640625" style="38" customWidth="1"/>
    <col min="8721" max="8721" width="18.1796875" style="38" customWidth="1"/>
    <col min="8722" max="8722" width="0.81640625" style="38" customWidth="1"/>
    <col min="8723" max="8723" width="12.81640625" style="38" customWidth="1"/>
    <col min="8724" max="8724" width="0.81640625" style="38" customWidth="1"/>
    <col min="8725" max="8725" width="18.453125" style="38" customWidth="1"/>
    <col min="8726" max="8726" width="0.1796875" style="38" customWidth="1"/>
    <col min="8727" max="8727" width="9.1796875" style="38"/>
    <col min="8728" max="8728" width="11.26953125" style="38" customWidth="1"/>
    <col min="8729" max="8729" width="17.81640625" style="38" bestFit="1" customWidth="1"/>
    <col min="8730" max="8971" width="9.1796875" style="38"/>
    <col min="8972" max="8972" width="79.7265625" style="38" customWidth="1"/>
    <col min="8973" max="8973" width="8.7265625" style="38" customWidth="1"/>
    <col min="8974" max="8974" width="0.81640625" style="38" customWidth="1"/>
    <col min="8975" max="8975" width="12.81640625" style="38" customWidth="1"/>
    <col min="8976" max="8976" width="0.81640625" style="38" customWidth="1"/>
    <col min="8977" max="8977" width="18.1796875" style="38" customWidth="1"/>
    <col min="8978" max="8978" width="0.81640625" style="38" customWidth="1"/>
    <col min="8979" max="8979" width="12.81640625" style="38" customWidth="1"/>
    <col min="8980" max="8980" width="0.81640625" style="38" customWidth="1"/>
    <col min="8981" max="8981" width="18.453125" style="38" customWidth="1"/>
    <col min="8982" max="8982" width="0.1796875" style="38" customWidth="1"/>
    <col min="8983" max="8983" width="9.1796875" style="38"/>
    <col min="8984" max="8984" width="11.26953125" style="38" customWidth="1"/>
    <col min="8985" max="8985" width="17.81640625" style="38" bestFit="1" customWidth="1"/>
    <col min="8986" max="9227" width="9.1796875" style="38"/>
    <col min="9228" max="9228" width="79.7265625" style="38" customWidth="1"/>
    <col min="9229" max="9229" width="8.7265625" style="38" customWidth="1"/>
    <col min="9230" max="9230" width="0.81640625" style="38" customWidth="1"/>
    <col min="9231" max="9231" width="12.81640625" style="38" customWidth="1"/>
    <col min="9232" max="9232" width="0.81640625" style="38" customWidth="1"/>
    <col min="9233" max="9233" width="18.1796875" style="38" customWidth="1"/>
    <col min="9234" max="9234" width="0.81640625" style="38" customWidth="1"/>
    <col min="9235" max="9235" width="12.81640625" style="38" customWidth="1"/>
    <col min="9236" max="9236" width="0.81640625" style="38" customWidth="1"/>
    <col min="9237" max="9237" width="18.453125" style="38" customWidth="1"/>
    <col min="9238" max="9238" width="0.1796875" style="38" customWidth="1"/>
    <col min="9239" max="9239" width="9.1796875" style="38"/>
    <col min="9240" max="9240" width="11.26953125" style="38" customWidth="1"/>
    <col min="9241" max="9241" width="17.81640625" style="38" bestFit="1" customWidth="1"/>
    <col min="9242" max="9483" width="9.1796875" style="38"/>
    <col min="9484" max="9484" width="79.7265625" style="38" customWidth="1"/>
    <col min="9485" max="9485" width="8.7265625" style="38" customWidth="1"/>
    <col min="9486" max="9486" width="0.81640625" style="38" customWidth="1"/>
    <col min="9487" max="9487" width="12.81640625" style="38" customWidth="1"/>
    <col min="9488" max="9488" width="0.81640625" style="38" customWidth="1"/>
    <col min="9489" max="9489" width="18.1796875" style="38" customWidth="1"/>
    <col min="9490" max="9490" width="0.81640625" style="38" customWidth="1"/>
    <col min="9491" max="9491" width="12.81640625" style="38" customWidth="1"/>
    <col min="9492" max="9492" width="0.81640625" style="38" customWidth="1"/>
    <col min="9493" max="9493" width="18.453125" style="38" customWidth="1"/>
    <col min="9494" max="9494" width="0.1796875" style="38" customWidth="1"/>
    <col min="9495" max="9495" width="9.1796875" style="38"/>
    <col min="9496" max="9496" width="11.26953125" style="38" customWidth="1"/>
    <col min="9497" max="9497" width="17.81640625" style="38" bestFit="1" customWidth="1"/>
    <col min="9498" max="9739" width="9.1796875" style="38"/>
    <col min="9740" max="9740" width="79.7265625" style="38" customWidth="1"/>
    <col min="9741" max="9741" width="8.7265625" style="38" customWidth="1"/>
    <col min="9742" max="9742" width="0.81640625" style="38" customWidth="1"/>
    <col min="9743" max="9743" width="12.81640625" style="38" customWidth="1"/>
    <col min="9744" max="9744" width="0.81640625" style="38" customWidth="1"/>
    <col min="9745" max="9745" width="18.1796875" style="38" customWidth="1"/>
    <col min="9746" max="9746" width="0.81640625" style="38" customWidth="1"/>
    <col min="9747" max="9747" width="12.81640625" style="38" customWidth="1"/>
    <col min="9748" max="9748" width="0.81640625" style="38" customWidth="1"/>
    <col min="9749" max="9749" width="18.453125" style="38" customWidth="1"/>
    <col min="9750" max="9750" width="0.1796875" style="38" customWidth="1"/>
    <col min="9751" max="9751" width="9.1796875" style="38"/>
    <col min="9752" max="9752" width="11.26953125" style="38" customWidth="1"/>
    <col min="9753" max="9753" width="17.81640625" style="38" bestFit="1" customWidth="1"/>
    <col min="9754" max="9995" width="9.1796875" style="38"/>
    <col min="9996" max="9996" width="79.7265625" style="38" customWidth="1"/>
    <col min="9997" max="9997" width="8.7265625" style="38" customWidth="1"/>
    <col min="9998" max="9998" width="0.81640625" style="38" customWidth="1"/>
    <col min="9999" max="9999" width="12.81640625" style="38" customWidth="1"/>
    <col min="10000" max="10000" width="0.81640625" style="38" customWidth="1"/>
    <col min="10001" max="10001" width="18.1796875" style="38" customWidth="1"/>
    <col min="10002" max="10002" width="0.81640625" style="38" customWidth="1"/>
    <col min="10003" max="10003" width="12.81640625" style="38" customWidth="1"/>
    <col min="10004" max="10004" width="0.81640625" style="38" customWidth="1"/>
    <col min="10005" max="10005" width="18.453125" style="38" customWidth="1"/>
    <col min="10006" max="10006" width="0.1796875" style="38" customWidth="1"/>
    <col min="10007" max="10007" width="9.1796875" style="38"/>
    <col min="10008" max="10008" width="11.26953125" style="38" customWidth="1"/>
    <col min="10009" max="10009" width="17.81640625" style="38" bestFit="1" customWidth="1"/>
    <col min="10010" max="10251" width="9.1796875" style="38"/>
    <col min="10252" max="10252" width="79.7265625" style="38" customWidth="1"/>
    <col min="10253" max="10253" width="8.7265625" style="38" customWidth="1"/>
    <col min="10254" max="10254" width="0.81640625" style="38" customWidth="1"/>
    <col min="10255" max="10255" width="12.81640625" style="38" customWidth="1"/>
    <col min="10256" max="10256" width="0.81640625" style="38" customWidth="1"/>
    <col min="10257" max="10257" width="18.1796875" style="38" customWidth="1"/>
    <col min="10258" max="10258" width="0.81640625" style="38" customWidth="1"/>
    <col min="10259" max="10259" width="12.81640625" style="38" customWidth="1"/>
    <col min="10260" max="10260" width="0.81640625" style="38" customWidth="1"/>
    <col min="10261" max="10261" width="18.453125" style="38" customWidth="1"/>
    <col min="10262" max="10262" width="0.1796875" style="38" customWidth="1"/>
    <col min="10263" max="10263" width="9.1796875" style="38"/>
    <col min="10264" max="10264" width="11.26953125" style="38" customWidth="1"/>
    <col min="10265" max="10265" width="17.81640625" style="38" bestFit="1" customWidth="1"/>
    <col min="10266" max="10507" width="9.1796875" style="38"/>
    <col min="10508" max="10508" width="79.7265625" style="38" customWidth="1"/>
    <col min="10509" max="10509" width="8.7265625" style="38" customWidth="1"/>
    <col min="10510" max="10510" width="0.81640625" style="38" customWidth="1"/>
    <col min="10511" max="10511" width="12.81640625" style="38" customWidth="1"/>
    <col min="10512" max="10512" width="0.81640625" style="38" customWidth="1"/>
    <col min="10513" max="10513" width="18.1796875" style="38" customWidth="1"/>
    <col min="10514" max="10514" width="0.81640625" style="38" customWidth="1"/>
    <col min="10515" max="10515" width="12.81640625" style="38" customWidth="1"/>
    <col min="10516" max="10516" width="0.81640625" style="38" customWidth="1"/>
    <col min="10517" max="10517" width="18.453125" style="38" customWidth="1"/>
    <col min="10518" max="10518" width="0.1796875" style="38" customWidth="1"/>
    <col min="10519" max="10519" width="9.1796875" style="38"/>
    <col min="10520" max="10520" width="11.26953125" style="38" customWidth="1"/>
    <col min="10521" max="10521" width="17.81640625" style="38" bestFit="1" customWidth="1"/>
    <col min="10522" max="10763" width="9.1796875" style="38"/>
    <col min="10764" max="10764" width="79.7265625" style="38" customWidth="1"/>
    <col min="10765" max="10765" width="8.7265625" style="38" customWidth="1"/>
    <col min="10766" max="10766" width="0.81640625" style="38" customWidth="1"/>
    <col min="10767" max="10767" width="12.81640625" style="38" customWidth="1"/>
    <col min="10768" max="10768" width="0.81640625" style="38" customWidth="1"/>
    <col min="10769" max="10769" width="18.1796875" style="38" customWidth="1"/>
    <col min="10770" max="10770" width="0.81640625" style="38" customWidth="1"/>
    <col min="10771" max="10771" width="12.81640625" style="38" customWidth="1"/>
    <col min="10772" max="10772" width="0.81640625" style="38" customWidth="1"/>
    <col min="10773" max="10773" width="18.453125" style="38" customWidth="1"/>
    <col min="10774" max="10774" width="0.1796875" style="38" customWidth="1"/>
    <col min="10775" max="10775" width="9.1796875" style="38"/>
    <col min="10776" max="10776" width="11.26953125" style="38" customWidth="1"/>
    <col min="10777" max="10777" width="17.81640625" style="38" bestFit="1" customWidth="1"/>
    <col min="10778" max="11019" width="9.1796875" style="38"/>
    <col min="11020" max="11020" width="79.7265625" style="38" customWidth="1"/>
    <col min="11021" max="11021" width="8.7265625" style="38" customWidth="1"/>
    <col min="11022" max="11022" width="0.81640625" style="38" customWidth="1"/>
    <col min="11023" max="11023" width="12.81640625" style="38" customWidth="1"/>
    <col min="11024" max="11024" width="0.81640625" style="38" customWidth="1"/>
    <col min="11025" max="11025" width="18.1796875" style="38" customWidth="1"/>
    <col min="11026" max="11026" width="0.81640625" style="38" customWidth="1"/>
    <col min="11027" max="11027" width="12.81640625" style="38" customWidth="1"/>
    <col min="11028" max="11028" width="0.81640625" style="38" customWidth="1"/>
    <col min="11029" max="11029" width="18.453125" style="38" customWidth="1"/>
    <col min="11030" max="11030" width="0.1796875" style="38" customWidth="1"/>
    <col min="11031" max="11031" width="9.1796875" style="38"/>
    <col min="11032" max="11032" width="11.26953125" style="38" customWidth="1"/>
    <col min="11033" max="11033" width="17.81640625" style="38" bestFit="1" customWidth="1"/>
    <col min="11034" max="11275" width="9.1796875" style="38"/>
    <col min="11276" max="11276" width="79.7265625" style="38" customWidth="1"/>
    <col min="11277" max="11277" width="8.7265625" style="38" customWidth="1"/>
    <col min="11278" max="11278" width="0.81640625" style="38" customWidth="1"/>
    <col min="11279" max="11279" width="12.81640625" style="38" customWidth="1"/>
    <col min="11280" max="11280" width="0.81640625" style="38" customWidth="1"/>
    <col min="11281" max="11281" width="18.1796875" style="38" customWidth="1"/>
    <col min="11282" max="11282" width="0.81640625" style="38" customWidth="1"/>
    <col min="11283" max="11283" width="12.81640625" style="38" customWidth="1"/>
    <col min="11284" max="11284" width="0.81640625" style="38" customWidth="1"/>
    <col min="11285" max="11285" width="18.453125" style="38" customWidth="1"/>
    <col min="11286" max="11286" width="0.1796875" style="38" customWidth="1"/>
    <col min="11287" max="11287" width="9.1796875" style="38"/>
    <col min="11288" max="11288" width="11.26953125" style="38" customWidth="1"/>
    <col min="11289" max="11289" width="17.81640625" style="38" bestFit="1" customWidth="1"/>
    <col min="11290" max="11531" width="9.1796875" style="38"/>
    <col min="11532" max="11532" width="79.7265625" style="38" customWidth="1"/>
    <col min="11533" max="11533" width="8.7265625" style="38" customWidth="1"/>
    <col min="11534" max="11534" width="0.81640625" style="38" customWidth="1"/>
    <col min="11535" max="11535" width="12.81640625" style="38" customWidth="1"/>
    <col min="11536" max="11536" width="0.81640625" style="38" customWidth="1"/>
    <col min="11537" max="11537" width="18.1796875" style="38" customWidth="1"/>
    <col min="11538" max="11538" width="0.81640625" style="38" customWidth="1"/>
    <col min="11539" max="11539" width="12.81640625" style="38" customWidth="1"/>
    <col min="11540" max="11540" width="0.81640625" style="38" customWidth="1"/>
    <col min="11541" max="11541" width="18.453125" style="38" customWidth="1"/>
    <col min="11542" max="11542" width="0.1796875" style="38" customWidth="1"/>
    <col min="11543" max="11543" width="9.1796875" style="38"/>
    <col min="11544" max="11544" width="11.26953125" style="38" customWidth="1"/>
    <col min="11545" max="11545" width="17.81640625" style="38" bestFit="1" customWidth="1"/>
    <col min="11546" max="11787" width="9.1796875" style="38"/>
    <col min="11788" max="11788" width="79.7265625" style="38" customWidth="1"/>
    <col min="11789" max="11789" width="8.7265625" style="38" customWidth="1"/>
    <col min="11790" max="11790" width="0.81640625" style="38" customWidth="1"/>
    <col min="11791" max="11791" width="12.81640625" style="38" customWidth="1"/>
    <col min="11792" max="11792" width="0.81640625" style="38" customWidth="1"/>
    <col min="11793" max="11793" width="18.1796875" style="38" customWidth="1"/>
    <col min="11794" max="11794" width="0.81640625" style="38" customWidth="1"/>
    <col min="11795" max="11795" width="12.81640625" style="38" customWidth="1"/>
    <col min="11796" max="11796" width="0.81640625" style="38" customWidth="1"/>
    <col min="11797" max="11797" width="18.453125" style="38" customWidth="1"/>
    <col min="11798" max="11798" width="0.1796875" style="38" customWidth="1"/>
    <col min="11799" max="11799" width="9.1796875" style="38"/>
    <col min="11800" max="11800" width="11.26953125" style="38" customWidth="1"/>
    <col min="11801" max="11801" width="17.81640625" style="38" bestFit="1" customWidth="1"/>
    <col min="11802" max="12043" width="9.1796875" style="38"/>
    <col min="12044" max="12044" width="79.7265625" style="38" customWidth="1"/>
    <col min="12045" max="12045" width="8.7265625" style="38" customWidth="1"/>
    <col min="12046" max="12046" width="0.81640625" style="38" customWidth="1"/>
    <col min="12047" max="12047" width="12.81640625" style="38" customWidth="1"/>
    <col min="12048" max="12048" width="0.81640625" style="38" customWidth="1"/>
    <col min="12049" max="12049" width="18.1796875" style="38" customWidth="1"/>
    <col min="12050" max="12050" width="0.81640625" style="38" customWidth="1"/>
    <col min="12051" max="12051" width="12.81640625" style="38" customWidth="1"/>
    <col min="12052" max="12052" width="0.81640625" style="38" customWidth="1"/>
    <col min="12053" max="12053" width="18.453125" style="38" customWidth="1"/>
    <col min="12054" max="12054" width="0.1796875" style="38" customWidth="1"/>
    <col min="12055" max="12055" width="9.1796875" style="38"/>
    <col min="12056" max="12056" width="11.26953125" style="38" customWidth="1"/>
    <col min="12057" max="12057" width="17.81640625" style="38" bestFit="1" customWidth="1"/>
    <col min="12058" max="12299" width="9.1796875" style="38"/>
    <col min="12300" max="12300" width="79.7265625" style="38" customWidth="1"/>
    <col min="12301" max="12301" width="8.7265625" style="38" customWidth="1"/>
    <col min="12302" max="12302" width="0.81640625" style="38" customWidth="1"/>
    <col min="12303" max="12303" width="12.81640625" style="38" customWidth="1"/>
    <col min="12304" max="12304" width="0.81640625" style="38" customWidth="1"/>
    <col min="12305" max="12305" width="18.1796875" style="38" customWidth="1"/>
    <col min="12306" max="12306" width="0.81640625" style="38" customWidth="1"/>
    <col min="12307" max="12307" width="12.81640625" style="38" customWidth="1"/>
    <col min="12308" max="12308" width="0.81640625" style="38" customWidth="1"/>
    <col min="12309" max="12309" width="18.453125" style="38" customWidth="1"/>
    <col min="12310" max="12310" width="0.1796875" style="38" customWidth="1"/>
    <col min="12311" max="12311" width="9.1796875" style="38"/>
    <col min="12312" max="12312" width="11.26953125" style="38" customWidth="1"/>
    <col min="12313" max="12313" width="17.81640625" style="38" bestFit="1" customWidth="1"/>
    <col min="12314" max="12555" width="9.1796875" style="38"/>
    <col min="12556" max="12556" width="79.7265625" style="38" customWidth="1"/>
    <col min="12557" max="12557" width="8.7265625" style="38" customWidth="1"/>
    <col min="12558" max="12558" width="0.81640625" style="38" customWidth="1"/>
    <col min="12559" max="12559" width="12.81640625" style="38" customWidth="1"/>
    <col min="12560" max="12560" width="0.81640625" style="38" customWidth="1"/>
    <col min="12561" max="12561" width="18.1796875" style="38" customWidth="1"/>
    <col min="12562" max="12562" width="0.81640625" style="38" customWidth="1"/>
    <col min="12563" max="12563" width="12.81640625" style="38" customWidth="1"/>
    <col min="12564" max="12564" width="0.81640625" style="38" customWidth="1"/>
    <col min="12565" max="12565" width="18.453125" style="38" customWidth="1"/>
    <col min="12566" max="12566" width="0.1796875" style="38" customWidth="1"/>
    <col min="12567" max="12567" width="9.1796875" style="38"/>
    <col min="12568" max="12568" width="11.26953125" style="38" customWidth="1"/>
    <col min="12569" max="12569" width="17.81640625" style="38" bestFit="1" customWidth="1"/>
    <col min="12570" max="12811" width="9.1796875" style="38"/>
    <col min="12812" max="12812" width="79.7265625" style="38" customWidth="1"/>
    <col min="12813" max="12813" width="8.7265625" style="38" customWidth="1"/>
    <col min="12814" max="12814" width="0.81640625" style="38" customWidth="1"/>
    <col min="12815" max="12815" width="12.81640625" style="38" customWidth="1"/>
    <col min="12816" max="12816" width="0.81640625" style="38" customWidth="1"/>
    <col min="12817" max="12817" width="18.1796875" style="38" customWidth="1"/>
    <col min="12818" max="12818" width="0.81640625" style="38" customWidth="1"/>
    <col min="12819" max="12819" width="12.81640625" style="38" customWidth="1"/>
    <col min="12820" max="12820" width="0.81640625" style="38" customWidth="1"/>
    <col min="12821" max="12821" width="18.453125" style="38" customWidth="1"/>
    <col min="12822" max="12822" width="0.1796875" style="38" customWidth="1"/>
    <col min="12823" max="12823" width="9.1796875" style="38"/>
    <col min="12824" max="12824" width="11.26953125" style="38" customWidth="1"/>
    <col min="12825" max="12825" width="17.81640625" style="38" bestFit="1" customWidth="1"/>
    <col min="12826" max="13067" width="9.1796875" style="38"/>
    <col min="13068" max="13068" width="79.7265625" style="38" customWidth="1"/>
    <col min="13069" max="13069" width="8.7265625" style="38" customWidth="1"/>
    <col min="13070" max="13070" width="0.81640625" style="38" customWidth="1"/>
    <col min="13071" max="13071" width="12.81640625" style="38" customWidth="1"/>
    <col min="13072" max="13072" width="0.81640625" style="38" customWidth="1"/>
    <col min="13073" max="13073" width="18.1796875" style="38" customWidth="1"/>
    <col min="13074" max="13074" width="0.81640625" style="38" customWidth="1"/>
    <col min="13075" max="13075" width="12.81640625" style="38" customWidth="1"/>
    <col min="13076" max="13076" width="0.81640625" style="38" customWidth="1"/>
    <col min="13077" max="13077" width="18.453125" style="38" customWidth="1"/>
    <col min="13078" max="13078" width="0.1796875" style="38" customWidth="1"/>
    <col min="13079" max="13079" width="9.1796875" style="38"/>
    <col min="13080" max="13080" width="11.26953125" style="38" customWidth="1"/>
    <col min="13081" max="13081" width="17.81640625" style="38" bestFit="1" customWidth="1"/>
    <col min="13082" max="13323" width="9.1796875" style="38"/>
    <col min="13324" max="13324" width="79.7265625" style="38" customWidth="1"/>
    <col min="13325" max="13325" width="8.7265625" style="38" customWidth="1"/>
    <col min="13326" max="13326" width="0.81640625" style="38" customWidth="1"/>
    <col min="13327" max="13327" width="12.81640625" style="38" customWidth="1"/>
    <col min="13328" max="13328" width="0.81640625" style="38" customWidth="1"/>
    <col min="13329" max="13329" width="18.1796875" style="38" customWidth="1"/>
    <col min="13330" max="13330" width="0.81640625" style="38" customWidth="1"/>
    <col min="13331" max="13331" width="12.81640625" style="38" customWidth="1"/>
    <col min="13332" max="13332" width="0.81640625" style="38" customWidth="1"/>
    <col min="13333" max="13333" width="18.453125" style="38" customWidth="1"/>
    <col min="13334" max="13334" width="0.1796875" style="38" customWidth="1"/>
    <col min="13335" max="13335" width="9.1796875" style="38"/>
    <col min="13336" max="13336" width="11.26953125" style="38" customWidth="1"/>
    <col min="13337" max="13337" width="17.81640625" style="38" bestFit="1" customWidth="1"/>
    <col min="13338" max="13579" width="9.1796875" style="38"/>
    <col min="13580" max="13580" width="79.7265625" style="38" customWidth="1"/>
    <col min="13581" max="13581" width="8.7265625" style="38" customWidth="1"/>
    <col min="13582" max="13582" width="0.81640625" style="38" customWidth="1"/>
    <col min="13583" max="13583" width="12.81640625" style="38" customWidth="1"/>
    <col min="13584" max="13584" width="0.81640625" style="38" customWidth="1"/>
    <col min="13585" max="13585" width="18.1796875" style="38" customWidth="1"/>
    <col min="13586" max="13586" width="0.81640625" style="38" customWidth="1"/>
    <col min="13587" max="13587" width="12.81640625" style="38" customWidth="1"/>
    <col min="13588" max="13588" width="0.81640625" style="38" customWidth="1"/>
    <col min="13589" max="13589" width="18.453125" style="38" customWidth="1"/>
    <col min="13590" max="13590" width="0.1796875" style="38" customWidth="1"/>
    <col min="13591" max="13591" width="9.1796875" style="38"/>
    <col min="13592" max="13592" width="11.26953125" style="38" customWidth="1"/>
    <col min="13593" max="13593" width="17.81640625" style="38" bestFit="1" customWidth="1"/>
    <col min="13594" max="13835" width="9.1796875" style="38"/>
    <col min="13836" max="13836" width="79.7265625" style="38" customWidth="1"/>
    <col min="13837" max="13837" width="8.7265625" style="38" customWidth="1"/>
    <col min="13838" max="13838" width="0.81640625" style="38" customWidth="1"/>
    <col min="13839" max="13839" width="12.81640625" style="38" customWidth="1"/>
    <col min="13840" max="13840" width="0.81640625" style="38" customWidth="1"/>
    <col min="13841" max="13841" width="18.1796875" style="38" customWidth="1"/>
    <col min="13842" max="13842" width="0.81640625" style="38" customWidth="1"/>
    <col min="13843" max="13843" width="12.81640625" style="38" customWidth="1"/>
    <col min="13844" max="13844" width="0.81640625" style="38" customWidth="1"/>
    <col min="13845" max="13845" width="18.453125" style="38" customWidth="1"/>
    <col min="13846" max="13846" width="0.1796875" style="38" customWidth="1"/>
    <col min="13847" max="13847" width="9.1796875" style="38"/>
    <col min="13848" max="13848" width="11.26953125" style="38" customWidth="1"/>
    <col min="13849" max="13849" width="17.81640625" style="38" bestFit="1" customWidth="1"/>
    <col min="13850" max="14091" width="9.1796875" style="38"/>
    <col min="14092" max="14092" width="79.7265625" style="38" customWidth="1"/>
    <col min="14093" max="14093" width="8.7265625" style="38" customWidth="1"/>
    <col min="14094" max="14094" width="0.81640625" style="38" customWidth="1"/>
    <col min="14095" max="14095" width="12.81640625" style="38" customWidth="1"/>
    <col min="14096" max="14096" width="0.81640625" style="38" customWidth="1"/>
    <col min="14097" max="14097" width="18.1796875" style="38" customWidth="1"/>
    <col min="14098" max="14098" width="0.81640625" style="38" customWidth="1"/>
    <col min="14099" max="14099" width="12.81640625" style="38" customWidth="1"/>
    <col min="14100" max="14100" width="0.81640625" style="38" customWidth="1"/>
    <col min="14101" max="14101" width="18.453125" style="38" customWidth="1"/>
    <col min="14102" max="14102" width="0.1796875" style="38" customWidth="1"/>
    <col min="14103" max="14103" width="9.1796875" style="38"/>
    <col min="14104" max="14104" width="11.26953125" style="38" customWidth="1"/>
    <col min="14105" max="14105" width="17.81640625" style="38" bestFit="1" customWidth="1"/>
    <col min="14106" max="14347" width="9.1796875" style="38"/>
    <col min="14348" max="14348" width="79.7265625" style="38" customWidth="1"/>
    <col min="14349" max="14349" width="8.7265625" style="38" customWidth="1"/>
    <col min="14350" max="14350" width="0.81640625" style="38" customWidth="1"/>
    <col min="14351" max="14351" width="12.81640625" style="38" customWidth="1"/>
    <col min="14352" max="14352" width="0.81640625" style="38" customWidth="1"/>
    <col min="14353" max="14353" width="18.1796875" style="38" customWidth="1"/>
    <col min="14354" max="14354" width="0.81640625" style="38" customWidth="1"/>
    <col min="14355" max="14355" width="12.81640625" style="38" customWidth="1"/>
    <col min="14356" max="14356" width="0.81640625" style="38" customWidth="1"/>
    <col min="14357" max="14357" width="18.453125" style="38" customWidth="1"/>
    <col min="14358" max="14358" width="0.1796875" style="38" customWidth="1"/>
    <col min="14359" max="14359" width="9.1796875" style="38"/>
    <col min="14360" max="14360" width="11.26953125" style="38" customWidth="1"/>
    <col min="14361" max="14361" width="17.81640625" style="38" bestFit="1" customWidth="1"/>
    <col min="14362" max="14603" width="9.1796875" style="38"/>
    <col min="14604" max="14604" width="79.7265625" style="38" customWidth="1"/>
    <col min="14605" max="14605" width="8.7265625" style="38" customWidth="1"/>
    <col min="14606" max="14606" width="0.81640625" style="38" customWidth="1"/>
    <col min="14607" max="14607" width="12.81640625" style="38" customWidth="1"/>
    <col min="14608" max="14608" width="0.81640625" style="38" customWidth="1"/>
    <col min="14609" max="14609" width="18.1796875" style="38" customWidth="1"/>
    <col min="14610" max="14610" width="0.81640625" style="38" customWidth="1"/>
    <col min="14611" max="14611" width="12.81640625" style="38" customWidth="1"/>
    <col min="14612" max="14612" width="0.81640625" style="38" customWidth="1"/>
    <col min="14613" max="14613" width="18.453125" style="38" customWidth="1"/>
    <col min="14614" max="14614" width="0.1796875" style="38" customWidth="1"/>
    <col min="14615" max="14615" width="9.1796875" style="38"/>
    <col min="14616" max="14616" width="11.26953125" style="38" customWidth="1"/>
    <col min="14617" max="14617" width="17.81640625" style="38" bestFit="1" customWidth="1"/>
    <col min="14618" max="14859" width="9.1796875" style="38"/>
    <col min="14860" max="14860" width="79.7265625" style="38" customWidth="1"/>
    <col min="14861" max="14861" width="8.7265625" style="38" customWidth="1"/>
    <col min="14862" max="14862" width="0.81640625" style="38" customWidth="1"/>
    <col min="14863" max="14863" width="12.81640625" style="38" customWidth="1"/>
    <col min="14864" max="14864" width="0.81640625" style="38" customWidth="1"/>
    <col min="14865" max="14865" width="18.1796875" style="38" customWidth="1"/>
    <col min="14866" max="14866" width="0.81640625" style="38" customWidth="1"/>
    <col min="14867" max="14867" width="12.81640625" style="38" customWidth="1"/>
    <col min="14868" max="14868" width="0.81640625" style="38" customWidth="1"/>
    <col min="14869" max="14869" width="18.453125" style="38" customWidth="1"/>
    <col min="14870" max="14870" width="0.1796875" style="38" customWidth="1"/>
    <col min="14871" max="14871" width="9.1796875" style="38"/>
    <col min="14872" max="14872" width="11.26953125" style="38" customWidth="1"/>
    <col min="14873" max="14873" width="17.81640625" style="38" bestFit="1" customWidth="1"/>
    <col min="14874" max="15115" width="9.1796875" style="38"/>
    <col min="15116" max="15116" width="79.7265625" style="38" customWidth="1"/>
    <col min="15117" max="15117" width="8.7265625" style="38" customWidth="1"/>
    <col min="15118" max="15118" width="0.81640625" style="38" customWidth="1"/>
    <col min="15119" max="15119" width="12.81640625" style="38" customWidth="1"/>
    <col min="15120" max="15120" width="0.81640625" style="38" customWidth="1"/>
    <col min="15121" max="15121" width="18.1796875" style="38" customWidth="1"/>
    <col min="15122" max="15122" width="0.81640625" style="38" customWidth="1"/>
    <col min="15123" max="15123" width="12.81640625" style="38" customWidth="1"/>
    <col min="15124" max="15124" width="0.81640625" style="38" customWidth="1"/>
    <col min="15125" max="15125" width="18.453125" style="38" customWidth="1"/>
    <col min="15126" max="15126" width="0.1796875" style="38" customWidth="1"/>
    <col min="15127" max="15127" width="9.1796875" style="38"/>
    <col min="15128" max="15128" width="11.26953125" style="38" customWidth="1"/>
    <col min="15129" max="15129" width="17.81640625" style="38" bestFit="1" customWidth="1"/>
    <col min="15130" max="15371" width="9.1796875" style="38"/>
    <col min="15372" max="15372" width="79.7265625" style="38" customWidth="1"/>
    <col min="15373" max="15373" width="8.7265625" style="38" customWidth="1"/>
    <col min="15374" max="15374" width="0.81640625" style="38" customWidth="1"/>
    <col min="15375" max="15375" width="12.81640625" style="38" customWidth="1"/>
    <col min="15376" max="15376" width="0.81640625" style="38" customWidth="1"/>
    <col min="15377" max="15377" width="18.1796875" style="38" customWidth="1"/>
    <col min="15378" max="15378" width="0.81640625" style="38" customWidth="1"/>
    <col min="15379" max="15379" width="12.81640625" style="38" customWidth="1"/>
    <col min="15380" max="15380" width="0.81640625" style="38" customWidth="1"/>
    <col min="15381" max="15381" width="18.453125" style="38" customWidth="1"/>
    <col min="15382" max="15382" width="0.1796875" style="38" customWidth="1"/>
    <col min="15383" max="15383" width="9.1796875" style="38"/>
    <col min="15384" max="15384" width="11.26953125" style="38" customWidth="1"/>
    <col min="15385" max="15385" width="17.81640625" style="38" bestFit="1" customWidth="1"/>
    <col min="15386" max="15627" width="9.1796875" style="38"/>
    <col min="15628" max="15628" width="79.7265625" style="38" customWidth="1"/>
    <col min="15629" max="15629" width="8.7265625" style="38" customWidth="1"/>
    <col min="15630" max="15630" width="0.81640625" style="38" customWidth="1"/>
    <col min="15631" max="15631" width="12.81640625" style="38" customWidth="1"/>
    <col min="15632" max="15632" width="0.81640625" style="38" customWidth="1"/>
    <col min="15633" max="15633" width="18.1796875" style="38" customWidth="1"/>
    <col min="15634" max="15634" width="0.81640625" style="38" customWidth="1"/>
    <col min="15635" max="15635" width="12.81640625" style="38" customWidth="1"/>
    <col min="15636" max="15636" width="0.81640625" style="38" customWidth="1"/>
    <col min="15637" max="15637" width="18.453125" style="38" customWidth="1"/>
    <col min="15638" max="15638" width="0.1796875" style="38" customWidth="1"/>
    <col min="15639" max="15639" width="9.1796875" style="38"/>
    <col min="15640" max="15640" width="11.26953125" style="38" customWidth="1"/>
    <col min="15641" max="15641" width="17.81640625" style="38" bestFit="1" customWidth="1"/>
    <col min="15642" max="15883" width="9.1796875" style="38"/>
    <col min="15884" max="15884" width="79.7265625" style="38" customWidth="1"/>
    <col min="15885" max="15885" width="8.7265625" style="38" customWidth="1"/>
    <col min="15886" max="15886" width="0.81640625" style="38" customWidth="1"/>
    <col min="15887" max="15887" width="12.81640625" style="38" customWidth="1"/>
    <col min="15888" max="15888" width="0.81640625" style="38" customWidth="1"/>
    <col min="15889" max="15889" width="18.1796875" style="38" customWidth="1"/>
    <col min="15890" max="15890" width="0.81640625" style="38" customWidth="1"/>
    <col min="15891" max="15891" width="12.81640625" style="38" customWidth="1"/>
    <col min="15892" max="15892" width="0.81640625" style="38" customWidth="1"/>
    <col min="15893" max="15893" width="18.453125" style="38" customWidth="1"/>
    <col min="15894" max="15894" width="0.1796875" style="38" customWidth="1"/>
    <col min="15895" max="15895" width="9.1796875" style="38"/>
    <col min="15896" max="15896" width="11.26953125" style="38" customWidth="1"/>
    <col min="15897" max="15897" width="17.81640625" style="38" bestFit="1" customWidth="1"/>
    <col min="15898" max="16139" width="9.1796875" style="38"/>
    <col min="16140" max="16140" width="79.7265625" style="38" customWidth="1"/>
    <col min="16141" max="16141" width="8.7265625" style="38" customWidth="1"/>
    <col min="16142" max="16142" width="0.81640625" style="38" customWidth="1"/>
    <col min="16143" max="16143" width="12.81640625" style="38" customWidth="1"/>
    <col min="16144" max="16144" width="0.81640625" style="38" customWidth="1"/>
    <col min="16145" max="16145" width="18.1796875" style="38" customWidth="1"/>
    <col min="16146" max="16146" width="0.81640625" style="38" customWidth="1"/>
    <col min="16147" max="16147" width="12.81640625" style="38" customWidth="1"/>
    <col min="16148" max="16148" width="0.81640625" style="38" customWidth="1"/>
    <col min="16149" max="16149" width="18.453125" style="38" customWidth="1"/>
    <col min="16150" max="16150" width="0.1796875" style="38" customWidth="1"/>
    <col min="16151" max="16151" width="9.1796875" style="38"/>
    <col min="16152" max="16152" width="11.26953125" style="38" customWidth="1"/>
    <col min="16153" max="16153" width="17.81640625" style="38" bestFit="1" customWidth="1"/>
    <col min="16154" max="16384" width="9.1796875" style="38"/>
  </cols>
  <sheetData>
    <row r="1" spans="1:70" ht="32.25" customHeight="1" x14ac:dyDescent="0.3">
      <c r="BM1" s="222"/>
      <c r="BN1" s="222"/>
      <c r="BO1" s="222"/>
      <c r="BP1" s="222"/>
      <c r="BQ1" s="222"/>
      <c r="BR1" s="222"/>
    </row>
    <row r="2" spans="1:70" ht="27.75" customHeight="1" x14ac:dyDescent="0.5">
      <c r="A2" s="37" t="s">
        <v>0</v>
      </c>
      <c r="BM2" s="222"/>
      <c r="BN2" s="222"/>
      <c r="BO2" s="222"/>
      <c r="BP2" s="222"/>
      <c r="BQ2" s="222"/>
      <c r="BR2" s="222"/>
    </row>
    <row r="3" spans="1:70" ht="15.75" customHeight="1" x14ac:dyDescent="0.3">
      <c r="A3" s="39"/>
      <c r="BM3" s="222"/>
      <c r="BN3" s="222"/>
      <c r="BO3" s="222"/>
      <c r="BP3" s="222"/>
      <c r="BQ3" s="222"/>
      <c r="BR3" s="222"/>
    </row>
    <row r="4" spans="1:70" ht="15.75" customHeight="1" x14ac:dyDescent="0.45">
      <c r="A4" s="40" t="s">
        <v>122</v>
      </c>
      <c r="BM4" s="222"/>
      <c r="BN4" s="222"/>
      <c r="BO4" s="222"/>
      <c r="BP4" s="222"/>
      <c r="BQ4" s="222"/>
      <c r="BR4" s="222"/>
    </row>
    <row r="5" spans="1:70" ht="15.75" customHeight="1" x14ac:dyDescent="0.45">
      <c r="A5" s="40" t="s">
        <v>123</v>
      </c>
      <c r="BM5" s="222"/>
      <c r="BN5" s="222"/>
      <c r="BO5" s="222"/>
      <c r="BP5" s="222"/>
      <c r="BQ5" s="222"/>
      <c r="BR5" s="222"/>
    </row>
    <row r="6" spans="1:70" ht="15.75" customHeight="1" x14ac:dyDescent="0.45">
      <c r="A6" s="41" t="s">
        <v>124</v>
      </c>
      <c r="BM6" s="222"/>
      <c r="BN6" s="222"/>
      <c r="BO6" s="222"/>
      <c r="BP6" s="222"/>
      <c r="BQ6" s="222"/>
      <c r="BR6" s="222"/>
    </row>
    <row r="7" spans="1:70" x14ac:dyDescent="0.3">
      <c r="BM7" s="222"/>
      <c r="BN7" s="222"/>
      <c r="BO7" s="222"/>
      <c r="BP7" s="222"/>
      <c r="BQ7" s="222"/>
      <c r="BR7" s="222"/>
    </row>
    <row r="8" spans="1:70" x14ac:dyDescent="0.3">
      <c r="BM8" s="222"/>
      <c r="BN8" s="222"/>
      <c r="BO8" s="222"/>
      <c r="BP8" s="222"/>
      <c r="BQ8" s="222"/>
      <c r="BR8" s="222"/>
    </row>
    <row r="9" spans="1:70" s="46" customFormat="1" ht="15.75" customHeight="1" x14ac:dyDescent="0.35">
      <c r="A9" s="42"/>
      <c r="B9" s="43"/>
      <c r="C9" s="44"/>
      <c r="D9" s="45"/>
      <c r="BM9" s="223"/>
      <c r="BN9" s="223"/>
      <c r="BO9" s="223"/>
      <c r="BP9" s="223"/>
      <c r="BQ9" s="223"/>
      <c r="BR9" s="223"/>
    </row>
    <row r="10" spans="1:70" s="46" customFormat="1" ht="27" x14ac:dyDescent="0.35">
      <c r="A10" s="48"/>
      <c r="B10" s="113" t="s">
        <v>125</v>
      </c>
      <c r="C10" s="49"/>
      <c r="D10" s="113">
        <v>43190</v>
      </c>
      <c r="F10" s="113">
        <v>43281</v>
      </c>
      <c r="G10" s="125"/>
      <c r="H10" s="113">
        <v>43373</v>
      </c>
      <c r="I10" s="125"/>
      <c r="J10" s="113">
        <v>43465</v>
      </c>
      <c r="L10" s="113">
        <v>43555</v>
      </c>
      <c r="N10" s="113">
        <v>43646</v>
      </c>
      <c r="O10" s="125"/>
      <c r="P10" s="113">
        <v>43738</v>
      </c>
      <c r="Q10" s="125"/>
      <c r="R10" s="113">
        <v>43830</v>
      </c>
      <c r="T10" s="113">
        <v>43921</v>
      </c>
      <c r="V10" s="113">
        <v>44012</v>
      </c>
      <c r="X10" s="113">
        <v>44104</v>
      </c>
      <c r="Z10" s="113">
        <v>44196</v>
      </c>
      <c r="AB10" s="113">
        <v>44286</v>
      </c>
      <c r="AD10" s="113">
        <v>44377</v>
      </c>
      <c r="AF10" s="113">
        <v>44469</v>
      </c>
      <c r="AH10" s="113">
        <v>44561</v>
      </c>
      <c r="AJ10" s="113">
        <v>44651</v>
      </c>
      <c r="AL10" s="113">
        <v>44742</v>
      </c>
      <c r="AN10" s="113">
        <v>44834</v>
      </c>
      <c r="AP10" s="113">
        <v>44926</v>
      </c>
      <c r="AR10" s="113">
        <v>45016</v>
      </c>
      <c r="AT10" s="113">
        <v>45107</v>
      </c>
      <c r="AV10" s="113">
        <v>45199</v>
      </c>
      <c r="AX10" s="113">
        <v>45291</v>
      </c>
      <c r="AZ10" s="113">
        <v>45382</v>
      </c>
      <c r="BB10" s="113">
        <v>45473</v>
      </c>
      <c r="BD10" s="113" t="s">
        <v>410</v>
      </c>
      <c r="BF10" s="113">
        <v>45657</v>
      </c>
      <c r="BH10" s="113">
        <v>45747</v>
      </c>
      <c r="BJ10" s="113">
        <v>45838</v>
      </c>
      <c r="BL10" s="113">
        <v>45930</v>
      </c>
      <c r="BM10" s="223"/>
      <c r="BN10" s="245">
        <v>46022</v>
      </c>
      <c r="BO10" s="223"/>
      <c r="BP10" s="245">
        <v>46112</v>
      </c>
      <c r="BQ10" s="223"/>
      <c r="BR10" s="245">
        <v>46203</v>
      </c>
    </row>
    <row r="11" spans="1:70" s="46" customFormat="1" ht="15.75" customHeight="1" x14ac:dyDescent="0.35">
      <c r="A11" s="126" t="s">
        <v>126</v>
      </c>
      <c r="B11" s="50"/>
      <c r="C11" s="50"/>
      <c r="D11" s="51"/>
      <c r="BM11" s="223"/>
      <c r="BN11" s="223"/>
      <c r="BO11" s="223"/>
      <c r="BP11" s="223"/>
      <c r="BQ11" s="223"/>
      <c r="BR11" s="223"/>
    </row>
    <row r="12" spans="1:70" s="46" customFormat="1" ht="15.75" customHeight="1" x14ac:dyDescent="0.35">
      <c r="A12" s="52"/>
      <c r="B12" s="51"/>
      <c r="C12" s="51"/>
      <c r="D12" s="51"/>
      <c r="BM12" s="223"/>
      <c r="BN12" s="223"/>
      <c r="BO12" s="223"/>
      <c r="BP12" s="223"/>
      <c r="BQ12" s="223"/>
      <c r="BR12" s="223"/>
    </row>
    <row r="13" spans="1:70" s="46" customFormat="1" x14ac:dyDescent="0.35">
      <c r="A13" s="133" t="s">
        <v>127</v>
      </c>
      <c r="B13" s="54"/>
      <c r="C13" s="54"/>
      <c r="D13" s="54"/>
      <c r="BM13" s="223"/>
      <c r="BN13" s="223"/>
      <c r="BO13" s="223"/>
      <c r="BP13" s="223"/>
      <c r="BQ13" s="223"/>
      <c r="BR13" s="223"/>
    </row>
    <row r="14" spans="1:70" s="46" customFormat="1" x14ac:dyDescent="0.35">
      <c r="A14" s="53" t="s">
        <v>7</v>
      </c>
      <c r="B14" s="11">
        <v>644</v>
      </c>
      <c r="C14" s="11"/>
      <c r="D14" s="11">
        <v>2367</v>
      </c>
      <c r="E14" s="13"/>
      <c r="F14" s="11">
        <v>4754</v>
      </c>
      <c r="G14" s="3"/>
      <c r="H14" s="14">
        <v>5101</v>
      </c>
      <c r="I14" s="3"/>
      <c r="J14" s="14">
        <v>3400</v>
      </c>
      <c r="K14" s="3"/>
      <c r="L14" s="14">
        <v>4641</v>
      </c>
      <c r="M14" s="3"/>
      <c r="N14" s="14">
        <v>12260</v>
      </c>
      <c r="O14" s="3"/>
      <c r="P14" s="14">
        <v>13296</v>
      </c>
      <c r="Q14" s="3"/>
      <c r="R14" s="14">
        <v>34157</v>
      </c>
      <c r="S14" s="3"/>
      <c r="T14" s="14">
        <v>7730</v>
      </c>
      <c r="U14" s="3"/>
      <c r="V14" s="14">
        <v>27646</v>
      </c>
      <c r="W14" s="14"/>
      <c r="X14" s="14">
        <v>47445</v>
      </c>
      <c r="Y14" s="3"/>
      <c r="Z14" s="14">
        <v>52035</v>
      </c>
      <c r="AA14" s="3"/>
      <c r="AB14" s="14">
        <v>43367</v>
      </c>
      <c r="AC14" s="3"/>
      <c r="AD14" s="14">
        <v>50134</v>
      </c>
      <c r="AE14" s="3"/>
      <c r="AF14" s="14">
        <v>50628</v>
      </c>
      <c r="AG14" s="3"/>
      <c r="AH14" s="14">
        <v>66038</v>
      </c>
      <c r="AI14" s="3"/>
      <c r="AJ14" s="14">
        <v>53723</v>
      </c>
      <c r="AK14" s="3"/>
      <c r="AL14" s="14">
        <v>44656</v>
      </c>
      <c r="AM14" s="3"/>
      <c r="AN14" s="14">
        <v>91538</v>
      </c>
      <c r="AO14" s="3"/>
      <c r="AP14" s="14">
        <v>105039</v>
      </c>
      <c r="AQ14" s="3"/>
      <c r="AR14" s="14">
        <v>180380</v>
      </c>
      <c r="AS14" s="3"/>
      <c r="AT14" s="14">
        <v>67826</v>
      </c>
      <c r="AU14" s="3"/>
      <c r="AV14" s="14">
        <v>82151</v>
      </c>
      <c r="AW14" s="3"/>
      <c r="AX14" s="14">
        <v>125891</v>
      </c>
      <c r="AY14" s="3"/>
      <c r="AZ14" s="14">
        <v>174881</v>
      </c>
      <c r="BA14" s="3"/>
      <c r="BB14" s="14">
        <v>179772</v>
      </c>
      <c r="BC14" s="3"/>
      <c r="BD14" s="14">
        <v>182138</v>
      </c>
      <c r="BE14" s="3"/>
      <c r="BF14" s="14">
        <v>232537</v>
      </c>
      <c r="BG14" s="3"/>
      <c r="BH14" s="14">
        <v>349281</v>
      </c>
      <c r="BI14" s="3"/>
      <c r="BJ14" s="14">
        <v>356525</v>
      </c>
      <c r="BK14" s="3"/>
      <c r="BL14" s="14">
        <v>478906</v>
      </c>
      <c r="BM14" s="225"/>
      <c r="BN14" s="226">
        <v>343246</v>
      </c>
      <c r="BO14" s="225"/>
      <c r="BP14" s="226">
        <v>301114</v>
      </c>
      <c r="BQ14" s="225"/>
      <c r="BR14" s="226">
        <v>301833</v>
      </c>
    </row>
    <row r="15" spans="1:70" s="46" customFormat="1" x14ac:dyDescent="0.35">
      <c r="A15" s="53" t="s">
        <v>8</v>
      </c>
      <c r="B15" s="11">
        <v>1864</v>
      </c>
      <c r="C15" s="11"/>
      <c r="D15" s="11">
        <f>41</f>
        <v>41</v>
      </c>
      <c r="E15" s="13"/>
      <c r="F15" s="11">
        <v>542</v>
      </c>
      <c r="G15" s="3"/>
      <c r="H15" s="14">
        <v>6</v>
      </c>
      <c r="I15" s="3"/>
      <c r="J15" s="14">
        <v>28</v>
      </c>
      <c r="K15" s="3"/>
      <c r="L15" s="14">
        <v>463</v>
      </c>
      <c r="M15" s="3"/>
      <c r="N15" s="14">
        <v>13</v>
      </c>
      <c r="O15" s="3"/>
      <c r="P15" s="14">
        <v>3573</v>
      </c>
      <c r="Q15" s="3"/>
      <c r="R15" s="14">
        <v>3616</v>
      </c>
      <c r="S15" s="3"/>
      <c r="T15" s="14">
        <v>138324</v>
      </c>
      <c r="U15" s="3"/>
      <c r="V15" s="14">
        <v>120331</v>
      </c>
      <c r="W15" s="14"/>
      <c r="X15" s="14">
        <v>87133</v>
      </c>
      <c r="Y15" s="3"/>
      <c r="Z15" s="14">
        <v>57794</v>
      </c>
      <c r="AA15" s="3"/>
      <c r="AB15" s="14">
        <v>35197</v>
      </c>
      <c r="AC15" s="3"/>
      <c r="AD15" s="14">
        <v>20423</v>
      </c>
      <c r="AE15" s="3"/>
      <c r="AF15" s="14">
        <v>20482</v>
      </c>
      <c r="AG15" s="3"/>
      <c r="AH15" s="14">
        <v>10611</v>
      </c>
      <c r="AI15" s="3"/>
      <c r="AJ15" s="14">
        <v>12684</v>
      </c>
      <c r="AK15" s="3"/>
      <c r="AL15" s="14">
        <v>12792</v>
      </c>
      <c r="AM15" s="3"/>
      <c r="AN15" s="14">
        <v>12482</v>
      </c>
      <c r="AO15" s="3"/>
      <c r="AP15" s="14">
        <v>10848</v>
      </c>
      <c r="AQ15" s="3"/>
      <c r="AR15" s="14">
        <v>10857</v>
      </c>
      <c r="AS15" s="3"/>
      <c r="AT15" s="14">
        <v>11038</v>
      </c>
      <c r="AU15" s="3"/>
      <c r="AV15" s="14">
        <v>10858</v>
      </c>
      <c r="AW15" s="3"/>
      <c r="AX15" s="14">
        <v>11011</v>
      </c>
      <c r="AY15" s="3"/>
      <c r="AZ15" s="14">
        <v>10960</v>
      </c>
      <c r="BA15" s="3"/>
      <c r="BB15" s="14">
        <v>11774</v>
      </c>
      <c r="BC15" s="3"/>
      <c r="BD15" s="14">
        <v>10977</v>
      </c>
      <c r="BE15" s="3"/>
      <c r="BF15" s="14">
        <v>11202</v>
      </c>
      <c r="BG15" s="3"/>
      <c r="BH15" s="14">
        <v>11180</v>
      </c>
      <c r="BI15" s="3"/>
      <c r="BJ15" s="14">
        <v>11371</v>
      </c>
      <c r="BK15" s="3"/>
      <c r="BL15" s="14">
        <v>11188</v>
      </c>
      <c r="BM15" s="225"/>
      <c r="BN15" s="226">
        <v>11334</v>
      </c>
      <c r="BO15" s="225"/>
      <c r="BP15" s="226">
        <v>11257</v>
      </c>
      <c r="BQ15" s="225"/>
      <c r="BR15" s="226">
        <v>11554</v>
      </c>
    </row>
    <row r="16" spans="1:70" s="46" customFormat="1" x14ac:dyDescent="0.35">
      <c r="A16" s="53" t="s">
        <v>92</v>
      </c>
      <c r="B16" s="11">
        <v>0</v>
      </c>
      <c r="C16" s="11"/>
      <c r="D16" s="11">
        <v>0</v>
      </c>
      <c r="E16" s="13"/>
      <c r="F16" s="11">
        <v>0</v>
      </c>
      <c r="G16" s="3"/>
      <c r="H16" s="14">
        <v>0</v>
      </c>
      <c r="I16" s="3"/>
      <c r="J16" s="14">
        <v>0</v>
      </c>
      <c r="K16" s="3"/>
      <c r="L16" s="14">
        <v>0</v>
      </c>
      <c r="M16" s="3"/>
      <c r="N16" s="14">
        <v>14637</v>
      </c>
      <c r="O16" s="3"/>
      <c r="P16" s="14">
        <v>9800</v>
      </c>
      <c r="Q16" s="3"/>
      <c r="R16" s="14">
        <v>6755</v>
      </c>
      <c r="S16" s="3"/>
      <c r="T16" s="14">
        <v>1398</v>
      </c>
      <c r="U16" s="3"/>
      <c r="V16" s="14">
        <v>1130</v>
      </c>
      <c r="W16" s="14"/>
      <c r="X16" s="14">
        <v>863</v>
      </c>
      <c r="Y16" s="3"/>
      <c r="Z16" s="14">
        <v>593</v>
      </c>
      <c r="AA16" s="3"/>
      <c r="AB16" s="14">
        <v>0</v>
      </c>
      <c r="AC16" s="3"/>
      <c r="AD16" s="14">
        <v>0</v>
      </c>
      <c r="AE16" s="3"/>
      <c r="AF16" s="14">
        <v>0</v>
      </c>
      <c r="AG16" s="3"/>
      <c r="AH16" s="14">
        <v>0</v>
      </c>
      <c r="AI16" s="3"/>
      <c r="AJ16" s="14">
        <v>0</v>
      </c>
      <c r="AK16" s="3"/>
      <c r="AL16" s="14">
        <v>0</v>
      </c>
      <c r="AM16" s="3"/>
      <c r="AN16" s="14">
        <v>0</v>
      </c>
      <c r="AO16" s="3"/>
      <c r="AP16" s="14">
        <v>0</v>
      </c>
      <c r="AQ16" s="3"/>
      <c r="AR16" s="14">
        <v>0</v>
      </c>
      <c r="AS16" s="3"/>
      <c r="AT16" s="14">
        <v>0</v>
      </c>
      <c r="AU16" s="3"/>
      <c r="AV16" s="14">
        <v>0</v>
      </c>
      <c r="AW16" s="3"/>
      <c r="AX16" s="14">
        <v>0</v>
      </c>
      <c r="AY16" s="3"/>
      <c r="AZ16" s="14">
        <v>0</v>
      </c>
      <c r="BA16" s="3"/>
      <c r="BB16" s="14">
        <v>0</v>
      </c>
      <c r="BC16" s="3"/>
      <c r="BD16" s="14">
        <v>0</v>
      </c>
      <c r="BE16" s="3"/>
      <c r="BF16" s="14">
        <v>0</v>
      </c>
      <c r="BG16" s="3"/>
      <c r="BH16" s="14">
        <v>0</v>
      </c>
      <c r="BI16" s="3"/>
      <c r="BJ16" s="14">
        <v>0</v>
      </c>
      <c r="BK16" s="3"/>
      <c r="BL16" s="14">
        <v>0</v>
      </c>
      <c r="BM16" s="225"/>
      <c r="BN16" s="226">
        <v>0</v>
      </c>
      <c r="BO16" s="225"/>
      <c r="BP16" s="226">
        <v>0</v>
      </c>
      <c r="BQ16" s="225"/>
      <c r="BR16" s="226">
        <v>0</v>
      </c>
    </row>
    <row r="17" spans="1:70" s="46" customFormat="1" x14ac:dyDescent="0.35">
      <c r="A17" s="53" t="s">
        <v>9</v>
      </c>
      <c r="B17" s="11">
        <v>67184</v>
      </c>
      <c r="C17" s="11"/>
      <c r="D17" s="11">
        <f>76973-1</f>
        <v>76972</v>
      </c>
      <c r="E17" s="13"/>
      <c r="F17" s="11">
        <v>70422</v>
      </c>
      <c r="G17" s="3"/>
      <c r="H17" s="14">
        <v>66556</v>
      </c>
      <c r="I17" s="3"/>
      <c r="J17" s="14">
        <v>69815</v>
      </c>
      <c r="K17" s="3"/>
      <c r="L17" s="14">
        <v>71528</v>
      </c>
      <c r="M17" s="3"/>
      <c r="N17" s="14">
        <v>65509</v>
      </c>
      <c r="O17" s="3"/>
      <c r="P17" s="14">
        <v>59853</v>
      </c>
      <c r="Q17" s="3"/>
      <c r="R17" s="14">
        <v>52607</v>
      </c>
      <c r="S17" s="3"/>
      <c r="T17" s="14">
        <v>69489</v>
      </c>
      <c r="U17" s="3"/>
      <c r="V17" s="14">
        <v>51624</v>
      </c>
      <c r="W17" s="14"/>
      <c r="X17" s="14">
        <v>54726</v>
      </c>
      <c r="Y17" s="3"/>
      <c r="Z17" s="14">
        <v>63078</v>
      </c>
      <c r="AA17" s="3"/>
      <c r="AB17" s="14">
        <v>79141</v>
      </c>
      <c r="AC17" s="3"/>
      <c r="AD17" s="14">
        <v>103303</v>
      </c>
      <c r="AE17" s="3"/>
      <c r="AF17" s="14">
        <v>105848</v>
      </c>
      <c r="AG17" s="3"/>
      <c r="AH17" s="14">
        <v>108811</v>
      </c>
      <c r="AI17" s="3"/>
      <c r="AJ17" s="14">
        <v>122120</v>
      </c>
      <c r="AK17" s="3"/>
      <c r="AL17" s="14">
        <v>159082</v>
      </c>
      <c r="AM17" s="3"/>
      <c r="AN17" s="14">
        <v>205139</v>
      </c>
      <c r="AO17" s="3"/>
      <c r="AP17" s="14">
        <v>205273</v>
      </c>
      <c r="AQ17" s="3"/>
      <c r="AR17" s="14">
        <v>226922</v>
      </c>
      <c r="AS17" s="3"/>
      <c r="AT17" s="14">
        <v>271795</v>
      </c>
      <c r="AU17" s="3"/>
      <c r="AV17" s="14">
        <v>232718</v>
      </c>
      <c r="AW17" s="3"/>
      <c r="AX17" s="14">
        <v>276728</v>
      </c>
      <c r="AY17" s="3"/>
      <c r="AZ17" s="14">
        <v>239120</v>
      </c>
      <c r="BA17" s="3"/>
      <c r="BB17" s="14">
        <v>223508</v>
      </c>
      <c r="BC17" s="3"/>
      <c r="BD17" s="14">
        <v>344358</v>
      </c>
      <c r="BE17" s="3"/>
      <c r="BF17" s="14">
        <v>298446</v>
      </c>
      <c r="BG17" s="3"/>
      <c r="BH17" s="14">
        <v>375586</v>
      </c>
      <c r="BI17" s="3"/>
      <c r="BJ17" s="14">
        <v>369453</v>
      </c>
      <c r="BK17" s="3"/>
      <c r="BL17" s="14">
        <v>378588</v>
      </c>
      <c r="BM17" s="225"/>
      <c r="BN17" s="226">
        <v>414199</v>
      </c>
      <c r="BO17" s="225"/>
      <c r="BP17" s="226">
        <v>417547</v>
      </c>
      <c r="BQ17" s="225"/>
      <c r="BR17" s="226">
        <v>435138</v>
      </c>
    </row>
    <row r="18" spans="1:70" s="46" customFormat="1" x14ac:dyDescent="0.35">
      <c r="A18" s="53" t="s">
        <v>10</v>
      </c>
      <c r="B18" s="11">
        <v>1</v>
      </c>
      <c r="C18" s="11"/>
      <c r="D18" s="11">
        <v>1</v>
      </c>
      <c r="E18" s="13"/>
      <c r="F18" s="11">
        <v>0</v>
      </c>
      <c r="G18" s="3"/>
      <c r="H18" s="14">
        <v>0</v>
      </c>
      <c r="I18" s="3"/>
      <c r="J18" s="14">
        <v>0</v>
      </c>
      <c r="K18" s="3"/>
      <c r="L18" s="14">
        <v>0</v>
      </c>
      <c r="M18" s="3"/>
      <c r="N18" s="14">
        <v>0</v>
      </c>
      <c r="O18" s="3"/>
      <c r="P18" s="3">
        <v>0</v>
      </c>
      <c r="Q18" s="3"/>
      <c r="R18" s="14">
        <v>0</v>
      </c>
      <c r="S18" s="3"/>
      <c r="T18" s="14">
        <v>3</v>
      </c>
      <c r="U18" s="3"/>
      <c r="V18" s="14">
        <v>0</v>
      </c>
      <c r="W18" s="14"/>
      <c r="X18" s="14">
        <v>0</v>
      </c>
      <c r="Y18" s="3"/>
      <c r="Z18" s="14">
        <v>0</v>
      </c>
      <c r="AA18" s="3"/>
      <c r="AB18" s="14">
        <v>0</v>
      </c>
      <c r="AC18" s="3"/>
      <c r="AD18" s="14"/>
      <c r="AE18" s="3"/>
      <c r="AF18" s="14"/>
      <c r="AG18" s="3"/>
      <c r="AH18" s="14">
        <v>0</v>
      </c>
      <c r="AI18" s="3"/>
      <c r="AJ18" s="14">
        <v>0</v>
      </c>
      <c r="AK18" s="3"/>
      <c r="AL18" s="14">
        <v>0</v>
      </c>
      <c r="AM18" s="3"/>
      <c r="AN18" s="14">
        <v>0</v>
      </c>
      <c r="AO18" s="3"/>
      <c r="AP18" s="14">
        <v>0</v>
      </c>
      <c r="AQ18" s="3"/>
      <c r="AR18" s="14">
        <v>0</v>
      </c>
      <c r="AS18" s="3"/>
      <c r="AT18" s="14">
        <v>0</v>
      </c>
      <c r="AU18" s="3"/>
      <c r="AV18" s="14">
        <v>0</v>
      </c>
      <c r="AW18" s="3"/>
      <c r="AX18" s="14">
        <v>0</v>
      </c>
      <c r="AY18" s="3"/>
      <c r="AZ18" s="14">
        <v>126</v>
      </c>
      <c r="BA18" s="3"/>
      <c r="BB18" s="14">
        <v>22</v>
      </c>
      <c r="BC18" s="3"/>
      <c r="BD18" s="14">
        <v>11850</v>
      </c>
      <c r="BE18" s="3"/>
      <c r="BF18" s="14">
        <v>21087</v>
      </c>
      <c r="BG18" s="3"/>
      <c r="BH18" s="14">
        <v>4654</v>
      </c>
      <c r="BI18" s="3"/>
      <c r="BJ18" s="14">
        <v>6214</v>
      </c>
      <c r="BK18" s="3"/>
      <c r="BL18" s="14">
        <v>9237</v>
      </c>
      <c r="BM18" s="225"/>
      <c r="BN18" s="226">
        <v>15198</v>
      </c>
      <c r="BO18" s="225"/>
      <c r="BP18" s="226">
        <v>22255</v>
      </c>
      <c r="BQ18" s="225"/>
      <c r="BR18" s="226">
        <v>29441</v>
      </c>
    </row>
    <row r="19" spans="1:70" s="46" customFormat="1" x14ac:dyDescent="0.35">
      <c r="A19" s="53" t="s">
        <v>19</v>
      </c>
      <c r="B19" s="11">
        <v>0</v>
      </c>
      <c r="C19" s="11"/>
      <c r="D19" s="11">
        <v>0</v>
      </c>
      <c r="E19" s="13"/>
      <c r="F19" s="11">
        <v>0</v>
      </c>
      <c r="G19" s="3"/>
      <c r="H19" s="14">
        <v>0</v>
      </c>
      <c r="I19" s="3"/>
      <c r="J19" s="14">
        <v>0</v>
      </c>
      <c r="K19" s="3"/>
      <c r="L19" s="14">
        <v>0</v>
      </c>
      <c r="M19" s="3"/>
      <c r="N19" s="14">
        <v>0</v>
      </c>
      <c r="O19" s="3"/>
      <c r="P19" s="3">
        <v>272</v>
      </c>
      <c r="Q19" s="3"/>
      <c r="R19" s="14">
        <v>0</v>
      </c>
      <c r="S19" s="3"/>
      <c r="T19" s="14">
        <v>0</v>
      </c>
      <c r="U19" s="3"/>
      <c r="V19" s="14">
        <v>0</v>
      </c>
      <c r="W19" s="14"/>
      <c r="X19" s="14">
        <v>0</v>
      </c>
      <c r="Y19" s="3"/>
      <c r="Z19" s="14">
        <v>0</v>
      </c>
      <c r="AA19" s="3"/>
      <c r="AB19" s="14">
        <v>0</v>
      </c>
      <c r="AC19" s="3"/>
      <c r="AD19" s="14">
        <v>0</v>
      </c>
      <c r="AE19" s="3"/>
      <c r="AF19" s="14"/>
      <c r="AG19" s="3"/>
      <c r="AH19" s="14">
        <v>0</v>
      </c>
      <c r="AI19" s="3"/>
      <c r="AJ19" s="14">
        <v>0</v>
      </c>
      <c r="AK19" s="3"/>
      <c r="AL19" s="14">
        <v>0</v>
      </c>
      <c r="AM19" s="3"/>
      <c r="AN19" s="14">
        <v>0</v>
      </c>
      <c r="AO19" s="3"/>
      <c r="AP19" s="14">
        <v>0</v>
      </c>
      <c r="AQ19" s="3"/>
      <c r="AR19" s="14">
        <v>0</v>
      </c>
      <c r="AS19" s="3"/>
      <c r="AT19" s="14">
        <v>0</v>
      </c>
      <c r="AU19" s="3"/>
      <c r="AV19" s="14">
        <v>0</v>
      </c>
      <c r="AW19" s="3"/>
      <c r="AX19" s="14">
        <v>0</v>
      </c>
      <c r="AY19" s="3"/>
      <c r="AZ19" s="14">
        <v>0</v>
      </c>
      <c r="BA19" s="3"/>
      <c r="BB19" s="14">
        <v>0</v>
      </c>
      <c r="BC19" s="3"/>
      <c r="BD19" s="14">
        <v>0</v>
      </c>
      <c r="BE19" s="3"/>
      <c r="BF19" s="14">
        <v>0</v>
      </c>
      <c r="BG19" s="3"/>
      <c r="BH19" s="14">
        <v>0</v>
      </c>
      <c r="BI19" s="3"/>
      <c r="BJ19" s="14">
        <v>0</v>
      </c>
      <c r="BK19" s="3"/>
      <c r="BL19" s="14">
        <v>0</v>
      </c>
      <c r="BM19" s="225"/>
      <c r="BN19" s="226">
        <v>0</v>
      </c>
      <c r="BO19" s="225"/>
      <c r="BP19" s="226">
        <v>0</v>
      </c>
      <c r="BQ19" s="225"/>
      <c r="BR19" s="226">
        <v>0</v>
      </c>
    </row>
    <row r="20" spans="1:70" s="46" customFormat="1" x14ac:dyDescent="0.35">
      <c r="A20" s="53" t="s">
        <v>12</v>
      </c>
      <c r="B20" s="11">
        <v>1662</v>
      </c>
      <c r="C20" s="11"/>
      <c r="D20" s="11">
        <v>67</v>
      </c>
      <c r="E20" s="13"/>
      <c r="F20" s="11">
        <v>1469</v>
      </c>
      <c r="G20" s="3"/>
      <c r="H20" s="14">
        <v>1529</v>
      </c>
      <c r="I20" s="3"/>
      <c r="J20" s="14">
        <v>1052</v>
      </c>
      <c r="K20" s="3"/>
      <c r="L20" s="14">
        <v>1336</v>
      </c>
      <c r="M20" s="3"/>
      <c r="N20" s="14">
        <v>684</v>
      </c>
      <c r="O20" s="3"/>
      <c r="P20" s="14">
        <v>1442</v>
      </c>
      <c r="Q20" s="3"/>
      <c r="R20" s="14">
        <v>692</v>
      </c>
      <c r="S20" s="3"/>
      <c r="T20" s="14">
        <v>924</v>
      </c>
      <c r="U20" s="3"/>
      <c r="V20" s="14">
        <v>639</v>
      </c>
      <c r="W20" s="14"/>
      <c r="X20" s="14">
        <v>1172</v>
      </c>
      <c r="Y20" s="3"/>
      <c r="Z20" s="14">
        <v>1282</v>
      </c>
      <c r="AA20" s="3"/>
      <c r="AB20" s="14">
        <v>2619</v>
      </c>
      <c r="AC20" s="3"/>
      <c r="AD20" s="14">
        <v>2954</v>
      </c>
      <c r="AE20" s="128"/>
      <c r="AF20" s="14">
        <v>3483</v>
      </c>
      <c r="AG20" s="128"/>
      <c r="AH20" s="14">
        <v>3628</v>
      </c>
      <c r="AI20" s="128"/>
      <c r="AJ20" s="14">
        <v>3529</v>
      </c>
      <c r="AK20" s="128"/>
      <c r="AL20" s="14">
        <v>4308</v>
      </c>
      <c r="AM20" s="128"/>
      <c r="AN20" s="14">
        <v>5660</v>
      </c>
      <c r="AO20" s="128"/>
      <c r="AP20" s="14">
        <v>5361</v>
      </c>
      <c r="AQ20" s="128"/>
      <c r="AR20" s="14">
        <v>4729</v>
      </c>
      <c r="AS20" s="128"/>
      <c r="AT20" s="14">
        <v>4796</v>
      </c>
      <c r="AU20" s="128"/>
      <c r="AV20" s="14">
        <v>5988</v>
      </c>
      <c r="AW20" s="128"/>
      <c r="AX20" s="14">
        <v>4609</v>
      </c>
      <c r="AY20" s="128"/>
      <c r="AZ20" s="14">
        <v>4431</v>
      </c>
      <c r="BA20" s="128"/>
      <c r="BB20" s="14">
        <v>5692</v>
      </c>
      <c r="BC20" s="128"/>
      <c r="BD20" s="14">
        <v>5732</v>
      </c>
      <c r="BE20" s="128"/>
      <c r="BF20" s="14">
        <v>5778</v>
      </c>
      <c r="BG20" s="128"/>
      <c r="BH20" s="14">
        <v>6781</v>
      </c>
      <c r="BI20" s="128"/>
      <c r="BJ20" s="14">
        <v>5964</v>
      </c>
      <c r="BK20" s="128"/>
      <c r="BL20" s="14">
        <v>5878</v>
      </c>
      <c r="BM20" s="227"/>
      <c r="BN20" s="226">
        <v>8908</v>
      </c>
      <c r="BO20" s="227"/>
      <c r="BP20" s="226">
        <v>9582</v>
      </c>
      <c r="BQ20" s="227"/>
      <c r="BR20" s="226">
        <v>18915</v>
      </c>
    </row>
    <row r="21" spans="1:70" s="46" customFormat="1" x14ac:dyDescent="0.35">
      <c r="A21" s="53" t="s">
        <v>13</v>
      </c>
      <c r="B21" s="11">
        <v>888</v>
      </c>
      <c r="C21" s="11"/>
      <c r="D21" s="11">
        <v>1192</v>
      </c>
      <c r="E21" s="13"/>
      <c r="F21" s="11">
        <v>1793</v>
      </c>
      <c r="G21" s="3"/>
      <c r="H21" s="14">
        <v>1356</v>
      </c>
      <c r="I21" s="3"/>
      <c r="J21" s="14">
        <v>1189</v>
      </c>
      <c r="K21" s="3"/>
      <c r="L21" s="14">
        <v>1140</v>
      </c>
      <c r="M21" s="3"/>
      <c r="N21" s="14">
        <v>1511</v>
      </c>
      <c r="O21" s="3"/>
      <c r="P21" s="14">
        <v>1518</v>
      </c>
      <c r="Q21" s="3"/>
      <c r="R21" s="14">
        <v>1090</v>
      </c>
      <c r="S21" s="3"/>
      <c r="T21" s="14">
        <v>1183</v>
      </c>
      <c r="U21" s="3"/>
      <c r="V21" s="14">
        <v>1191</v>
      </c>
      <c r="W21" s="14"/>
      <c r="X21" s="14">
        <v>1524</v>
      </c>
      <c r="Y21" s="3"/>
      <c r="Z21" s="14">
        <v>1248</v>
      </c>
      <c r="AA21" s="3"/>
      <c r="AB21" s="14">
        <v>1516</v>
      </c>
      <c r="AC21" s="3"/>
      <c r="AD21" s="14">
        <v>1952</v>
      </c>
      <c r="AE21" s="128"/>
      <c r="AF21" s="14">
        <v>2549</v>
      </c>
      <c r="AG21" s="128"/>
      <c r="AH21" s="14">
        <v>2299</v>
      </c>
      <c r="AI21" s="128"/>
      <c r="AJ21" s="14">
        <v>2360</v>
      </c>
      <c r="AK21" s="128"/>
      <c r="AL21" s="14">
        <v>2890</v>
      </c>
      <c r="AM21" s="128"/>
      <c r="AN21" s="14">
        <v>3195</v>
      </c>
      <c r="AO21" s="128"/>
      <c r="AP21" s="14">
        <v>0</v>
      </c>
      <c r="AQ21" s="128"/>
      <c r="AR21" s="14">
        <v>0</v>
      </c>
      <c r="AS21" s="128"/>
      <c r="AT21" s="14">
        <v>0</v>
      </c>
      <c r="AU21" s="128"/>
      <c r="AV21" s="14">
        <v>0</v>
      </c>
      <c r="AW21" s="128"/>
      <c r="AX21" s="14">
        <v>0</v>
      </c>
      <c r="AY21" s="128"/>
      <c r="AZ21" s="14">
        <v>0</v>
      </c>
      <c r="BA21" s="128"/>
      <c r="BB21" s="14">
        <v>0</v>
      </c>
      <c r="BC21" s="128"/>
      <c r="BD21" s="14">
        <v>0</v>
      </c>
      <c r="BE21" s="128"/>
      <c r="BF21" s="14">
        <v>0</v>
      </c>
      <c r="BG21" s="128"/>
      <c r="BH21" s="14">
        <v>0</v>
      </c>
      <c r="BI21" s="128"/>
      <c r="BJ21" s="14">
        <v>0</v>
      </c>
      <c r="BK21" s="128"/>
      <c r="BL21" s="14">
        <v>0</v>
      </c>
      <c r="BM21" s="227"/>
      <c r="BN21" s="226">
        <v>0</v>
      </c>
      <c r="BO21" s="227"/>
      <c r="BP21" s="226">
        <v>0</v>
      </c>
      <c r="BQ21" s="227"/>
      <c r="BR21" s="226">
        <v>0</v>
      </c>
    </row>
    <row r="22" spans="1:70" s="46" customFormat="1" x14ac:dyDescent="0.35">
      <c r="A22" s="53" t="s">
        <v>14</v>
      </c>
      <c r="B22" s="11">
        <v>11873</v>
      </c>
      <c r="C22" s="11"/>
      <c r="D22" s="11">
        <v>12686</v>
      </c>
      <c r="E22" s="13"/>
      <c r="F22" s="11">
        <v>14387</v>
      </c>
      <c r="G22" s="3"/>
      <c r="H22" s="14">
        <v>18521</v>
      </c>
      <c r="I22" s="3"/>
      <c r="J22" s="14">
        <v>23011</v>
      </c>
      <c r="K22" s="3"/>
      <c r="L22" s="14">
        <v>24610</v>
      </c>
      <c r="M22" s="3"/>
      <c r="N22" s="14">
        <v>25535</v>
      </c>
      <c r="O22" s="3"/>
      <c r="P22" s="14">
        <v>25518</v>
      </c>
      <c r="Q22" s="3"/>
      <c r="R22" s="14">
        <v>25022</v>
      </c>
      <c r="S22" s="3"/>
      <c r="T22" s="14">
        <v>25696</v>
      </c>
      <c r="U22" s="3"/>
      <c r="V22" s="14">
        <v>27577</v>
      </c>
      <c r="W22" s="14"/>
      <c r="X22" s="14">
        <v>27586</v>
      </c>
      <c r="Y22" s="3"/>
      <c r="Z22" s="14">
        <v>22788</v>
      </c>
      <c r="AA22" s="3"/>
      <c r="AB22" s="14">
        <v>20244</v>
      </c>
      <c r="AC22" s="3"/>
      <c r="AD22" s="14">
        <v>18391</v>
      </c>
      <c r="AE22" s="128"/>
      <c r="AF22" s="14">
        <v>13698</v>
      </c>
      <c r="AG22" s="128"/>
      <c r="AH22" s="14">
        <v>12693</v>
      </c>
      <c r="AI22" s="128"/>
      <c r="AJ22" s="14">
        <v>12075</v>
      </c>
      <c r="AK22" s="128"/>
      <c r="AL22" s="14">
        <v>14482</v>
      </c>
      <c r="AM22" s="128"/>
      <c r="AN22" s="14">
        <v>16359</v>
      </c>
      <c r="AO22" s="128"/>
      <c r="AP22" s="14">
        <v>12392</v>
      </c>
      <c r="AQ22" s="128"/>
      <c r="AR22" s="14">
        <v>13637</v>
      </c>
      <c r="AS22" s="128"/>
      <c r="AT22" s="14">
        <v>17981</v>
      </c>
      <c r="AU22" s="128"/>
      <c r="AV22" s="14">
        <v>19928</v>
      </c>
      <c r="AW22" s="128"/>
      <c r="AX22" s="14">
        <v>15428</v>
      </c>
      <c r="AY22" s="128"/>
      <c r="AZ22" s="14">
        <v>21558</v>
      </c>
      <c r="BA22" s="128"/>
      <c r="BB22" s="14">
        <v>27110</v>
      </c>
      <c r="BC22" s="128"/>
      <c r="BD22" s="14">
        <v>25967</v>
      </c>
      <c r="BE22" s="128"/>
      <c r="BF22" s="14">
        <v>20037</v>
      </c>
      <c r="BG22" s="128"/>
      <c r="BH22" s="14">
        <v>27294</v>
      </c>
      <c r="BI22" s="128"/>
      <c r="BJ22" s="14">
        <v>33668</v>
      </c>
      <c r="BK22" s="128"/>
      <c r="BL22" s="14">
        <v>19885</v>
      </c>
      <c r="BM22" s="227"/>
      <c r="BN22" s="226">
        <v>28171</v>
      </c>
      <c r="BO22" s="227"/>
      <c r="BP22" s="226">
        <v>37143</v>
      </c>
      <c r="BQ22" s="227"/>
      <c r="BR22" s="226">
        <v>43262</v>
      </c>
    </row>
    <row r="23" spans="1:70" s="46" customFormat="1" x14ac:dyDescent="0.35">
      <c r="A23" s="53" t="s">
        <v>11</v>
      </c>
      <c r="B23" s="11">
        <v>765</v>
      </c>
      <c r="C23" s="11"/>
      <c r="D23" s="11">
        <v>0</v>
      </c>
      <c r="E23" s="13"/>
      <c r="F23" s="11">
        <v>0</v>
      </c>
      <c r="G23" s="3"/>
      <c r="H23" s="14">
        <v>0</v>
      </c>
      <c r="I23" s="3"/>
      <c r="J23" s="14">
        <v>0</v>
      </c>
      <c r="K23" s="3"/>
      <c r="L23" s="14">
        <v>0</v>
      </c>
      <c r="M23" s="3"/>
      <c r="N23" s="14">
        <v>0</v>
      </c>
      <c r="O23" s="3"/>
      <c r="P23" s="14">
        <v>0</v>
      </c>
      <c r="Q23" s="3"/>
      <c r="R23" s="14">
        <v>0</v>
      </c>
      <c r="S23" s="3"/>
      <c r="T23" s="14">
        <v>0</v>
      </c>
      <c r="U23" s="3"/>
      <c r="V23" s="14">
        <v>0</v>
      </c>
      <c r="W23" s="14"/>
      <c r="X23" s="14">
        <v>0</v>
      </c>
      <c r="Y23" s="3"/>
      <c r="Z23" s="14">
        <v>0</v>
      </c>
      <c r="AA23" s="3"/>
      <c r="AB23" s="14">
        <v>0</v>
      </c>
      <c r="AC23" s="3"/>
      <c r="AD23" s="14">
        <v>0</v>
      </c>
      <c r="AE23" s="128"/>
      <c r="AF23" s="14"/>
      <c r="AG23" s="128"/>
      <c r="AH23" s="14">
        <v>0</v>
      </c>
      <c r="AI23" s="128"/>
      <c r="AJ23" s="14">
        <v>0</v>
      </c>
      <c r="AK23" s="128"/>
      <c r="AL23" s="14">
        <v>0</v>
      </c>
      <c r="AM23" s="128"/>
      <c r="AN23" s="14">
        <v>0</v>
      </c>
      <c r="AO23" s="128"/>
      <c r="AP23" s="14">
        <v>0</v>
      </c>
      <c r="AQ23" s="128"/>
      <c r="AR23" s="14">
        <v>0</v>
      </c>
      <c r="AS23" s="128"/>
      <c r="AT23" s="14">
        <v>0</v>
      </c>
      <c r="AU23" s="128"/>
      <c r="AV23" s="14">
        <v>0</v>
      </c>
      <c r="AW23" s="128"/>
      <c r="AX23" s="14">
        <v>0</v>
      </c>
      <c r="AY23" s="128"/>
      <c r="AZ23" s="14">
        <v>0</v>
      </c>
      <c r="BA23" s="128"/>
      <c r="BB23" s="14">
        <v>0</v>
      </c>
      <c r="BC23" s="128"/>
      <c r="BD23" s="14">
        <v>0</v>
      </c>
      <c r="BE23" s="128"/>
      <c r="BF23" s="14">
        <v>0</v>
      </c>
      <c r="BG23" s="128"/>
      <c r="BH23" s="14">
        <v>0</v>
      </c>
      <c r="BI23" s="128"/>
      <c r="BJ23" s="14">
        <v>0</v>
      </c>
      <c r="BK23" s="128"/>
      <c r="BL23" s="14">
        <v>0</v>
      </c>
      <c r="BM23" s="227"/>
      <c r="BN23" s="226">
        <v>0</v>
      </c>
      <c r="BO23" s="227"/>
      <c r="BP23" s="226">
        <v>0</v>
      </c>
      <c r="BQ23" s="227"/>
      <c r="BR23" s="226">
        <v>0</v>
      </c>
    </row>
    <row r="24" spans="1:70" s="46" customFormat="1" x14ac:dyDescent="0.35">
      <c r="A24" s="53" t="s">
        <v>128</v>
      </c>
      <c r="B24" s="11"/>
      <c r="C24" s="11"/>
      <c r="D24" s="11"/>
      <c r="E24" s="13"/>
      <c r="F24" s="11"/>
      <c r="G24" s="3"/>
      <c r="H24" s="14"/>
      <c r="I24" s="3"/>
      <c r="J24" s="14"/>
      <c r="K24" s="3"/>
      <c r="L24" s="14"/>
      <c r="M24" s="3"/>
      <c r="N24" s="14"/>
      <c r="O24" s="3"/>
      <c r="P24" s="14"/>
      <c r="Q24" s="3"/>
      <c r="R24" s="14"/>
      <c r="S24" s="3"/>
      <c r="T24" s="14"/>
      <c r="U24" s="3"/>
      <c r="V24" s="14"/>
      <c r="W24" s="14"/>
      <c r="X24" s="14"/>
      <c r="Y24" s="3"/>
      <c r="Z24" s="14"/>
      <c r="AA24" s="3"/>
      <c r="AB24" s="14"/>
      <c r="AC24" s="3"/>
      <c r="AD24" s="14"/>
      <c r="AE24" s="128"/>
      <c r="AF24" s="14"/>
      <c r="AG24" s="128"/>
      <c r="AH24" s="14"/>
      <c r="AI24" s="128"/>
      <c r="AJ24" s="14">
        <v>0</v>
      </c>
      <c r="AK24" s="128"/>
      <c r="AL24" s="14">
        <v>10908</v>
      </c>
      <c r="AM24" s="128"/>
      <c r="AN24" s="14">
        <v>10908</v>
      </c>
      <c r="AO24" s="128"/>
      <c r="AP24" s="14">
        <v>0</v>
      </c>
      <c r="AQ24" s="128"/>
      <c r="AR24" s="14">
        <v>949</v>
      </c>
      <c r="AS24" s="128"/>
      <c r="AT24" s="14">
        <v>0</v>
      </c>
      <c r="AU24" s="128"/>
      <c r="AV24" s="14">
        <v>0</v>
      </c>
      <c r="AW24" s="128"/>
      <c r="AX24" s="14">
        <v>0</v>
      </c>
      <c r="AY24" s="128"/>
      <c r="AZ24" s="14">
        <v>0</v>
      </c>
      <c r="BA24" s="128"/>
      <c r="BB24" s="14">
        <v>0</v>
      </c>
      <c r="BC24" s="128"/>
      <c r="BD24" s="14">
        <v>0</v>
      </c>
      <c r="BE24" s="128"/>
      <c r="BF24" s="14">
        <v>0</v>
      </c>
      <c r="BG24" s="128"/>
      <c r="BH24" s="14">
        <v>0</v>
      </c>
      <c r="BI24" s="128"/>
      <c r="BJ24" s="14">
        <v>0</v>
      </c>
      <c r="BK24" s="128"/>
      <c r="BL24" s="14">
        <v>0</v>
      </c>
      <c r="BM24" s="227"/>
      <c r="BN24" s="226">
        <v>0</v>
      </c>
      <c r="BO24" s="227"/>
      <c r="BP24" s="226">
        <v>0</v>
      </c>
      <c r="BQ24" s="227"/>
      <c r="BR24" s="226">
        <v>0</v>
      </c>
    </row>
    <row r="25" spans="1:70" s="46" customFormat="1" x14ac:dyDescent="0.35">
      <c r="A25" s="53" t="s">
        <v>15</v>
      </c>
      <c r="B25" s="11">
        <v>2964</v>
      </c>
      <c r="C25" s="11"/>
      <c r="D25" s="11">
        <v>2814</v>
      </c>
      <c r="E25" s="13"/>
      <c r="F25" s="11">
        <v>1664</v>
      </c>
      <c r="G25" s="3"/>
      <c r="H25" s="14">
        <v>1889</v>
      </c>
      <c r="I25" s="3"/>
      <c r="J25" s="14">
        <v>3682</v>
      </c>
      <c r="K25" s="3"/>
      <c r="L25" s="14">
        <v>3569</v>
      </c>
      <c r="M25" s="3"/>
      <c r="N25" s="14">
        <v>2809</v>
      </c>
      <c r="O25" s="3"/>
      <c r="P25" s="14">
        <v>2196</v>
      </c>
      <c r="Q25" s="3"/>
      <c r="R25" s="14">
        <v>3043</v>
      </c>
      <c r="S25" s="3"/>
      <c r="T25" s="14">
        <v>3623</v>
      </c>
      <c r="U25" s="3"/>
      <c r="V25" s="14">
        <v>2113</v>
      </c>
      <c r="W25" s="14"/>
      <c r="X25" s="14">
        <v>1612</v>
      </c>
      <c r="Y25" s="3"/>
      <c r="Z25" s="14">
        <v>5485</v>
      </c>
      <c r="AA25" s="3"/>
      <c r="AB25" s="14">
        <v>5745</v>
      </c>
      <c r="AC25" s="3"/>
      <c r="AD25" s="14">
        <v>5255</v>
      </c>
      <c r="AE25" s="128"/>
      <c r="AF25" s="14">
        <v>4646</v>
      </c>
      <c r="AG25" s="128"/>
      <c r="AH25" s="14">
        <v>7174</v>
      </c>
      <c r="AI25" s="128"/>
      <c r="AJ25" s="14">
        <v>5135</v>
      </c>
      <c r="AK25" s="128"/>
      <c r="AL25" s="14">
        <v>7736</v>
      </c>
      <c r="AM25" s="128"/>
      <c r="AN25" s="14">
        <v>6669</v>
      </c>
      <c r="AO25" s="128"/>
      <c r="AP25" s="14">
        <v>0</v>
      </c>
      <c r="AQ25" s="128"/>
      <c r="AR25" s="14">
        <v>0</v>
      </c>
      <c r="AS25" s="128"/>
      <c r="AT25" s="14">
        <v>0</v>
      </c>
      <c r="AU25" s="128"/>
      <c r="AV25" s="14">
        <v>0</v>
      </c>
      <c r="AW25" s="128"/>
      <c r="AX25" s="14">
        <v>0</v>
      </c>
      <c r="AY25" s="128"/>
      <c r="AZ25" s="14">
        <v>0</v>
      </c>
      <c r="BA25" s="128"/>
      <c r="BB25" s="14">
        <v>0</v>
      </c>
      <c r="BC25" s="128"/>
      <c r="BD25" s="14">
        <v>0</v>
      </c>
      <c r="BE25" s="128"/>
      <c r="BF25" s="14">
        <v>0</v>
      </c>
      <c r="BG25" s="128"/>
      <c r="BH25" s="14">
        <v>0</v>
      </c>
      <c r="BI25" s="128"/>
      <c r="BJ25" s="14">
        <v>0</v>
      </c>
      <c r="BK25" s="128"/>
      <c r="BL25" s="14">
        <v>0</v>
      </c>
      <c r="BM25" s="227"/>
      <c r="BN25" s="226">
        <v>0</v>
      </c>
      <c r="BO25" s="227"/>
      <c r="BP25" s="226">
        <v>0</v>
      </c>
      <c r="BQ25" s="227"/>
      <c r="BR25" s="226">
        <v>0</v>
      </c>
    </row>
    <row r="26" spans="1:70" s="46" customFormat="1" x14ac:dyDescent="0.35">
      <c r="A26" s="53" t="s">
        <v>129</v>
      </c>
      <c r="B26" s="11"/>
      <c r="C26" s="11"/>
      <c r="D26" s="11"/>
      <c r="E26" s="13"/>
      <c r="F26" s="11"/>
      <c r="G26" s="3"/>
      <c r="H26" s="14"/>
      <c r="I26" s="3"/>
      <c r="J26" s="14"/>
      <c r="K26" s="3"/>
      <c r="L26" s="14"/>
      <c r="M26" s="3"/>
      <c r="N26" s="14"/>
      <c r="O26" s="3"/>
      <c r="P26" s="14"/>
      <c r="Q26" s="3"/>
      <c r="R26" s="14"/>
      <c r="S26" s="3"/>
      <c r="T26" s="14">
        <v>12218</v>
      </c>
      <c r="U26" s="3"/>
      <c r="V26" s="14">
        <v>12218</v>
      </c>
      <c r="W26" s="14"/>
      <c r="X26" s="14">
        <v>0</v>
      </c>
      <c r="Y26" s="3"/>
      <c r="Z26" s="14">
        <v>0</v>
      </c>
      <c r="AA26" s="3"/>
      <c r="AB26" s="14">
        <v>0</v>
      </c>
      <c r="AC26" s="3"/>
      <c r="AD26" s="14">
        <v>0</v>
      </c>
      <c r="AE26" s="128"/>
      <c r="AF26" s="14"/>
      <c r="AG26" s="128"/>
      <c r="AH26" s="14">
        <v>0</v>
      </c>
      <c r="AI26" s="128"/>
      <c r="AJ26" s="14">
        <v>0</v>
      </c>
      <c r="AK26" s="128"/>
      <c r="AL26" s="14">
        <v>0</v>
      </c>
      <c r="AM26" s="128"/>
      <c r="AN26" s="14">
        <v>0</v>
      </c>
      <c r="AO26" s="128"/>
      <c r="AP26" s="14">
        <v>0</v>
      </c>
      <c r="AQ26" s="128"/>
      <c r="AR26" s="14">
        <v>0</v>
      </c>
      <c r="AS26" s="128"/>
      <c r="AT26" s="14">
        <v>0</v>
      </c>
      <c r="AU26" s="128"/>
      <c r="AV26" s="14">
        <v>0</v>
      </c>
      <c r="AW26" s="128"/>
      <c r="AX26" s="14">
        <v>0</v>
      </c>
      <c r="AY26" s="128"/>
      <c r="AZ26" s="14">
        <v>0</v>
      </c>
      <c r="BA26" s="128"/>
      <c r="BB26" s="14">
        <v>0</v>
      </c>
      <c r="BC26" s="128"/>
      <c r="BD26" s="14">
        <v>0</v>
      </c>
      <c r="BE26" s="128"/>
      <c r="BF26" s="14">
        <v>0</v>
      </c>
      <c r="BG26" s="128"/>
      <c r="BH26" s="14">
        <v>0</v>
      </c>
      <c r="BI26" s="128"/>
      <c r="BJ26" s="14">
        <v>0</v>
      </c>
      <c r="BK26" s="128"/>
      <c r="BL26" s="14">
        <v>0</v>
      </c>
      <c r="BM26" s="227"/>
      <c r="BN26" s="226">
        <v>0</v>
      </c>
      <c r="BO26" s="227"/>
      <c r="BP26" s="226">
        <v>0</v>
      </c>
      <c r="BQ26" s="227"/>
      <c r="BR26" s="226">
        <v>0</v>
      </c>
    </row>
    <row r="27" spans="1:70" s="46" customFormat="1" x14ac:dyDescent="0.35">
      <c r="A27" s="53" t="s">
        <v>130</v>
      </c>
      <c r="B27" s="11">
        <v>0</v>
      </c>
      <c r="C27" s="11"/>
      <c r="D27" s="12">
        <v>0</v>
      </c>
      <c r="E27" s="13"/>
      <c r="F27" s="11">
        <v>1844</v>
      </c>
      <c r="G27" s="3"/>
      <c r="H27" s="14">
        <v>2906</v>
      </c>
      <c r="I27" s="3"/>
      <c r="J27" s="14">
        <v>2163</v>
      </c>
      <c r="K27" s="3"/>
      <c r="L27" s="14">
        <v>1197</v>
      </c>
      <c r="M27" s="3"/>
      <c r="N27" s="14">
        <v>538</v>
      </c>
      <c r="O27" s="3"/>
      <c r="P27" s="14">
        <v>266</v>
      </c>
      <c r="Q27" s="3"/>
      <c r="R27" s="14">
        <v>132</v>
      </c>
      <c r="S27" s="3"/>
      <c r="T27" s="14">
        <v>108</v>
      </c>
      <c r="U27" s="3"/>
      <c r="V27" s="14">
        <v>1899</v>
      </c>
      <c r="W27" s="14"/>
      <c r="X27" s="14">
        <v>59</v>
      </c>
      <c r="Y27" s="3"/>
      <c r="Z27" s="14">
        <v>0</v>
      </c>
      <c r="AA27" s="3"/>
      <c r="AB27" s="14">
        <v>0</v>
      </c>
      <c r="AC27" s="3"/>
      <c r="AD27" s="14">
        <v>0</v>
      </c>
      <c r="AE27" s="128"/>
      <c r="AF27" s="14"/>
      <c r="AG27" s="128"/>
      <c r="AH27" s="14">
        <v>0</v>
      </c>
      <c r="AI27" s="128"/>
      <c r="AJ27" s="14">
        <v>0</v>
      </c>
      <c r="AK27" s="128"/>
      <c r="AL27" s="14">
        <v>6</v>
      </c>
      <c r="AM27" s="128"/>
      <c r="AN27" s="14">
        <v>24</v>
      </c>
      <c r="AO27" s="128"/>
      <c r="AP27" s="14">
        <v>0</v>
      </c>
      <c r="AQ27" s="128"/>
      <c r="AR27" s="14">
        <v>288</v>
      </c>
      <c r="AS27" s="128"/>
      <c r="AT27" s="14">
        <v>259</v>
      </c>
      <c r="AU27" s="128"/>
      <c r="AV27" s="14">
        <v>598</v>
      </c>
      <c r="AW27" s="128"/>
      <c r="AX27" s="14">
        <v>0</v>
      </c>
      <c r="AY27" s="128"/>
      <c r="AZ27" s="14">
        <v>0</v>
      </c>
      <c r="BA27" s="128"/>
      <c r="BB27" s="14">
        <v>0</v>
      </c>
      <c r="BC27" s="128"/>
      <c r="BD27" s="14">
        <v>0</v>
      </c>
      <c r="BE27" s="128"/>
      <c r="BF27" s="14">
        <v>2685</v>
      </c>
      <c r="BG27" s="128"/>
      <c r="BH27" s="14">
        <v>4321</v>
      </c>
      <c r="BI27" s="128"/>
      <c r="BJ27" s="14">
        <v>3451.614509999999</v>
      </c>
      <c r="BK27" s="128"/>
      <c r="BL27" s="14">
        <v>6911</v>
      </c>
      <c r="BM27" s="227"/>
      <c r="BN27" s="226">
        <v>9564</v>
      </c>
      <c r="BO27" s="227"/>
      <c r="BP27" s="226">
        <v>7403</v>
      </c>
      <c r="BQ27" s="227"/>
      <c r="BR27" s="226">
        <v>13</v>
      </c>
    </row>
    <row r="28" spans="1:70" s="46" customFormat="1" x14ac:dyDescent="0.35">
      <c r="A28" s="53" t="s">
        <v>20</v>
      </c>
      <c r="B28" s="11">
        <v>2656</v>
      </c>
      <c r="C28" s="11"/>
      <c r="D28" s="11">
        <v>2656</v>
      </c>
      <c r="E28" s="13"/>
      <c r="F28" s="11">
        <v>0</v>
      </c>
      <c r="G28" s="3"/>
      <c r="H28" s="14">
        <v>0</v>
      </c>
      <c r="I28" s="3"/>
      <c r="J28" s="14">
        <v>0</v>
      </c>
      <c r="K28" s="3"/>
      <c r="L28" s="14">
        <v>0</v>
      </c>
      <c r="M28" s="3"/>
      <c r="N28" s="14">
        <v>0</v>
      </c>
      <c r="O28" s="3"/>
      <c r="P28" s="14">
        <v>0</v>
      </c>
      <c r="Q28" s="3"/>
      <c r="R28" s="14">
        <v>0</v>
      </c>
      <c r="S28" s="3"/>
      <c r="T28" s="14">
        <v>0</v>
      </c>
      <c r="U28" s="3"/>
      <c r="V28" s="14">
        <v>0</v>
      </c>
      <c r="W28" s="14"/>
      <c r="X28" s="14">
        <v>0</v>
      </c>
      <c r="Y28" s="3"/>
      <c r="Z28" s="14">
        <v>0</v>
      </c>
      <c r="AA28" s="3"/>
      <c r="AB28" s="14">
        <v>0</v>
      </c>
      <c r="AC28" s="3"/>
      <c r="AD28" s="14">
        <v>0</v>
      </c>
      <c r="AE28" s="128"/>
      <c r="AF28" s="14"/>
      <c r="AG28" s="128"/>
      <c r="AH28" s="14">
        <v>0</v>
      </c>
      <c r="AI28" s="128"/>
      <c r="AJ28" s="14">
        <v>0</v>
      </c>
      <c r="AK28" s="128"/>
      <c r="AL28" s="14">
        <v>0</v>
      </c>
      <c r="AM28" s="128"/>
      <c r="AN28" s="14">
        <v>0</v>
      </c>
      <c r="AO28" s="128"/>
      <c r="AP28" s="14">
        <v>0</v>
      </c>
      <c r="AQ28" s="128"/>
      <c r="AR28" s="14">
        <v>0</v>
      </c>
      <c r="AS28" s="128"/>
      <c r="AT28" s="14">
        <v>0</v>
      </c>
      <c r="AU28" s="128"/>
      <c r="AV28" s="14">
        <v>0</v>
      </c>
      <c r="AW28" s="128"/>
      <c r="AX28" s="14">
        <v>0</v>
      </c>
      <c r="AY28" s="128"/>
      <c r="AZ28" s="14">
        <v>0</v>
      </c>
      <c r="BA28" s="128"/>
      <c r="BB28" s="14">
        <v>0</v>
      </c>
      <c r="BC28" s="128"/>
      <c r="BD28" s="14">
        <v>0</v>
      </c>
      <c r="BE28" s="128"/>
      <c r="BF28" s="14">
        <v>0</v>
      </c>
      <c r="BG28" s="128"/>
      <c r="BH28" s="14">
        <v>0</v>
      </c>
      <c r="BI28" s="128"/>
      <c r="BJ28" s="14">
        <v>0</v>
      </c>
      <c r="BK28" s="128"/>
      <c r="BL28" s="14">
        <v>0</v>
      </c>
      <c r="BM28" s="227"/>
      <c r="BN28" s="226">
        <v>0</v>
      </c>
      <c r="BO28" s="227"/>
      <c r="BP28" s="226">
        <v>0</v>
      </c>
      <c r="BQ28" s="227"/>
      <c r="BR28" s="226">
        <v>0</v>
      </c>
    </row>
    <row r="29" spans="1:70" s="46" customFormat="1" x14ac:dyDescent="0.35">
      <c r="A29" s="53" t="s">
        <v>16</v>
      </c>
      <c r="B29" s="11">
        <v>190</v>
      </c>
      <c r="C29" s="11"/>
      <c r="D29" s="11">
        <v>402</v>
      </c>
      <c r="E29" s="13"/>
      <c r="F29" s="11">
        <f>1461-1</f>
        <v>1460</v>
      </c>
      <c r="G29" s="3"/>
      <c r="H29" s="14">
        <v>1891</v>
      </c>
      <c r="I29" s="3"/>
      <c r="J29" s="14">
        <v>976</v>
      </c>
      <c r="K29" s="3"/>
      <c r="L29" s="14">
        <v>1002</v>
      </c>
      <c r="M29" s="3"/>
      <c r="N29" s="14">
        <v>1448</v>
      </c>
      <c r="O29" s="3"/>
      <c r="P29" s="14">
        <v>1314</v>
      </c>
      <c r="Q29" s="3"/>
      <c r="R29" s="3">
        <v>748</v>
      </c>
      <c r="S29" s="3"/>
      <c r="T29" s="3">
        <v>1618</v>
      </c>
      <c r="U29" s="3"/>
      <c r="V29" s="3">
        <v>469</v>
      </c>
      <c r="W29" s="14"/>
      <c r="X29" s="3">
        <v>331</v>
      </c>
      <c r="Y29" s="3"/>
      <c r="Z29" s="3">
        <v>544</v>
      </c>
      <c r="AA29" s="3"/>
      <c r="AB29" s="3">
        <v>612</v>
      </c>
      <c r="AC29" s="3"/>
      <c r="AD29" s="20">
        <v>763</v>
      </c>
      <c r="AE29" s="128"/>
      <c r="AF29" s="20">
        <v>833</v>
      </c>
      <c r="AG29" s="128"/>
      <c r="AH29" s="20">
        <v>850</v>
      </c>
      <c r="AI29" s="128"/>
      <c r="AJ29" s="14">
        <v>1179</v>
      </c>
      <c r="AK29" s="128"/>
      <c r="AL29" s="14">
        <v>1498</v>
      </c>
      <c r="AM29" s="128"/>
      <c r="AN29" s="14">
        <v>1883</v>
      </c>
      <c r="AO29" s="128"/>
      <c r="AP29" s="14">
        <v>14975</v>
      </c>
      <c r="AQ29" s="128"/>
      <c r="AR29" s="14">
        <v>16082</v>
      </c>
      <c r="AS29" s="128"/>
      <c r="AT29" s="14">
        <v>20221</v>
      </c>
      <c r="AU29" s="128"/>
      <c r="AV29" s="14">
        <v>15569</v>
      </c>
      <c r="AW29" s="128"/>
      <c r="AX29" s="14">
        <v>11560</v>
      </c>
      <c r="AY29" s="128"/>
      <c r="AZ29" s="14">
        <v>10882</v>
      </c>
      <c r="BA29" s="128"/>
      <c r="BB29" s="14">
        <v>15623</v>
      </c>
      <c r="BC29" s="128"/>
      <c r="BD29" s="14">
        <v>36951</v>
      </c>
      <c r="BE29" s="128"/>
      <c r="BF29" s="14">
        <v>17992</v>
      </c>
      <c r="BG29" s="128"/>
      <c r="BH29" s="14">
        <v>16132</v>
      </c>
      <c r="BI29" s="128"/>
      <c r="BJ29" s="14">
        <v>20190</v>
      </c>
      <c r="BK29" s="128"/>
      <c r="BL29" s="14">
        <v>21564</v>
      </c>
      <c r="BM29" s="227"/>
      <c r="BN29" s="226">
        <v>16350</v>
      </c>
      <c r="BO29" s="227"/>
      <c r="BP29" s="226">
        <v>29294</v>
      </c>
      <c r="BQ29" s="227"/>
      <c r="BR29" s="226">
        <v>29893</v>
      </c>
    </row>
    <row r="30" spans="1:70" s="46" customFormat="1" x14ac:dyDescent="0.35">
      <c r="A30" s="53"/>
      <c r="B30" s="129">
        <f>SUM(B14:B29)</f>
        <v>90691</v>
      </c>
      <c r="C30" s="11"/>
      <c r="D30" s="129">
        <f>SUM(D14:D29)</f>
        <v>99198</v>
      </c>
      <c r="E30" s="3"/>
      <c r="F30" s="129">
        <f>SUM(F14:F29)</f>
        <v>98335</v>
      </c>
      <c r="G30" s="130"/>
      <c r="H30" s="129">
        <f>SUM(H14:H29)</f>
        <v>99755</v>
      </c>
      <c r="I30" s="130"/>
      <c r="J30" s="129">
        <f>SUM(J14:J29)</f>
        <v>105316</v>
      </c>
      <c r="K30" s="3"/>
      <c r="L30" s="129">
        <f>SUM(L14:L29)</f>
        <v>109486</v>
      </c>
      <c r="M30" s="3"/>
      <c r="N30" s="129">
        <f>SUM(N14:N29)</f>
        <v>124944</v>
      </c>
      <c r="O30" s="3"/>
      <c r="P30" s="129">
        <f>SUM(P14:P29)</f>
        <v>119048</v>
      </c>
      <c r="Q30" s="3"/>
      <c r="R30" s="129">
        <f>SUM(R14:R29)</f>
        <v>127862</v>
      </c>
      <c r="S30" s="3"/>
      <c r="T30" s="129">
        <f>SUM(T14:T29)</f>
        <v>262314</v>
      </c>
      <c r="U30" s="3"/>
      <c r="V30" s="129">
        <f>SUM(V14:V29)</f>
        <v>246837</v>
      </c>
      <c r="W30" s="3"/>
      <c r="X30" s="129">
        <f>SUM(X14:X29)</f>
        <v>222451</v>
      </c>
      <c r="Y30" s="3"/>
      <c r="Z30" s="129">
        <f>SUM(Z14:Z29)</f>
        <v>204847</v>
      </c>
      <c r="AA30" s="3"/>
      <c r="AB30" s="129">
        <f>SUM(AB14:AB29)</f>
        <v>188441</v>
      </c>
      <c r="AC30" s="3"/>
      <c r="AD30" s="129">
        <f>SUM(AD14:AD29)</f>
        <v>203175</v>
      </c>
      <c r="AE30" s="17"/>
      <c r="AF30" s="129">
        <f>SUM(AF14:AF29)</f>
        <v>202167</v>
      </c>
      <c r="AG30" s="17"/>
      <c r="AH30" s="129">
        <f>SUM(AH14:AH29)</f>
        <v>212104</v>
      </c>
      <c r="AI30" s="17"/>
      <c r="AJ30" s="129">
        <f>SUM(AJ14:AJ29)</f>
        <v>212805</v>
      </c>
      <c r="AK30" s="17"/>
      <c r="AL30" s="129">
        <f>SUM(AL14:AL29)</f>
        <v>258358</v>
      </c>
      <c r="AM30" s="17"/>
      <c r="AN30" s="129">
        <f>SUM(AN14:AN29)</f>
        <v>353857</v>
      </c>
      <c r="AO30" s="17"/>
      <c r="AP30" s="129">
        <f>SUM(AP14:AP29)</f>
        <v>353888</v>
      </c>
      <c r="AQ30" s="17"/>
      <c r="AR30" s="129">
        <f>SUM(AR14:AR29)</f>
        <v>453844</v>
      </c>
      <c r="AS30" s="17"/>
      <c r="AT30" s="129">
        <f>SUM(AT14:AT29)</f>
        <v>393916</v>
      </c>
      <c r="AU30" s="17"/>
      <c r="AV30" s="129">
        <f>SUM(AV14:AV29)</f>
        <v>367810</v>
      </c>
      <c r="AW30" s="17"/>
      <c r="AX30" s="129">
        <f>SUM(AX14:AX29)</f>
        <v>445227</v>
      </c>
      <c r="AY30" s="17"/>
      <c r="AZ30" s="129">
        <f>SUM(AZ14:AZ29)</f>
        <v>461958</v>
      </c>
      <c r="BA30" s="17"/>
      <c r="BB30" s="129">
        <f>SUM(BB14:BB29)</f>
        <v>463501</v>
      </c>
      <c r="BC30" s="17"/>
      <c r="BD30" s="129">
        <f>SUM(BD14:BD29)</f>
        <v>617973</v>
      </c>
      <c r="BE30" s="17"/>
      <c r="BF30" s="129">
        <f>SUM(BF14:BF29)</f>
        <v>609764</v>
      </c>
      <c r="BG30" s="17"/>
      <c r="BH30" s="129">
        <f>SUM(BH14:BH29)</f>
        <v>795229</v>
      </c>
      <c r="BI30" s="17"/>
      <c r="BJ30" s="129">
        <f>SUM(BJ14:BJ29)</f>
        <v>806836.61450999998</v>
      </c>
      <c r="BK30" s="17"/>
      <c r="BL30" s="129">
        <f>SUM(BL14:BL29)</f>
        <v>932157</v>
      </c>
      <c r="BM30" s="228"/>
      <c r="BN30" s="229">
        <f>SUM(BN14:BN29)</f>
        <v>846970</v>
      </c>
      <c r="BO30" s="228"/>
      <c r="BP30" s="229">
        <f>SUM(BP14:BP29)</f>
        <v>835595</v>
      </c>
      <c r="BQ30" s="228"/>
      <c r="BR30" s="229">
        <f>SUM(BR14:BR29)</f>
        <v>870049</v>
      </c>
    </row>
    <row r="31" spans="1:70" s="46" customFormat="1" ht="13.5" customHeight="1" x14ac:dyDescent="0.35">
      <c r="A31" s="133" t="s">
        <v>131</v>
      </c>
      <c r="B31" s="11"/>
      <c r="C31" s="11"/>
      <c r="D31" s="12"/>
      <c r="E31" s="3"/>
      <c r="F31" s="11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225"/>
      <c r="BN31" s="225"/>
      <c r="BO31" s="225"/>
      <c r="BP31" s="225"/>
      <c r="BQ31" s="225"/>
      <c r="BR31" s="225"/>
    </row>
    <row r="32" spans="1:70" s="46" customFormat="1" ht="13.5" customHeight="1" x14ac:dyDescent="0.35">
      <c r="A32" s="53" t="s">
        <v>9</v>
      </c>
      <c r="B32" s="11">
        <v>805</v>
      </c>
      <c r="C32" s="11"/>
      <c r="D32" s="11">
        <v>334</v>
      </c>
      <c r="E32" s="3"/>
      <c r="F32" s="11">
        <v>177</v>
      </c>
      <c r="G32" s="3"/>
      <c r="H32" s="11">
        <v>0</v>
      </c>
      <c r="I32" s="3"/>
      <c r="J32" s="11">
        <v>0</v>
      </c>
      <c r="K32" s="3"/>
      <c r="L32" s="11">
        <v>0</v>
      </c>
      <c r="M32" s="3"/>
      <c r="N32" s="11">
        <v>0</v>
      </c>
      <c r="O32" s="3"/>
      <c r="P32" s="11">
        <v>0</v>
      </c>
      <c r="Q32" s="3"/>
      <c r="R32" s="3">
        <v>0</v>
      </c>
      <c r="S32" s="3"/>
      <c r="T32" s="3">
        <v>0</v>
      </c>
      <c r="U32" s="3"/>
      <c r="V32" s="3">
        <v>0</v>
      </c>
      <c r="W32" s="14"/>
      <c r="X32" s="3">
        <v>0</v>
      </c>
      <c r="Y32" s="3"/>
      <c r="Z32" s="3">
        <v>0</v>
      </c>
      <c r="AA32" s="3"/>
      <c r="AB32" s="3">
        <v>0</v>
      </c>
      <c r="AC32" s="3"/>
      <c r="AD32" s="14">
        <v>0</v>
      </c>
      <c r="AE32" s="3"/>
      <c r="AF32" s="14">
        <v>0</v>
      </c>
      <c r="AG32" s="3"/>
      <c r="AH32" s="14">
        <v>0</v>
      </c>
      <c r="AI32" s="3"/>
      <c r="AJ32" s="14">
        <v>0</v>
      </c>
      <c r="AK32" s="3"/>
      <c r="AL32" s="14">
        <v>0</v>
      </c>
      <c r="AM32" s="3"/>
      <c r="AN32" s="14">
        <v>0</v>
      </c>
      <c r="AO32" s="3"/>
      <c r="AP32" s="14">
        <v>0</v>
      </c>
      <c r="AQ32" s="3"/>
      <c r="AR32" s="14">
        <v>0</v>
      </c>
      <c r="AS32" s="3"/>
      <c r="AT32" s="14">
        <v>0</v>
      </c>
      <c r="AU32" s="3"/>
      <c r="AV32" s="14">
        <v>0</v>
      </c>
      <c r="AW32" s="3"/>
      <c r="AX32" s="14">
        <v>0</v>
      </c>
      <c r="AY32" s="3"/>
      <c r="AZ32" s="14">
        <v>0</v>
      </c>
      <c r="BA32" s="3"/>
      <c r="BB32" s="14">
        <v>0</v>
      </c>
      <c r="BC32" s="3"/>
      <c r="BD32" s="14">
        <v>0</v>
      </c>
      <c r="BE32" s="3"/>
      <c r="BF32" s="14">
        <v>0</v>
      </c>
      <c r="BG32" s="3"/>
      <c r="BH32" s="14">
        <v>0</v>
      </c>
      <c r="BI32" s="3"/>
      <c r="BJ32" s="14">
        <v>0</v>
      </c>
      <c r="BK32" s="3"/>
      <c r="BL32" s="14">
        <v>0</v>
      </c>
      <c r="BM32" s="225"/>
      <c r="BN32" s="226">
        <v>0</v>
      </c>
      <c r="BO32" s="225"/>
      <c r="BP32" s="226">
        <v>0</v>
      </c>
      <c r="BQ32" s="225"/>
      <c r="BR32" s="226">
        <v>0</v>
      </c>
    </row>
    <row r="33" spans="1:70" s="46" customFormat="1" ht="13.5" customHeight="1" x14ac:dyDescent="0.35">
      <c r="A33" s="53" t="s">
        <v>18</v>
      </c>
      <c r="B33" s="11">
        <v>0</v>
      </c>
      <c r="C33" s="11"/>
      <c r="D33" s="11">
        <v>0</v>
      </c>
      <c r="E33" s="3"/>
      <c r="F33" s="11">
        <v>0</v>
      </c>
      <c r="G33" s="3"/>
      <c r="H33" s="11">
        <v>0</v>
      </c>
      <c r="I33" s="3"/>
      <c r="J33" s="11">
        <v>0</v>
      </c>
      <c r="K33" s="3"/>
      <c r="L33" s="11">
        <v>0</v>
      </c>
      <c r="M33" s="3"/>
      <c r="N33" s="11">
        <v>0</v>
      </c>
      <c r="O33" s="3"/>
      <c r="P33" s="14">
        <v>997</v>
      </c>
      <c r="Q33" s="3"/>
      <c r="R33" s="3">
        <v>997</v>
      </c>
      <c r="S33" s="3"/>
      <c r="T33" s="3">
        <v>4251</v>
      </c>
      <c r="U33" s="3"/>
      <c r="V33" s="3">
        <v>4251</v>
      </c>
      <c r="W33" s="14"/>
      <c r="X33" s="3">
        <v>4251</v>
      </c>
      <c r="Y33" s="3"/>
      <c r="Z33" s="3">
        <v>4251</v>
      </c>
      <c r="AA33" s="3"/>
      <c r="AB33" s="3">
        <v>4251</v>
      </c>
      <c r="AC33" s="3"/>
      <c r="AD33" s="14">
        <v>4251</v>
      </c>
      <c r="AE33" s="3"/>
      <c r="AF33" s="14">
        <v>4251</v>
      </c>
      <c r="AG33" s="3"/>
      <c r="AH33" s="14">
        <v>4251</v>
      </c>
      <c r="AI33" s="3"/>
      <c r="AJ33" s="14">
        <v>4251</v>
      </c>
      <c r="AK33" s="3"/>
      <c r="AL33" s="14">
        <v>4251</v>
      </c>
      <c r="AM33" s="3"/>
      <c r="AN33" s="14">
        <v>4251</v>
      </c>
      <c r="AO33" s="3"/>
      <c r="AP33" s="14">
        <v>4251.1883499999994</v>
      </c>
      <c r="AQ33" s="3"/>
      <c r="AR33" s="14">
        <v>4251</v>
      </c>
      <c r="AS33" s="3"/>
      <c r="AT33" s="14">
        <v>4805</v>
      </c>
      <c r="AU33" s="3"/>
      <c r="AV33" s="14">
        <v>4805</v>
      </c>
      <c r="AW33" s="3"/>
      <c r="AX33" s="14">
        <v>4805</v>
      </c>
      <c r="AY33" s="3"/>
      <c r="AZ33" s="14">
        <v>4804.6894299999994</v>
      </c>
      <c r="BA33" s="3"/>
      <c r="BB33" s="14">
        <v>4805</v>
      </c>
      <c r="BC33" s="3"/>
      <c r="BD33" s="14">
        <v>5452</v>
      </c>
      <c r="BE33" s="3"/>
      <c r="BF33" s="14">
        <v>5100</v>
      </c>
      <c r="BG33" s="3"/>
      <c r="BH33" s="14">
        <v>5123</v>
      </c>
      <c r="BI33" s="3"/>
      <c r="BJ33" s="14">
        <v>5658</v>
      </c>
      <c r="BK33" s="3"/>
      <c r="BL33" s="14">
        <v>5692</v>
      </c>
      <c r="BM33" s="225"/>
      <c r="BN33" s="226">
        <v>5714</v>
      </c>
      <c r="BO33" s="225"/>
      <c r="BP33" s="226">
        <v>5744</v>
      </c>
      <c r="BQ33" s="225"/>
      <c r="BR33" s="226">
        <v>5582</v>
      </c>
    </row>
    <row r="34" spans="1:70" s="46" customFormat="1" ht="13.5" customHeight="1" x14ac:dyDescent="0.35">
      <c r="A34" s="53" t="s">
        <v>8</v>
      </c>
      <c r="B34" s="11">
        <v>0</v>
      </c>
      <c r="C34" s="11"/>
      <c r="D34" s="11">
        <v>0</v>
      </c>
      <c r="E34" s="3"/>
      <c r="F34" s="11">
        <v>0</v>
      </c>
      <c r="G34" s="3"/>
      <c r="H34" s="3">
        <v>16</v>
      </c>
      <c r="I34" s="3"/>
      <c r="J34" s="14">
        <v>46</v>
      </c>
      <c r="K34" s="3"/>
      <c r="L34" s="14">
        <v>76</v>
      </c>
      <c r="M34" s="3"/>
      <c r="N34" s="14">
        <v>106</v>
      </c>
      <c r="O34" s="3"/>
      <c r="P34" s="14">
        <v>137</v>
      </c>
      <c r="Q34" s="3"/>
      <c r="R34" s="3">
        <v>0</v>
      </c>
      <c r="S34" s="3"/>
      <c r="T34" s="3">
        <v>0</v>
      </c>
      <c r="U34" s="3"/>
      <c r="V34" s="3">
        <v>0</v>
      </c>
      <c r="W34" s="14"/>
      <c r="X34" s="3">
        <v>0</v>
      </c>
      <c r="Y34" s="3"/>
      <c r="Z34" s="3">
        <v>0</v>
      </c>
      <c r="AA34" s="3"/>
      <c r="AB34" s="3">
        <v>0</v>
      </c>
      <c r="AC34" s="3"/>
      <c r="AD34" s="14">
        <v>0</v>
      </c>
      <c r="AE34" s="3"/>
      <c r="AF34" s="14">
        <v>1317</v>
      </c>
      <c r="AG34" s="3"/>
      <c r="AH34" s="14">
        <v>1317</v>
      </c>
      <c r="AI34" s="3"/>
      <c r="AJ34" s="14">
        <v>1317</v>
      </c>
      <c r="AK34" s="3"/>
      <c r="AL34" s="14">
        <v>1317</v>
      </c>
      <c r="AM34" s="3"/>
      <c r="AN34" s="14">
        <v>1317</v>
      </c>
      <c r="AO34" s="3"/>
      <c r="AP34" s="14">
        <v>1317</v>
      </c>
      <c r="AQ34" s="3"/>
      <c r="AR34" s="14">
        <v>1317</v>
      </c>
      <c r="AS34" s="3"/>
      <c r="AT34" s="14">
        <v>1317</v>
      </c>
      <c r="AU34" s="3"/>
      <c r="AV34" s="14">
        <v>1371</v>
      </c>
      <c r="AW34" s="3"/>
      <c r="AX34" s="14">
        <v>1371</v>
      </c>
      <c r="AY34" s="3"/>
      <c r="AZ34" s="14">
        <v>1317</v>
      </c>
      <c r="BA34" s="3"/>
      <c r="BB34" s="14">
        <v>2013</v>
      </c>
      <c r="BC34" s="3"/>
      <c r="BD34" s="14">
        <v>2767</v>
      </c>
      <c r="BE34" s="3"/>
      <c r="BF34" s="14">
        <v>2812</v>
      </c>
      <c r="BG34" s="3"/>
      <c r="BH34" s="14">
        <v>2839</v>
      </c>
      <c r="BI34" s="3"/>
      <c r="BJ34" s="14">
        <v>2870</v>
      </c>
      <c r="BK34" s="3"/>
      <c r="BL34" s="14">
        <v>2894</v>
      </c>
      <c r="BM34" s="225"/>
      <c r="BN34" s="226">
        <v>2928</v>
      </c>
      <c r="BO34" s="225"/>
      <c r="BP34" s="226">
        <v>2963</v>
      </c>
      <c r="BQ34" s="225"/>
      <c r="BR34" s="226">
        <v>3010</v>
      </c>
    </row>
    <row r="35" spans="1:70" s="46" customFormat="1" ht="13.5" customHeight="1" x14ac:dyDescent="0.35">
      <c r="A35" s="53" t="s">
        <v>19</v>
      </c>
      <c r="B35" s="11">
        <v>0</v>
      </c>
      <c r="C35" s="11"/>
      <c r="D35" s="11">
        <v>0</v>
      </c>
      <c r="E35" s="3"/>
      <c r="F35" s="11">
        <v>0</v>
      </c>
      <c r="G35" s="3"/>
      <c r="H35" s="3">
        <v>0</v>
      </c>
      <c r="I35" s="3"/>
      <c r="J35" s="14">
        <v>245</v>
      </c>
      <c r="K35" s="3"/>
      <c r="L35" s="14">
        <v>254</v>
      </c>
      <c r="M35" s="3"/>
      <c r="N35" s="14">
        <v>263</v>
      </c>
      <c r="O35" s="3"/>
      <c r="P35" s="14">
        <v>0</v>
      </c>
      <c r="Q35" s="3"/>
      <c r="R35" s="3">
        <v>0</v>
      </c>
      <c r="S35" s="3"/>
      <c r="T35" s="3">
        <v>0</v>
      </c>
      <c r="U35" s="3"/>
      <c r="V35" s="3">
        <v>0</v>
      </c>
      <c r="W35" s="14"/>
      <c r="X35" s="3">
        <v>0</v>
      </c>
      <c r="Y35" s="3"/>
      <c r="Z35" s="3">
        <v>0</v>
      </c>
      <c r="AA35" s="3"/>
      <c r="AB35" s="3">
        <v>0</v>
      </c>
      <c r="AC35" s="3"/>
      <c r="AD35" s="14">
        <v>0</v>
      </c>
      <c r="AE35" s="3"/>
      <c r="AF35" s="14"/>
      <c r="AG35" s="3"/>
      <c r="AH35" s="14">
        <v>0</v>
      </c>
      <c r="AI35" s="3"/>
      <c r="AJ35" s="14">
        <v>0</v>
      </c>
      <c r="AK35" s="3"/>
      <c r="AL35" s="14">
        <v>0</v>
      </c>
      <c r="AM35" s="3"/>
      <c r="AN35" s="14">
        <v>0</v>
      </c>
      <c r="AO35" s="3"/>
      <c r="AP35" s="14">
        <v>0</v>
      </c>
      <c r="AQ35" s="3"/>
      <c r="AR35" s="14">
        <v>0</v>
      </c>
      <c r="AS35" s="3"/>
      <c r="AT35" s="14">
        <v>0</v>
      </c>
      <c r="AU35" s="3"/>
      <c r="AV35" s="14">
        <v>0</v>
      </c>
      <c r="AW35" s="3"/>
      <c r="AX35" s="14">
        <v>0</v>
      </c>
      <c r="AY35" s="3"/>
      <c r="AZ35" s="14">
        <v>0</v>
      </c>
      <c r="BA35" s="3"/>
      <c r="BB35" s="14">
        <v>0</v>
      </c>
      <c r="BC35" s="3"/>
      <c r="BD35" s="14">
        <v>0</v>
      </c>
      <c r="BE35" s="3"/>
      <c r="BF35" s="14">
        <v>0</v>
      </c>
      <c r="BG35" s="3"/>
      <c r="BH35" s="14">
        <v>0</v>
      </c>
      <c r="BI35" s="3"/>
      <c r="BJ35" s="14">
        <v>0</v>
      </c>
      <c r="BK35" s="3"/>
      <c r="BL35" s="14">
        <v>0</v>
      </c>
      <c r="BM35" s="225"/>
      <c r="BN35" s="226">
        <v>0</v>
      </c>
      <c r="BO35" s="225"/>
      <c r="BP35" s="226">
        <v>0</v>
      </c>
      <c r="BQ35" s="225"/>
      <c r="BR35" s="226">
        <v>0</v>
      </c>
    </row>
    <row r="36" spans="1:70" s="46" customFormat="1" ht="13.5" customHeight="1" x14ac:dyDescent="0.35">
      <c r="A36" s="53" t="s">
        <v>13</v>
      </c>
      <c r="B36" s="11">
        <v>38</v>
      </c>
      <c r="C36" s="11"/>
      <c r="D36" s="11">
        <v>0</v>
      </c>
      <c r="E36" s="3"/>
      <c r="F36" s="11">
        <v>4</v>
      </c>
      <c r="G36" s="3"/>
      <c r="H36" s="3">
        <v>2</v>
      </c>
      <c r="I36" s="3"/>
      <c r="J36" s="14">
        <v>0</v>
      </c>
      <c r="K36" s="3"/>
      <c r="L36" s="14">
        <v>0</v>
      </c>
      <c r="M36" s="3"/>
      <c r="N36" s="14">
        <v>0</v>
      </c>
      <c r="O36" s="3"/>
      <c r="P36" s="14">
        <v>0</v>
      </c>
      <c r="Q36" s="3"/>
      <c r="R36" s="3">
        <v>0</v>
      </c>
      <c r="S36" s="3"/>
      <c r="T36" s="3">
        <v>313</v>
      </c>
      <c r="U36" s="3"/>
      <c r="V36" s="3">
        <v>202</v>
      </c>
      <c r="W36" s="14"/>
      <c r="X36" s="3">
        <v>163</v>
      </c>
      <c r="Y36" s="3"/>
      <c r="Z36" s="3">
        <v>171</v>
      </c>
      <c r="AA36" s="3"/>
      <c r="AB36" s="3">
        <v>153</v>
      </c>
      <c r="AC36" s="3"/>
      <c r="AD36" s="14">
        <v>207</v>
      </c>
      <c r="AE36" s="3"/>
      <c r="AF36" s="14">
        <v>154</v>
      </c>
      <c r="AG36" s="3"/>
      <c r="AH36" s="14">
        <v>154</v>
      </c>
      <c r="AI36" s="3"/>
      <c r="AJ36" s="14">
        <v>21</v>
      </c>
      <c r="AK36" s="3"/>
      <c r="AL36" s="14">
        <v>8</v>
      </c>
      <c r="AM36" s="3"/>
      <c r="AN36" s="14">
        <v>5</v>
      </c>
      <c r="AO36" s="3"/>
      <c r="AP36" s="14">
        <v>3</v>
      </c>
      <c r="AQ36" s="3"/>
      <c r="AR36" s="14">
        <v>0</v>
      </c>
      <c r="AS36" s="3"/>
      <c r="AT36" s="14">
        <v>0</v>
      </c>
      <c r="AU36" s="3"/>
      <c r="AV36" s="14">
        <v>0</v>
      </c>
      <c r="AW36" s="3"/>
      <c r="AX36" s="14">
        <v>0</v>
      </c>
      <c r="AY36" s="3"/>
      <c r="AZ36" s="14">
        <v>0</v>
      </c>
      <c r="BA36" s="3"/>
      <c r="BB36" s="14">
        <v>0</v>
      </c>
      <c r="BC36" s="3"/>
      <c r="BD36" s="14">
        <v>0</v>
      </c>
      <c r="BE36" s="3"/>
      <c r="BF36" s="14">
        <v>0</v>
      </c>
      <c r="BG36" s="3"/>
      <c r="BH36" s="14">
        <v>0</v>
      </c>
      <c r="BI36" s="3"/>
      <c r="BJ36" s="14">
        <v>0</v>
      </c>
      <c r="BK36" s="3"/>
      <c r="BL36" s="14">
        <v>0</v>
      </c>
      <c r="BM36" s="225"/>
      <c r="BN36" s="226">
        <v>0</v>
      </c>
      <c r="BO36" s="225"/>
      <c r="BP36" s="226">
        <v>0</v>
      </c>
      <c r="BQ36" s="225"/>
      <c r="BR36" s="226">
        <v>0</v>
      </c>
    </row>
    <row r="37" spans="1:70" s="46" customFormat="1" x14ac:dyDescent="0.35">
      <c r="A37" s="53" t="s">
        <v>20</v>
      </c>
      <c r="B37" s="11">
        <v>0</v>
      </c>
      <c r="C37" s="11"/>
      <c r="D37" s="11">
        <v>23</v>
      </c>
      <c r="E37" s="13"/>
      <c r="F37" s="11">
        <v>2656</v>
      </c>
      <c r="G37" s="3"/>
      <c r="H37" s="14">
        <v>2656</v>
      </c>
      <c r="I37" s="3"/>
      <c r="J37" s="14">
        <v>2656</v>
      </c>
      <c r="K37" s="3"/>
      <c r="L37" s="14">
        <v>2656</v>
      </c>
      <c r="M37" s="3"/>
      <c r="N37" s="14">
        <v>2656</v>
      </c>
      <c r="O37" s="3"/>
      <c r="P37" s="14">
        <v>2656</v>
      </c>
      <c r="Q37" s="3"/>
      <c r="R37" s="14">
        <v>2656</v>
      </c>
      <c r="S37" s="3"/>
      <c r="T37" s="14">
        <v>2656</v>
      </c>
      <c r="U37" s="3"/>
      <c r="V37" s="14">
        <v>2656</v>
      </c>
      <c r="W37" s="14"/>
      <c r="X37" s="14">
        <v>2656</v>
      </c>
      <c r="Y37" s="3"/>
      <c r="Z37" s="14">
        <v>2656</v>
      </c>
      <c r="AA37" s="3"/>
      <c r="AB37" s="14">
        <v>2656</v>
      </c>
      <c r="AC37" s="3"/>
      <c r="AD37" s="14">
        <v>2656</v>
      </c>
      <c r="AE37" s="3"/>
      <c r="AF37" s="14">
        <v>2656</v>
      </c>
      <c r="AG37" s="3"/>
      <c r="AH37" s="14">
        <v>2656</v>
      </c>
      <c r="AI37" s="3"/>
      <c r="AJ37" s="14">
        <v>2656</v>
      </c>
      <c r="AK37" s="3"/>
      <c r="AL37" s="14">
        <v>2655.6197299999999</v>
      </c>
      <c r="AM37" s="3"/>
      <c r="AN37" s="14">
        <v>2656</v>
      </c>
      <c r="AO37" s="3"/>
      <c r="AP37" s="14">
        <v>0</v>
      </c>
      <c r="AQ37" s="3"/>
      <c r="AR37" s="14">
        <v>0</v>
      </c>
      <c r="AS37" s="3"/>
      <c r="AT37" s="14">
        <v>0</v>
      </c>
      <c r="AU37" s="3"/>
      <c r="AV37" s="14">
        <v>0</v>
      </c>
      <c r="AW37" s="3"/>
      <c r="AX37" s="14">
        <v>0</v>
      </c>
      <c r="AY37" s="3"/>
      <c r="AZ37" s="14">
        <v>0</v>
      </c>
      <c r="BA37" s="3"/>
      <c r="BB37" s="14">
        <v>0</v>
      </c>
      <c r="BC37" s="3"/>
      <c r="BD37" s="14">
        <v>0</v>
      </c>
      <c r="BE37" s="3"/>
      <c r="BF37" s="14"/>
      <c r="BG37" s="3"/>
      <c r="BH37" s="14"/>
      <c r="BI37" s="3"/>
      <c r="BJ37" s="14"/>
      <c r="BK37" s="3"/>
      <c r="BL37" s="14"/>
      <c r="BM37" s="225"/>
      <c r="BN37" s="226"/>
      <c r="BO37" s="225"/>
      <c r="BP37" s="226"/>
      <c r="BQ37" s="225"/>
      <c r="BR37" s="226"/>
    </row>
    <row r="38" spans="1:70" s="46" customFormat="1" x14ac:dyDescent="0.35">
      <c r="A38" s="53" t="s">
        <v>24</v>
      </c>
      <c r="B38" s="11"/>
      <c r="C38" s="11"/>
      <c r="D38" s="11"/>
      <c r="E38" s="13"/>
      <c r="F38" s="11"/>
      <c r="G38" s="3"/>
      <c r="H38" s="14"/>
      <c r="I38" s="3"/>
      <c r="J38" s="14"/>
      <c r="K38" s="3"/>
      <c r="L38" s="14"/>
      <c r="M38" s="3"/>
      <c r="N38" s="14"/>
      <c r="O38" s="3"/>
      <c r="P38" s="14"/>
      <c r="Q38" s="3"/>
      <c r="R38" s="14"/>
      <c r="S38" s="3"/>
      <c r="T38" s="14"/>
      <c r="U38" s="3"/>
      <c r="V38" s="14"/>
      <c r="W38" s="14"/>
      <c r="X38" s="14">
        <v>51</v>
      </c>
      <c r="Y38" s="3"/>
      <c r="Z38" s="14">
        <v>52</v>
      </c>
      <c r="AA38" s="3"/>
      <c r="AB38" s="131">
        <v>52</v>
      </c>
      <c r="AC38" s="3"/>
      <c r="AD38" s="14">
        <v>52</v>
      </c>
      <c r="AE38" s="3"/>
      <c r="AF38" s="14">
        <v>52</v>
      </c>
      <c r="AG38" s="3"/>
      <c r="AH38" s="14">
        <v>52</v>
      </c>
      <c r="AI38" s="3"/>
      <c r="AJ38" s="14">
        <v>64</v>
      </c>
      <c r="AK38" s="3"/>
      <c r="AL38" s="14">
        <v>64</v>
      </c>
      <c r="AM38" s="3"/>
      <c r="AN38" s="14">
        <v>74</v>
      </c>
      <c r="AO38" s="3"/>
      <c r="AP38" s="14">
        <v>1935</v>
      </c>
      <c r="AQ38" s="3"/>
      <c r="AR38" s="14">
        <v>2038</v>
      </c>
      <c r="AS38" s="3"/>
      <c r="AT38" s="14">
        <v>2059</v>
      </c>
      <c r="AU38" s="3"/>
      <c r="AV38" s="14">
        <v>2074</v>
      </c>
      <c r="AW38" s="3"/>
      <c r="AX38" s="14">
        <v>339</v>
      </c>
      <c r="AY38" s="3"/>
      <c r="AZ38" s="14">
        <v>414</v>
      </c>
      <c r="BA38" s="3"/>
      <c r="BB38" s="14">
        <v>524</v>
      </c>
      <c r="BC38" s="3"/>
      <c r="BD38" s="14">
        <v>578</v>
      </c>
      <c r="BE38" s="3"/>
      <c r="BF38" s="14">
        <v>1091</v>
      </c>
      <c r="BG38" s="3"/>
      <c r="BH38" s="14">
        <v>1347</v>
      </c>
      <c r="BI38" s="3"/>
      <c r="BJ38" s="14">
        <v>1297</v>
      </c>
      <c r="BK38" s="3"/>
      <c r="BL38" s="14">
        <v>1391</v>
      </c>
      <c r="BM38" s="225"/>
      <c r="BN38" s="226">
        <v>1513</v>
      </c>
      <c r="BO38" s="225"/>
      <c r="BP38" s="226">
        <v>1646</v>
      </c>
      <c r="BQ38" s="225"/>
      <c r="BR38" s="226">
        <v>1402</v>
      </c>
    </row>
    <row r="39" spans="1:70" s="46" customFormat="1" x14ac:dyDescent="0.35">
      <c r="A39" s="53" t="s">
        <v>15</v>
      </c>
      <c r="B39" s="11">
        <v>82</v>
      </c>
      <c r="C39" s="11"/>
      <c r="D39" s="11">
        <v>68</v>
      </c>
      <c r="E39" s="13"/>
      <c r="F39" s="11">
        <v>53</v>
      </c>
      <c r="G39" s="3"/>
      <c r="H39" s="14">
        <v>39</v>
      </c>
      <c r="I39" s="3"/>
      <c r="J39" s="14">
        <v>24</v>
      </c>
      <c r="K39" s="3"/>
      <c r="L39" s="14">
        <v>10</v>
      </c>
      <c r="M39" s="3"/>
      <c r="N39" s="14">
        <v>0</v>
      </c>
      <c r="O39" s="3"/>
      <c r="P39" s="14">
        <v>0</v>
      </c>
      <c r="Q39" s="3"/>
      <c r="R39" s="14">
        <v>0</v>
      </c>
      <c r="S39" s="3"/>
      <c r="T39" s="14">
        <v>0</v>
      </c>
      <c r="U39" s="3"/>
      <c r="V39" s="14">
        <v>0</v>
      </c>
      <c r="W39" s="14"/>
      <c r="X39" s="14">
        <v>0</v>
      </c>
      <c r="Y39" s="3"/>
      <c r="Z39" s="14">
        <v>0</v>
      </c>
      <c r="AA39" s="3"/>
      <c r="AB39" s="14">
        <v>0</v>
      </c>
      <c r="AC39" s="3"/>
      <c r="AD39" s="14">
        <v>0</v>
      </c>
      <c r="AE39" s="3"/>
      <c r="AF39" s="14"/>
      <c r="AG39" s="3"/>
      <c r="AH39" s="14">
        <v>0</v>
      </c>
      <c r="AI39" s="3"/>
      <c r="AJ39" s="14">
        <v>0</v>
      </c>
      <c r="AK39" s="3"/>
      <c r="AL39" s="14">
        <v>144</v>
      </c>
      <c r="AM39" s="3"/>
      <c r="AN39" s="14">
        <v>133</v>
      </c>
      <c r="AO39" s="3"/>
      <c r="AP39" s="14">
        <v>0</v>
      </c>
      <c r="AQ39" s="3"/>
      <c r="AR39" s="14"/>
      <c r="AS39" s="3"/>
      <c r="AT39" s="14">
        <v>0</v>
      </c>
      <c r="AU39" s="3"/>
      <c r="AV39" s="14">
        <v>0</v>
      </c>
      <c r="AW39" s="3"/>
      <c r="AX39" s="14">
        <v>0</v>
      </c>
      <c r="AY39" s="3"/>
      <c r="AZ39" s="14">
        <v>0</v>
      </c>
      <c r="BA39" s="3"/>
      <c r="BB39" s="14">
        <v>0</v>
      </c>
      <c r="BC39" s="3"/>
      <c r="BD39" s="14">
        <v>0</v>
      </c>
      <c r="BE39" s="3"/>
      <c r="BF39" s="14"/>
      <c r="BG39" s="3"/>
      <c r="BH39" s="14"/>
      <c r="BI39" s="3"/>
      <c r="BJ39" s="14"/>
      <c r="BK39" s="3"/>
      <c r="BL39" s="14"/>
      <c r="BM39" s="225"/>
      <c r="BN39" s="226"/>
      <c r="BO39" s="225"/>
      <c r="BP39" s="226"/>
      <c r="BQ39" s="225"/>
      <c r="BR39" s="226"/>
    </row>
    <row r="40" spans="1:70" s="46" customFormat="1" x14ac:dyDescent="0.35">
      <c r="A40" s="53" t="s">
        <v>129</v>
      </c>
      <c r="B40" s="11">
        <v>1923</v>
      </c>
      <c r="C40" s="11"/>
      <c r="D40" s="11">
        <v>2377</v>
      </c>
      <c r="E40" s="13"/>
      <c r="F40" s="11">
        <v>5525</v>
      </c>
      <c r="G40" s="3"/>
      <c r="H40" s="14">
        <v>5861</v>
      </c>
      <c r="I40" s="3"/>
      <c r="J40" s="14">
        <v>5820</v>
      </c>
      <c r="K40" s="3"/>
      <c r="L40" s="14">
        <v>5689</v>
      </c>
      <c r="M40" s="3"/>
      <c r="N40" s="14">
        <v>4866</v>
      </c>
      <c r="O40" s="3"/>
      <c r="P40" s="14">
        <v>4193</v>
      </c>
      <c r="Q40" s="3"/>
      <c r="R40" s="14">
        <v>4455</v>
      </c>
      <c r="S40" s="3"/>
      <c r="T40" s="14">
        <v>0</v>
      </c>
      <c r="U40" s="3"/>
      <c r="V40" s="14">
        <v>0</v>
      </c>
      <c r="W40" s="14"/>
      <c r="X40" s="14">
        <v>0</v>
      </c>
      <c r="Y40" s="3"/>
      <c r="Z40" s="14">
        <v>0</v>
      </c>
      <c r="AA40" s="3"/>
      <c r="AB40" s="14">
        <v>0</v>
      </c>
      <c r="AC40" s="3"/>
      <c r="AD40" s="14">
        <v>0</v>
      </c>
      <c r="AE40" s="3"/>
      <c r="AF40" s="14"/>
      <c r="AG40" s="3"/>
      <c r="AH40" s="14">
        <v>0</v>
      </c>
      <c r="AI40" s="3"/>
      <c r="AJ40" s="14">
        <v>0</v>
      </c>
      <c r="AK40" s="3"/>
      <c r="AL40" s="14">
        <v>0</v>
      </c>
      <c r="AM40" s="3"/>
      <c r="AN40" s="14">
        <v>3613</v>
      </c>
      <c r="AO40" s="3"/>
      <c r="AP40" s="14">
        <v>0</v>
      </c>
      <c r="AQ40" s="3"/>
      <c r="AR40" s="14">
        <v>0</v>
      </c>
      <c r="AS40" s="3"/>
      <c r="AT40" s="14">
        <v>0</v>
      </c>
      <c r="AU40" s="3"/>
      <c r="AV40" s="14">
        <v>0</v>
      </c>
      <c r="AW40" s="3"/>
      <c r="AX40" s="14">
        <v>0</v>
      </c>
      <c r="AY40" s="3"/>
      <c r="AZ40" s="14">
        <v>0</v>
      </c>
      <c r="BA40" s="3"/>
      <c r="BB40" s="14">
        <v>0</v>
      </c>
      <c r="BC40" s="3"/>
      <c r="BD40" s="14">
        <v>0</v>
      </c>
      <c r="BE40" s="3"/>
      <c r="BF40" s="14">
        <v>0</v>
      </c>
      <c r="BG40" s="3"/>
      <c r="BH40" s="14">
        <v>0</v>
      </c>
      <c r="BI40" s="3"/>
      <c r="BJ40" s="14">
        <v>0</v>
      </c>
      <c r="BK40" s="3"/>
      <c r="BL40" s="14">
        <v>0</v>
      </c>
      <c r="BM40" s="225"/>
      <c r="BN40" s="226">
        <v>0</v>
      </c>
      <c r="BO40" s="225"/>
      <c r="BP40" s="226">
        <v>0</v>
      </c>
      <c r="BQ40" s="225"/>
      <c r="BR40" s="226"/>
    </row>
    <row r="41" spans="1:70" s="46" customFormat="1" x14ac:dyDescent="0.35">
      <c r="A41" s="53" t="s">
        <v>14</v>
      </c>
      <c r="B41" s="11">
        <v>315</v>
      </c>
      <c r="C41" s="11"/>
      <c r="D41" s="11">
        <v>315</v>
      </c>
      <c r="E41" s="13"/>
      <c r="F41" s="11">
        <v>315</v>
      </c>
      <c r="G41" s="3"/>
      <c r="H41" s="14">
        <v>315</v>
      </c>
      <c r="I41" s="3"/>
      <c r="J41" s="14">
        <v>315</v>
      </c>
      <c r="K41" s="3"/>
      <c r="L41" s="14">
        <v>315</v>
      </c>
      <c r="M41" s="3"/>
      <c r="N41" s="14">
        <v>303</v>
      </c>
      <c r="O41" s="3"/>
      <c r="P41" s="14">
        <v>1126</v>
      </c>
      <c r="Q41" s="3"/>
      <c r="R41" s="14">
        <v>1149</v>
      </c>
      <c r="S41" s="3"/>
      <c r="T41" s="14">
        <v>1030</v>
      </c>
      <c r="U41" s="3"/>
      <c r="V41" s="14">
        <v>1030</v>
      </c>
      <c r="W41" s="14"/>
      <c r="X41" s="14">
        <v>929</v>
      </c>
      <c r="Y41" s="3"/>
      <c r="Z41" s="14">
        <v>854</v>
      </c>
      <c r="AA41" s="3"/>
      <c r="AB41" s="14">
        <v>854</v>
      </c>
      <c r="AC41" s="3"/>
      <c r="AD41" s="14">
        <v>67</v>
      </c>
      <c r="AE41" s="3"/>
      <c r="AF41" s="14">
        <v>67</v>
      </c>
      <c r="AG41" s="3"/>
      <c r="AH41" s="14">
        <v>854</v>
      </c>
      <c r="AI41" s="3"/>
      <c r="AJ41" s="14">
        <v>668</v>
      </c>
      <c r="AK41" s="3"/>
      <c r="AL41" s="14">
        <v>639</v>
      </c>
      <c r="AM41" s="3"/>
      <c r="AN41" s="14">
        <v>419</v>
      </c>
      <c r="AO41" s="3"/>
      <c r="AP41" s="14">
        <v>327</v>
      </c>
      <c r="AQ41" s="3"/>
      <c r="AR41" s="14">
        <v>307</v>
      </c>
      <c r="AS41" s="3"/>
      <c r="AT41" s="14">
        <v>242</v>
      </c>
      <c r="AU41" s="3"/>
      <c r="AV41" s="14">
        <v>228</v>
      </c>
      <c r="AW41" s="3"/>
      <c r="AX41" s="14">
        <v>602</v>
      </c>
      <c r="AY41" s="3"/>
      <c r="AZ41" s="14">
        <v>602</v>
      </c>
      <c r="BA41" s="3"/>
      <c r="BB41" s="14">
        <v>567</v>
      </c>
      <c r="BC41" s="3"/>
      <c r="BD41" s="14">
        <v>567</v>
      </c>
      <c r="BE41" s="3"/>
      <c r="BF41" s="14">
        <v>0</v>
      </c>
      <c r="BG41" s="3"/>
      <c r="BH41" s="14">
        <v>0</v>
      </c>
      <c r="BI41" s="3"/>
      <c r="BJ41" s="14">
        <v>0</v>
      </c>
      <c r="BK41" s="3"/>
      <c r="BL41" s="14">
        <v>0</v>
      </c>
      <c r="BM41" s="225"/>
      <c r="BN41" s="226">
        <v>0</v>
      </c>
      <c r="BO41" s="225"/>
      <c r="BP41" s="226">
        <v>0</v>
      </c>
      <c r="BQ41" s="225"/>
      <c r="BR41" s="226">
        <v>0</v>
      </c>
    </row>
    <row r="42" spans="1:70" s="46" customFormat="1" x14ac:dyDescent="0.35">
      <c r="A42" s="53" t="s">
        <v>21</v>
      </c>
      <c r="B42" s="11">
        <v>12622</v>
      </c>
      <c r="C42" s="11"/>
      <c r="D42" s="11">
        <v>12783</v>
      </c>
      <c r="E42" s="13"/>
      <c r="F42" s="11">
        <v>14839</v>
      </c>
      <c r="G42" s="3"/>
      <c r="H42" s="14">
        <v>13511</v>
      </c>
      <c r="I42" s="3"/>
      <c r="J42" s="14">
        <v>16813</v>
      </c>
      <c r="K42" s="3"/>
      <c r="L42" s="14">
        <v>19263</v>
      </c>
      <c r="M42" s="3"/>
      <c r="N42" s="14">
        <v>20598</v>
      </c>
      <c r="O42" s="3"/>
      <c r="P42" s="14">
        <v>23668</v>
      </c>
      <c r="Q42" s="3"/>
      <c r="R42" s="14">
        <v>18047</v>
      </c>
      <c r="S42" s="3"/>
      <c r="T42" s="14">
        <v>14699</v>
      </c>
      <c r="U42" s="3"/>
      <c r="V42" s="14">
        <v>13739</v>
      </c>
      <c r="W42" s="14"/>
      <c r="X42" s="14">
        <v>18187</v>
      </c>
      <c r="Y42" s="3"/>
      <c r="Z42" s="14">
        <v>34592</v>
      </c>
      <c r="AA42" s="3"/>
      <c r="AB42" s="14">
        <v>35603</v>
      </c>
      <c r="AC42" s="3"/>
      <c r="AD42" s="14">
        <v>36604</v>
      </c>
      <c r="AE42" s="3"/>
      <c r="AF42" s="14">
        <v>37741</v>
      </c>
      <c r="AG42" s="3"/>
      <c r="AH42" s="14">
        <v>41378</v>
      </c>
      <c r="AI42" s="3"/>
      <c r="AJ42" s="14">
        <v>41597</v>
      </c>
      <c r="AK42" s="3"/>
      <c r="AL42" s="14">
        <v>41914</v>
      </c>
      <c r="AM42" s="3"/>
      <c r="AN42" s="14">
        <v>42898</v>
      </c>
      <c r="AO42" s="3"/>
      <c r="AP42" s="14">
        <v>48007</v>
      </c>
      <c r="AQ42" s="3"/>
      <c r="AR42" s="14">
        <v>49970</v>
      </c>
      <c r="AS42" s="3"/>
      <c r="AT42" s="14">
        <v>51621</v>
      </c>
      <c r="AU42" s="3"/>
      <c r="AV42" s="14">
        <v>53745</v>
      </c>
      <c r="AW42" s="3"/>
      <c r="AX42" s="14">
        <v>64509</v>
      </c>
      <c r="AY42" s="3"/>
      <c r="AZ42" s="14">
        <v>71481</v>
      </c>
      <c r="BA42" s="3"/>
      <c r="BB42" s="14">
        <v>77689</v>
      </c>
      <c r="BC42" s="3"/>
      <c r="BD42" s="14">
        <v>82182</v>
      </c>
      <c r="BE42" s="3"/>
      <c r="BF42" s="14">
        <v>71891</v>
      </c>
      <c r="BG42" s="3"/>
      <c r="BH42" s="14">
        <v>81200</v>
      </c>
      <c r="BI42" s="3"/>
      <c r="BJ42" s="14">
        <v>89801</v>
      </c>
      <c r="BK42" s="3"/>
      <c r="BL42" s="14">
        <v>95473</v>
      </c>
      <c r="BM42" s="225"/>
      <c r="BN42" s="226">
        <v>82176</v>
      </c>
      <c r="BO42" s="225"/>
      <c r="BP42" s="226">
        <v>79940</v>
      </c>
      <c r="BQ42" s="225"/>
      <c r="BR42" s="226">
        <v>85973</v>
      </c>
    </row>
    <row r="43" spans="1:70" s="46" customFormat="1" x14ac:dyDescent="0.35">
      <c r="A43" s="53" t="s">
        <v>22</v>
      </c>
      <c r="B43" s="11">
        <v>507</v>
      </c>
      <c r="C43" s="11"/>
      <c r="D43" s="11">
        <v>547</v>
      </c>
      <c r="E43" s="13"/>
      <c r="F43" s="11">
        <v>607</v>
      </c>
      <c r="G43" s="3"/>
      <c r="H43" s="14">
        <v>645</v>
      </c>
      <c r="I43" s="3"/>
      <c r="J43" s="14">
        <v>711</v>
      </c>
      <c r="K43" s="3"/>
      <c r="L43" s="14">
        <v>915</v>
      </c>
      <c r="M43" s="3"/>
      <c r="N43" s="14">
        <v>938</v>
      </c>
      <c r="O43" s="3"/>
      <c r="P43" s="14">
        <v>1066</v>
      </c>
      <c r="Q43" s="3"/>
      <c r="R43" s="14">
        <v>1067</v>
      </c>
      <c r="S43" s="3"/>
      <c r="T43" s="14">
        <v>1068</v>
      </c>
      <c r="U43" s="3"/>
      <c r="V43" s="14">
        <v>1219</v>
      </c>
      <c r="W43" s="14"/>
      <c r="X43" s="14">
        <v>3828</v>
      </c>
      <c r="Y43" s="3"/>
      <c r="Z43" s="14">
        <v>3834</v>
      </c>
      <c r="AA43" s="3"/>
      <c r="AB43" s="14">
        <v>3894</v>
      </c>
      <c r="AC43" s="3"/>
      <c r="AD43" s="14">
        <v>4028</v>
      </c>
      <c r="AE43" s="3"/>
      <c r="AF43" s="14">
        <v>4130</v>
      </c>
      <c r="AG43" s="3"/>
      <c r="AH43" s="14">
        <v>3962</v>
      </c>
      <c r="AI43" s="3"/>
      <c r="AJ43" s="14">
        <v>3945</v>
      </c>
      <c r="AK43" s="3"/>
      <c r="AL43" s="14">
        <v>4031</v>
      </c>
      <c r="AM43" s="3"/>
      <c r="AN43" s="14">
        <v>4250</v>
      </c>
      <c r="AO43" s="3"/>
      <c r="AP43" s="14">
        <v>4426</v>
      </c>
      <c r="AQ43" s="3"/>
      <c r="AR43" s="14">
        <v>4302</v>
      </c>
      <c r="AS43" s="3"/>
      <c r="AT43" s="14">
        <v>4575</v>
      </c>
      <c r="AU43" s="3"/>
      <c r="AV43" s="14">
        <v>4782</v>
      </c>
      <c r="AW43" s="3"/>
      <c r="AX43" s="14">
        <v>4910</v>
      </c>
      <c r="AY43" s="3"/>
      <c r="AZ43" s="14">
        <v>7440</v>
      </c>
      <c r="BA43" s="3"/>
      <c r="BB43" s="14">
        <v>5620</v>
      </c>
      <c r="BC43" s="3"/>
      <c r="BD43" s="14">
        <v>5470</v>
      </c>
      <c r="BE43" s="3"/>
      <c r="BF43" s="14">
        <v>5689</v>
      </c>
      <c r="BG43" s="3"/>
      <c r="BH43" s="14">
        <v>5921</v>
      </c>
      <c r="BI43" s="3"/>
      <c r="BJ43" s="14">
        <v>6517</v>
      </c>
      <c r="BK43" s="3"/>
      <c r="BL43" s="14">
        <v>6900</v>
      </c>
      <c r="BM43" s="225"/>
      <c r="BN43" s="226">
        <v>16856</v>
      </c>
      <c r="BO43" s="225"/>
      <c r="BP43" s="226">
        <v>17290</v>
      </c>
      <c r="BQ43" s="225"/>
      <c r="BR43" s="226">
        <v>17732</v>
      </c>
    </row>
    <row r="44" spans="1:70" s="46" customFormat="1" x14ac:dyDescent="0.35">
      <c r="A44" s="53" t="s">
        <v>25</v>
      </c>
      <c r="B44" s="11">
        <v>1247</v>
      </c>
      <c r="C44" s="11"/>
      <c r="D44" s="11">
        <v>1854</v>
      </c>
      <c r="E44" s="13"/>
      <c r="F44" s="11">
        <v>2292</v>
      </c>
      <c r="G44" s="3"/>
      <c r="H44" s="14">
        <v>2408</v>
      </c>
      <c r="I44" s="3"/>
      <c r="J44" s="14">
        <v>1696</v>
      </c>
      <c r="K44" s="3"/>
      <c r="L44" s="14">
        <v>1533</v>
      </c>
      <c r="M44" s="3"/>
      <c r="N44" s="14">
        <v>1821</v>
      </c>
      <c r="O44" s="3"/>
      <c r="P44" s="14">
        <v>1565</v>
      </c>
      <c r="Q44" s="3"/>
      <c r="R44" s="14">
        <v>1728</v>
      </c>
      <c r="S44" s="3"/>
      <c r="T44" s="14">
        <v>1945</v>
      </c>
      <c r="U44" s="3"/>
      <c r="V44" s="14">
        <v>0</v>
      </c>
      <c r="W44" s="14"/>
      <c r="X44" s="14">
        <v>0</v>
      </c>
      <c r="Y44" s="3"/>
      <c r="Z44" s="14">
        <v>0</v>
      </c>
      <c r="AA44" s="3"/>
      <c r="AB44" s="14">
        <v>0</v>
      </c>
      <c r="AC44" s="3"/>
      <c r="AD44" s="14">
        <v>0</v>
      </c>
      <c r="AE44" s="3"/>
      <c r="AF44" s="14"/>
      <c r="AG44" s="3"/>
      <c r="AH44" s="14">
        <v>0</v>
      </c>
      <c r="AI44" s="3"/>
      <c r="AJ44" s="14">
        <v>0</v>
      </c>
      <c r="AK44" s="3"/>
      <c r="AL44" s="14">
        <v>0</v>
      </c>
      <c r="AM44" s="3"/>
      <c r="AN44" s="14">
        <v>0</v>
      </c>
      <c r="AO44" s="3"/>
      <c r="AP44" s="14">
        <v>-1.0000000000000001E-5</v>
      </c>
      <c r="AQ44" s="3"/>
      <c r="AR44" s="14">
        <v>0</v>
      </c>
      <c r="AS44" s="3"/>
      <c r="AT44" s="14">
        <v>5.9371814131736752E-12</v>
      </c>
      <c r="AU44" s="3"/>
      <c r="AV44" s="14">
        <v>2.7939677238464354E-11</v>
      </c>
      <c r="AW44" s="3"/>
      <c r="AX44" s="14">
        <v>-9.9999558588024237E-6</v>
      </c>
      <c r="AY44" s="3"/>
      <c r="AZ44" s="14">
        <v>-9.9999558588024237E-6</v>
      </c>
      <c r="BA44" s="3"/>
      <c r="BB44" s="14">
        <v>0</v>
      </c>
      <c r="BC44" s="3"/>
      <c r="BD44" s="14">
        <v>0</v>
      </c>
      <c r="BE44" s="3"/>
      <c r="BF44" s="14">
        <v>0</v>
      </c>
      <c r="BG44" s="3"/>
      <c r="BH44" s="14">
        <v>0</v>
      </c>
      <c r="BI44" s="3"/>
      <c r="BJ44" s="14">
        <v>57</v>
      </c>
      <c r="BK44" s="3"/>
      <c r="BL44" s="14">
        <v>224</v>
      </c>
      <c r="BM44" s="225"/>
      <c r="BN44" s="226">
        <v>224</v>
      </c>
      <c r="BO44" s="225"/>
      <c r="BP44" s="226">
        <v>224</v>
      </c>
      <c r="BQ44" s="225"/>
      <c r="BR44" s="226">
        <v>474</v>
      </c>
    </row>
    <row r="45" spans="1:70" s="46" customFormat="1" x14ac:dyDescent="0.35">
      <c r="A45" s="202" t="s">
        <v>385</v>
      </c>
      <c r="B45" s="11">
        <v>66169</v>
      </c>
      <c r="C45" s="11"/>
      <c r="D45" s="11">
        <v>67664</v>
      </c>
      <c r="E45" s="13"/>
      <c r="F45" s="11">
        <v>68049</v>
      </c>
      <c r="G45" s="3"/>
      <c r="H45" s="14">
        <v>66735</v>
      </c>
      <c r="I45" s="3"/>
      <c r="J45" s="14">
        <v>67964</v>
      </c>
      <c r="K45" s="3"/>
      <c r="L45" s="14">
        <v>78724</v>
      </c>
      <c r="M45" s="3"/>
      <c r="N45" s="14">
        <v>80360</v>
      </c>
      <c r="O45" s="3"/>
      <c r="P45" s="14">
        <v>80430</v>
      </c>
      <c r="Q45" s="3"/>
      <c r="R45" s="14">
        <v>77024</v>
      </c>
      <c r="S45" s="3"/>
      <c r="T45" s="14">
        <v>74242</v>
      </c>
      <c r="U45" s="3"/>
      <c r="V45" s="14">
        <v>70589</v>
      </c>
      <c r="W45" s="14"/>
      <c r="X45" s="14">
        <v>71121</v>
      </c>
      <c r="Y45" s="3"/>
      <c r="Z45" s="14">
        <v>75485</v>
      </c>
      <c r="AA45" s="3"/>
      <c r="AB45" s="14">
        <v>91928</v>
      </c>
      <c r="AC45" s="3"/>
      <c r="AD45" s="14">
        <v>91680</v>
      </c>
      <c r="AE45" s="3"/>
      <c r="AF45" s="14">
        <v>97135</v>
      </c>
      <c r="AG45" s="3"/>
      <c r="AH45" s="14">
        <v>99594</v>
      </c>
      <c r="AI45" s="3"/>
      <c r="AJ45" s="14">
        <v>117618</v>
      </c>
      <c r="AK45" s="3"/>
      <c r="AL45" s="14">
        <v>132806</v>
      </c>
      <c r="AM45" s="3"/>
      <c r="AN45" s="14">
        <f>131066+20684</f>
        <v>151750</v>
      </c>
      <c r="AO45" s="3"/>
      <c r="AP45" s="14">
        <v>174189</v>
      </c>
      <c r="AQ45" s="3"/>
      <c r="AR45" s="14">
        <v>192045</v>
      </c>
      <c r="AS45" s="3"/>
      <c r="AT45" s="14">
        <v>211083</v>
      </c>
      <c r="AU45" s="3"/>
      <c r="AV45" s="14">
        <v>230886</v>
      </c>
      <c r="AW45" s="3"/>
      <c r="AX45" s="14">
        <v>255291</v>
      </c>
      <c r="AY45" s="3"/>
      <c r="AZ45" s="14">
        <v>263546</v>
      </c>
      <c r="BA45" s="3"/>
      <c r="BB45" s="14">
        <v>272059</v>
      </c>
      <c r="BC45" s="3"/>
      <c r="BD45" s="14">
        <v>294753</v>
      </c>
      <c r="BE45" s="3"/>
      <c r="BF45" s="14">
        <v>301842</v>
      </c>
      <c r="BG45" s="3"/>
      <c r="BH45" s="14">
        <v>295894</v>
      </c>
      <c r="BI45" s="3"/>
      <c r="BJ45" s="14">
        <v>296699</v>
      </c>
      <c r="BK45" s="3"/>
      <c r="BL45" s="14">
        <v>296692</v>
      </c>
      <c r="BM45" s="225"/>
      <c r="BN45" s="226">
        <v>572092</v>
      </c>
      <c r="BO45" s="225"/>
      <c r="BP45" s="226">
        <v>582386</v>
      </c>
      <c r="BQ45" s="225"/>
      <c r="BR45" s="226">
        <v>573125</v>
      </c>
    </row>
    <row r="46" spans="1:70" s="46" customFormat="1" x14ac:dyDescent="0.35">
      <c r="A46" s="53" t="s">
        <v>26</v>
      </c>
      <c r="B46" s="11">
        <v>8007</v>
      </c>
      <c r="C46" s="11"/>
      <c r="D46" s="11">
        <v>7589</v>
      </c>
      <c r="E46" s="13"/>
      <c r="F46" s="11">
        <v>7172</v>
      </c>
      <c r="G46" s="3"/>
      <c r="H46" s="14">
        <v>6763</v>
      </c>
      <c r="I46" s="3"/>
      <c r="J46" s="14">
        <v>6380</v>
      </c>
      <c r="K46" s="3"/>
      <c r="L46" s="14">
        <v>5943</v>
      </c>
      <c r="M46" s="3"/>
      <c r="N46" s="14">
        <v>5461</v>
      </c>
      <c r="O46" s="3"/>
      <c r="P46" s="14">
        <v>5017</v>
      </c>
      <c r="Q46" s="3"/>
      <c r="R46" s="14">
        <v>4556</v>
      </c>
      <c r="S46" s="3"/>
      <c r="T46" s="14">
        <v>4123</v>
      </c>
      <c r="U46" s="3"/>
      <c r="V46" s="14">
        <f>4267+867</f>
        <v>5134</v>
      </c>
      <c r="W46" s="14"/>
      <c r="X46" s="14">
        <v>4863</v>
      </c>
      <c r="Y46" s="3"/>
      <c r="Z46" s="14">
        <v>9888</v>
      </c>
      <c r="AA46" s="3"/>
      <c r="AB46" s="14">
        <v>9553</v>
      </c>
      <c r="AC46" s="3"/>
      <c r="AD46" s="14">
        <v>9177</v>
      </c>
      <c r="AE46" s="3"/>
      <c r="AF46" s="14">
        <v>8783</v>
      </c>
      <c r="AG46" s="3"/>
      <c r="AH46" s="14">
        <v>8055</v>
      </c>
      <c r="AI46" s="3"/>
      <c r="AJ46" s="14">
        <v>25498</v>
      </c>
      <c r="AK46" s="3"/>
      <c r="AL46" s="14">
        <v>28871</v>
      </c>
      <c r="AM46" s="3"/>
      <c r="AN46" s="14">
        <v>33035</v>
      </c>
      <c r="AO46" s="3"/>
      <c r="AP46" s="14">
        <v>31596</v>
      </c>
      <c r="AQ46" s="3"/>
      <c r="AR46" s="14">
        <v>54677</v>
      </c>
      <c r="AS46" s="3"/>
      <c r="AT46" s="14">
        <v>56645</v>
      </c>
      <c r="AU46" s="3"/>
      <c r="AV46" s="14">
        <v>58360</v>
      </c>
      <c r="AW46" s="3"/>
      <c r="AX46" s="14">
        <v>59950</v>
      </c>
      <c r="AY46" s="3"/>
      <c r="AZ46" s="14">
        <v>60638</v>
      </c>
      <c r="BA46" s="3"/>
      <c r="BB46" s="14">
        <v>88221</v>
      </c>
      <c r="BC46" s="3"/>
      <c r="BD46" s="14">
        <v>197634</v>
      </c>
      <c r="BE46" s="3"/>
      <c r="BF46" s="14">
        <v>245411</v>
      </c>
      <c r="BG46" s="3"/>
      <c r="BH46" s="14">
        <v>225826</v>
      </c>
      <c r="BI46" s="3"/>
      <c r="BJ46" s="14">
        <v>219599</v>
      </c>
      <c r="BK46" s="3"/>
      <c r="BL46" s="14">
        <v>214265</v>
      </c>
      <c r="BM46" s="225"/>
      <c r="BN46" s="226">
        <v>362170</v>
      </c>
      <c r="BO46" s="225"/>
      <c r="BP46" s="226">
        <v>352266</v>
      </c>
      <c r="BQ46" s="225"/>
      <c r="BR46" s="226">
        <v>345118</v>
      </c>
    </row>
    <row r="47" spans="1:70" s="46" customFormat="1" x14ac:dyDescent="0.35">
      <c r="A47" s="53"/>
      <c r="B47" s="129">
        <f>SUM(B32:B46)</f>
        <v>91715</v>
      </c>
      <c r="C47" s="11"/>
      <c r="D47" s="129">
        <f>SUM(D32:D46)</f>
        <v>93554</v>
      </c>
      <c r="E47" s="3"/>
      <c r="F47" s="129">
        <f>SUM(F32:F46)</f>
        <v>101689</v>
      </c>
      <c r="G47" s="130"/>
      <c r="H47" s="129">
        <f>SUM(H32:H46)</f>
        <v>98951</v>
      </c>
      <c r="I47" s="130"/>
      <c r="J47" s="129">
        <f>SUM(J32:J46)</f>
        <v>102670</v>
      </c>
      <c r="K47" s="3"/>
      <c r="L47" s="129">
        <f>SUM(L32:L46)</f>
        <v>115378</v>
      </c>
      <c r="M47" s="3"/>
      <c r="N47" s="129">
        <f>SUM(N32:N46)</f>
        <v>117372</v>
      </c>
      <c r="O47" s="3"/>
      <c r="P47" s="129">
        <f>SUM(P32:P46)</f>
        <v>120855</v>
      </c>
      <c r="Q47" s="3"/>
      <c r="R47" s="129">
        <f>SUM(R32:R46)</f>
        <v>111679</v>
      </c>
      <c r="S47" s="3"/>
      <c r="T47" s="129">
        <f>SUM(T32:T46)</f>
        <v>104327</v>
      </c>
      <c r="U47" s="3"/>
      <c r="V47" s="129">
        <f>SUM(V32:V46)</f>
        <v>98820</v>
      </c>
      <c r="W47" s="3"/>
      <c r="X47" s="129">
        <f>SUM(X32:X46)</f>
        <v>106049</v>
      </c>
      <c r="Y47" s="3"/>
      <c r="Z47" s="129">
        <f>SUM(Z32:Z46)</f>
        <v>131783</v>
      </c>
      <c r="AA47" s="3"/>
      <c r="AB47" s="129">
        <f>SUM(AB32:AB46)</f>
        <v>148944</v>
      </c>
      <c r="AC47" s="3"/>
      <c r="AD47" s="129">
        <f>SUM(AD32:AD46)</f>
        <v>148722</v>
      </c>
      <c r="AE47" s="3"/>
      <c r="AF47" s="129">
        <f>SUM(AF32:AF46)</f>
        <v>156286</v>
      </c>
      <c r="AG47" s="3"/>
      <c r="AH47" s="129">
        <f>SUM(AH32:AH46)</f>
        <v>162273</v>
      </c>
      <c r="AI47" s="3"/>
      <c r="AJ47" s="129">
        <f>SUM(AJ32:AJ46)</f>
        <v>197635</v>
      </c>
      <c r="AK47" s="3"/>
      <c r="AL47" s="129">
        <f>SUM(AL32:AL46)</f>
        <v>216700.61973000001</v>
      </c>
      <c r="AM47" s="3"/>
      <c r="AN47" s="129">
        <f>SUM(AN32:AN46)</f>
        <v>244401</v>
      </c>
      <c r="AO47" s="3"/>
      <c r="AP47" s="129">
        <f>SUM(AP32:AP46)</f>
        <v>266051.18833999999</v>
      </c>
      <c r="AQ47" s="3"/>
      <c r="AR47" s="129">
        <f>SUM(AR32:AR46)</f>
        <v>308907</v>
      </c>
      <c r="AS47" s="3"/>
      <c r="AT47" s="129">
        <f>SUM(AT32:AT46)</f>
        <v>332347</v>
      </c>
      <c r="AU47" s="3"/>
      <c r="AV47" s="129">
        <f>SUM(AV32:AV46)</f>
        <v>356251</v>
      </c>
      <c r="AW47" s="3"/>
      <c r="AX47" s="129">
        <f>SUM(AX32:AX46)</f>
        <v>391776.99999000004</v>
      </c>
      <c r="AY47" s="3"/>
      <c r="AZ47" s="129">
        <f>SUM(AZ32:AZ46)</f>
        <v>410242.68942000007</v>
      </c>
      <c r="BA47" s="3"/>
      <c r="BB47" s="129">
        <f>SUM(BB32:BB46)</f>
        <v>451498</v>
      </c>
      <c r="BC47" s="3"/>
      <c r="BD47" s="129">
        <f>SUM(BD32:BD46)</f>
        <v>589403</v>
      </c>
      <c r="BE47" s="3"/>
      <c r="BF47" s="129">
        <f>SUM(BF32:BF46)</f>
        <v>633836</v>
      </c>
      <c r="BG47" s="3"/>
      <c r="BH47" s="129">
        <f>SUM(BH32:BH46)</f>
        <v>618150</v>
      </c>
      <c r="BI47" s="3"/>
      <c r="BJ47" s="129">
        <f>SUM(BJ32:BJ46)</f>
        <v>622498</v>
      </c>
      <c r="BK47" s="3"/>
      <c r="BL47" s="129">
        <f>SUM(BL32:BL46)</f>
        <v>623531</v>
      </c>
      <c r="BM47" s="225"/>
      <c r="BN47" s="229">
        <f>SUM(BN32:BN46)</f>
        <v>1043673</v>
      </c>
      <c r="BO47" s="225"/>
      <c r="BP47" s="229">
        <f>SUM(BP32:BP46)</f>
        <v>1042459</v>
      </c>
      <c r="BQ47" s="225"/>
      <c r="BR47" s="229">
        <f>SUM(BR32:BR46)</f>
        <v>1032416</v>
      </c>
    </row>
    <row r="48" spans="1:70" s="46" customFormat="1" ht="15.75" hidden="1" customHeight="1" x14ac:dyDescent="0.35">
      <c r="A48" s="53"/>
      <c r="B48" s="132"/>
      <c r="C48" s="11"/>
      <c r="D48" s="132"/>
      <c r="E48" s="3"/>
      <c r="F48" s="132"/>
      <c r="G48" s="3"/>
      <c r="H48" s="132"/>
      <c r="I48" s="3"/>
      <c r="J48" s="132"/>
      <c r="K48" s="3"/>
      <c r="L48" s="132"/>
      <c r="M48" s="3"/>
      <c r="N48" s="132"/>
      <c r="O48" s="3"/>
      <c r="P48" s="132"/>
      <c r="Q48" s="3"/>
      <c r="R48" s="132"/>
      <c r="S48" s="3"/>
      <c r="T48" s="132"/>
      <c r="U48" s="3"/>
      <c r="V48" s="132"/>
      <c r="W48" s="3"/>
      <c r="X48" s="132"/>
      <c r="Y48" s="3"/>
      <c r="Z48" s="132"/>
      <c r="AA48" s="3"/>
      <c r="AB48" s="132"/>
      <c r="AC48" s="3"/>
      <c r="AD48" s="132"/>
      <c r="AE48" s="3"/>
      <c r="AF48" s="132"/>
      <c r="AG48" s="3"/>
      <c r="AH48" s="132"/>
      <c r="AI48" s="3"/>
      <c r="AJ48" s="132"/>
      <c r="AK48" s="3"/>
      <c r="AL48" s="132"/>
      <c r="AM48" s="3"/>
      <c r="AN48" s="132"/>
      <c r="AO48" s="3"/>
      <c r="AP48" s="132"/>
      <c r="AQ48" s="3"/>
      <c r="AR48" s="132"/>
      <c r="AS48" s="3"/>
      <c r="AT48" s="132"/>
      <c r="AU48" s="3"/>
      <c r="AV48" s="132"/>
      <c r="AW48" s="3"/>
      <c r="AX48" s="132"/>
      <c r="AY48" s="3"/>
      <c r="AZ48" s="132"/>
      <c r="BA48" s="3"/>
      <c r="BB48" s="132"/>
      <c r="BC48" s="3"/>
      <c r="BD48" s="132"/>
      <c r="BE48" s="3"/>
      <c r="BF48" s="132"/>
      <c r="BG48" s="3"/>
      <c r="BH48" s="132"/>
      <c r="BI48" s="3"/>
      <c r="BJ48" s="132"/>
      <c r="BK48" s="3"/>
      <c r="BL48" s="132"/>
      <c r="BM48" s="225"/>
      <c r="BN48" s="230"/>
      <c r="BO48" s="225"/>
      <c r="BP48" s="230"/>
      <c r="BQ48" s="225"/>
      <c r="BR48" s="230"/>
    </row>
    <row r="49" spans="1:70" s="137" customFormat="1" ht="21" customHeight="1" thickBot="1" x14ac:dyDescent="0.4">
      <c r="A49" s="133" t="s">
        <v>132</v>
      </c>
      <c r="B49" s="134">
        <f>B47+B30</f>
        <v>182406</v>
      </c>
      <c r="C49" s="135"/>
      <c r="D49" s="134">
        <f>D47+D30</f>
        <v>192752</v>
      </c>
      <c r="E49" s="25"/>
      <c r="F49" s="134">
        <f>F47+F30</f>
        <v>200024</v>
      </c>
      <c r="G49" s="136"/>
      <c r="H49" s="134">
        <f>H47+H30</f>
        <v>198706</v>
      </c>
      <c r="I49" s="136"/>
      <c r="J49" s="134">
        <f>J47+J30</f>
        <v>207986</v>
      </c>
      <c r="K49" s="25"/>
      <c r="L49" s="134">
        <f>L47+L30</f>
        <v>224864</v>
      </c>
      <c r="M49" s="25"/>
      <c r="N49" s="134">
        <f>N47+N30</f>
        <v>242316</v>
      </c>
      <c r="O49" s="25"/>
      <c r="P49" s="134">
        <f>P47+P30</f>
        <v>239903</v>
      </c>
      <c r="Q49" s="25"/>
      <c r="R49" s="134">
        <f>R47+R30</f>
        <v>239541</v>
      </c>
      <c r="S49" s="25"/>
      <c r="T49" s="134">
        <f>T47+T30</f>
        <v>366641</v>
      </c>
      <c r="U49" s="25"/>
      <c r="V49" s="134">
        <f>V47+V30</f>
        <v>345657</v>
      </c>
      <c r="W49" s="25"/>
      <c r="X49" s="134">
        <f>X47+X30</f>
        <v>328500</v>
      </c>
      <c r="Y49" s="25"/>
      <c r="Z49" s="134">
        <f>Z47+Z30</f>
        <v>336630</v>
      </c>
      <c r="AA49" s="25"/>
      <c r="AB49" s="134">
        <f>SUM(AB30+AB47)</f>
        <v>337385</v>
      </c>
      <c r="AC49" s="25"/>
      <c r="AD49" s="134">
        <f>SUM(AD30+AD47)</f>
        <v>351897</v>
      </c>
      <c r="AE49" s="25"/>
      <c r="AF49" s="134">
        <f>SUM(AF30+AF47)</f>
        <v>358453</v>
      </c>
      <c r="AG49" s="25"/>
      <c r="AH49" s="134">
        <f>SUM(AH30+AH47)</f>
        <v>374377</v>
      </c>
      <c r="AI49" s="25"/>
      <c r="AJ49" s="134">
        <f>SUM(AJ30+AJ47)</f>
        <v>410440</v>
      </c>
      <c r="AK49" s="25"/>
      <c r="AL49" s="134">
        <f>SUM(AL30+AL47)</f>
        <v>475058.61973000003</v>
      </c>
      <c r="AM49" s="25"/>
      <c r="AN49" s="134">
        <f>SUM(AN30+AN47)</f>
        <v>598258</v>
      </c>
      <c r="AO49" s="25"/>
      <c r="AP49" s="134">
        <f>SUM(AP30+AP47)</f>
        <v>619939.18833999999</v>
      </c>
      <c r="AQ49" s="25"/>
      <c r="AR49" s="134">
        <f>SUM(AR30+AR47)</f>
        <v>762751</v>
      </c>
      <c r="AS49" s="25"/>
      <c r="AT49" s="134">
        <f>SUM(AT30+AT47)</f>
        <v>726263</v>
      </c>
      <c r="AU49" s="25"/>
      <c r="AV49" s="134">
        <f>SUM(AV30+AV47)</f>
        <v>724061</v>
      </c>
      <c r="AW49" s="25"/>
      <c r="AX49" s="134">
        <f>SUM(AX30+AX47)</f>
        <v>837003.99999000004</v>
      </c>
      <c r="AY49" s="25"/>
      <c r="AZ49" s="134">
        <f>SUM(AZ30+AZ47)</f>
        <v>872200.68942000007</v>
      </c>
      <c r="BA49" s="25"/>
      <c r="BB49" s="134">
        <f>SUM(BB30+BB47)</f>
        <v>914999</v>
      </c>
      <c r="BC49" s="25"/>
      <c r="BD49" s="134">
        <f>SUM(BD30+BD47)</f>
        <v>1207376</v>
      </c>
      <c r="BE49" s="25"/>
      <c r="BF49" s="134">
        <f>SUM(BF30+BF47)</f>
        <v>1243600</v>
      </c>
      <c r="BG49" s="25"/>
      <c r="BH49" s="134">
        <f>SUM(BH30+BH47)</f>
        <v>1413379</v>
      </c>
      <c r="BI49" s="25"/>
      <c r="BJ49" s="134">
        <f>SUM(BJ30+BJ47)</f>
        <v>1429334.61451</v>
      </c>
      <c r="BK49" s="25"/>
      <c r="BL49" s="134">
        <f>SUM(BL30+BL47)</f>
        <v>1555688</v>
      </c>
      <c r="BM49" s="231"/>
      <c r="BN49" s="232">
        <f>SUM(BN30+BN47)</f>
        <v>1890643</v>
      </c>
      <c r="BO49" s="231"/>
      <c r="BP49" s="232">
        <f>SUM(BP30+BP47)</f>
        <v>1878054</v>
      </c>
      <c r="BQ49" s="231"/>
      <c r="BR49" s="232">
        <f>SUM(BR30+BR47)</f>
        <v>1902465</v>
      </c>
    </row>
    <row r="50" spans="1:70" s="46" customFormat="1" ht="15.75" customHeight="1" thickTop="1" x14ac:dyDescent="0.35">
      <c r="A50" s="53"/>
      <c r="B50" s="55"/>
      <c r="C50" s="55"/>
      <c r="D50" s="57"/>
      <c r="F50" s="55"/>
      <c r="BM50" s="223"/>
      <c r="BN50" s="223"/>
      <c r="BO50" s="223"/>
      <c r="BP50" s="223"/>
      <c r="BQ50" s="223"/>
      <c r="BR50" s="223"/>
    </row>
    <row r="51" spans="1:70" s="46" customFormat="1" x14ac:dyDescent="0.35">
      <c r="A51" s="58" t="s">
        <v>133</v>
      </c>
      <c r="B51" s="55"/>
      <c r="C51" s="55"/>
      <c r="D51" s="57"/>
      <c r="F51" s="55"/>
      <c r="BM51" s="223"/>
      <c r="BN51" s="223"/>
      <c r="BO51" s="223"/>
      <c r="BP51" s="223"/>
      <c r="BQ51" s="223"/>
      <c r="BR51" s="223"/>
    </row>
    <row r="52" spans="1:70" s="46" customFormat="1" x14ac:dyDescent="0.35">
      <c r="A52" s="53"/>
      <c r="B52" s="55"/>
      <c r="C52" s="55"/>
      <c r="D52" s="57"/>
      <c r="F52" s="55"/>
      <c r="BM52" s="223"/>
      <c r="BN52" s="223"/>
      <c r="BO52" s="223"/>
      <c r="BP52" s="223"/>
      <c r="BQ52" s="223"/>
      <c r="BR52" s="223"/>
    </row>
    <row r="53" spans="1:70" s="46" customFormat="1" x14ac:dyDescent="0.35">
      <c r="A53" s="133" t="s">
        <v>127</v>
      </c>
      <c r="B53" s="55"/>
      <c r="C53" s="55"/>
      <c r="D53" s="57"/>
      <c r="F53" s="55"/>
      <c r="V53" s="56"/>
      <c r="BM53" s="223"/>
      <c r="BN53" s="223"/>
      <c r="BO53" s="223"/>
      <c r="BP53" s="223"/>
      <c r="BQ53" s="223"/>
      <c r="BR53" s="223"/>
    </row>
    <row r="54" spans="1:70" s="46" customFormat="1" x14ac:dyDescent="0.35">
      <c r="A54" s="53" t="s">
        <v>29</v>
      </c>
      <c r="B54" s="11">
        <v>8092</v>
      </c>
      <c r="C54" s="11"/>
      <c r="D54" s="11">
        <v>11524</v>
      </c>
      <c r="E54" s="13"/>
      <c r="F54" s="11">
        <v>8844</v>
      </c>
      <c r="G54" s="3"/>
      <c r="H54" s="11">
        <v>9590</v>
      </c>
      <c r="I54" s="3"/>
      <c r="J54" s="11">
        <v>12846</v>
      </c>
      <c r="K54" s="3"/>
      <c r="L54" s="11">
        <v>14878</v>
      </c>
      <c r="M54" s="3"/>
      <c r="N54" s="11">
        <v>12560</v>
      </c>
      <c r="O54" s="3"/>
      <c r="P54" s="11">
        <v>11768</v>
      </c>
      <c r="Q54" s="3"/>
      <c r="R54" s="11">
        <v>9419</v>
      </c>
      <c r="S54" s="3"/>
      <c r="T54" s="11">
        <v>8461</v>
      </c>
      <c r="U54" s="3"/>
      <c r="V54" s="11">
        <v>6606</v>
      </c>
      <c r="W54" s="14"/>
      <c r="X54" s="11">
        <v>7124</v>
      </c>
      <c r="Y54" s="3"/>
      <c r="Z54" s="11">
        <v>11478</v>
      </c>
      <c r="AA54" s="3"/>
      <c r="AB54" s="11">
        <v>12157</v>
      </c>
      <c r="AC54" s="3"/>
      <c r="AD54" s="11">
        <v>12457</v>
      </c>
      <c r="AE54" s="17"/>
      <c r="AF54" s="11">
        <v>13559</v>
      </c>
      <c r="AG54" s="17"/>
      <c r="AH54" s="11">
        <v>17250</v>
      </c>
      <c r="AI54" s="17"/>
      <c r="AJ54" s="11">
        <v>18095</v>
      </c>
      <c r="AK54" s="17"/>
      <c r="AL54" s="11">
        <v>26499</v>
      </c>
      <c r="AM54" s="17"/>
      <c r="AN54" s="11">
        <v>29798</v>
      </c>
      <c r="AO54" s="17"/>
      <c r="AP54" s="11">
        <v>33383</v>
      </c>
      <c r="AQ54" s="17"/>
      <c r="AR54" s="11">
        <v>36383</v>
      </c>
      <c r="AS54" s="17"/>
      <c r="AT54" s="11">
        <v>33689</v>
      </c>
      <c r="AU54" s="17"/>
      <c r="AV54" s="11">
        <v>29052</v>
      </c>
      <c r="AW54" s="17"/>
      <c r="AX54" s="11">
        <v>38577</v>
      </c>
      <c r="AY54" s="17"/>
      <c r="AZ54" s="11">
        <v>20957</v>
      </c>
      <c r="BA54" s="17"/>
      <c r="BB54" s="11">
        <v>21204</v>
      </c>
      <c r="BC54" s="17"/>
      <c r="BD54" s="11">
        <v>59339</v>
      </c>
      <c r="BE54" s="17"/>
      <c r="BF54" s="11">
        <v>42428</v>
      </c>
      <c r="BG54" s="17"/>
      <c r="BH54" s="11">
        <v>37327</v>
      </c>
      <c r="BI54" s="17"/>
      <c r="BJ54" s="11">
        <v>36462</v>
      </c>
      <c r="BK54" s="17"/>
      <c r="BL54" s="11">
        <v>30910</v>
      </c>
      <c r="BM54" s="228"/>
      <c r="BN54" s="233">
        <v>59384</v>
      </c>
      <c r="BO54" s="228"/>
      <c r="BP54" s="233">
        <v>45528</v>
      </c>
      <c r="BQ54" s="228"/>
      <c r="BR54" s="233">
        <v>56286</v>
      </c>
    </row>
    <row r="55" spans="1:70" s="46" customFormat="1" x14ac:dyDescent="0.35">
      <c r="A55" s="53" t="s">
        <v>30</v>
      </c>
      <c r="B55" s="11">
        <v>1540</v>
      </c>
      <c r="C55" s="11"/>
      <c r="D55" s="11">
        <v>13</v>
      </c>
      <c r="E55" s="13"/>
      <c r="F55" s="11">
        <v>741</v>
      </c>
      <c r="G55" s="139"/>
      <c r="H55" s="11">
        <v>298</v>
      </c>
      <c r="I55" s="3"/>
      <c r="J55" s="11">
        <v>400</v>
      </c>
      <c r="K55" s="3"/>
      <c r="L55" s="11">
        <v>75</v>
      </c>
      <c r="M55" s="3"/>
      <c r="N55" s="11">
        <v>153</v>
      </c>
      <c r="O55" s="3"/>
      <c r="P55" s="11">
        <v>996</v>
      </c>
      <c r="Q55" s="3"/>
      <c r="R55" s="11">
        <v>342</v>
      </c>
      <c r="S55" s="3"/>
      <c r="T55" s="11">
        <v>220</v>
      </c>
      <c r="U55" s="3"/>
      <c r="V55" s="11">
        <v>0</v>
      </c>
      <c r="W55" s="14"/>
      <c r="X55" s="11">
        <v>0</v>
      </c>
      <c r="Y55" s="3"/>
      <c r="Z55" s="11">
        <v>0</v>
      </c>
      <c r="AA55" s="3"/>
      <c r="AB55" s="11">
        <v>0</v>
      </c>
      <c r="AC55" s="3"/>
      <c r="AD55" s="11">
        <v>0</v>
      </c>
      <c r="AE55" s="17"/>
      <c r="AF55" s="11"/>
      <c r="AG55" s="17"/>
      <c r="AH55" s="11">
        <v>0</v>
      </c>
      <c r="AI55" s="17"/>
      <c r="AJ55" s="11">
        <v>1.0000000000000001E-5</v>
      </c>
      <c r="AK55" s="17"/>
      <c r="AL55" s="11">
        <v>-5.0000000000000002E-5</v>
      </c>
      <c r="AM55" s="17"/>
      <c r="AN55" s="11">
        <v>4.0000000000000003E-5</v>
      </c>
      <c r="AO55" s="17"/>
      <c r="AP55" s="11">
        <v>5.9999999999999995E-5</v>
      </c>
      <c r="AQ55" s="17"/>
      <c r="AR55" s="11">
        <v>0</v>
      </c>
      <c r="AS55" s="17"/>
      <c r="AT55" s="11">
        <v>0</v>
      </c>
      <c r="AU55" s="17"/>
      <c r="AV55" s="11">
        <v>0</v>
      </c>
      <c r="AW55" s="17"/>
      <c r="AX55" s="11">
        <v>0</v>
      </c>
      <c r="AY55" s="17"/>
      <c r="AZ55" s="11">
        <v>0</v>
      </c>
      <c r="BA55" s="17"/>
      <c r="BB55" s="11">
        <v>0</v>
      </c>
      <c r="BC55" s="17"/>
      <c r="BD55" s="11">
        <v>700</v>
      </c>
      <c r="BE55" s="17"/>
      <c r="BF55" s="11">
        <v>2139</v>
      </c>
      <c r="BG55" s="17"/>
      <c r="BH55" s="11">
        <v>1188</v>
      </c>
      <c r="BI55" s="17"/>
      <c r="BJ55" s="11">
        <v>1368</v>
      </c>
      <c r="BK55" s="17"/>
      <c r="BL55" s="11">
        <v>2310</v>
      </c>
      <c r="BM55" s="228"/>
      <c r="BN55" s="233">
        <v>2799</v>
      </c>
      <c r="BO55" s="228"/>
      <c r="BP55" s="233">
        <v>2595</v>
      </c>
      <c r="BQ55" s="228"/>
      <c r="BR55" s="233">
        <v>3199</v>
      </c>
    </row>
    <row r="56" spans="1:70" s="46" customFormat="1" x14ac:dyDescent="0.35">
      <c r="A56" s="53" t="s">
        <v>31</v>
      </c>
      <c r="B56" s="11">
        <v>0</v>
      </c>
      <c r="C56" s="11"/>
      <c r="D56" s="11">
        <v>0</v>
      </c>
      <c r="E56" s="13"/>
      <c r="F56" s="11">
        <v>0</v>
      </c>
      <c r="G56" s="139"/>
      <c r="H56" s="11">
        <v>0</v>
      </c>
      <c r="I56" s="3"/>
      <c r="J56" s="11">
        <v>0</v>
      </c>
      <c r="K56" s="3"/>
      <c r="L56" s="11">
        <v>0</v>
      </c>
      <c r="M56" s="3"/>
      <c r="N56" s="11">
        <v>2505</v>
      </c>
      <c r="O56" s="3"/>
      <c r="P56" s="11">
        <v>7945</v>
      </c>
      <c r="Q56" s="3"/>
      <c r="R56" s="11">
        <v>5347</v>
      </c>
      <c r="S56" s="3"/>
      <c r="T56" s="11">
        <v>0</v>
      </c>
      <c r="U56" s="3"/>
      <c r="V56" s="11">
        <v>0</v>
      </c>
      <c r="W56" s="14"/>
      <c r="X56" s="11">
        <v>0</v>
      </c>
      <c r="Y56" s="3"/>
      <c r="Z56" s="11">
        <v>0</v>
      </c>
      <c r="AA56" s="3"/>
      <c r="AB56" s="11">
        <v>0</v>
      </c>
      <c r="AC56" s="3"/>
      <c r="AD56" s="11">
        <v>0</v>
      </c>
      <c r="AE56" s="17"/>
      <c r="AF56" s="11"/>
      <c r="AG56" s="17"/>
      <c r="AH56" s="11">
        <v>0</v>
      </c>
      <c r="AI56" s="17"/>
      <c r="AJ56" s="11">
        <v>0</v>
      </c>
      <c r="AK56" s="17"/>
      <c r="AL56" s="11">
        <v>2939</v>
      </c>
      <c r="AM56" s="17"/>
      <c r="AN56" s="11">
        <v>6941</v>
      </c>
      <c r="AO56" s="17"/>
      <c r="AP56" s="11">
        <v>19790</v>
      </c>
      <c r="AQ56" s="17"/>
      <c r="AR56" s="11">
        <v>25736</v>
      </c>
      <c r="AS56" s="17"/>
      <c r="AT56" s="11">
        <v>11003</v>
      </c>
      <c r="AU56" s="17"/>
      <c r="AV56" s="11">
        <v>0</v>
      </c>
      <c r="AW56" s="17"/>
      <c r="AX56" s="11">
        <v>0</v>
      </c>
      <c r="AY56" s="17"/>
      <c r="AZ56" s="11">
        <v>0</v>
      </c>
      <c r="BA56" s="17"/>
      <c r="BB56" s="11">
        <v>0</v>
      </c>
      <c r="BC56" s="17"/>
      <c r="BD56" s="11">
        <v>0</v>
      </c>
      <c r="BE56" s="17"/>
      <c r="BF56" s="11">
        <v>0</v>
      </c>
      <c r="BG56" s="17"/>
      <c r="BH56" s="11">
        <v>0</v>
      </c>
      <c r="BI56" s="17"/>
      <c r="BJ56" s="11">
        <v>0</v>
      </c>
      <c r="BK56" s="17"/>
      <c r="BL56" s="11">
        <v>0</v>
      </c>
      <c r="BM56" s="228"/>
      <c r="BN56" s="233">
        <v>0</v>
      </c>
      <c r="BO56" s="228"/>
      <c r="BP56" s="233">
        <v>0</v>
      </c>
      <c r="BQ56" s="228"/>
      <c r="BR56" s="233">
        <v>0</v>
      </c>
    </row>
    <row r="57" spans="1:70" s="46" customFormat="1" x14ac:dyDescent="0.35">
      <c r="A57" s="53" t="s">
        <v>32</v>
      </c>
      <c r="B57" s="11">
        <v>43774</v>
      </c>
      <c r="C57" s="11"/>
      <c r="D57" s="11">
        <f>53757+2</f>
        <v>53759</v>
      </c>
      <c r="E57" s="13"/>
      <c r="F57" s="11">
        <v>43836</v>
      </c>
      <c r="G57" s="139"/>
      <c r="H57" s="11">
        <v>46112</v>
      </c>
      <c r="I57" s="3"/>
      <c r="J57" s="11">
        <v>53735</v>
      </c>
      <c r="K57" s="3"/>
      <c r="L57" s="11">
        <v>56805</v>
      </c>
      <c r="M57" s="3"/>
      <c r="N57" s="11">
        <v>11932</v>
      </c>
      <c r="O57" s="3"/>
      <c r="P57" s="11">
        <v>8334</v>
      </c>
      <c r="Q57" s="3"/>
      <c r="R57" s="11">
        <v>8854</v>
      </c>
      <c r="S57" s="3"/>
      <c r="T57" s="11">
        <v>4515</v>
      </c>
      <c r="U57" s="3"/>
      <c r="V57" s="11">
        <v>5134</v>
      </c>
      <c r="W57" s="14"/>
      <c r="X57" s="11">
        <v>2164</v>
      </c>
      <c r="Y57" s="3"/>
      <c r="Z57" s="11">
        <v>929</v>
      </c>
      <c r="AA57" s="3"/>
      <c r="AB57" s="11">
        <v>656</v>
      </c>
      <c r="AC57" s="3"/>
      <c r="AD57" s="11">
        <v>4350</v>
      </c>
      <c r="AE57" s="3"/>
      <c r="AF57" s="11">
        <v>4727</v>
      </c>
      <c r="AG57" s="3"/>
      <c r="AH57" s="11">
        <f>9159+23705</f>
        <v>32864</v>
      </c>
      <c r="AI57" s="3"/>
      <c r="AJ57" s="11">
        <f>10693+21211</f>
        <v>31904</v>
      </c>
      <c r="AK57" s="3"/>
      <c r="AL57" s="11">
        <f>20327+17528</f>
        <v>37855</v>
      </c>
      <c r="AM57" s="3"/>
      <c r="AN57" s="11">
        <f>28883+11399</f>
        <v>40282</v>
      </c>
      <c r="AO57" s="3"/>
      <c r="AP57" s="11">
        <v>35653</v>
      </c>
      <c r="AQ57" s="3"/>
      <c r="AR57" s="11">
        <v>40687</v>
      </c>
      <c r="AS57" s="3"/>
      <c r="AT57" s="11">
        <v>48643</v>
      </c>
      <c r="AU57" s="3"/>
      <c r="AV57" s="11">
        <v>60453</v>
      </c>
      <c r="AW57" s="3"/>
      <c r="AX57" s="11">
        <v>77019</v>
      </c>
      <c r="AY57" s="3"/>
      <c r="AZ57" s="11">
        <v>91419</v>
      </c>
      <c r="BA57" s="3"/>
      <c r="BB57" s="11">
        <v>95471</v>
      </c>
      <c r="BC57" s="3"/>
      <c r="BD57" s="11">
        <v>97974</v>
      </c>
      <c r="BE57" s="3"/>
      <c r="BF57" s="11">
        <v>267358</v>
      </c>
      <c r="BG57" s="3"/>
      <c r="BH57" s="11">
        <v>127847</v>
      </c>
      <c r="BI57" s="3"/>
      <c r="BJ57" s="11">
        <v>121775</v>
      </c>
      <c r="BK57" s="3"/>
      <c r="BL57" s="11">
        <v>109969</v>
      </c>
      <c r="BM57" s="225"/>
      <c r="BN57" s="233">
        <v>202682</v>
      </c>
      <c r="BO57" s="225"/>
      <c r="BP57" s="233">
        <v>203504</v>
      </c>
      <c r="BQ57" s="225"/>
      <c r="BR57" s="233">
        <v>141755</v>
      </c>
    </row>
    <row r="58" spans="1:70" s="46" customFormat="1" x14ac:dyDescent="0.35">
      <c r="A58" s="53" t="s">
        <v>33</v>
      </c>
      <c r="B58" s="11">
        <v>0</v>
      </c>
      <c r="C58" s="11"/>
      <c r="D58" s="11">
        <v>0</v>
      </c>
      <c r="E58" s="13"/>
      <c r="F58" s="11">
        <v>0</v>
      </c>
      <c r="G58" s="139"/>
      <c r="H58" s="11">
        <v>0</v>
      </c>
      <c r="I58" s="3"/>
      <c r="J58" s="11">
        <v>0</v>
      </c>
      <c r="K58" s="3"/>
      <c r="L58" s="11">
        <v>0</v>
      </c>
      <c r="M58" s="3"/>
      <c r="N58" s="11">
        <v>629</v>
      </c>
      <c r="O58" s="3"/>
      <c r="P58" s="11">
        <v>3981</v>
      </c>
      <c r="Q58" s="3"/>
      <c r="R58" s="11">
        <v>11513</v>
      </c>
      <c r="S58" s="3"/>
      <c r="T58" s="11">
        <v>17790</v>
      </c>
      <c r="U58" s="3"/>
      <c r="V58" s="11">
        <v>22764</v>
      </c>
      <c r="W58" s="14"/>
      <c r="X58" s="11">
        <v>24430</v>
      </c>
      <c r="Y58" s="3"/>
      <c r="Z58" s="11">
        <v>24410</v>
      </c>
      <c r="AA58" s="3"/>
      <c r="AB58" s="11">
        <v>24449</v>
      </c>
      <c r="AC58" s="3"/>
      <c r="AD58" s="11">
        <v>24463</v>
      </c>
      <c r="AE58" s="3"/>
      <c r="AF58" s="11">
        <v>24484</v>
      </c>
      <c r="AG58" s="3"/>
      <c r="AH58" s="11">
        <v>0</v>
      </c>
      <c r="AI58" s="3"/>
      <c r="AJ58" s="11">
        <v>0</v>
      </c>
      <c r="AK58" s="3"/>
      <c r="AL58" s="11">
        <v>0</v>
      </c>
      <c r="AM58" s="3"/>
      <c r="AN58" s="11">
        <v>0</v>
      </c>
      <c r="AO58" s="3"/>
      <c r="AP58" s="11">
        <v>0</v>
      </c>
      <c r="AQ58" s="3"/>
      <c r="AR58" s="11">
        <v>0</v>
      </c>
      <c r="AS58" s="3"/>
      <c r="AT58" s="11">
        <v>0</v>
      </c>
      <c r="AU58" s="3"/>
      <c r="AV58" s="11">
        <v>0</v>
      </c>
      <c r="AW58" s="3"/>
      <c r="AX58" s="11">
        <v>0</v>
      </c>
      <c r="AY58" s="3"/>
      <c r="AZ58" s="11">
        <v>0</v>
      </c>
      <c r="BA58" s="3"/>
      <c r="BB58" s="11">
        <v>0</v>
      </c>
      <c r="BC58" s="3"/>
      <c r="BD58" s="11">
        <v>0</v>
      </c>
      <c r="BE58" s="3"/>
      <c r="BF58" s="11">
        <v>0</v>
      </c>
      <c r="BG58" s="3"/>
      <c r="BH58" s="11">
        <v>0</v>
      </c>
      <c r="BI58" s="3"/>
      <c r="BJ58" s="11">
        <v>0</v>
      </c>
      <c r="BK58" s="3"/>
      <c r="BL58" s="11">
        <v>0</v>
      </c>
      <c r="BM58" s="225"/>
      <c r="BN58" s="233">
        <v>0</v>
      </c>
      <c r="BO58" s="225"/>
      <c r="BP58" s="233">
        <v>0</v>
      </c>
      <c r="BQ58" s="225"/>
      <c r="BR58" s="233">
        <v>0</v>
      </c>
    </row>
    <row r="59" spans="1:70" s="46" customFormat="1" x14ac:dyDescent="0.35">
      <c r="A59" s="53" t="s">
        <v>300</v>
      </c>
      <c r="B59" s="11">
        <v>0</v>
      </c>
      <c r="C59" s="11"/>
      <c r="D59" s="11">
        <v>0</v>
      </c>
      <c r="E59" s="13"/>
      <c r="F59" s="11">
        <v>0</v>
      </c>
      <c r="G59" s="139"/>
      <c r="H59" s="11">
        <v>0</v>
      </c>
      <c r="I59" s="3"/>
      <c r="J59" s="11">
        <v>0</v>
      </c>
      <c r="K59" s="3"/>
      <c r="L59" s="11">
        <v>0</v>
      </c>
      <c r="M59" s="3"/>
      <c r="N59" s="11">
        <v>0</v>
      </c>
      <c r="O59" s="11"/>
      <c r="P59" s="11">
        <v>0</v>
      </c>
      <c r="Q59" s="13"/>
      <c r="R59" s="11">
        <v>0</v>
      </c>
      <c r="S59" s="139"/>
      <c r="T59" s="11">
        <v>0</v>
      </c>
      <c r="U59" s="3"/>
      <c r="V59" s="11">
        <v>0</v>
      </c>
      <c r="W59" s="3"/>
      <c r="X59" s="11">
        <v>0</v>
      </c>
      <c r="Y59" s="3"/>
      <c r="Z59" s="11">
        <v>0</v>
      </c>
      <c r="AA59" s="11"/>
      <c r="AB59" s="11">
        <v>0</v>
      </c>
      <c r="AC59" s="13"/>
      <c r="AD59" s="11">
        <v>0</v>
      </c>
      <c r="AE59" s="139"/>
      <c r="AF59" s="11">
        <v>0</v>
      </c>
      <c r="AG59" s="3"/>
      <c r="AH59" s="11">
        <v>0</v>
      </c>
      <c r="AI59" s="3"/>
      <c r="AJ59" s="11">
        <v>0</v>
      </c>
      <c r="AK59" s="3"/>
      <c r="AL59" s="11">
        <v>0</v>
      </c>
      <c r="AM59" s="3"/>
      <c r="AN59" s="11">
        <v>0</v>
      </c>
      <c r="AO59" s="3"/>
      <c r="AP59" s="11">
        <v>7691</v>
      </c>
      <c r="AQ59" s="3"/>
      <c r="AR59" s="11">
        <v>2100</v>
      </c>
      <c r="AS59" s="3"/>
      <c r="AT59" s="11">
        <v>20</v>
      </c>
      <c r="AU59" s="3"/>
      <c r="AV59" s="11">
        <v>0</v>
      </c>
      <c r="AW59" s="3"/>
      <c r="AX59" s="11">
        <v>0</v>
      </c>
      <c r="AY59" s="3"/>
      <c r="AZ59" s="11">
        <v>0</v>
      </c>
      <c r="BA59" s="3"/>
      <c r="BB59" s="11">
        <v>0</v>
      </c>
      <c r="BC59" s="3"/>
      <c r="BD59" s="11">
        <v>0</v>
      </c>
      <c r="BE59" s="3"/>
      <c r="BF59" s="11">
        <v>0</v>
      </c>
      <c r="BG59" s="3"/>
      <c r="BH59" s="11">
        <v>0</v>
      </c>
      <c r="BI59" s="3"/>
      <c r="BJ59" s="11">
        <v>0</v>
      </c>
      <c r="BK59" s="3"/>
      <c r="BL59" s="11">
        <v>0</v>
      </c>
      <c r="BM59" s="225"/>
      <c r="BN59" s="233">
        <v>0</v>
      </c>
      <c r="BO59" s="225"/>
      <c r="BP59" s="233"/>
      <c r="BQ59" s="225"/>
      <c r="BR59" s="233"/>
    </row>
    <row r="60" spans="1:70" s="46" customFormat="1" x14ac:dyDescent="0.35">
      <c r="A60" s="53" t="s">
        <v>134</v>
      </c>
      <c r="B60" s="11">
        <v>0</v>
      </c>
      <c r="C60" s="11"/>
      <c r="D60" s="11">
        <v>0</v>
      </c>
      <c r="E60" s="13"/>
      <c r="F60" s="11">
        <v>0</v>
      </c>
      <c r="G60" s="139"/>
      <c r="H60" s="11">
        <v>0</v>
      </c>
      <c r="I60" s="3"/>
      <c r="J60" s="11">
        <v>0</v>
      </c>
      <c r="K60" s="3"/>
      <c r="L60" s="11">
        <v>1517</v>
      </c>
      <c r="M60" s="3"/>
      <c r="N60" s="11">
        <v>1847</v>
      </c>
      <c r="O60" s="3"/>
      <c r="P60" s="11">
        <v>1500</v>
      </c>
      <c r="Q60" s="3"/>
      <c r="R60" s="11">
        <v>1601</v>
      </c>
      <c r="S60" s="3"/>
      <c r="T60" s="11">
        <v>1639</v>
      </c>
      <c r="U60" s="3"/>
      <c r="V60" s="11">
        <v>1731</v>
      </c>
      <c r="W60" s="14"/>
      <c r="X60" s="11">
        <v>1811</v>
      </c>
      <c r="Y60" s="3"/>
      <c r="Z60" s="11">
        <v>2085</v>
      </c>
      <c r="AA60" s="3"/>
      <c r="AB60" s="11">
        <v>2103</v>
      </c>
      <c r="AC60" s="3"/>
      <c r="AD60" s="11">
        <v>2184</v>
      </c>
      <c r="AE60" s="17"/>
      <c r="AF60" s="11">
        <v>2331</v>
      </c>
      <c r="AG60" s="17"/>
      <c r="AH60" s="11">
        <v>2343</v>
      </c>
      <c r="AI60" s="17"/>
      <c r="AJ60" s="11">
        <v>4013</v>
      </c>
      <c r="AK60" s="17"/>
      <c r="AL60" s="11">
        <v>4361</v>
      </c>
      <c r="AM60" s="17"/>
      <c r="AN60" s="11">
        <v>4588</v>
      </c>
      <c r="AO60" s="17"/>
      <c r="AP60" s="11">
        <v>4555</v>
      </c>
      <c r="AQ60" s="17"/>
      <c r="AR60" s="11">
        <v>4438</v>
      </c>
      <c r="AS60" s="17"/>
      <c r="AT60" s="11">
        <v>4941</v>
      </c>
      <c r="AU60" s="17"/>
      <c r="AV60" s="11">
        <v>5031</v>
      </c>
      <c r="AW60" s="17"/>
      <c r="AX60" s="11">
        <v>5127</v>
      </c>
      <c r="AY60" s="17"/>
      <c r="AZ60" s="11">
        <v>4531</v>
      </c>
      <c r="BA60" s="17"/>
      <c r="BB60" s="11">
        <v>4043</v>
      </c>
      <c r="BC60" s="17"/>
      <c r="BD60" s="11">
        <v>5432</v>
      </c>
      <c r="BE60" s="17"/>
      <c r="BF60" s="11">
        <v>5817</v>
      </c>
      <c r="BG60" s="17"/>
      <c r="BH60" s="11">
        <v>5889</v>
      </c>
      <c r="BI60" s="17"/>
      <c r="BJ60" s="11">
        <v>6364</v>
      </c>
      <c r="BK60" s="17"/>
      <c r="BL60" s="11">
        <v>6450</v>
      </c>
      <c r="BM60" s="228"/>
      <c r="BN60" s="233">
        <v>7485</v>
      </c>
      <c r="BO60" s="228"/>
      <c r="BP60" s="233">
        <v>7179</v>
      </c>
      <c r="BQ60" s="228"/>
      <c r="BR60" s="233">
        <v>6904</v>
      </c>
    </row>
    <row r="61" spans="1:70" s="46" customFormat="1" x14ac:dyDescent="0.35">
      <c r="A61" s="53" t="s">
        <v>34</v>
      </c>
      <c r="B61" s="11">
        <v>21510</v>
      </c>
      <c r="C61" s="11"/>
      <c r="D61" s="11">
        <v>26582</v>
      </c>
      <c r="E61" s="13"/>
      <c r="F61" s="11">
        <v>36642</v>
      </c>
      <c r="G61" s="19"/>
      <c r="H61" s="11">
        <v>34914</v>
      </c>
      <c r="I61" s="3"/>
      <c r="J61" s="11">
        <v>28385</v>
      </c>
      <c r="K61" s="3"/>
      <c r="L61" s="11">
        <v>31788</v>
      </c>
      <c r="M61" s="3"/>
      <c r="N61" s="11">
        <v>35377</v>
      </c>
      <c r="O61" s="3"/>
      <c r="P61" s="11">
        <v>34811</v>
      </c>
      <c r="Q61" s="3"/>
      <c r="R61" s="11">
        <v>24967</v>
      </c>
      <c r="S61" s="3"/>
      <c r="T61" s="11">
        <v>21521</v>
      </c>
      <c r="U61" s="3"/>
      <c r="V61" s="11">
        <v>21683</v>
      </c>
      <c r="W61" s="14"/>
      <c r="X61" s="11">
        <v>21661</v>
      </c>
      <c r="Y61" s="3"/>
      <c r="Z61" s="11">
        <v>17778</v>
      </c>
      <c r="AA61" s="3"/>
      <c r="AB61" s="11">
        <v>23144</v>
      </c>
      <c r="AC61" s="3"/>
      <c r="AD61" s="11">
        <v>33303</v>
      </c>
      <c r="AE61" s="17"/>
      <c r="AF61" s="11">
        <v>41306</v>
      </c>
      <c r="AG61" s="17"/>
      <c r="AH61" s="11">
        <v>32982</v>
      </c>
      <c r="AI61" s="17"/>
      <c r="AJ61" s="11">
        <v>40932</v>
      </c>
      <c r="AK61" s="17"/>
      <c r="AL61" s="11">
        <v>55515</v>
      </c>
      <c r="AM61" s="17"/>
      <c r="AN61" s="11">
        <v>71069</v>
      </c>
      <c r="AO61" s="17"/>
      <c r="AP61" s="11">
        <v>69116</v>
      </c>
      <c r="AQ61" s="17"/>
      <c r="AR61" s="11">
        <v>74887</v>
      </c>
      <c r="AS61" s="17"/>
      <c r="AT61" s="11">
        <v>82899</v>
      </c>
      <c r="AU61" s="17"/>
      <c r="AV61" s="11">
        <v>97465</v>
      </c>
      <c r="AW61" s="17"/>
      <c r="AX61" s="11">
        <v>78670</v>
      </c>
      <c r="AY61" s="17"/>
      <c r="AZ61" s="11">
        <v>75311</v>
      </c>
      <c r="BA61" s="17"/>
      <c r="BB61" s="11">
        <v>77802</v>
      </c>
      <c r="BC61" s="17"/>
      <c r="BD61" s="11">
        <v>119224</v>
      </c>
      <c r="BE61" s="17"/>
      <c r="BF61" s="11">
        <v>100936</v>
      </c>
      <c r="BG61" s="17"/>
      <c r="BH61" s="11">
        <v>110759</v>
      </c>
      <c r="BI61" s="17"/>
      <c r="BJ61" s="11">
        <v>110951</v>
      </c>
      <c r="BK61" s="17"/>
      <c r="BL61" s="11">
        <v>118566</v>
      </c>
      <c r="BM61" s="228"/>
      <c r="BN61" s="233">
        <v>121016</v>
      </c>
      <c r="BO61" s="228"/>
      <c r="BP61" s="233">
        <v>126303</v>
      </c>
      <c r="BQ61" s="228"/>
      <c r="BR61" s="233">
        <v>127529</v>
      </c>
    </row>
    <row r="62" spans="1:70" s="46" customFormat="1" x14ac:dyDescent="0.35">
      <c r="A62" s="53" t="s">
        <v>35</v>
      </c>
      <c r="B62" s="11">
        <v>847</v>
      </c>
      <c r="C62" s="11"/>
      <c r="D62" s="11">
        <v>901</v>
      </c>
      <c r="E62" s="13"/>
      <c r="F62" s="11">
        <v>1010</v>
      </c>
      <c r="G62" s="3"/>
      <c r="H62" s="11">
        <v>999</v>
      </c>
      <c r="I62" s="3"/>
      <c r="J62" s="11">
        <v>1685</v>
      </c>
      <c r="K62" s="3"/>
      <c r="L62" s="11">
        <v>1736</v>
      </c>
      <c r="M62" s="3"/>
      <c r="N62" s="11">
        <v>1411</v>
      </c>
      <c r="O62" s="3"/>
      <c r="P62" s="11">
        <v>1622</v>
      </c>
      <c r="Q62" s="3"/>
      <c r="R62" s="11">
        <v>1667</v>
      </c>
      <c r="S62" s="3"/>
      <c r="T62" s="11">
        <v>1546</v>
      </c>
      <c r="U62" s="3"/>
      <c r="V62" s="11">
        <v>2815</v>
      </c>
      <c r="W62" s="14"/>
      <c r="X62" s="11">
        <v>1164</v>
      </c>
      <c r="Y62" s="3"/>
      <c r="Z62" s="11">
        <v>1417</v>
      </c>
      <c r="AA62" s="3"/>
      <c r="AB62" s="11">
        <v>1585</v>
      </c>
      <c r="AC62" s="3"/>
      <c r="AD62" s="11">
        <v>1858</v>
      </c>
      <c r="AE62" s="17"/>
      <c r="AF62" s="11">
        <v>1935</v>
      </c>
      <c r="AG62" s="17"/>
      <c r="AH62" s="11">
        <v>1850</v>
      </c>
      <c r="AI62" s="17"/>
      <c r="AJ62" s="11">
        <v>3843</v>
      </c>
      <c r="AK62" s="17"/>
      <c r="AL62" s="11">
        <v>4778</v>
      </c>
      <c r="AM62" s="17"/>
      <c r="AN62" s="11">
        <v>7171</v>
      </c>
      <c r="AO62" s="17"/>
      <c r="AP62" s="11">
        <v>7608</v>
      </c>
      <c r="AQ62" s="17"/>
      <c r="AR62" s="11">
        <v>5559</v>
      </c>
      <c r="AS62" s="17"/>
      <c r="AT62" s="11">
        <v>5981</v>
      </c>
      <c r="AU62" s="17"/>
      <c r="AV62" s="11">
        <v>4340</v>
      </c>
      <c r="AW62" s="17"/>
      <c r="AX62" s="11">
        <v>6743</v>
      </c>
      <c r="AY62" s="17"/>
      <c r="AZ62" s="11">
        <v>0</v>
      </c>
      <c r="BA62" s="17"/>
      <c r="BB62" s="11">
        <v>0</v>
      </c>
      <c r="BC62" s="17"/>
      <c r="BD62" s="11">
        <v>0</v>
      </c>
      <c r="BE62" s="17"/>
      <c r="BF62" s="11">
        <v>0</v>
      </c>
      <c r="BG62" s="17"/>
      <c r="BH62" s="11">
        <v>0</v>
      </c>
      <c r="BI62" s="17"/>
      <c r="BJ62" s="11">
        <v>0</v>
      </c>
      <c r="BK62" s="17"/>
      <c r="BL62" s="11">
        <v>0</v>
      </c>
      <c r="BM62" s="228"/>
      <c r="BN62" s="233">
        <v>0</v>
      </c>
      <c r="BO62" s="228"/>
      <c r="BP62" s="233"/>
      <c r="BQ62" s="228"/>
      <c r="BR62" s="233">
        <v>0</v>
      </c>
    </row>
    <row r="63" spans="1:70" s="46" customFormat="1" x14ac:dyDescent="0.35">
      <c r="A63" s="53" t="s">
        <v>285</v>
      </c>
      <c r="B63" s="11">
        <v>3203</v>
      </c>
      <c r="C63" s="11"/>
      <c r="D63" s="11">
        <v>3617</v>
      </c>
      <c r="E63" s="13"/>
      <c r="F63" s="11">
        <v>2959</v>
      </c>
      <c r="G63" s="3"/>
      <c r="H63" s="11">
        <v>2501</v>
      </c>
      <c r="I63" s="3"/>
      <c r="J63" s="11">
        <v>2596</v>
      </c>
      <c r="K63" s="3"/>
      <c r="L63" s="11">
        <v>3007</v>
      </c>
      <c r="M63" s="3"/>
      <c r="N63" s="11">
        <v>3142</v>
      </c>
      <c r="O63" s="3"/>
      <c r="P63" s="11">
        <v>2844</v>
      </c>
      <c r="Q63" s="3"/>
      <c r="R63" s="11">
        <v>2948</v>
      </c>
      <c r="S63" s="3"/>
      <c r="T63" s="11">
        <v>3039</v>
      </c>
      <c r="U63" s="3"/>
      <c r="V63" s="11">
        <v>3857</v>
      </c>
      <c r="W63" s="14"/>
      <c r="X63" s="11">
        <v>2942</v>
      </c>
      <c r="Y63" s="3"/>
      <c r="Z63" s="11">
        <v>2904</v>
      </c>
      <c r="AA63" s="3"/>
      <c r="AB63" s="11">
        <v>2835</v>
      </c>
      <c r="AC63" s="3"/>
      <c r="AD63" s="11">
        <v>2895</v>
      </c>
      <c r="AE63" s="3"/>
      <c r="AF63" s="11">
        <v>3043</v>
      </c>
      <c r="AG63" s="3"/>
      <c r="AH63" s="11">
        <v>2730</v>
      </c>
      <c r="AI63" s="3"/>
      <c r="AJ63" s="11">
        <v>4000</v>
      </c>
      <c r="AK63" s="3"/>
      <c r="AL63" s="11">
        <v>7863</v>
      </c>
      <c r="AM63" s="3"/>
      <c r="AN63" s="11">
        <v>10740</v>
      </c>
      <c r="AO63" s="3"/>
      <c r="AP63" s="11">
        <v>8608</v>
      </c>
      <c r="AQ63" s="3"/>
      <c r="AR63" s="11">
        <v>9305</v>
      </c>
      <c r="AS63" s="3"/>
      <c r="AT63" s="11">
        <v>9312</v>
      </c>
      <c r="AU63" s="3"/>
      <c r="AV63" s="11">
        <v>9594</v>
      </c>
      <c r="AW63" s="3"/>
      <c r="AX63" s="11">
        <v>10264</v>
      </c>
      <c r="AY63" s="3"/>
      <c r="AZ63" s="11">
        <v>9752</v>
      </c>
      <c r="BA63" s="3"/>
      <c r="BB63" s="11">
        <v>13350</v>
      </c>
      <c r="BC63" s="3"/>
      <c r="BD63" s="11">
        <v>27543</v>
      </c>
      <c r="BE63" s="3"/>
      <c r="BF63" s="11">
        <v>16443</v>
      </c>
      <c r="BG63" s="3"/>
      <c r="BH63" s="11">
        <v>14651</v>
      </c>
      <c r="BI63" s="3"/>
      <c r="BJ63" s="11">
        <v>14657</v>
      </c>
      <c r="BK63" s="3"/>
      <c r="BL63" s="11">
        <v>14533</v>
      </c>
      <c r="BM63" s="225"/>
      <c r="BN63" s="233">
        <v>18266</v>
      </c>
      <c r="BO63" s="225"/>
      <c r="BP63" s="233">
        <v>20860</v>
      </c>
      <c r="BQ63" s="225"/>
      <c r="BR63" s="233">
        <v>17230</v>
      </c>
    </row>
    <row r="64" spans="1:70" s="46" customFormat="1" x14ac:dyDescent="0.35">
      <c r="A64" s="53" t="s">
        <v>37</v>
      </c>
      <c r="B64" s="11">
        <v>3992</v>
      </c>
      <c r="C64" s="11"/>
      <c r="D64" s="11">
        <v>1996</v>
      </c>
      <c r="E64" s="13"/>
      <c r="F64" s="11">
        <v>1996</v>
      </c>
      <c r="G64" s="3"/>
      <c r="H64" s="11">
        <v>1996</v>
      </c>
      <c r="I64" s="3"/>
      <c r="J64" s="11">
        <v>1996</v>
      </c>
      <c r="K64" s="3"/>
      <c r="L64" s="11">
        <v>1692</v>
      </c>
      <c r="M64" s="3"/>
      <c r="N64" s="11">
        <v>2111</v>
      </c>
      <c r="O64" s="3"/>
      <c r="P64" s="11">
        <v>1808</v>
      </c>
      <c r="Q64" s="3"/>
      <c r="R64" s="11">
        <v>1808</v>
      </c>
      <c r="S64" s="3"/>
      <c r="T64" s="11">
        <v>0</v>
      </c>
      <c r="U64" s="3"/>
      <c r="V64" s="11">
        <v>0</v>
      </c>
      <c r="W64" s="14"/>
      <c r="X64" s="11">
        <v>0</v>
      </c>
      <c r="Y64" s="3"/>
      <c r="Z64" s="11">
        <v>0</v>
      </c>
      <c r="AA64" s="3"/>
      <c r="AB64" s="11">
        <v>0</v>
      </c>
      <c r="AC64" s="3"/>
      <c r="AD64" s="11">
        <v>0</v>
      </c>
      <c r="AE64" s="3"/>
      <c r="AF64" s="11">
        <v>0</v>
      </c>
      <c r="AG64" s="3"/>
      <c r="AH64" s="11">
        <v>3443</v>
      </c>
      <c r="AI64" s="3"/>
      <c r="AJ64" s="11">
        <v>1507</v>
      </c>
      <c r="AK64" s="3"/>
      <c r="AL64" s="11">
        <v>7.0000000000000007E-5</v>
      </c>
      <c r="AM64" s="3"/>
      <c r="AN64" s="11">
        <v>7.0000000000000007E-5</v>
      </c>
      <c r="AO64" s="3"/>
      <c r="AP64" s="11">
        <v>41386</v>
      </c>
      <c r="AQ64" s="3"/>
      <c r="AR64" s="11">
        <v>41386</v>
      </c>
      <c r="AS64" s="3"/>
      <c r="AT64" s="11">
        <v>0</v>
      </c>
      <c r="AU64" s="3"/>
      <c r="AV64" s="11">
        <v>1000</v>
      </c>
      <c r="AW64" s="3"/>
      <c r="AX64" s="11">
        <v>11756</v>
      </c>
      <c r="AY64" s="3"/>
      <c r="AZ64" s="11">
        <v>11756</v>
      </c>
      <c r="BA64" s="3"/>
      <c r="BB64" s="11">
        <v>4400</v>
      </c>
      <c r="BC64" s="3"/>
      <c r="BD64" s="11">
        <v>0</v>
      </c>
      <c r="BE64" s="3"/>
      <c r="BF64" s="11">
        <v>13590</v>
      </c>
      <c r="BG64" s="3"/>
      <c r="BH64" s="11">
        <v>13590</v>
      </c>
      <c r="BI64" s="3"/>
      <c r="BJ64" s="11">
        <v>217</v>
      </c>
      <c r="BK64" s="3"/>
      <c r="BL64" s="11">
        <v>217</v>
      </c>
      <c r="BM64" s="225"/>
      <c r="BN64" s="233">
        <v>41000</v>
      </c>
      <c r="BO64" s="225"/>
      <c r="BP64" s="233">
        <v>41000</v>
      </c>
      <c r="BQ64" s="225"/>
      <c r="BR64" s="233">
        <v>15708</v>
      </c>
    </row>
    <row r="65" spans="1:70" s="46" customFormat="1" x14ac:dyDescent="0.35">
      <c r="A65" s="53" t="s">
        <v>38</v>
      </c>
      <c r="B65" s="11">
        <v>5904</v>
      </c>
      <c r="C65" s="11"/>
      <c r="D65" s="11">
        <v>5860</v>
      </c>
      <c r="E65" s="13"/>
      <c r="F65" s="11">
        <v>983</v>
      </c>
      <c r="G65" s="3"/>
      <c r="H65" s="11">
        <v>6526</v>
      </c>
      <c r="I65" s="3"/>
      <c r="J65" s="11">
        <v>6525</v>
      </c>
      <c r="K65" s="3"/>
      <c r="L65" s="11">
        <v>6543</v>
      </c>
      <c r="M65" s="3"/>
      <c r="N65" s="11">
        <v>6585</v>
      </c>
      <c r="O65" s="3"/>
      <c r="P65" s="11">
        <v>8139</v>
      </c>
      <c r="Q65" s="3"/>
      <c r="R65" s="11">
        <v>7864</v>
      </c>
      <c r="S65" s="3"/>
      <c r="T65" s="11">
        <v>4087</v>
      </c>
      <c r="U65" s="3"/>
      <c r="V65" s="11">
        <v>0</v>
      </c>
      <c r="W65" s="14"/>
      <c r="X65" s="11">
        <v>3312</v>
      </c>
      <c r="Y65" s="3"/>
      <c r="Z65" s="11">
        <v>1097</v>
      </c>
      <c r="AA65" s="3"/>
      <c r="AB65" s="11">
        <v>1282</v>
      </c>
      <c r="AC65" s="3"/>
      <c r="AD65" s="11">
        <v>1454</v>
      </c>
      <c r="AE65" s="3"/>
      <c r="AF65" s="11">
        <v>1961</v>
      </c>
      <c r="AG65" s="3"/>
      <c r="AH65" s="11">
        <v>1017</v>
      </c>
      <c r="AI65" s="3"/>
      <c r="AJ65" s="11">
        <v>8303</v>
      </c>
      <c r="AK65" s="3"/>
      <c r="AL65" s="11">
        <v>14815</v>
      </c>
      <c r="AM65" s="3"/>
      <c r="AN65" s="11">
        <v>9992</v>
      </c>
      <c r="AO65" s="3"/>
      <c r="AP65" s="11">
        <v>14473</v>
      </c>
      <c r="AQ65" s="3"/>
      <c r="AR65" s="11">
        <v>16752</v>
      </c>
      <c r="AS65" s="3"/>
      <c r="AT65" s="11">
        <v>15241</v>
      </c>
      <c r="AU65" s="3"/>
      <c r="AV65" s="11">
        <v>17093</v>
      </c>
      <c r="AW65" s="3"/>
      <c r="AX65" s="11">
        <v>16298</v>
      </c>
      <c r="AY65" s="3"/>
      <c r="AZ65" s="11">
        <v>14961</v>
      </c>
      <c r="BA65" s="3"/>
      <c r="BB65" s="11">
        <v>24710</v>
      </c>
      <c r="BC65" s="3"/>
      <c r="BD65" s="11">
        <v>60100</v>
      </c>
      <c r="BE65" s="3"/>
      <c r="BF65" s="11">
        <v>67038</v>
      </c>
      <c r="BG65" s="3"/>
      <c r="BH65" s="11">
        <v>62990</v>
      </c>
      <c r="BI65" s="3"/>
      <c r="BJ65" s="11">
        <v>79724</v>
      </c>
      <c r="BK65" s="3"/>
      <c r="BL65" s="11">
        <v>80893</v>
      </c>
      <c r="BM65" s="225"/>
      <c r="BN65" s="233">
        <v>83303</v>
      </c>
      <c r="BO65" s="225"/>
      <c r="BP65" s="233">
        <v>85775</v>
      </c>
      <c r="BQ65" s="225"/>
      <c r="BR65" s="233">
        <v>68750</v>
      </c>
    </row>
    <row r="66" spans="1:70" s="46" customFormat="1" x14ac:dyDescent="0.35">
      <c r="A66" s="53" t="s">
        <v>135</v>
      </c>
      <c r="B66" s="11">
        <v>336</v>
      </c>
      <c r="C66" s="11"/>
      <c r="D66" s="11">
        <v>16</v>
      </c>
      <c r="E66" s="13"/>
      <c r="F66" s="11">
        <v>0</v>
      </c>
      <c r="G66" s="3"/>
      <c r="H66" s="11">
        <v>0</v>
      </c>
      <c r="I66" s="3"/>
      <c r="J66" s="11">
        <v>0</v>
      </c>
      <c r="K66" s="3"/>
      <c r="L66" s="11">
        <v>0</v>
      </c>
      <c r="M66" s="3"/>
      <c r="N66" s="11">
        <v>0</v>
      </c>
      <c r="O66" s="3"/>
      <c r="P66" s="11">
        <v>0</v>
      </c>
      <c r="Q66" s="3"/>
      <c r="R66" s="11">
        <v>0</v>
      </c>
      <c r="S66" s="3"/>
      <c r="T66" s="11">
        <v>0</v>
      </c>
      <c r="U66" s="3"/>
      <c r="V66" s="11">
        <v>0</v>
      </c>
      <c r="W66" s="14"/>
      <c r="X66" s="11">
        <v>0</v>
      </c>
      <c r="Y66" s="3"/>
      <c r="Z66" s="11">
        <v>0</v>
      </c>
      <c r="AA66" s="3"/>
      <c r="AB66" s="11">
        <v>0</v>
      </c>
      <c r="AC66" s="3"/>
      <c r="AD66" s="11">
        <v>0</v>
      </c>
      <c r="AE66" s="3"/>
      <c r="AF66" s="11">
        <v>0</v>
      </c>
      <c r="AG66" s="3"/>
      <c r="AH66" s="11">
        <v>450</v>
      </c>
      <c r="AI66" s="3"/>
      <c r="AJ66" s="11">
        <v>219</v>
      </c>
      <c r="AK66" s="3"/>
      <c r="AL66" s="11">
        <v>0</v>
      </c>
      <c r="AM66" s="3"/>
      <c r="AN66" s="11">
        <v>0</v>
      </c>
      <c r="AO66" s="3"/>
      <c r="AP66" s="11">
        <v>61</v>
      </c>
      <c r="AQ66" s="3"/>
      <c r="AR66" s="11">
        <v>0</v>
      </c>
      <c r="AS66" s="3"/>
      <c r="AT66" s="11">
        <v>0</v>
      </c>
      <c r="AU66" s="3"/>
      <c r="AV66" s="11">
        <v>0</v>
      </c>
      <c r="AW66" s="3"/>
      <c r="AX66" s="11">
        <v>1858</v>
      </c>
      <c r="AY66" s="3"/>
      <c r="AZ66" s="11">
        <v>2454</v>
      </c>
      <c r="BA66" s="3"/>
      <c r="BB66" s="11">
        <v>1775</v>
      </c>
      <c r="BC66" s="3"/>
      <c r="BD66" s="11">
        <v>699</v>
      </c>
      <c r="BE66" s="3"/>
      <c r="BF66" s="11">
        <v>0</v>
      </c>
      <c r="BG66" s="3"/>
      <c r="BH66" s="11">
        <v>0</v>
      </c>
      <c r="BI66" s="3"/>
      <c r="BJ66" s="11">
        <v>3323</v>
      </c>
      <c r="BK66" s="3"/>
      <c r="BL66" s="11">
        <v>5646</v>
      </c>
      <c r="BM66" s="225"/>
      <c r="BN66" s="233">
        <v>2376</v>
      </c>
      <c r="BO66" s="225"/>
      <c r="BP66" s="233">
        <v>8764</v>
      </c>
      <c r="BQ66" s="225"/>
      <c r="BR66" s="233">
        <v>8711</v>
      </c>
    </row>
    <row r="67" spans="1:70" s="46" customFormat="1" x14ac:dyDescent="0.35">
      <c r="A67" s="53" t="s">
        <v>23</v>
      </c>
      <c r="B67" s="11">
        <v>0</v>
      </c>
      <c r="C67" s="11"/>
      <c r="D67" s="11">
        <v>0</v>
      </c>
      <c r="E67" s="13"/>
      <c r="F67" s="11">
        <v>0</v>
      </c>
      <c r="G67" s="3"/>
      <c r="H67" s="11">
        <v>0</v>
      </c>
      <c r="I67" s="3"/>
      <c r="J67" s="11">
        <v>0</v>
      </c>
      <c r="K67" s="3"/>
      <c r="L67" s="11">
        <v>0</v>
      </c>
      <c r="M67" s="3"/>
      <c r="N67" s="11">
        <v>0</v>
      </c>
      <c r="O67" s="3"/>
      <c r="P67" s="11">
        <v>0</v>
      </c>
      <c r="Q67" s="3"/>
      <c r="R67" s="11">
        <v>0</v>
      </c>
      <c r="S67" s="3"/>
      <c r="T67" s="11">
        <v>0</v>
      </c>
      <c r="U67" s="3"/>
      <c r="V67" s="11">
        <v>73</v>
      </c>
      <c r="W67" s="14"/>
      <c r="X67" s="11">
        <v>0</v>
      </c>
      <c r="Y67" s="3"/>
      <c r="Z67" s="11">
        <v>0</v>
      </c>
      <c r="AA67" s="3"/>
      <c r="AB67" s="11">
        <v>0</v>
      </c>
      <c r="AC67" s="3"/>
      <c r="AD67" s="11">
        <v>0</v>
      </c>
      <c r="AE67" s="3"/>
      <c r="AF67" s="11">
        <v>0</v>
      </c>
      <c r="AG67" s="3"/>
      <c r="AH67" s="11">
        <v>0</v>
      </c>
      <c r="AI67" s="3"/>
      <c r="AJ67" s="11">
        <v>0</v>
      </c>
      <c r="AK67" s="3"/>
      <c r="AL67" s="11">
        <v>0</v>
      </c>
      <c r="AM67" s="3"/>
      <c r="AN67" s="11">
        <v>0</v>
      </c>
      <c r="AO67" s="3"/>
      <c r="AP67" s="11">
        <v>0</v>
      </c>
      <c r="AQ67" s="3"/>
      <c r="AR67" s="11">
        <v>0</v>
      </c>
      <c r="AS67" s="3"/>
      <c r="AT67" s="11">
        <v>0</v>
      </c>
      <c r="AU67" s="3"/>
      <c r="AV67" s="11">
        <v>0</v>
      </c>
      <c r="AW67" s="3"/>
      <c r="AX67" s="11">
        <v>0</v>
      </c>
      <c r="AY67" s="3"/>
      <c r="AZ67" s="11">
        <v>0</v>
      </c>
      <c r="BA67" s="3"/>
      <c r="BB67" s="11">
        <v>0</v>
      </c>
      <c r="BC67" s="3"/>
      <c r="BD67" s="11">
        <v>0</v>
      </c>
      <c r="BE67" s="3"/>
      <c r="BF67" s="11">
        <v>0</v>
      </c>
      <c r="BG67" s="3"/>
      <c r="BH67" s="11">
        <v>0</v>
      </c>
      <c r="BI67" s="3"/>
      <c r="BJ67" s="11">
        <v>0</v>
      </c>
      <c r="BK67" s="3"/>
      <c r="BL67" s="11">
        <v>0</v>
      </c>
      <c r="BM67" s="225"/>
      <c r="BN67" s="233">
        <v>0</v>
      </c>
      <c r="BO67" s="225"/>
      <c r="BP67" s="233">
        <v>0</v>
      </c>
      <c r="BQ67" s="225"/>
      <c r="BR67" s="233">
        <v>0</v>
      </c>
    </row>
    <row r="68" spans="1:70" s="46" customFormat="1" x14ac:dyDescent="0.35">
      <c r="A68" s="53" t="s">
        <v>136</v>
      </c>
      <c r="B68" s="11">
        <v>0</v>
      </c>
      <c r="C68" s="11"/>
      <c r="D68" s="11">
        <v>0</v>
      </c>
      <c r="E68" s="13"/>
      <c r="F68" s="11">
        <v>1014</v>
      </c>
      <c r="G68" s="3"/>
      <c r="H68" s="11">
        <v>2603</v>
      </c>
      <c r="I68" s="3"/>
      <c r="J68" s="11">
        <v>2676</v>
      </c>
      <c r="K68" s="3"/>
      <c r="L68" s="11">
        <v>7462</v>
      </c>
      <c r="M68" s="3"/>
      <c r="N68" s="11">
        <v>9325</v>
      </c>
      <c r="O68" s="3"/>
      <c r="P68" s="11">
        <v>9507</v>
      </c>
      <c r="Q68" s="3"/>
      <c r="R68" s="11">
        <v>9613</v>
      </c>
      <c r="S68" s="3"/>
      <c r="T68" s="11">
        <v>0</v>
      </c>
      <c r="U68" s="3"/>
      <c r="V68" s="11">
        <v>0</v>
      </c>
      <c r="W68" s="14"/>
      <c r="X68" s="11">
        <v>0</v>
      </c>
      <c r="Y68" s="3"/>
      <c r="Z68" s="11">
        <v>0</v>
      </c>
      <c r="AA68" s="3"/>
      <c r="AB68" s="11">
        <v>0</v>
      </c>
      <c r="AC68" s="3"/>
      <c r="AD68" s="11">
        <v>0</v>
      </c>
      <c r="AE68" s="3"/>
      <c r="AF68" s="11">
        <v>0</v>
      </c>
      <c r="AG68" s="3"/>
      <c r="AH68" s="11">
        <v>0</v>
      </c>
      <c r="AI68" s="3"/>
      <c r="AJ68" s="11">
        <v>0</v>
      </c>
      <c r="AK68" s="3"/>
      <c r="AL68" s="11">
        <v>0</v>
      </c>
      <c r="AM68" s="3"/>
      <c r="AN68" s="11">
        <v>0</v>
      </c>
      <c r="AO68" s="3"/>
      <c r="AP68" s="11">
        <v>0</v>
      </c>
      <c r="AQ68" s="3"/>
      <c r="AR68" s="11">
        <v>0</v>
      </c>
      <c r="AS68" s="3"/>
      <c r="AT68" s="11">
        <v>0</v>
      </c>
      <c r="AU68" s="3"/>
      <c r="AV68" s="11">
        <v>0</v>
      </c>
      <c r="AW68" s="3"/>
      <c r="AX68" s="11">
        <v>0</v>
      </c>
      <c r="AY68" s="3"/>
      <c r="AZ68" s="11">
        <v>0</v>
      </c>
      <c r="BA68" s="3"/>
      <c r="BB68" s="11">
        <v>0</v>
      </c>
      <c r="BC68" s="3"/>
      <c r="BD68" s="11">
        <v>0</v>
      </c>
      <c r="BE68" s="3"/>
      <c r="BF68" s="11">
        <v>0</v>
      </c>
      <c r="BG68" s="3"/>
      <c r="BH68" s="11">
        <v>0</v>
      </c>
      <c r="BI68" s="3"/>
      <c r="BJ68" s="11">
        <v>0</v>
      </c>
      <c r="BK68" s="3"/>
      <c r="BL68" s="11">
        <v>0</v>
      </c>
      <c r="BM68" s="225"/>
      <c r="BN68" s="233">
        <v>0</v>
      </c>
      <c r="BO68" s="225"/>
      <c r="BP68" s="233">
        <v>0</v>
      </c>
      <c r="BQ68" s="225"/>
      <c r="BR68" s="233">
        <v>0</v>
      </c>
    </row>
    <row r="69" spans="1:70" s="46" customFormat="1" x14ac:dyDescent="0.35">
      <c r="A69" s="53" t="s">
        <v>39</v>
      </c>
      <c r="B69" s="11">
        <v>0</v>
      </c>
      <c r="C69" s="11"/>
      <c r="D69" s="11">
        <v>1683</v>
      </c>
      <c r="E69" s="13"/>
      <c r="F69" s="11">
        <v>2666</v>
      </c>
      <c r="G69" s="3"/>
      <c r="H69" s="11">
        <v>2187</v>
      </c>
      <c r="I69" s="3"/>
      <c r="J69" s="11">
        <v>3173</v>
      </c>
      <c r="K69" s="3"/>
      <c r="L69" s="11">
        <v>5147</v>
      </c>
      <c r="M69" s="3"/>
      <c r="N69" s="11">
        <v>3147</v>
      </c>
      <c r="O69" s="3"/>
      <c r="P69" s="11">
        <v>5506</v>
      </c>
      <c r="Q69" s="3"/>
      <c r="R69" s="11">
        <v>7229</v>
      </c>
      <c r="S69" s="3"/>
      <c r="T69" s="11">
        <v>6923</v>
      </c>
      <c r="U69" s="3"/>
      <c r="V69" s="11">
        <v>4452</v>
      </c>
      <c r="W69" s="14"/>
      <c r="X69" s="11">
        <v>3469</v>
      </c>
      <c r="Y69" s="3"/>
      <c r="Z69" s="11">
        <v>4255</v>
      </c>
      <c r="AA69" s="3"/>
      <c r="AB69" s="11">
        <v>5871</v>
      </c>
      <c r="AC69" s="3"/>
      <c r="AD69" s="11">
        <v>8403</v>
      </c>
      <c r="AE69" s="3"/>
      <c r="AF69" s="11">
        <v>10805</v>
      </c>
      <c r="AG69" s="3"/>
      <c r="AH69" s="11">
        <v>9773</v>
      </c>
      <c r="AI69" s="3"/>
      <c r="AJ69" s="11">
        <v>12426</v>
      </c>
      <c r="AK69" s="3"/>
      <c r="AL69" s="11">
        <v>12647</v>
      </c>
      <c r="AM69" s="3"/>
      <c r="AN69" s="11">
        <v>13175</v>
      </c>
      <c r="AO69" s="3"/>
      <c r="AP69" s="11">
        <v>15624</v>
      </c>
      <c r="AQ69" s="3"/>
      <c r="AR69" s="11">
        <v>19703</v>
      </c>
      <c r="AS69" s="3"/>
      <c r="AT69" s="11">
        <v>20115</v>
      </c>
      <c r="AU69" s="3"/>
      <c r="AV69" s="11">
        <v>22102</v>
      </c>
      <c r="AW69" s="3"/>
      <c r="AX69" s="11">
        <v>29299</v>
      </c>
      <c r="AY69" s="3"/>
      <c r="AZ69" s="11">
        <v>26048</v>
      </c>
      <c r="BA69" s="3"/>
      <c r="BB69" s="11">
        <v>20826</v>
      </c>
      <c r="BC69" s="3"/>
      <c r="BD69" s="11">
        <v>23733</v>
      </c>
      <c r="BE69" s="3"/>
      <c r="BF69" s="11">
        <v>29883</v>
      </c>
      <c r="BG69" s="3"/>
      <c r="BH69" s="11">
        <v>29821</v>
      </c>
      <c r="BI69" s="3"/>
      <c r="BJ69" s="11">
        <v>15281</v>
      </c>
      <c r="BK69" s="3"/>
      <c r="BL69" s="11">
        <v>14186</v>
      </c>
      <c r="BM69" s="225"/>
      <c r="BN69" s="233">
        <v>26770</v>
      </c>
      <c r="BO69" s="225"/>
      <c r="BP69" s="233">
        <v>24868</v>
      </c>
      <c r="BQ69" s="225"/>
      <c r="BR69" s="233">
        <v>21504</v>
      </c>
    </row>
    <row r="70" spans="1:70" s="46" customFormat="1" x14ac:dyDescent="0.35">
      <c r="A70" s="53" t="s">
        <v>301</v>
      </c>
      <c r="B70" s="11">
        <v>0</v>
      </c>
      <c r="C70" s="11"/>
      <c r="D70" s="11">
        <v>0</v>
      </c>
      <c r="E70" s="13"/>
      <c r="F70" s="11">
        <v>0</v>
      </c>
      <c r="G70" s="139"/>
      <c r="H70" s="11">
        <v>0</v>
      </c>
      <c r="I70" s="3"/>
      <c r="J70" s="11">
        <v>0</v>
      </c>
      <c r="K70" s="3"/>
      <c r="L70" s="11">
        <v>0</v>
      </c>
      <c r="M70" s="3"/>
      <c r="N70" s="11">
        <v>0</v>
      </c>
      <c r="O70" s="11"/>
      <c r="P70" s="11">
        <v>0</v>
      </c>
      <c r="Q70" s="13"/>
      <c r="R70" s="11">
        <v>0</v>
      </c>
      <c r="S70" s="139"/>
      <c r="T70" s="11">
        <v>0</v>
      </c>
      <c r="U70" s="3"/>
      <c r="V70" s="11">
        <v>0</v>
      </c>
      <c r="W70" s="3"/>
      <c r="X70" s="11">
        <v>0</v>
      </c>
      <c r="Y70" s="3"/>
      <c r="Z70" s="11">
        <v>0</v>
      </c>
      <c r="AA70" s="11"/>
      <c r="AB70" s="11">
        <v>0</v>
      </c>
      <c r="AC70" s="13"/>
      <c r="AD70" s="11">
        <v>0</v>
      </c>
      <c r="AE70" s="139"/>
      <c r="AF70" s="11">
        <v>0</v>
      </c>
      <c r="AG70" s="3"/>
      <c r="AH70" s="11">
        <v>0</v>
      </c>
      <c r="AI70" s="3"/>
      <c r="AJ70" s="11">
        <v>0</v>
      </c>
      <c r="AK70" s="3"/>
      <c r="AL70" s="11">
        <v>0</v>
      </c>
      <c r="AM70" s="3"/>
      <c r="AN70" s="11">
        <v>0</v>
      </c>
      <c r="AO70" s="3"/>
      <c r="AP70" s="11">
        <v>0</v>
      </c>
      <c r="AQ70" s="3"/>
      <c r="AR70" s="11">
        <v>0</v>
      </c>
      <c r="AS70" s="3"/>
      <c r="AT70" s="11">
        <v>0</v>
      </c>
      <c r="AU70" s="3"/>
      <c r="AV70" s="11">
        <v>0</v>
      </c>
      <c r="AW70" s="3"/>
      <c r="AX70" s="11">
        <v>0</v>
      </c>
      <c r="AY70" s="3"/>
      <c r="AZ70" s="11">
        <v>0</v>
      </c>
      <c r="BA70" s="3"/>
      <c r="BB70" s="11">
        <v>0</v>
      </c>
      <c r="BC70" s="3"/>
      <c r="BD70" s="11">
        <v>0</v>
      </c>
      <c r="BE70" s="3"/>
      <c r="BF70" s="11">
        <v>0</v>
      </c>
      <c r="BG70" s="3"/>
      <c r="BH70" s="11">
        <v>0</v>
      </c>
      <c r="BI70" s="3"/>
      <c r="BJ70" s="11">
        <v>0</v>
      </c>
      <c r="BK70" s="3"/>
      <c r="BL70" s="11"/>
      <c r="BM70" s="225"/>
      <c r="BN70" s="233"/>
      <c r="BO70" s="225"/>
      <c r="BP70" s="233"/>
      <c r="BQ70" s="225"/>
      <c r="BR70" s="233"/>
    </row>
    <row r="71" spans="1:70" s="46" customFormat="1" x14ac:dyDescent="0.35">
      <c r="A71" s="53" t="s">
        <v>40</v>
      </c>
      <c r="B71" s="11">
        <v>465</v>
      </c>
      <c r="C71" s="11"/>
      <c r="D71" s="11">
        <f>572+1</f>
        <v>573</v>
      </c>
      <c r="E71" s="13"/>
      <c r="F71" s="11">
        <f>779+1</f>
        <v>780</v>
      </c>
      <c r="G71" s="20"/>
      <c r="H71" s="11">
        <v>448</v>
      </c>
      <c r="I71" s="3"/>
      <c r="J71" s="11">
        <v>793</v>
      </c>
      <c r="K71" s="3"/>
      <c r="L71" s="11">
        <v>482</v>
      </c>
      <c r="M71" s="3"/>
      <c r="N71" s="11">
        <v>1727</v>
      </c>
      <c r="O71" s="3"/>
      <c r="P71" s="11">
        <v>2491</v>
      </c>
      <c r="Q71" s="3"/>
      <c r="R71" s="11">
        <v>2008</v>
      </c>
      <c r="S71" s="3"/>
      <c r="T71" s="11">
        <v>303</v>
      </c>
      <c r="U71" s="3"/>
      <c r="V71" s="11">
        <v>265</v>
      </c>
      <c r="W71" s="14"/>
      <c r="X71" s="11">
        <v>224</v>
      </c>
      <c r="Y71" s="3"/>
      <c r="Z71" s="11">
        <v>255</v>
      </c>
      <c r="AA71" s="3"/>
      <c r="AB71" s="11">
        <v>184</v>
      </c>
      <c r="AC71" s="3"/>
      <c r="AD71" s="11">
        <v>209</v>
      </c>
      <c r="AE71" s="3"/>
      <c r="AF71" s="11">
        <v>166</v>
      </c>
      <c r="AG71" s="3"/>
      <c r="AH71" s="11">
        <v>1659</v>
      </c>
      <c r="AI71" s="3"/>
      <c r="AJ71" s="11">
        <v>1800</v>
      </c>
      <c r="AK71" s="3"/>
      <c r="AL71" s="11">
        <v>3374</v>
      </c>
      <c r="AM71" s="3"/>
      <c r="AN71" s="11">
        <v>9087</v>
      </c>
      <c r="AO71" s="3"/>
      <c r="AP71" s="11">
        <v>1174</v>
      </c>
      <c r="AQ71" s="3"/>
      <c r="AR71" s="11">
        <v>12945</v>
      </c>
      <c r="AS71" s="3"/>
      <c r="AT71" s="11">
        <v>6876</v>
      </c>
      <c r="AU71" s="3"/>
      <c r="AV71" s="11">
        <v>1270</v>
      </c>
      <c r="AW71" s="3"/>
      <c r="AX71" s="11">
        <v>1461</v>
      </c>
      <c r="AY71" s="3"/>
      <c r="AZ71" s="11">
        <v>751</v>
      </c>
      <c r="BA71" s="3"/>
      <c r="BB71" s="11">
        <v>1145</v>
      </c>
      <c r="BC71" s="3"/>
      <c r="BD71" s="11">
        <v>1173</v>
      </c>
      <c r="BE71" s="3"/>
      <c r="BF71" s="11">
        <v>1174</v>
      </c>
      <c r="BG71" s="3"/>
      <c r="BH71" s="11">
        <v>2132</v>
      </c>
      <c r="BI71" s="3"/>
      <c r="BJ71" s="11">
        <v>1117</v>
      </c>
      <c r="BK71" s="3"/>
      <c r="BL71" s="11">
        <v>1629</v>
      </c>
      <c r="BM71" s="225"/>
      <c r="BN71" s="233">
        <v>8844</v>
      </c>
      <c r="BO71" s="225"/>
      <c r="BP71" s="233">
        <v>3923</v>
      </c>
      <c r="BQ71" s="225"/>
      <c r="BR71" s="233">
        <v>2928</v>
      </c>
    </row>
    <row r="72" spans="1:70" s="46" customFormat="1" x14ac:dyDescent="0.35">
      <c r="A72" s="53"/>
      <c r="B72" s="140">
        <f>SUM(B54:B71)</f>
        <v>89663</v>
      </c>
      <c r="C72" s="141"/>
      <c r="D72" s="140">
        <f>SUM(D54:D71)</f>
        <v>106524</v>
      </c>
      <c r="E72" s="13"/>
      <c r="F72" s="140">
        <f>SUM(F54:F71)</f>
        <v>101471</v>
      </c>
      <c r="G72" s="130"/>
      <c r="H72" s="140">
        <f>SUM(H54:H71)</f>
        <v>108174</v>
      </c>
      <c r="I72" s="130"/>
      <c r="J72" s="140">
        <f>SUM(J54:J71)</f>
        <v>114810</v>
      </c>
      <c r="K72" s="3"/>
      <c r="L72" s="140">
        <f>SUM(L54:L71)</f>
        <v>131132</v>
      </c>
      <c r="M72" s="3"/>
      <c r="N72" s="140">
        <f>SUM(N54:N71)</f>
        <v>92451</v>
      </c>
      <c r="O72" s="3"/>
      <c r="P72" s="140">
        <f>SUM(P54:P71)</f>
        <v>101252</v>
      </c>
      <c r="Q72" s="3"/>
      <c r="R72" s="140">
        <f>SUM(R54:R71)</f>
        <v>95180</v>
      </c>
      <c r="S72" s="3"/>
      <c r="T72" s="140">
        <f>SUM(T54:T71)</f>
        <v>70044</v>
      </c>
      <c r="U72" s="3"/>
      <c r="V72" s="140">
        <f>SUM(V54:V71)</f>
        <v>69380</v>
      </c>
      <c r="W72" s="3"/>
      <c r="X72" s="140">
        <f>SUM(X54:X71)</f>
        <v>68301</v>
      </c>
      <c r="Y72" s="3"/>
      <c r="Z72" s="140">
        <f>SUM(Z54:Z71)</f>
        <v>66608</v>
      </c>
      <c r="AA72" s="3"/>
      <c r="AB72" s="140">
        <f>SUM(AB54:AB71)</f>
        <v>74266</v>
      </c>
      <c r="AC72" s="3"/>
      <c r="AD72" s="140">
        <f>SUM(AD54:AD71)</f>
        <v>91576</v>
      </c>
      <c r="AE72" s="3"/>
      <c r="AF72" s="140">
        <f>SUM(AF54:AF71)</f>
        <v>104317</v>
      </c>
      <c r="AG72" s="3"/>
      <c r="AH72" s="140">
        <f>SUM(AH54:AH71)</f>
        <v>106361</v>
      </c>
      <c r="AI72" s="3"/>
      <c r="AJ72" s="140">
        <f>SUM(AJ54:AJ71)</f>
        <v>127042.00001</v>
      </c>
      <c r="AK72" s="3"/>
      <c r="AL72" s="140">
        <f>SUM(AL54:AL71)</f>
        <v>170646.00002000001</v>
      </c>
      <c r="AM72" s="3"/>
      <c r="AN72" s="140">
        <f>SUM(AN54:AN71)</f>
        <v>202843.00011000002</v>
      </c>
      <c r="AO72" s="3"/>
      <c r="AP72" s="140">
        <f>SUM(AP54:AP71)</f>
        <v>259122.00005999999</v>
      </c>
      <c r="AQ72" s="3"/>
      <c r="AR72" s="140">
        <f>SUM(AR54:AR71)</f>
        <v>289881</v>
      </c>
      <c r="AS72" s="3"/>
      <c r="AT72" s="140">
        <f>SUM(AT54:AT71)</f>
        <v>238720</v>
      </c>
      <c r="AU72" s="3"/>
      <c r="AV72" s="140">
        <f>SUM(AV54:AV71)</f>
        <v>247400</v>
      </c>
      <c r="AW72" s="3"/>
      <c r="AX72" s="140">
        <f>SUM(AX54:AX71)</f>
        <v>277072</v>
      </c>
      <c r="AY72" s="3"/>
      <c r="AZ72" s="140">
        <f>SUM(AZ54:AZ71)</f>
        <v>257940</v>
      </c>
      <c r="BA72" s="3"/>
      <c r="BB72" s="140">
        <f>SUM(BB54:BB71)</f>
        <v>264726</v>
      </c>
      <c r="BC72" s="3"/>
      <c r="BD72" s="140">
        <f>SUM(BD54:BD71)</f>
        <v>395917</v>
      </c>
      <c r="BE72" s="3"/>
      <c r="BF72" s="140">
        <f>SUM(BF54:BF71)</f>
        <v>546806</v>
      </c>
      <c r="BG72" s="3"/>
      <c r="BH72" s="140">
        <f>SUM(BH54:BH71)</f>
        <v>406194</v>
      </c>
      <c r="BI72" s="3"/>
      <c r="BJ72" s="140">
        <f>SUM(BJ54:BJ71)</f>
        <v>391239</v>
      </c>
      <c r="BK72" s="3"/>
      <c r="BL72" s="140">
        <f>SUM(BL54:BL71)</f>
        <v>385309</v>
      </c>
      <c r="BM72" s="225"/>
      <c r="BN72" s="234">
        <f>SUM(BN54:BN71)</f>
        <v>573925</v>
      </c>
      <c r="BO72" s="225"/>
      <c r="BP72" s="234">
        <f>SUM(BP54:BP71)</f>
        <v>570299</v>
      </c>
      <c r="BQ72" s="225"/>
      <c r="BR72" s="234">
        <f>SUM(BR54:BR71)</f>
        <v>470504</v>
      </c>
    </row>
    <row r="73" spans="1:70" s="46" customFormat="1" ht="15" customHeight="1" x14ac:dyDescent="0.35">
      <c r="A73" s="133" t="s">
        <v>131</v>
      </c>
      <c r="B73" s="11"/>
      <c r="C73" s="11"/>
      <c r="D73" s="12"/>
      <c r="E73" s="13"/>
      <c r="F73" s="11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225"/>
      <c r="BN73" s="225"/>
      <c r="BO73" s="225"/>
      <c r="BP73" s="225"/>
      <c r="BQ73" s="225"/>
      <c r="BR73" s="225"/>
    </row>
    <row r="74" spans="1:70" s="46" customFormat="1" ht="15" customHeight="1" x14ac:dyDescent="0.35">
      <c r="A74" s="53" t="s">
        <v>29</v>
      </c>
      <c r="B74" s="11">
        <v>0</v>
      </c>
      <c r="C74" s="11"/>
      <c r="D74" s="11">
        <v>0</v>
      </c>
      <c r="E74" s="13"/>
      <c r="F74" s="11">
        <v>0</v>
      </c>
      <c r="G74" s="3"/>
      <c r="H74" s="11">
        <v>0</v>
      </c>
      <c r="I74" s="3"/>
      <c r="J74" s="11">
        <v>0</v>
      </c>
      <c r="K74" s="3"/>
      <c r="L74" s="11">
        <v>0</v>
      </c>
      <c r="M74" s="3"/>
      <c r="N74" s="11">
        <v>0</v>
      </c>
      <c r="O74" s="3"/>
      <c r="P74" s="11">
        <v>144</v>
      </c>
      <c r="Q74" s="3"/>
      <c r="R74" s="11">
        <v>144</v>
      </c>
      <c r="S74" s="3"/>
      <c r="T74" s="11">
        <v>144</v>
      </c>
      <c r="U74" s="3"/>
      <c r="V74" s="11">
        <v>144</v>
      </c>
      <c r="W74" s="14"/>
      <c r="X74" s="11">
        <v>144</v>
      </c>
      <c r="Y74" s="3"/>
      <c r="Z74" s="11">
        <v>0</v>
      </c>
      <c r="AA74" s="3"/>
      <c r="AB74" s="11">
        <v>0</v>
      </c>
      <c r="AC74" s="3"/>
      <c r="AD74" s="11">
        <v>0</v>
      </c>
      <c r="AE74" s="17"/>
      <c r="AF74" s="11">
        <v>0</v>
      </c>
      <c r="AG74" s="17"/>
      <c r="AH74" s="11">
        <v>0</v>
      </c>
      <c r="AI74" s="17"/>
      <c r="AJ74" s="11">
        <v>0</v>
      </c>
      <c r="AK74" s="17"/>
      <c r="AL74" s="11">
        <v>0</v>
      </c>
      <c r="AM74" s="17"/>
      <c r="AN74" s="11">
        <v>0</v>
      </c>
      <c r="AO74" s="17"/>
      <c r="AP74" s="11">
        <v>0</v>
      </c>
      <c r="AQ74" s="17"/>
      <c r="AR74" s="11">
        <v>0</v>
      </c>
      <c r="AS74" s="17"/>
      <c r="AT74" s="11">
        <v>0</v>
      </c>
      <c r="AU74" s="17"/>
      <c r="AV74" s="11">
        <v>16</v>
      </c>
      <c r="AW74" s="17"/>
      <c r="AX74" s="11">
        <v>0</v>
      </c>
      <c r="AY74" s="17"/>
      <c r="AZ74" s="11">
        <v>0</v>
      </c>
      <c r="BA74" s="17"/>
      <c r="BB74" s="11">
        <v>0</v>
      </c>
      <c r="BC74" s="17"/>
      <c r="BD74" s="11">
        <v>0</v>
      </c>
      <c r="BE74" s="17"/>
      <c r="BF74" s="11">
        <v>0</v>
      </c>
      <c r="BG74" s="17"/>
      <c r="BH74" s="11">
        <v>0</v>
      </c>
      <c r="BI74" s="17"/>
      <c r="BJ74" s="11">
        <v>0</v>
      </c>
      <c r="BK74" s="17"/>
      <c r="BL74" s="11">
        <v>0</v>
      </c>
      <c r="BM74" s="228"/>
      <c r="BN74" s="233">
        <v>0</v>
      </c>
      <c r="BO74" s="228"/>
      <c r="BP74" s="233">
        <v>0</v>
      </c>
      <c r="BQ74" s="228"/>
      <c r="BR74" s="233">
        <v>0</v>
      </c>
    </row>
    <row r="75" spans="1:70" s="46" customFormat="1" x14ac:dyDescent="0.35">
      <c r="A75" s="53" t="s">
        <v>41</v>
      </c>
      <c r="B75" s="11">
        <v>21702</v>
      </c>
      <c r="C75" s="11"/>
      <c r="D75" s="11">
        <v>13952</v>
      </c>
      <c r="E75" s="13"/>
      <c r="F75" s="11">
        <v>16906</v>
      </c>
      <c r="G75" s="3"/>
      <c r="H75" s="11">
        <v>16338</v>
      </c>
      <c r="I75" s="3"/>
      <c r="J75" s="11">
        <v>13902</v>
      </c>
      <c r="K75" s="3"/>
      <c r="L75" s="11">
        <v>10296</v>
      </c>
      <c r="M75" s="3"/>
      <c r="N75" s="11">
        <v>5713</v>
      </c>
      <c r="O75" s="3"/>
      <c r="P75" s="11">
        <v>4419</v>
      </c>
      <c r="Q75" s="3"/>
      <c r="R75" s="11">
        <v>3226</v>
      </c>
      <c r="S75" s="3"/>
      <c r="T75" s="11">
        <v>1367</v>
      </c>
      <c r="U75" s="3"/>
      <c r="V75" s="11">
        <v>1321</v>
      </c>
      <c r="W75" s="14"/>
      <c r="X75" s="11">
        <v>1307</v>
      </c>
      <c r="Y75" s="3"/>
      <c r="Z75" s="11">
        <v>1149</v>
      </c>
      <c r="AA75" s="3"/>
      <c r="AB75" s="11">
        <v>985</v>
      </c>
      <c r="AC75" s="3"/>
      <c r="AD75" s="11">
        <v>820</v>
      </c>
      <c r="AE75" s="17"/>
      <c r="AF75" s="11">
        <v>652</v>
      </c>
      <c r="AG75" s="17"/>
      <c r="AH75" s="11">
        <f>21394+6082</f>
        <v>27476</v>
      </c>
      <c r="AI75" s="17"/>
      <c r="AJ75" s="11">
        <f>23727+2468</f>
        <v>26195</v>
      </c>
      <c r="AK75" s="17"/>
      <c r="AL75" s="11">
        <v>25503</v>
      </c>
      <c r="AM75" s="17"/>
      <c r="AN75" s="11">
        <v>76085</v>
      </c>
      <c r="AO75" s="17"/>
      <c r="AP75" s="11">
        <v>100695</v>
      </c>
      <c r="AQ75" s="17"/>
      <c r="AR75" s="11">
        <v>197867</v>
      </c>
      <c r="AS75" s="17"/>
      <c r="AT75" s="11">
        <v>205869</v>
      </c>
      <c r="AU75" s="17"/>
      <c r="AV75" s="11">
        <v>190960</v>
      </c>
      <c r="AW75" s="17"/>
      <c r="AX75" s="11">
        <v>271542</v>
      </c>
      <c r="AY75" s="17"/>
      <c r="AZ75" s="11">
        <v>245981</v>
      </c>
      <c r="BA75" s="17"/>
      <c r="BB75" s="11">
        <v>284092</v>
      </c>
      <c r="BC75" s="17"/>
      <c r="BD75" s="11">
        <v>330276</v>
      </c>
      <c r="BE75" s="17"/>
      <c r="BF75" s="11">
        <v>196225</v>
      </c>
      <c r="BG75" s="17"/>
      <c r="BH75" s="11">
        <v>519515</v>
      </c>
      <c r="BI75" s="17"/>
      <c r="BJ75" s="11">
        <v>581426</v>
      </c>
      <c r="BK75" s="17"/>
      <c r="BL75" s="11">
        <v>557592</v>
      </c>
      <c r="BM75" s="228"/>
      <c r="BN75" s="233">
        <v>607927</v>
      </c>
      <c r="BO75" s="228"/>
      <c r="BP75" s="233">
        <v>603850</v>
      </c>
      <c r="BQ75" s="228"/>
      <c r="BR75" s="233">
        <v>796148</v>
      </c>
    </row>
    <row r="76" spans="1:70" s="46" customFormat="1" x14ac:dyDescent="0.35">
      <c r="A76" s="53" t="s">
        <v>33</v>
      </c>
      <c r="B76" s="11">
        <v>0</v>
      </c>
      <c r="C76" s="11"/>
      <c r="D76" s="11">
        <v>0</v>
      </c>
      <c r="E76" s="13"/>
      <c r="F76" s="11">
        <v>0</v>
      </c>
      <c r="G76" s="3"/>
      <c r="H76" s="11">
        <v>0</v>
      </c>
      <c r="I76" s="3"/>
      <c r="J76" s="11">
        <v>0</v>
      </c>
      <c r="K76" s="3"/>
      <c r="L76" s="11">
        <v>0</v>
      </c>
      <c r="M76" s="3"/>
      <c r="N76" s="11">
        <v>64869</v>
      </c>
      <c r="O76" s="3"/>
      <c r="P76" s="11">
        <v>61654</v>
      </c>
      <c r="Q76" s="3"/>
      <c r="R76" s="11">
        <v>54218</v>
      </c>
      <c r="S76" s="3"/>
      <c r="T76" s="11">
        <v>48084</v>
      </c>
      <c r="U76" s="3"/>
      <c r="V76" s="11">
        <v>41873</v>
      </c>
      <c r="W76" s="14"/>
      <c r="X76" s="11">
        <v>35769</v>
      </c>
      <c r="Y76" s="3"/>
      <c r="Z76" s="11">
        <v>29622</v>
      </c>
      <c r="AA76" s="3"/>
      <c r="AB76" s="11">
        <v>23558</v>
      </c>
      <c r="AC76" s="3"/>
      <c r="AD76" s="11">
        <v>17456</v>
      </c>
      <c r="AE76" s="17"/>
      <c r="AF76" s="11">
        <v>11350</v>
      </c>
      <c r="AG76" s="17"/>
      <c r="AH76" s="11">
        <v>0</v>
      </c>
      <c r="AI76" s="17"/>
      <c r="AJ76" s="11">
        <v>0</v>
      </c>
      <c r="AK76" s="17"/>
      <c r="AL76" s="11">
        <v>0</v>
      </c>
      <c r="AM76" s="17"/>
      <c r="AN76" s="11">
        <v>0</v>
      </c>
      <c r="AO76" s="17"/>
      <c r="AP76" s="11">
        <v>0</v>
      </c>
      <c r="AQ76" s="17"/>
      <c r="AR76" s="11">
        <v>0</v>
      </c>
      <c r="AS76" s="17"/>
      <c r="AT76" s="11">
        <v>0</v>
      </c>
      <c r="AU76" s="17"/>
      <c r="AV76" s="11">
        <v>0</v>
      </c>
      <c r="AW76" s="17"/>
      <c r="AX76" s="11">
        <v>0</v>
      </c>
      <c r="AY76" s="17"/>
      <c r="AZ76" s="11">
        <v>0</v>
      </c>
      <c r="BA76" s="17"/>
      <c r="BB76" s="11">
        <v>0</v>
      </c>
      <c r="BC76" s="17"/>
      <c r="BD76" s="11">
        <v>0</v>
      </c>
      <c r="BE76" s="17"/>
      <c r="BF76" s="11">
        <v>0</v>
      </c>
      <c r="BG76" s="17"/>
      <c r="BH76" s="11">
        <v>0</v>
      </c>
      <c r="BI76" s="17"/>
      <c r="BJ76" s="11">
        <v>0</v>
      </c>
      <c r="BK76" s="17"/>
      <c r="BL76" s="11">
        <v>0</v>
      </c>
      <c r="BM76" s="228"/>
      <c r="BN76" s="233">
        <v>0</v>
      </c>
      <c r="BO76" s="228"/>
      <c r="BP76" s="233">
        <v>0</v>
      </c>
      <c r="BQ76" s="228"/>
      <c r="BR76" s="233">
        <v>0</v>
      </c>
    </row>
    <row r="77" spans="1:70" s="46" customFormat="1" x14ac:dyDescent="0.35">
      <c r="A77" s="53" t="s">
        <v>134</v>
      </c>
      <c r="B77" s="11">
        <v>0</v>
      </c>
      <c r="C77" s="11"/>
      <c r="D77" s="11">
        <v>0</v>
      </c>
      <c r="E77" s="13"/>
      <c r="F77" s="11">
        <v>0</v>
      </c>
      <c r="G77" s="3"/>
      <c r="H77" s="11">
        <v>0</v>
      </c>
      <c r="I77" s="3"/>
      <c r="J77" s="11">
        <v>0</v>
      </c>
      <c r="K77" s="3"/>
      <c r="L77" s="11">
        <v>7097</v>
      </c>
      <c r="M77" s="3"/>
      <c r="N77" s="11">
        <v>7250</v>
      </c>
      <c r="O77" s="3"/>
      <c r="P77" s="11">
        <v>6828</v>
      </c>
      <c r="Q77" s="3"/>
      <c r="R77" s="11">
        <v>6618</v>
      </c>
      <c r="S77" s="3"/>
      <c r="T77" s="11">
        <v>6240</v>
      </c>
      <c r="U77" s="3"/>
      <c r="V77" s="11">
        <v>5853</v>
      </c>
      <c r="W77" s="14"/>
      <c r="X77" s="11">
        <v>5714</v>
      </c>
      <c r="Y77" s="3"/>
      <c r="Z77" s="11">
        <v>5944</v>
      </c>
      <c r="AA77" s="3"/>
      <c r="AB77" s="11">
        <v>5464</v>
      </c>
      <c r="AC77" s="3"/>
      <c r="AD77" s="11">
        <v>5000</v>
      </c>
      <c r="AE77" s="3"/>
      <c r="AF77" s="11">
        <v>4925</v>
      </c>
      <c r="AG77" s="3"/>
      <c r="AH77" s="11">
        <v>4371</v>
      </c>
      <c r="AI77" s="3"/>
      <c r="AJ77" s="11">
        <v>14286</v>
      </c>
      <c r="AK77" s="3"/>
      <c r="AL77" s="11">
        <v>17842</v>
      </c>
      <c r="AM77" s="3"/>
      <c r="AN77" s="11">
        <v>17039</v>
      </c>
      <c r="AO77" s="3"/>
      <c r="AP77" s="11">
        <v>16310</v>
      </c>
      <c r="AQ77" s="3"/>
      <c r="AR77" s="11">
        <v>15570</v>
      </c>
      <c r="AS77" s="3"/>
      <c r="AT77" s="11">
        <v>16216</v>
      </c>
      <c r="AU77" s="3"/>
      <c r="AV77" s="11">
        <v>16106</v>
      </c>
      <c r="AW77" s="3"/>
      <c r="AX77" s="11">
        <v>20281</v>
      </c>
      <c r="AY77" s="3"/>
      <c r="AZ77" s="11">
        <v>18555</v>
      </c>
      <c r="BA77" s="3"/>
      <c r="BB77" s="11">
        <v>17719</v>
      </c>
      <c r="BC77" s="3"/>
      <c r="BD77" s="11">
        <v>19953</v>
      </c>
      <c r="BE77" s="3"/>
      <c r="BF77" s="11">
        <v>19108</v>
      </c>
      <c r="BG77" s="3"/>
      <c r="BH77" s="11">
        <v>18898</v>
      </c>
      <c r="BI77" s="3"/>
      <c r="BJ77" s="11">
        <v>20571</v>
      </c>
      <c r="BK77" s="3"/>
      <c r="BL77" s="11">
        <v>19804</v>
      </c>
      <c r="BM77" s="225"/>
      <c r="BN77" s="233">
        <v>23312</v>
      </c>
      <c r="BO77" s="225"/>
      <c r="BP77" s="233">
        <v>22057</v>
      </c>
      <c r="BQ77" s="225"/>
      <c r="BR77" s="233">
        <v>21435</v>
      </c>
    </row>
    <row r="78" spans="1:70" s="46" customFormat="1" x14ac:dyDescent="0.35">
      <c r="A78" s="53" t="s">
        <v>285</v>
      </c>
      <c r="B78" s="11">
        <v>0</v>
      </c>
      <c r="C78" s="11"/>
      <c r="D78" s="11">
        <v>0</v>
      </c>
      <c r="E78" s="13"/>
      <c r="F78" s="11">
        <v>0</v>
      </c>
      <c r="G78" s="3"/>
      <c r="H78" s="11">
        <v>0</v>
      </c>
      <c r="I78" s="3"/>
      <c r="J78" s="11">
        <v>0</v>
      </c>
      <c r="K78" s="3"/>
      <c r="L78" s="11">
        <v>0</v>
      </c>
      <c r="M78" s="3"/>
      <c r="N78" s="11">
        <v>0</v>
      </c>
      <c r="O78" s="3"/>
      <c r="P78" s="11">
        <v>0</v>
      </c>
      <c r="Q78" s="3"/>
      <c r="R78" s="11">
        <v>0</v>
      </c>
      <c r="S78" s="3"/>
      <c r="T78" s="11">
        <v>0</v>
      </c>
      <c r="U78" s="3"/>
      <c r="V78" s="11">
        <v>0</v>
      </c>
      <c r="W78" s="14"/>
      <c r="X78" s="11">
        <v>0</v>
      </c>
      <c r="Y78" s="3"/>
      <c r="Z78" s="11">
        <v>0</v>
      </c>
      <c r="AA78" s="3"/>
      <c r="AB78" s="11">
        <v>1002</v>
      </c>
      <c r="AC78" s="3"/>
      <c r="AD78" s="11">
        <v>1105</v>
      </c>
      <c r="AE78" s="3"/>
      <c r="AF78" s="11"/>
      <c r="AG78" s="3"/>
      <c r="AH78" s="11">
        <v>0</v>
      </c>
      <c r="AI78" s="3"/>
      <c r="AJ78" s="11">
        <v>56</v>
      </c>
      <c r="AK78" s="3"/>
      <c r="AL78" s="11">
        <v>54</v>
      </c>
      <c r="AM78" s="3"/>
      <c r="AN78" s="11">
        <v>81</v>
      </c>
      <c r="AO78" s="3"/>
      <c r="AP78" s="11">
        <v>77</v>
      </c>
      <c r="AQ78" s="3"/>
      <c r="AR78" s="11">
        <v>75</v>
      </c>
      <c r="AS78" s="3"/>
      <c r="AT78" s="11">
        <v>42</v>
      </c>
      <c r="AU78" s="3"/>
      <c r="AV78" s="11">
        <v>63</v>
      </c>
      <c r="AW78" s="3"/>
      <c r="AX78" s="11">
        <v>61</v>
      </c>
      <c r="AY78" s="3"/>
      <c r="AZ78" s="11">
        <v>60</v>
      </c>
      <c r="BA78" s="3"/>
      <c r="BB78" s="11">
        <v>58</v>
      </c>
      <c r="BC78" s="3"/>
      <c r="BD78" s="11">
        <v>2230</v>
      </c>
      <c r="BE78" s="3"/>
      <c r="BF78" s="11">
        <v>0</v>
      </c>
      <c r="BG78" s="3"/>
      <c r="BH78" s="11">
        <v>0</v>
      </c>
      <c r="BI78" s="3"/>
      <c r="BJ78" s="11">
        <v>0</v>
      </c>
      <c r="BK78" s="3"/>
      <c r="BL78" s="11">
        <v>0</v>
      </c>
      <c r="BM78" s="225"/>
      <c r="BN78" s="233">
        <v>0</v>
      </c>
      <c r="BO78" s="225"/>
      <c r="BP78" s="233"/>
      <c r="BQ78" s="225"/>
      <c r="BR78" s="233">
        <v>0</v>
      </c>
    </row>
    <row r="79" spans="1:70" s="46" customFormat="1" x14ac:dyDescent="0.35">
      <c r="A79" s="53" t="s">
        <v>137</v>
      </c>
      <c r="B79" s="11">
        <v>0</v>
      </c>
      <c r="C79" s="11"/>
      <c r="D79" s="11">
        <v>3015</v>
      </c>
      <c r="E79" s="13"/>
      <c r="F79" s="11">
        <v>3939</v>
      </c>
      <c r="G79" s="3"/>
      <c r="H79" s="11">
        <v>4176</v>
      </c>
      <c r="I79" s="3"/>
      <c r="J79" s="11">
        <v>4303</v>
      </c>
      <c r="K79" s="3"/>
      <c r="L79" s="11">
        <v>1813</v>
      </c>
      <c r="M79" s="3"/>
      <c r="N79" s="11">
        <v>121</v>
      </c>
      <c r="O79" s="3"/>
      <c r="P79" s="11">
        <v>0</v>
      </c>
      <c r="Q79" s="3"/>
      <c r="R79" s="11">
        <v>0</v>
      </c>
      <c r="S79" s="3"/>
      <c r="T79" s="11">
        <v>0</v>
      </c>
      <c r="U79" s="3"/>
      <c r="V79" s="11">
        <v>0</v>
      </c>
      <c r="W79" s="14"/>
      <c r="X79" s="11">
        <v>0</v>
      </c>
      <c r="Y79" s="3"/>
      <c r="Z79" s="11">
        <v>0</v>
      </c>
      <c r="AA79" s="3"/>
      <c r="AB79" s="11">
        <v>0</v>
      </c>
      <c r="AC79" s="3"/>
      <c r="AD79" s="11">
        <v>0</v>
      </c>
      <c r="AE79" s="3"/>
      <c r="AF79" s="11">
        <v>0</v>
      </c>
      <c r="AG79" s="3"/>
      <c r="AH79" s="11">
        <v>0</v>
      </c>
      <c r="AI79" s="3"/>
      <c r="AJ79" s="11">
        <v>901</v>
      </c>
      <c r="AK79" s="3"/>
      <c r="AL79" s="11">
        <v>1975</v>
      </c>
      <c r="AM79" s="3"/>
      <c r="AN79" s="11">
        <v>960</v>
      </c>
      <c r="AO79" s="3"/>
      <c r="AP79" s="11">
        <v>992</v>
      </c>
      <c r="AQ79" s="3"/>
      <c r="AR79" s="11">
        <v>1024</v>
      </c>
      <c r="AS79" s="3"/>
      <c r="AT79" s="11">
        <v>0</v>
      </c>
      <c r="AU79" s="3"/>
      <c r="AV79" s="11">
        <v>0</v>
      </c>
      <c r="AW79" s="3"/>
      <c r="AX79" s="11">
        <v>0</v>
      </c>
      <c r="AY79" s="3"/>
      <c r="AZ79" s="11">
        <v>0</v>
      </c>
      <c r="BA79" s="3"/>
      <c r="BB79" s="11">
        <v>983</v>
      </c>
      <c r="BC79" s="3"/>
      <c r="BD79" s="11">
        <v>1008</v>
      </c>
      <c r="BE79" s="3"/>
      <c r="BF79" s="11">
        <v>0</v>
      </c>
      <c r="BG79" s="3"/>
      <c r="BH79" s="11">
        <v>0</v>
      </c>
      <c r="BI79" s="3"/>
      <c r="BJ79" s="11">
        <v>0</v>
      </c>
      <c r="BK79" s="3"/>
      <c r="BL79" s="11">
        <v>0</v>
      </c>
      <c r="BM79" s="225"/>
      <c r="BN79" s="233">
        <v>0</v>
      </c>
      <c r="BO79" s="225"/>
      <c r="BP79" s="233"/>
      <c r="BQ79" s="225"/>
      <c r="BR79" s="233">
        <v>0</v>
      </c>
    </row>
    <row r="80" spans="1:70" s="46" customFormat="1" x14ac:dyDescent="0.35">
      <c r="A80" s="53" t="s">
        <v>38</v>
      </c>
      <c r="B80" s="11">
        <v>4612</v>
      </c>
      <c r="C80" s="11"/>
      <c r="D80" s="11">
        <v>4503</v>
      </c>
      <c r="E80" s="13"/>
      <c r="F80" s="11">
        <v>8316</v>
      </c>
      <c r="G80" s="3"/>
      <c r="H80" s="11">
        <v>2373</v>
      </c>
      <c r="I80" s="3"/>
      <c r="J80" s="11">
        <v>2193</v>
      </c>
      <c r="K80" s="3"/>
      <c r="L80" s="11">
        <v>2020</v>
      </c>
      <c r="M80" s="3"/>
      <c r="N80" s="11">
        <v>1836</v>
      </c>
      <c r="O80" s="3"/>
      <c r="P80" s="11">
        <v>0</v>
      </c>
      <c r="Q80" s="3"/>
      <c r="R80" s="11">
        <v>0</v>
      </c>
      <c r="S80" s="3"/>
      <c r="T80" s="11">
        <v>0</v>
      </c>
      <c r="U80" s="3"/>
      <c r="V80" s="11">
        <v>3894</v>
      </c>
      <c r="W80" s="14"/>
      <c r="X80" s="11">
        <v>2611</v>
      </c>
      <c r="Y80" s="3"/>
      <c r="Z80" s="11">
        <v>3476</v>
      </c>
      <c r="AA80" s="3"/>
      <c r="AB80" s="11">
        <v>3312</v>
      </c>
      <c r="AC80" s="3"/>
      <c r="AD80" s="11">
        <v>3176</v>
      </c>
      <c r="AE80" s="17"/>
      <c r="AF80" s="11">
        <v>2723</v>
      </c>
      <c r="AG80" s="17"/>
      <c r="AH80" s="11">
        <v>2732</v>
      </c>
      <c r="AI80" s="17"/>
      <c r="AJ80" s="11">
        <v>2793</v>
      </c>
      <c r="AK80" s="17"/>
      <c r="AL80" s="11">
        <v>2868</v>
      </c>
      <c r="AM80" s="17"/>
      <c r="AN80" s="11">
        <v>2957</v>
      </c>
      <c r="AO80" s="17"/>
      <c r="AP80" s="11">
        <v>15044</v>
      </c>
      <c r="AQ80" s="17"/>
      <c r="AR80" s="11">
        <v>22296</v>
      </c>
      <c r="AS80" s="17"/>
      <c r="AT80" s="11">
        <v>19244</v>
      </c>
      <c r="AU80" s="17"/>
      <c r="AV80" s="11">
        <v>20228</v>
      </c>
      <c r="AW80" s="17"/>
      <c r="AX80" s="11">
        <v>20076</v>
      </c>
      <c r="AY80" s="17"/>
      <c r="AZ80" s="11">
        <v>13191</v>
      </c>
      <c r="BA80" s="17"/>
      <c r="BB80" s="11">
        <v>19012</v>
      </c>
      <c r="BC80" s="17"/>
      <c r="BD80" s="11">
        <v>88054</v>
      </c>
      <c r="BE80" s="17"/>
      <c r="BF80" s="11">
        <v>98717</v>
      </c>
      <c r="BG80" s="17"/>
      <c r="BH80" s="11">
        <v>95117</v>
      </c>
      <c r="BI80" s="17"/>
      <c r="BJ80" s="11">
        <v>63106</v>
      </c>
      <c r="BK80" s="17"/>
      <c r="BL80" s="11">
        <v>64152</v>
      </c>
      <c r="BM80" s="228"/>
      <c r="BN80" s="233">
        <v>108473</v>
      </c>
      <c r="BO80" s="228"/>
      <c r="BP80" s="233">
        <v>44438</v>
      </c>
      <c r="BQ80" s="228"/>
      <c r="BR80" s="233">
        <v>45913</v>
      </c>
    </row>
    <row r="81" spans="1:70" s="46" customFormat="1" x14ac:dyDescent="0.35">
      <c r="A81" s="53" t="s">
        <v>422</v>
      </c>
      <c r="B81" s="11"/>
      <c r="C81" s="11"/>
      <c r="D81" s="11"/>
      <c r="E81" s="13"/>
      <c r="F81" s="11"/>
      <c r="G81" s="3"/>
      <c r="H81" s="11"/>
      <c r="I81" s="3"/>
      <c r="J81" s="11"/>
      <c r="K81" s="3"/>
      <c r="L81" s="11"/>
      <c r="M81" s="3"/>
      <c r="N81" s="11"/>
      <c r="O81" s="3"/>
      <c r="P81" s="11"/>
      <c r="Q81" s="3"/>
      <c r="R81" s="11"/>
      <c r="S81" s="3"/>
      <c r="T81" s="11"/>
      <c r="U81" s="3"/>
      <c r="V81" s="11"/>
      <c r="W81" s="14"/>
      <c r="X81" s="11"/>
      <c r="Y81" s="3"/>
      <c r="Z81" s="11"/>
      <c r="AA81" s="3"/>
      <c r="AB81" s="11"/>
      <c r="AC81" s="3"/>
      <c r="AD81" s="11"/>
      <c r="AE81" s="17"/>
      <c r="AF81" s="11"/>
      <c r="AG81" s="17"/>
      <c r="AH81" s="11"/>
      <c r="AI81" s="17"/>
      <c r="AJ81" s="11"/>
      <c r="AK81" s="17"/>
      <c r="AL81" s="11"/>
      <c r="AM81" s="17"/>
      <c r="AN81" s="11"/>
      <c r="AO81" s="17"/>
      <c r="AP81" s="11"/>
      <c r="AQ81" s="17"/>
      <c r="AR81" s="11"/>
      <c r="AS81" s="17"/>
      <c r="AT81" s="11"/>
      <c r="AU81" s="17"/>
      <c r="AV81" s="11"/>
      <c r="AW81" s="17"/>
      <c r="AX81" s="11"/>
      <c r="AY81" s="17"/>
      <c r="AZ81" s="11"/>
      <c r="BA81" s="17"/>
      <c r="BB81" s="11"/>
      <c r="BC81" s="17"/>
      <c r="BD81" s="11"/>
      <c r="BE81" s="17"/>
      <c r="BF81" s="11">
        <v>3773</v>
      </c>
      <c r="BG81" s="17"/>
      <c r="BH81" s="11">
        <v>3880</v>
      </c>
      <c r="BI81" s="17"/>
      <c r="BJ81" s="11">
        <v>4002</v>
      </c>
      <c r="BK81" s="17"/>
      <c r="BL81" s="11">
        <v>4143</v>
      </c>
      <c r="BM81" s="228"/>
      <c r="BN81" s="233">
        <v>4284</v>
      </c>
      <c r="BO81" s="228"/>
      <c r="BP81" s="233">
        <v>4423</v>
      </c>
      <c r="BQ81" s="228"/>
      <c r="BR81" s="233">
        <v>4562</v>
      </c>
    </row>
    <row r="82" spans="1:70" s="46" customFormat="1" x14ac:dyDescent="0.35">
      <c r="A82" s="53" t="s">
        <v>23</v>
      </c>
      <c r="B82" s="11">
        <v>4068</v>
      </c>
      <c r="C82" s="11"/>
      <c r="D82" s="11">
        <v>3333</v>
      </c>
      <c r="E82" s="13"/>
      <c r="F82" s="11">
        <v>2257</v>
      </c>
      <c r="G82" s="3"/>
      <c r="H82" s="11">
        <v>1895</v>
      </c>
      <c r="I82" s="3"/>
      <c r="J82" s="11">
        <v>1855</v>
      </c>
      <c r="K82" s="3"/>
      <c r="L82" s="11">
        <v>1831</v>
      </c>
      <c r="M82" s="3"/>
      <c r="N82" s="11">
        <v>1397</v>
      </c>
      <c r="O82" s="3"/>
      <c r="P82" s="11">
        <v>70</v>
      </c>
      <c r="Q82" s="3"/>
      <c r="R82" s="11">
        <v>69</v>
      </c>
      <c r="S82" s="3"/>
      <c r="T82" s="11">
        <v>73</v>
      </c>
      <c r="U82" s="3"/>
      <c r="V82" s="11">
        <v>0</v>
      </c>
      <c r="W82" s="14"/>
      <c r="X82" s="11">
        <v>0</v>
      </c>
      <c r="Y82" s="3"/>
      <c r="Z82" s="11">
        <v>0</v>
      </c>
      <c r="AA82" s="3"/>
      <c r="AB82" s="11">
        <v>0</v>
      </c>
      <c r="AC82" s="3"/>
      <c r="AD82" s="11">
        <v>0</v>
      </c>
      <c r="AE82" s="17"/>
      <c r="AF82" s="11">
        <v>0</v>
      </c>
      <c r="AG82" s="17"/>
      <c r="AH82" s="11">
        <v>0</v>
      </c>
      <c r="AI82" s="17"/>
      <c r="AJ82" s="11">
        <v>0</v>
      </c>
      <c r="AK82" s="17"/>
      <c r="AL82" s="11">
        <v>0</v>
      </c>
      <c r="AM82" s="17"/>
      <c r="AN82" s="11">
        <v>1206</v>
      </c>
      <c r="AO82" s="17"/>
      <c r="AP82" s="11">
        <v>0</v>
      </c>
      <c r="AQ82" s="17"/>
      <c r="AR82" s="11">
        <v>0</v>
      </c>
      <c r="AS82" s="17"/>
      <c r="AT82" s="11">
        <v>0</v>
      </c>
      <c r="AU82" s="17"/>
      <c r="AV82" s="11">
        <v>0</v>
      </c>
      <c r="AW82" s="17"/>
      <c r="AX82" s="11">
        <v>0</v>
      </c>
      <c r="AY82" s="17"/>
      <c r="AZ82" s="11">
        <v>0</v>
      </c>
      <c r="BA82" s="17"/>
      <c r="BB82" s="11">
        <v>0</v>
      </c>
      <c r="BC82" s="17"/>
      <c r="BD82" s="11">
        <v>0</v>
      </c>
      <c r="BE82" s="17"/>
      <c r="BF82" s="11">
        <v>0</v>
      </c>
      <c r="BG82" s="17"/>
      <c r="BH82" s="11">
        <v>0</v>
      </c>
      <c r="BI82" s="17"/>
      <c r="BJ82" s="11">
        <v>0</v>
      </c>
      <c r="BK82" s="17"/>
      <c r="BL82" s="11">
        <v>0</v>
      </c>
      <c r="BM82" s="228"/>
      <c r="BN82" s="233">
        <v>0</v>
      </c>
      <c r="BO82" s="228"/>
      <c r="BP82" s="233"/>
      <c r="BQ82" s="228"/>
      <c r="BR82" s="233">
        <v>0</v>
      </c>
    </row>
    <row r="83" spans="1:70" s="46" customFormat="1" x14ac:dyDescent="0.35">
      <c r="A83" s="53" t="s">
        <v>21</v>
      </c>
      <c r="B83" s="11">
        <v>2098</v>
      </c>
      <c r="C83" s="11"/>
      <c r="D83" s="11">
        <v>680</v>
      </c>
      <c r="E83" s="13"/>
      <c r="F83" s="11">
        <v>0</v>
      </c>
      <c r="G83" s="3"/>
      <c r="H83" s="11">
        <v>0</v>
      </c>
      <c r="I83" s="3"/>
      <c r="J83" s="11">
        <v>0</v>
      </c>
      <c r="K83" s="3"/>
      <c r="L83" s="11">
        <v>0</v>
      </c>
      <c r="M83" s="3"/>
      <c r="N83" s="11">
        <v>0</v>
      </c>
      <c r="O83" s="3"/>
      <c r="P83" s="11">
        <v>0</v>
      </c>
      <c r="Q83" s="3"/>
      <c r="R83" s="11">
        <v>0</v>
      </c>
      <c r="S83" s="3"/>
      <c r="T83" s="11">
        <v>0</v>
      </c>
      <c r="U83" s="3"/>
      <c r="V83" s="11">
        <v>0</v>
      </c>
      <c r="W83" s="14"/>
      <c r="X83" s="11">
        <v>0</v>
      </c>
      <c r="Y83" s="3"/>
      <c r="Z83" s="11">
        <v>0</v>
      </c>
      <c r="AA83" s="3"/>
      <c r="AB83" s="11">
        <v>0</v>
      </c>
      <c r="AC83" s="3"/>
      <c r="AD83" s="11">
        <v>0</v>
      </c>
      <c r="AE83" s="17"/>
      <c r="AF83" s="11">
        <v>0</v>
      </c>
      <c r="AG83" s="17"/>
      <c r="AH83" s="11">
        <v>0</v>
      </c>
      <c r="AI83" s="17"/>
      <c r="AJ83" s="11">
        <v>0</v>
      </c>
      <c r="AK83" s="17"/>
      <c r="AL83" s="11">
        <v>0</v>
      </c>
      <c r="AM83" s="17"/>
      <c r="AN83" s="11">
        <v>0</v>
      </c>
      <c r="AO83" s="17"/>
      <c r="AP83" s="11">
        <v>0</v>
      </c>
      <c r="AQ83" s="17"/>
      <c r="AR83" s="11">
        <v>0</v>
      </c>
      <c r="AS83" s="17"/>
      <c r="AT83" s="11">
        <v>0</v>
      </c>
      <c r="AU83" s="17"/>
      <c r="AV83" s="11">
        <v>0</v>
      </c>
      <c r="AW83" s="17"/>
      <c r="AX83" s="11">
        <v>0</v>
      </c>
      <c r="AY83" s="17"/>
      <c r="AZ83" s="11">
        <v>0</v>
      </c>
      <c r="BA83" s="17"/>
      <c r="BB83" s="11">
        <v>0</v>
      </c>
      <c r="BC83" s="17"/>
      <c r="BD83" s="11">
        <v>0</v>
      </c>
      <c r="BE83" s="17"/>
      <c r="BF83" s="11">
        <v>0</v>
      </c>
      <c r="BG83" s="17"/>
      <c r="BH83" s="11">
        <v>0</v>
      </c>
      <c r="BI83" s="17"/>
      <c r="BJ83" s="11">
        <v>0</v>
      </c>
      <c r="BK83" s="17"/>
      <c r="BL83" s="11">
        <v>0</v>
      </c>
      <c r="BM83" s="228"/>
      <c r="BN83" s="233">
        <v>0</v>
      </c>
      <c r="BO83" s="228"/>
      <c r="BP83" s="233">
        <v>0</v>
      </c>
      <c r="BQ83" s="228"/>
      <c r="BR83" s="233">
        <v>0</v>
      </c>
    </row>
    <row r="84" spans="1:70" s="46" customFormat="1" x14ac:dyDescent="0.35">
      <c r="A84" s="53" t="s">
        <v>42</v>
      </c>
      <c r="B84" s="11">
        <v>5489</v>
      </c>
      <c r="C84" s="11"/>
      <c r="D84" s="11">
        <v>5516</v>
      </c>
      <c r="E84" s="13"/>
      <c r="F84" s="11">
        <v>5268</v>
      </c>
      <c r="G84" s="3"/>
      <c r="H84" s="11">
        <v>5075</v>
      </c>
      <c r="I84" s="3"/>
      <c r="J84" s="11">
        <v>4794</v>
      </c>
      <c r="K84" s="3"/>
      <c r="L84" s="11">
        <v>5051</v>
      </c>
      <c r="M84" s="3"/>
      <c r="N84" s="11">
        <v>5499</v>
      </c>
      <c r="O84" s="3"/>
      <c r="P84" s="11">
        <v>5327</v>
      </c>
      <c r="Q84" s="3"/>
      <c r="R84" s="11">
        <v>5258</v>
      </c>
      <c r="S84" s="3"/>
      <c r="T84" s="11">
        <v>5096</v>
      </c>
      <c r="U84" s="3"/>
      <c r="V84" s="11">
        <v>4837</v>
      </c>
      <c r="W84" s="14"/>
      <c r="X84" s="11">
        <v>4822</v>
      </c>
      <c r="Y84" s="3"/>
      <c r="Z84" s="11">
        <v>4093</v>
      </c>
      <c r="AA84" s="3"/>
      <c r="AB84" s="11">
        <v>4108</v>
      </c>
      <c r="AC84" s="3"/>
      <c r="AD84" s="11">
        <v>4168</v>
      </c>
      <c r="AE84" s="3"/>
      <c r="AF84" s="11">
        <v>3917</v>
      </c>
      <c r="AG84" s="3"/>
      <c r="AH84" s="11">
        <v>4273</v>
      </c>
      <c r="AI84" s="3"/>
      <c r="AJ84" s="11">
        <v>4331</v>
      </c>
      <c r="AK84" s="3"/>
      <c r="AL84" s="11">
        <v>4478</v>
      </c>
      <c r="AM84" s="3"/>
      <c r="AN84" s="11">
        <v>5477</v>
      </c>
      <c r="AO84" s="3"/>
      <c r="AP84" s="11">
        <v>5706</v>
      </c>
      <c r="AQ84" s="3"/>
      <c r="AR84" s="11">
        <v>6508</v>
      </c>
      <c r="AS84" s="3"/>
      <c r="AT84" s="11">
        <v>6590</v>
      </c>
      <c r="AU84" s="3"/>
      <c r="AV84" s="11">
        <v>7087</v>
      </c>
      <c r="AW84" s="3"/>
      <c r="AX84" s="11">
        <v>8953</v>
      </c>
      <c r="AY84" s="3"/>
      <c r="AZ84" s="11">
        <v>9576</v>
      </c>
      <c r="BA84" s="3"/>
      <c r="BB84" s="11">
        <v>8350</v>
      </c>
      <c r="BC84" s="3"/>
      <c r="BD84" s="11">
        <v>7620</v>
      </c>
      <c r="BE84" s="3"/>
      <c r="BF84" s="11">
        <v>7492</v>
      </c>
      <c r="BG84" s="3"/>
      <c r="BH84" s="11">
        <v>7372</v>
      </c>
      <c r="BI84" s="3"/>
      <c r="BJ84" s="11">
        <v>7772</v>
      </c>
      <c r="BK84" s="3"/>
      <c r="BL84" s="11">
        <v>7528</v>
      </c>
      <c r="BM84" s="225"/>
      <c r="BN84" s="233">
        <v>8380</v>
      </c>
      <c r="BO84" s="225"/>
      <c r="BP84" s="233">
        <v>9300</v>
      </c>
      <c r="BQ84" s="225"/>
      <c r="BR84" s="233">
        <v>10336</v>
      </c>
    </row>
    <row r="85" spans="1:70" s="46" customFormat="1" x14ac:dyDescent="0.35">
      <c r="A85" s="53" t="s">
        <v>390</v>
      </c>
      <c r="B85" s="11">
        <v>0</v>
      </c>
      <c r="C85" s="11"/>
      <c r="D85" s="11">
        <v>0</v>
      </c>
      <c r="E85" s="13"/>
      <c r="F85" s="11">
        <v>0</v>
      </c>
      <c r="G85" s="3"/>
      <c r="H85" s="11">
        <v>0</v>
      </c>
      <c r="I85" s="3"/>
      <c r="J85" s="11">
        <v>0</v>
      </c>
      <c r="K85" s="3"/>
      <c r="L85" s="11">
        <v>0</v>
      </c>
      <c r="M85" s="3"/>
      <c r="N85" s="11">
        <v>0</v>
      </c>
      <c r="O85" s="3"/>
      <c r="P85" s="11">
        <v>0</v>
      </c>
      <c r="Q85" s="3"/>
      <c r="R85" s="11">
        <v>0</v>
      </c>
      <c r="S85" s="3"/>
      <c r="T85" s="11">
        <v>0</v>
      </c>
      <c r="U85" s="3"/>
      <c r="V85" s="11">
        <v>0</v>
      </c>
      <c r="W85" s="14"/>
      <c r="X85" s="11">
        <v>0</v>
      </c>
      <c r="Y85" s="3"/>
      <c r="Z85" s="11">
        <v>0</v>
      </c>
      <c r="AA85" s="3"/>
      <c r="AB85" s="11">
        <v>0</v>
      </c>
      <c r="AC85" s="3"/>
      <c r="AD85" s="11">
        <v>0</v>
      </c>
      <c r="AE85" s="3"/>
      <c r="AF85" s="11">
        <v>0</v>
      </c>
      <c r="AG85" s="3"/>
      <c r="AH85" s="11">
        <v>0</v>
      </c>
      <c r="AI85" s="3"/>
      <c r="AJ85" s="11">
        <v>0</v>
      </c>
      <c r="AK85" s="3"/>
      <c r="AL85" s="11">
        <v>0</v>
      </c>
      <c r="AM85" s="3"/>
      <c r="AN85" s="11">
        <v>0</v>
      </c>
      <c r="AO85" s="3"/>
      <c r="AP85" s="11">
        <v>0</v>
      </c>
      <c r="AQ85" s="3"/>
      <c r="AR85" s="11">
        <v>0</v>
      </c>
      <c r="AS85" s="3"/>
      <c r="AT85" s="11">
        <v>0</v>
      </c>
      <c r="AU85" s="3"/>
      <c r="AV85" s="11">
        <v>0</v>
      </c>
      <c r="AW85" s="3"/>
      <c r="AX85" s="11">
        <v>127</v>
      </c>
      <c r="AY85" s="3"/>
      <c r="AZ85" s="11">
        <v>127</v>
      </c>
      <c r="BA85" s="3"/>
      <c r="BB85" s="11">
        <v>0</v>
      </c>
      <c r="BC85" s="3"/>
      <c r="BD85" s="11">
        <v>0</v>
      </c>
      <c r="BE85" s="3"/>
      <c r="BF85" s="11">
        <v>0</v>
      </c>
      <c r="BG85" s="3"/>
      <c r="BH85" s="11">
        <v>0</v>
      </c>
      <c r="BI85" s="3"/>
      <c r="BJ85" s="11">
        <v>0</v>
      </c>
      <c r="BK85" s="3"/>
      <c r="BL85" s="11">
        <v>0</v>
      </c>
      <c r="BM85" s="225"/>
      <c r="BN85" s="233">
        <v>0</v>
      </c>
      <c r="BO85" s="225"/>
      <c r="BP85" s="233"/>
      <c r="BQ85" s="225"/>
      <c r="BR85" s="233"/>
    </row>
    <row r="86" spans="1:70" s="46" customFormat="1" x14ac:dyDescent="0.35">
      <c r="A86" s="53" t="s">
        <v>43</v>
      </c>
      <c r="B86" s="11">
        <v>0</v>
      </c>
      <c r="C86" s="11"/>
      <c r="D86" s="11">
        <v>0</v>
      </c>
      <c r="E86" s="13"/>
      <c r="F86" s="11">
        <v>0</v>
      </c>
      <c r="G86" s="3"/>
      <c r="H86" s="11">
        <v>0</v>
      </c>
      <c r="I86" s="3"/>
      <c r="J86" s="11">
        <v>0</v>
      </c>
      <c r="K86" s="3"/>
      <c r="L86" s="11">
        <v>0</v>
      </c>
      <c r="M86" s="3"/>
      <c r="N86" s="11">
        <v>264</v>
      </c>
      <c r="O86" s="3"/>
      <c r="P86" s="11">
        <v>236</v>
      </c>
      <c r="Q86" s="3"/>
      <c r="R86" s="3">
        <v>219</v>
      </c>
      <c r="S86" s="3"/>
      <c r="T86" s="3">
        <v>202</v>
      </c>
      <c r="U86" s="3"/>
      <c r="V86" s="3">
        <v>186</v>
      </c>
      <c r="W86" s="14"/>
      <c r="X86" s="3">
        <v>169</v>
      </c>
      <c r="Y86" s="3"/>
      <c r="Z86" s="3">
        <v>152</v>
      </c>
      <c r="AA86" s="3"/>
      <c r="AB86" s="3">
        <v>135</v>
      </c>
      <c r="AC86" s="3"/>
      <c r="AD86" s="20">
        <v>118</v>
      </c>
      <c r="AE86" s="3"/>
      <c r="AF86" s="20">
        <v>101</v>
      </c>
      <c r="AG86" s="3"/>
      <c r="AH86" s="20">
        <v>84</v>
      </c>
      <c r="AI86" s="3"/>
      <c r="AJ86" s="20">
        <v>67</v>
      </c>
      <c r="AK86" s="3"/>
      <c r="AL86" s="20">
        <v>51</v>
      </c>
      <c r="AM86" s="3"/>
      <c r="AN86" s="20">
        <v>28</v>
      </c>
      <c r="AO86" s="3"/>
      <c r="AP86" s="20">
        <v>231</v>
      </c>
      <c r="AQ86" s="3"/>
      <c r="AR86" s="20">
        <v>210</v>
      </c>
      <c r="AS86" s="3"/>
      <c r="AT86" s="20">
        <v>195</v>
      </c>
      <c r="AU86" s="3"/>
      <c r="AV86" s="20">
        <v>180</v>
      </c>
      <c r="AW86" s="3"/>
      <c r="AX86" s="20">
        <v>188</v>
      </c>
      <c r="AY86" s="3"/>
      <c r="AZ86" s="20">
        <v>172</v>
      </c>
      <c r="BA86" s="3"/>
      <c r="BB86" s="20">
        <v>263</v>
      </c>
      <c r="BC86" s="3"/>
      <c r="BD86" s="20">
        <v>250</v>
      </c>
      <c r="BE86" s="3"/>
      <c r="BF86" s="20">
        <v>2391</v>
      </c>
      <c r="BG86" s="3"/>
      <c r="BH86" s="20">
        <v>2302</v>
      </c>
      <c r="BI86" s="3"/>
      <c r="BJ86" s="20">
        <v>2186</v>
      </c>
      <c r="BK86" s="3"/>
      <c r="BL86" s="20">
        <v>2097</v>
      </c>
      <c r="BM86" s="225"/>
      <c r="BN86" s="235">
        <v>2008</v>
      </c>
      <c r="BO86" s="225"/>
      <c r="BP86" s="235">
        <v>1918</v>
      </c>
      <c r="BQ86" s="225"/>
      <c r="BR86" s="235">
        <v>318</v>
      </c>
    </row>
    <row r="87" spans="1:70" s="46" customFormat="1" ht="15.75" customHeight="1" x14ac:dyDescent="0.35">
      <c r="A87" s="53"/>
      <c r="B87" s="140">
        <f>SUM(B74:B86)</f>
        <v>37969</v>
      </c>
      <c r="C87" s="141"/>
      <c r="D87" s="140">
        <f>SUM(D74:D86)</f>
        <v>30999</v>
      </c>
      <c r="E87" s="13"/>
      <c r="F87" s="140">
        <f>SUM(F74:F86)</f>
        <v>36686</v>
      </c>
      <c r="G87" s="130"/>
      <c r="H87" s="140">
        <f>SUM(H74:H86)</f>
        <v>29857</v>
      </c>
      <c r="I87" s="130"/>
      <c r="J87" s="140">
        <f>SUM(J74:J86)</f>
        <v>27047</v>
      </c>
      <c r="K87" s="3"/>
      <c r="L87" s="140">
        <f>SUM(L74:L86)</f>
        <v>28108</v>
      </c>
      <c r="M87" s="3"/>
      <c r="N87" s="140">
        <f>SUM(N74:N86)</f>
        <v>86949</v>
      </c>
      <c r="O87" s="3"/>
      <c r="P87" s="140">
        <f>SUM(P74:P86)</f>
        <v>78678</v>
      </c>
      <c r="Q87" s="3"/>
      <c r="R87" s="140">
        <f>SUM(R74:R86)</f>
        <v>69752</v>
      </c>
      <c r="S87" s="3"/>
      <c r="T87" s="140">
        <f>SUM(T74:T86)</f>
        <v>61206</v>
      </c>
      <c r="U87" s="3"/>
      <c r="V87" s="140">
        <f>SUM(V74:V86)</f>
        <v>58108</v>
      </c>
      <c r="W87" s="3"/>
      <c r="X87" s="140">
        <f>SUM(X74:X86)</f>
        <v>50536</v>
      </c>
      <c r="Y87" s="3"/>
      <c r="Z87" s="140">
        <f>SUM(Z74:Z86)</f>
        <v>44436</v>
      </c>
      <c r="AA87" s="3"/>
      <c r="AB87" s="140">
        <f>SUM(AB74:AB86)</f>
        <v>38564</v>
      </c>
      <c r="AC87" s="3"/>
      <c r="AD87" s="140">
        <f>SUM(AD74:AD86)</f>
        <v>31843</v>
      </c>
      <c r="AE87" s="3"/>
      <c r="AF87" s="140">
        <f>SUM(AF74:AF86)</f>
        <v>23668</v>
      </c>
      <c r="AG87" s="3"/>
      <c r="AH87" s="140">
        <f>SUM(AH74:AH86)</f>
        <v>38936</v>
      </c>
      <c r="AI87" s="3"/>
      <c r="AJ87" s="140">
        <f>SUM(AJ74:AJ86)</f>
        <v>48629</v>
      </c>
      <c r="AK87" s="3"/>
      <c r="AL87" s="140">
        <f>SUM(AL74:AL86)</f>
        <v>52771</v>
      </c>
      <c r="AM87" s="3"/>
      <c r="AN87" s="140">
        <f>SUM(AN74:AN86)</f>
        <v>103833</v>
      </c>
      <c r="AO87" s="3"/>
      <c r="AP87" s="140">
        <f>SUM(AP74:AP86)</f>
        <v>139055</v>
      </c>
      <c r="AQ87" s="3"/>
      <c r="AR87" s="140">
        <f>SUM(AR74:AR86)</f>
        <v>243550</v>
      </c>
      <c r="AS87" s="3"/>
      <c r="AT87" s="140">
        <f>SUM(AT74:AT86)</f>
        <v>248156</v>
      </c>
      <c r="AU87" s="3"/>
      <c r="AV87" s="140">
        <f>SUM(AV74:AV86)</f>
        <v>234640</v>
      </c>
      <c r="AW87" s="3"/>
      <c r="AX87" s="140">
        <f>SUM(AX74:AX86)</f>
        <v>321228</v>
      </c>
      <c r="AY87" s="3"/>
      <c r="AZ87" s="140">
        <f>SUM(AZ74:AZ86)</f>
        <v>287662</v>
      </c>
      <c r="BA87" s="3"/>
      <c r="BB87" s="140">
        <f>SUM(BB74:BB86)</f>
        <v>330477</v>
      </c>
      <c r="BC87" s="3"/>
      <c r="BD87" s="140">
        <f>SUM(BD74:BD86)</f>
        <v>449391</v>
      </c>
      <c r="BE87" s="3"/>
      <c r="BF87" s="140">
        <f>SUM(BF74:BF86)</f>
        <v>327706</v>
      </c>
      <c r="BG87" s="3"/>
      <c r="BH87" s="140">
        <f>SUM(BH74:BH86)</f>
        <v>647084</v>
      </c>
      <c r="BI87" s="3"/>
      <c r="BJ87" s="140">
        <f>SUM(BJ74:BJ86)</f>
        <v>679063</v>
      </c>
      <c r="BK87" s="3"/>
      <c r="BL87" s="140">
        <f>SUM(BL74:BL86)</f>
        <v>655316</v>
      </c>
      <c r="BM87" s="225"/>
      <c r="BN87" s="234">
        <f>SUM(BN74:BN86)</f>
        <v>754384</v>
      </c>
      <c r="BO87" s="225"/>
      <c r="BP87" s="234">
        <f>SUM(BP74:BP86)</f>
        <v>685986</v>
      </c>
      <c r="BQ87" s="225"/>
      <c r="BR87" s="234">
        <f>SUM(BR74:BR86)</f>
        <v>878712</v>
      </c>
    </row>
    <row r="88" spans="1:70" s="46" customFormat="1" ht="13.5" customHeight="1" x14ac:dyDescent="0.35">
      <c r="A88" s="138" t="s">
        <v>138</v>
      </c>
      <c r="B88" s="11"/>
      <c r="C88" s="11"/>
      <c r="D88" s="12"/>
      <c r="E88" s="13"/>
      <c r="F88" s="11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225"/>
      <c r="BN88" s="225"/>
      <c r="BO88" s="225"/>
      <c r="BP88" s="225"/>
      <c r="BQ88" s="225"/>
      <c r="BR88" s="225"/>
    </row>
    <row r="89" spans="1:70" s="46" customFormat="1" x14ac:dyDescent="0.35">
      <c r="A89" s="59" t="s">
        <v>45</v>
      </c>
      <c r="B89" s="11">
        <v>41867</v>
      </c>
      <c r="C89" s="11"/>
      <c r="D89" s="11">
        <v>41867</v>
      </c>
      <c r="E89" s="13"/>
      <c r="F89" s="11">
        <v>53367</v>
      </c>
      <c r="G89" s="3"/>
      <c r="H89" s="11">
        <v>53367</v>
      </c>
      <c r="I89" s="3"/>
      <c r="J89" s="11">
        <v>53367</v>
      </c>
      <c r="K89" s="3"/>
      <c r="L89" s="11">
        <v>53367</v>
      </c>
      <c r="M89" s="3"/>
      <c r="N89" s="11">
        <v>53367</v>
      </c>
      <c r="O89" s="3"/>
      <c r="P89" s="11">
        <v>53367</v>
      </c>
      <c r="Q89" s="3"/>
      <c r="R89" s="11">
        <v>73367</v>
      </c>
      <c r="S89" s="3"/>
      <c r="T89" s="11">
        <v>230879</v>
      </c>
      <c r="U89" s="3"/>
      <c r="V89" s="11">
        <v>230774</v>
      </c>
      <c r="W89" s="14"/>
      <c r="X89" s="11">
        <v>233049</v>
      </c>
      <c r="Y89" s="3"/>
      <c r="Z89" s="11">
        <v>233146</v>
      </c>
      <c r="AA89" s="3"/>
      <c r="AB89" s="11">
        <v>233146</v>
      </c>
      <c r="AC89" s="3"/>
      <c r="AD89" s="11">
        <v>233451</v>
      </c>
      <c r="AE89" s="3"/>
      <c r="AF89" s="11">
        <v>233451</v>
      </c>
      <c r="AG89" s="3"/>
      <c r="AH89" s="11">
        <v>233451</v>
      </c>
      <c r="AI89" s="3"/>
      <c r="AJ89" s="11">
        <v>233681</v>
      </c>
      <c r="AK89" s="3"/>
      <c r="AL89" s="11">
        <v>233681</v>
      </c>
      <c r="AM89" s="3"/>
      <c r="AN89" s="11">
        <v>233681</v>
      </c>
      <c r="AO89" s="3"/>
      <c r="AP89" s="11">
        <v>233681</v>
      </c>
      <c r="AQ89" s="3"/>
      <c r="AR89" s="11">
        <v>233681</v>
      </c>
      <c r="AS89" s="3"/>
      <c r="AT89" s="11">
        <v>233681</v>
      </c>
      <c r="AU89" s="3"/>
      <c r="AV89" s="11">
        <v>233681</v>
      </c>
      <c r="AW89" s="3"/>
      <c r="AX89" s="11">
        <v>233681</v>
      </c>
      <c r="AY89" s="3"/>
      <c r="AZ89" s="11">
        <v>318397</v>
      </c>
      <c r="BA89" s="3"/>
      <c r="BB89" s="11">
        <v>318378</v>
      </c>
      <c r="BC89" s="3"/>
      <c r="BD89" s="11">
        <v>318378</v>
      </c>
      <c r="BE89" s="3"/>
      <c r="BF89" s="11">
        <v>318284</v>
      </c>
      <c r="BG89" s="3"/>
      <c r="BH89" s="11">
        <v>318284</v>
      </c>
      <c r="BI89" s="3"/>
      <c r="BJ89" s="11">
        <v>318284</v>
      </c>
      <c r="BK89" s="3"/>
      <c r="BL89" s="11">
        <v>468278</v>
      </c>
      <c r="BM89" s="225"/>
      <c r="BN89" s="233">
        <v>468180</v>
      </c>
      <c r="BO89" s="225"/>
      <c r="BP89" s="233">
        <v>468225</v>
      </c>
      <c r="BQ89" s="225"/>
      <c r="BR89" s="233">
        <v>471327</v>
      </c>
    </row>
    <row r="90" spans="1:70" s="46" customFormat="1" x14ac:dyDescent="0.35">
      <c r="A90" s="59" t="s">
        <v>46</v>
      </c>
      <c r="B90" s="11">
        <v>2298</v>
      </c>
      <c r="C90" s="11"/>
      <c r="D90" s="11">
        <v>2298</v>
      </c>
      <c r="E90" s="13"/>
      <c r="F90" s="11">
        <v>2298</v>
      </c>
      <c r="G90" s="3"/>
      <c r="H90" s="11">
        <v>2298</v>
      </c>
      <c r="I90" s="3"/>
      <c r="J90" s="11">
        <v>2298</v>
      </c>
      <c r="K90" s="3"/>
      <c r="L90" s="11">
        <v>2298</v>
      </c>
      <c r="M90" s="3"/>
      <c r="N90" s="11">
        <v>2298</v>
      </c>
      <c r="O90" s="3"/>
      <c r="P90" s="11">
        <v>2298</v>
      </c>
      <c r="Q90" s="3"/>
      <c r="R90" s="11">
        <v>2298</v>
      </c>
      <c r="S90" s="3"/>
      <c r="T90" s="11">
        <v>2298</v>
      </c>
      <c r="U90" s="3"/>
      <c r="V90" s="11">
        <v>2298</v>
      </c>
      <c r="W90" s="14"/>
      <c r="X90" s="11">
        <v>8104</v>
      </c>
      <c r="Y90" s="3"/>
      <c r="Z90" s="11">
        <v>8104</v>
      </c>
      <c r="AA90" s="3"/>
      <c r="AB90" s="11">
        <v>8104</v>
      </c>
      <c r="AC90" s="3"/>
      <c r="AD90" s="11">
        <v>5518</v>
      </c>
      <c r="AE90" s="3"/>
      <c r="AF90" s="11">
        <v>3728</v>
      </c>
      <c r="AG90" s="3"/>
      <c r="AH90" s="11">
        <v>8104</v>
      </c>
      <c r="AI90" s="3"/>
      <c r="AJ90" s="11">
        <v>8104</v>
      </c>
      <c r="AK90" s="3"/>
      <c r="AL90" s="11">
        <v>8104</v>
      </c>
      <c r="AM90" s="3"/>
      <c r="AN90" s="11">
        <v>8104</v>
      </c>
      <c r="AO90" s="3"/>
      <c r="AP90" s="11">
        <v>8104</v>
      </c>
      <c r="AQ90" s="3"/>
      <c r="AR90" s="11">
        <v>8104</v>
      </c>
      <c r="AS90" s="3"/>
      <c r="AT90" s="11">
        <v>8104</v>
      </c>
      <c r="AU90" s="3"/>
      <c r="AV90" s="11">
        <v>8104</v>
      </c>
      <c r="AW90" s="3"/>
      <c r="AX90" s="11">
        <v>8104</v>
      </c>
      <c r="AY90" s="3"/>
      <c r="AZ90" s="11">
        <v>8104.3986599999998</v>
      </c>
      <c r="BA90" s="3"/>
      <c r="BB90" s="11">
        <v>8104</v>
      </c>
      <c r="BC90" s="3"/>
      <c r="BD90" s="11">
        <v>18356</v>
      </c>
      <c r="BE90" s="3"/>
      <c r="BF90" s="11">
        <v>19790</v>
      </c>
      <c r="BG90" s="3"/>
      <c r="BH90" s="11">
        <v>21224</v>
      </c>
      <c r="BI90" s="3"/>
      <c r="BJ90" s="11">
        <v>21799</v>
      </c>
      <c r="BK90" s="3"/>
      <c r="BL90" s="11">
        <v>23110</v>
      </c>
      <c r="BM90" s="225"/>
      <c r="BN90" s="233">
        <v>24910</v>
      </c>
      <c r="BO90" s="225"/>
      <c r="BP90" s="233">
        <v>25941</v>
      </c>
      <c r="BQ90" s="225"/>
      <c r="BR90" s="233">
        <v>27113</v>
      </c>
    </row>
    <row r="91" spans="1:70" s="46" customFormat="1" x14ac:dyDescent="0.35">
      <c r="A91" s="59" t="s">
        <v>47</v>
      </c>
      <c r="B91" s="11"/>
      <c r="C91" s="11"/>
      <c r="D91" s="11"/>
      <c r="E91" s="13"/>
      <c r="F91" s="11"/>
      <c r="G91" s="3"/>
      <c r="H91" s="11"/>
      <c r="I91" s="3"/>
      <c r="J91" s="11"/>
      <c r="K91" s="3"/>
      <c r="L91" s="11"/>
      <c r="M91" s="3"/>
      <c r="N91" s="11"/>
      <c r="O91" s="3"/>
      <c r="P91" s="11"/>
      <c r="Q91" s="3"/>
      <c r="R91" s="11"/>
      <c r="S91" s="3"/>
      <c r="T91" s="11"/>
      <c r="U91" s="3"/>
      <c r="V91" s="11"/>
      <c r="W91" s="14"/>
      <c r="X91" s="11"/>
      <c r="Y91" s="3"/>
      <c r="Z91" s="11"/>
      <c r="AA91" s="3"/>
      <c r="AB91" s="11"/>
      <c r="AC91" s="3"/>
      <c r="AD91" s="11"/>
      <c r="AE91" s="3"/>
      <c r="AF91" s="11"/>
      <c r="AG91" s="3"/>
      <c r="AH91" s="11">
        <v>-6581</v>
      </c>
      <c r="AI91" s="3"/>
      <c r="AJ91" s="11">
        <v>-6581</v>
      </c>
      <c r="AK91" s="3"/>
      <c r="AL91" s="11">
        <v>-9303</v>
      </c>
      <c r="AM91" s="3"/>
      <c r="AN91" s="11">
        <v>-11978</v>
      </c>
      <c r="AO91" s="3"/>
      <c r="AP91" s="11">
        <v>-11978</v>
      </c>
      <c r="AQ91" s="3"/>
      <c r="AR91" s="11">
        <v>-11978</v>
      </c>
      <c r="AS91" s="3"/>
      <c r="AT91" s="11">
        <v>-11978</v>
      </c>
      <c r="AU91" s="3"/>
      <c r="AV91" s="11">
        <v>-11978</v>
      </c>
      <c r="AW91" s="3"/>
      <c r="AX91" s="11">
        <v>-11978</v>
      </c>
      <c r="AY91" s="3"/>
      <c r="AZ91" s="11">
        <v>-11978</v>
      </c>
      <c r="BA91" s="3"/>
      <c r="BB91" s="11">
        <v>-11978</v>
      </c>
      <c r="BC91" s="3"/>
      <c r="BD91" s="11">
        <v>0</v>
      </c>
      <c r="BE91" s="3"/>
      <c r="BF91" s="11">
        <v>0</v>
      </c>
      <c r="BG91" s="3"/>
      <c r="BH91" s="11">
        <v>0</v>
      </c>
      <c r="BI91" s="3"/>
      <c r="BJ91" s="11">
        <v>0</v>
      </c>
      <c r="BK91" s="3"/>
      <c r="BL91" s="11">
        <v>0</v>
      </c>
      <c r="BM91" s="225"/>
      <c r="BN91" s="233">
        <v>0</v>
      </c>
      <c r="BO91" s="225"/>
      <c r="BP91" s="233">
        <v>0</v>
      </c>
      <c r="BQ91" s="225"/>
      <c r="BR91" s="233">
        <v>0</v>
      </c>
    </row>
    <row r="92" spans="1:70" s="46" customFormat="1" x14ac:dyDescent="0.35">
      <c r="A92" s="59" t="s">
        <v>50</v>
      </c>
      <c r="B92" s="11"/>
      <c r="C92" s="11"/>
      <c r="D92" s="11"/>
      <c r="E92" s="13"/>
      <c r="F92" s="11"/>
      <c r="G92" s="3"/>
      <c r="H92" s="11"/>
      <c r="I92" s="3"/>
      <c r="J92" s="11"/>
      <c r="K92" s="3"/>
      <c r="L92" s="11"/>
      <c r="M92" s="3"/>
      <c r="N92" s="11"/>
      <c r="O92" s="3"/>
      <c r="P92" s="11"/>
      <c r="Q92" s="3"/>
      <c r="R92" s="11"/>
      <c r="S92" s="3"/>
      <c r="T92" s="11"/>
      <c r="U92" s="3"/>
      <c r="V92" s="11"/>
      <c r="W92" s="14"/>
      <c r="X92" s="11">
        <v>-11278</v>
      </c>
      <c r="Y92" s="3"/>
      <c r="Z92" s="11">
        <v>-12090</v>
      </c>
      <c r="AA92" s="3"/>
      <c r="AB92" s="11">
        <v>-12090</v>
      </c>
      <c r="AC92" s="3"/>
      <c r="AD92" s="11">
        <v>-12090</v>
      </c>
      <c r="AE92" s="3"/>
      <c r="AF92" s="11">
        <v>-12090</v>
      </c>
      <c r="AG92" s="3"/>
      <c r="AH92" s="11">
        <v>-13346</v>
      </c>
      <c r="AI92" s="3"/>
      <c r="AJ92" s="11">
        <v>-13346</v>
      </c>
      <c r="AK92" s="3"/>
      <c r="AL92" s="11">
        <v>-13346</v>
      </c>
      <c r="AM92" s="3"/>
      <c r="AN92" s="11">
        <v>-13346</v>
      </c>
      <c r="AO92" s="3"/>
      <c r="AP92" s="11">
        <v>-32314</v>
      </c>
      <c r="AQ92" s="3"/>
      <c r="AR92" s="11">
        <v>-33621</v>
      </c>
      <c r="AS92" s="3"/>
      <c r="AT92" s="11">
        <v>-33621</v>
      </c>
      <c r="AU92" s="3"/>
      <c r="AV92" s="11">
        <v>-33621</v>
      </c>
      <c r="AW92" s="3"/>
      <c r="AX92" s="11">
        <v>-33621</v>
      </c>
      <c r="AY92" s="3"/>
      <c r="AZ92" s="11">
        <v>-33621</v>
      </c>
      <c r="BA92" s="3"/>
      <c r="BB92" s="11">
        <v>-33621</v>
      </c>
      <c r="BC92" s="3"/>
      <c r="BD92" s="11">
        <v>-33621</v>
      </c>
      <c r="BE92" s="3"/>
      <c r="BF92" s="11">
        <v>-33621</v>
      </c>
      <c r="BG92" s="3"/>
      <c r="BH92" s="11">
        <v>-33621</v>
      </c>
      <c r="BI92" s="3"/>
      <c r="BJ92" s="11">
        <v>-35772</v>
      </c>
      <c r="BK92" s="3"/>
      <c r="BL92" s="11">
        <v>-34107</v>
      </c>
      <c r="BM92" s="225"/>
      <c r="BN92" s="233">
        <v>-34734</v>
      </c>
      <c r="BO92" s="225"/>
      <c r="BP92" s="233">
        <v>-34438</v>
      </c>
      <c r="BQ92" s="225"/>
      <c r="BR92" s="233">
        <v>-100112</v>
      </c>
    </row>
    <row r="93" spans="1:70" s="46" customFormat="1" x14ac:dyDescent="0.35">
      <c r="A93" s="59" t="s">
        <v>48</v>
      </c>
      <c r="B93" s="11">
        <v>2453</v>
      </c>
      <c r="C93" s="11"/>
      <c r="D93" s="11">
        <v>2453</v>
      </c>
      <c r="E93" s="13"/>
      <c r="F93" s="11">
        <v>2453</v>
      </c>
      <c r="G93" s="3"/>
      <c r="H93" s="11">
        <v>2453</v>
      </c>
      <c r="I93" s="3"/>
      <c r="J93" s="11">
        <v>4772</v>
      </c>
      <c r="K93" s="3"/>
      <c r="L93" s="11">
        <v>4772</v>
      </c>
      <c r="M93" s="3"/>
      <c r="N93" s="11">
        <v>4772</v>
      </c>
      <c r="O93" s="3"/>
      <c r="P93" s="11">
        <v>4772</v>
      </c>
      <c r="Q93" s="3"/>
      <c r="R93" s="11">
        <v>0</v>
      </c>
      <c r="S93" s="3"/>
      <c r="T93" s="11">
        <v>0</v>
      </c>
      <c r="U93" s="3"/>
      <c r="V93" s="11">
        <v>0</v>
      </c>
      <c r="W93" s="14"/>
      <c r="X93" s="11">
        <v>0</v>
      </c>
      <c r="Y93" s="3"/>
      <c r="Z93" s="11">
        <v>0</v>
      </c>
      <c r="AA93" s="3"/>
      <c r="AB93" s="11"/>
      <c r="AC93" s="3"/>
      <c r="AD93" s="11"/>
      <c r="AE93" s="3"/>
      <c r="AF93" s="11">
        <v>0</v>
      </c>
      <c r="AG93" s="3"/>
      <c r="AH93" s="11">
        <v>7451.8056200000001</v>
      </c>
      <c r="AI93" s="3"/>
      <c r="AJ93" s="11">
        <v>7452</v>
      </c>
      <c r="AK93" s="3"/>
      <c r="AL93" s="11">
        <v>7452</v>
      </c>
      <c r="AM93" s="3"/>
      <c r="AN93" s="11">
        <v>7452</v>
      </c>
      <c r="AO93" s="3"/>
      <c r="AP93" s="11">
        <v>18102</v>
      </c>
      <c r="AQ93" s="3"/>
      <c r="AR93" s="11">
        <v>18102</v>
      </c>
      <c r="AS93" s="3"/>
      <c r="AT93" s="11">
        <v>18102.201989999994</v>
      </c>
      <c r="AU93" s="3"/>
      <c r="AV93" s="11">
        <v>18102</v>
      </c>
      <c r="AW93" s="3"/>
      <c r="AX93" s="11">
        <v>28549</v>
      </c>
      <c r="AY93" s="3"/>
      <c r="AZ93" s="11">
        <v>28549</v>
      </c>
      <c r="BA93" s="3"/>
      <c r="BB93" s="11">
        <v>28549</v>
      </c>
      <c r="BC93" s="3"/>
      <c r="BD93" s="11">
        <v>28549</v>
      </c>
      <c r="BE93" s="3"/>
      <c r="BF93" s="11">
        <v>36289</v>
      </c>
      <c r="BG93" s="3"/>
      <c r="BH93" s="11">
        <v>36289</v>
      </c>
      <c r="BI93" s="3"/>
      <c r="BJ93" s="11">
        <v>36289</v>
      </c>
      <c r="BK93" s="3"/>
      <c r="BL93" s="11">
        <v>36289</v>
      </c>
      <c r="BM93" s="225"/>
      <c r="BN93" s="233">
        <v>24478</v>
      </c>
      <c r="BO93" s="225"/>
      <c r="BP93" s="233">
        <v>24478</v>
      </c>
      <c r="BQ93" s="225"/>
      <c r="BR93" s="233">
        <v>24478</v>
      </c>
    </row>
    <row r="94" spans="1:70" s="46" customFormat="1" x14ac:dyDescent="0.35">
      <c r="A94" s="59" t="s">
        <v>49</v>
      </c>
      <c r="B94" s="11">
        <v>0</v>
      </c>
      <c r="C94" s="11"/>
      <c r="D94" s="11">
        <v>0</v>
      </c>
      <c r="E94" s="13"/>
      <c r="F94" s="11">
        <v>0</v>
      </c>
      <c r="G94" s="3"/>
      <c r="H94" s="11">
        <v>0</v>
      </c>
      <c r="I94" s="3"/>
      <c r="J94" s="11">
        <v>722</v>
      </c>
      <c r="K94" s="3"/>
      <c r="L94" s="11">
        <v>722</v>
      </c>
      <c r="M94" s="3"/>
      <c r="N94" s="11">
        <v>0</v>
      </c>
      <c r="O94" s="3"/>
      <c r="P94" s="11">
        <v>0</v>
      </c>
      <c r="Q94" s="3"/>
      <c r="R94" s="11">
        <v>0</v>
      </c>
      <c r="S94" s="3"/>
      <c r="T94" s="11">
        <v>0</v>
      </c>
      <c r="U94" s="3"/>
      <c r="V94" s="11">
        <v>0</v>
      </c>
      <c r="W94" s="14"/>
      <c r="X94" s="11">
        <v>0</v>
      </c>
      <c r="Y94" s="3"/>
      <c r="Z94" s="11">
        <v>0</v>
      </c>
      <c r="AA94" s="3"/>
      <c r="AB94" s="11"/>
      <c r="AC94" s="3"/>
      <c r="AD94" s="11"/>
      <c r="AE94" s="3"/>
      <c r="AF94" s="11">
        <v>0</v>
      </c>
      <c r="AG94" s="3"/>
      <c r="AH94" s="11">
        <v>0</v>
      </c>
      <c r="AI94" s="3"/>
      <c r="AJ94" s="11">
        <v>0</v>
      </c>
      <c r="AK94" s="3"/>
      <c r="AL94" s="11">
        <v>0</v>
      </c>
      <c r="AM94" s="3"/>
      <c r="AN94" s="11">
        <v>0</v>
      </c>
      <c r="AO94" s="3"/>
      <c r="AP94" s="11">
        <v>0</v>
      </c>
      <c r="AQ94" s="3"/>
      <c r="AR94" s="11">
        <v>0</v>
      </c>
      <c r="AS94" s="3"/>
      <c r="AT94" s="11">
        <v>0</v>
      </c>
      <c r="AU94" s="3"/>
      <c r="AV94" s="11">
        <v>0</v>
      </c>
      <c r="AW94" s="3"/>
      <c r="AX94" s="11">
        <v>0</v>
      </c>
      <c r="AY94" s="3"/>
      <c r="AZ94" s="11">
        <v>0</v>
      </c>
      <c r="BA94" s="3"/>
      <c r="BB94" s="11">
        <v>0</v>
      </c>
      <c r="BC94" s="3"/>
      <c r="BD94" s="11">
        <v>0</v>
      </c>
      <c r="BE94" s="3"/>
      <c r="BF94" s="11">
        <v>0</v>
      </c>
      <c r="BG94" s="3"/>
      <c r="BH94" s="11">
        <v>0</v>
      </c>
      <c r="BI94" s="3"/>
      <c r="BJ94" s="11">
        <v>0</v>
      </c>
      <c r="BK94" s="3"/>
      <c r="BL94" s="11">
        <v>0</v>
      </c>
      <c r="BM94" s="225"/>
      <c r="BN94" s="233">
        <v>0</v>
      </c>
      <c r="BO94" s="225"/>
      <c r="BP94" s="233">
        <v>0</v>
      </c>
      <c r="BQ94" s="225"/>
      <c r="BR94" s="233">
        <v>0</v>
      </c>
    </row>
    <row r="95" spans="1:70" s="46" customFormat="1" x14ac:dyDescent="0.35">
      <c r="A95" s="59" t="s">
        <v>139</v>
      </c>
      <c r="B95" s="141">
        <v>0</v>
      </c>
      <c r="C95" s="141"/>
      <c r="D95" s="141">
        <v>1154</v>
      </c>
      <c r="E95" s="13"/>
      <c r="F95" s="141">
        <v>-2616</v>
      </c>
      <c r="G95" s="3"/>
      <c r="H95" s="11">
        <v>-3368</v>
      </c>
      <c r="I95" s="3"/>
      <c r="J95" s="141">
        <v>0</v>
      </c>
      <c r="K95" s="3"/>
      <c r="L95" s="11">
        <v>128</v>
      </c>
      <c r="M95" s="3"/>
      <c r="N95" s="11">
        <v>-1163</v>
      </c>
      <c r="O95" s="3"/>
      <c r="P95" s="11">
        <v>-3155</v>
      </c>
      <c r="Q95" s="3"/>
      <c r="R95" s="11">
        <v>-1337</v>
      </c>
      <c r="S95" s="3"/>
      <c r="T95" s="11">
        <f>-1337+4044</f>
        <v>2707</v>
      </c>
      <c r="U95" s="3"/>
      <c r="V95" s="11">
        <f>-1337-12640</f>
        <v>-13977</v>
      </c>
      <c r="W95" s="14"/>
      <c r="X95" s="11">
        <f>-1337-17564</f>
        <v>-18901</v>
      </c>
      <c r="Y95" s="3"/>
      <c r="Z95" s="11">
        <v>-3473</v>
      </c>
      <c r="AA95" s="3"/>
      <c r="AB95" s="11">
        <v>-4185</v>
      </c>
      <c r="AC95" s="3"/>
      <c r="AD95" s="11">
        <v>1952</v>
      </c>
      <c r="AE95" s="3"/>
      <c r="AF95" s="11">
        <v>5857</v>
      </c>
      <c r="AG95" s="3"/>
      <c r="AH95" s="11">
        <v>0</v>
      </c>
      <c r="AI95" s="3"/>
      <c r="AJ95" s="11">
        <v>5188</v>
      </c>
      <c r="AK95" s="3"/>
      <c r="AL95" s="11">
        <v>12586</v>
      </c>
      <c r="AM95" s="3"/>
      <c r="AN95" s="11">
        <v>33403</v>
      </c>
      <c r="AO95" s="3"/>
      <c r="AP95" s="11">
        <v>0</v>
      </c>
      <c r="AQ95" s="3"/>
      <c r="AR95" s="11">
        <v>7070</v>
      </c>
      <c r="AS95" s="3"/>
      <c r="AT95" s="11">
        <v>13419</v>
      </c>
      <c r="AU95" s="3"/>
      <c r="AV95" s="11">
        <v>12896</v>
      </c>
      <c r="AW95" s="3"/>
      <c r="AX95" s="11">
        <v>0</v>
      </c>
      <c r="AY95" s="3"/>
      <c r="AZ95" s="11">
        <v>1571</v>
      </c>
      <c r="BA95" s="3"/>
      <c r="BB95" s="11">
        <v>-3428</v>
      </c>
      <c r="BC95" s="3"/>
      <c r="BD95" s="11">
        <v>13157</v>
      </c>
      <c r="BE95" s="3"/>
      <c r="BF95" s="11">
        <v>14438</v>
      </c>
      <c r="BG95" s="3"/>
      <c r="BH95" s="11">
        <v>1803</v>
      </c>
      <c r="BI95" s="3"/>
      <c r="BJ95" s="11">
        <v>-289</v>
      </c>
      <c r="BK95" s="3"/>
      <c r="BL95" s="11">
        <v>-3383</v>
      </c>
      <c r="BM95" s="225"/>
      <c r="BN95" s="233">
        <v>0</v>
      </c>
      <c r="BO95" s="225"/>
      <c r="BP95" s="233">
        <v>56765</v>
      </c>
      <c r="BQ95" s="225"/>
      <c r="BR95" s="233">
        <v>55366</v>
      </c>
    </row>
    <row r="96" spans="1:70" s="46" customFormat="1" x14ac:dyDescent="0.35">
      <c r="A96" s="60" t="s">
        <v>51</v>
      </c>
      <c r="B96" s="140">
        <f>SUM(B89:B95)</f>
        <v>46618</v>
      </c>
      <c r="C96" s="141"/>
      <c r="D96" s="140">
        <f>SUM(D89:D95)</f>
        <v>47772</v>
      </c>
      <c r="E96" s="13"/>
      <c r="F96" s="140">
        <f>SUM(F89:F95)</f>
        <v>55502</v>
      </c>
      <c r="G96" s="130"/>
      <c r="H96" s="140">
        <f>SUM(H89:H95)</f>
        <v>54750</v>
      </c>
      <c r="I96" s="130"/>
      <c r="J96" s="140">
        <f>SUM(J89:J95)</f>
        <v>61159</v>
      </c>
      <c r="K96" s="3"/>
      <c r="L96" s="140">
        <f>SUM(L89:L95)</f>
        <v>61287</v>
      </c>
      <c r="M96" s="3"/>
      <c r="N96" s="140">
        <f>SUM(N89:N95)</f>
        <v>59274</v>
      </c>
      <c r="O96" s="3"/>
      <c r="P96" s="140">
        <f>SUM(P89:P95)</f>
        <v>57282</v>
      </c>
      <c r="Q96" s="3"/>
      <c r="R96" s="140">
        <f>SUM(R89:R95)</f>
        <v>74328</v>
      </c>
      <c r="S96" s="3"/>
      <c r="T96" s="140">
        <f>SUM(T89:T95)</f>
        <v>235884</v>
      </c>
      <c r="U96" s="3"/>
      <c r="V96" s="140">
        <f>SUM(V89:V95)</f>
        <v>219095</v>
      </c>
      <c r="W96" s="3"/>
      <c r="X96" s="140">
        <f>SUM(X89:X95)</f>
        <v>210974</v>
      </c>
      <c r="Y96" s="3"/>
      <c r="Z96" s="140">
        <f>SUM(Z89:Z95)</f>
        <v>225687</v>
      </c>
      <c r="AA96" s="3"/>
      <c r="AB96" s="140">
        <f>SUM(AB89:AB95)</f>
        <v>224975</v>
      </c>
      <c r="AC96" s="3"/>
      <c r="AD96" s="140">
        <f>SUM(AD89:AD95)</f>
        <v>228831</v>
      </c>
      <c r="AE96" s="3"/>
      <c r="AF96" s="140">
        <f>SUM(AF89:AF95)</f>
        <v>230946</v>
      </c>
      <c r="AG96" s="3"/>
      <c r="AH96" s="140">
        <f>SUM(AH89:AH95)</f>
        <v>229079.80562</v>
      </c>
      <c r="AI96" s="3"/>
      <c r="AJ96" s="140">
        <f>SUM(AJ89:AJ95)</f>
        <v>234498</v>
      </c>
      <c r="AK96" s="3"/>
      <c r="AL96" s="140">
        <f>SUM(AL89:AL95)</f>
        <v>239174</v>
      </c>
      <c r="AM96" s="3"/>
      <c r="AN96" s="140">
        <f>SUM(AN89:AN95)</f>
        <v>257316</v>
      </c>
      <c r="AO96" s="3"/>
      <c r="AP96" s="140">
        <f>SUM(AP89:AP95)</f>
        <v>215595</v>
      </c>
      <c r="AQ96" s="3"/>
      <c r="AR96" s="140">
        <f>SUM(AR89:AR95)</f>
        <v>221358</v>
      </c>
      <c r="AS96" s="3"/>
      <c r="AT96" s="140">
        <f>SUM(AT89:AT95)</f>
        <v>227707.20199</v>
      </c>
      <c r="AU96" s="3"/>
      <c r="AV96" s="140">
        <f>SUM(AV89:AV95)</f>
        <v>227184</v>
      </c>
      <c r="AW96" s="3"/>
      <c r="AX96" s="140">
        <f>SUM(AX89:AX95)</f>
        <v>224735</v>
      </c>
      <c r="AY96" s="3"/>
      <c r="AZ96" s="140">
        <f>SUM(AZ89:AZ95)</f>
        <v>311022.39866000001</v>
      </c>
      <c r="BA96" s="3"/>
      <c r="BB96" s="140">
        <f>SUM(BB89:BB95)</f>
        <v>306004</v>
      </c>
      <c r="BC96" s="3"/>
      <c r="BD96" s="140">
        <f>SUM(BD89:BD95)</f>
        <v>344819</v>
      </c>
      <c r="BE96" s="3"/>
      <c r="BF96" s="140">
        <f>SUM(BF89:BF95)</f>
        <v>355180</v>
      </c>
      <c r="BG96" s="3"/>
      <c r="BH96" s="140">
        <f>SUM(BH89:BH95)</f>
        <v>343979</v>
      </c>
      <c r="BI96" s="3"/>
      <c r="BJ96" s="140">
        <f>SUM(BJ89:BJ95)</f>
        <v>340311</v>
      </c>
      <c r="BK96" s="3"/>
      <c r="BL96" s="140">
        <f>SUM(BL89:BL95)</f>
        <v>490187</v>
      </c>
      <c r="BM96" s="225"/>
      <c r="BN96" s="234">
        <f>SUM(BN89:BN95)</f>
        <v>482834</v>
      </c>
      <c r="BO96" s="225"/>
      <c r="BP96" s="234">
        <f>SUM(BP89:BP95)</f>
        <v>540971</v>
      </c>
      <c r="BQ96" s="225"/>
      <c r="BR96" s="234">
        <f>SUM(BR89:BR95)</f>
        <v>478172</v>
      </c>
    </row>
    <row r="97" spans="1:70" s="46" customFormat="1" ht="15.75" customHeight="1" x14ac:dyDescent="0.35">
      <c r="A97" s="53"/>
      <c r="B97" s="141"/>
      <c r="C97" s="141"/>
      <c r="D97" s="141"/>
      <c r="E97" s="13"/>
      <c r="F97" s="141"/>
      <c r="G97" s="130"/>
      <c r="H97" s="130"/>
      <c r="I97" s="130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225"/>
      <c r="BN97" s="225"/>
      <c r="BO97" s="225"/>
      <c r="BP97" s="225"/>
      <c r="BQ97" s="225"/>
      <c r="BR97" s="225"/>
    </row>
    <row r="98" spans="1:70" s="46" customFormat="1" x14ac:dyDescent="0.35">
      <c r="A98" s="53" t="s">
        <v>52</v>
      </c>
      <c r="B98" s="11">
        <v>8156</v>
      </c>
      <c r="C98" s="11"/>
      <c r="D98" s="11">
        <v>7457</v>
      </c>
      <c r="E98" s="13"/>
      <c r="F98" s="11">
        <v>6365</v>
      </c>
      <c r="G98" s="3"/>
      <c r="H98" s="11">
        <v>5925</v>
      </c>
      <c r="I98" s="3"/>
      <c r="J98" s="11">
        <v>4970</v>
      </c>
      <c r="K98" s="3"/>
      <c r="L98" s="11">
        <v>4337</v>
      </c>
      <c r="M98" s="3"/>
      <c r="N98" s="11">
        <v>3642</v>
      </c>
      <c r="O98" s="3"/>
      <c r="P98" s="11">
        <v>2691</v>
      </c>
      <c r="Q98" s="3"/>
      <c r="R98" s="11">
        <v>281</v>
      </c>
      <c r="S98" s="3"/>
      <c r="T98" s="11">
        <v>-493</v>
      </c>
      <c r="U98" s="3"/>
      <c r="V98" s="11">
        <v>-926</v>
      </c>
      <c r="W98" s="14"/>
      <c r="X98" s="11">
        <v>-1311</v>
      </c>
      <c r="Y98" s="3"/>
      <c r="Z98" s="11">
        <v>-101</v>
      </c>
      <c r="AA98" s="3"/>
      <c r="AB98" s="11">
        <v>-420</v>
      </c>
      <c r="AC98" s="3"/>
      <c r="AD98" s="11">
        <v>-353</v>
      </c>
      <c r="AE98" s="3"/>
      <c r="AF98" s="11">
        <v>-478</v>
      </c>
      <c r="AG98" s="3"/>
      <c r="AH98" s="11">
        <v>0</v>
      </c>
      <c r="AI98" s="3"/>
      <c r="AJ98" s="11">
        <v>271</v>
      </c>
      <c r="AK98" s="3"/>
      <c r="AL98" s="11">
        <v>12468</v>
      </c>
      <c r="AM98" s="3"/>
      <c r="AN98" s="11">
        <v>34266</v>
      </c>
      <c r="AO98" s="3"/>
      <c r="AP98" s="11">
        <v>6167</v>
      </c>
      <c r="AQ98" s="3"/>
      <c r="AR98" s="11">
        <v>7962</v>
      </c>
      <c r="AS98" s="3"/>
      <c r="AT98" s="11">
        <v>11680</v>
      </c>
      <c r="AU98" s="3"/>
      <c r="AV98" s="11">
        <v>14837</v>
      </c>
      <c r="AW98" s="3"/>
      <c r="AX98" s="11">
        <v>13969</v>
      </c>
      <c r="AY98" s="3"/>
      <c r="AZ98" s="11">
        <v>15577</v>
      </c>
      <c r="BA98" s="3"/>
      <c r="BB98" s="11">
        <v>13792</v>
      </c>
      <c r="BC98" s="3"/>
      <c r="BD98" s="11">
        <v>17249</v>
      </c>
      <c r="BE98" s="3"/>
      <c r="BF98" s="11">
        <v>13908</v>
      </c>
      <c r="BG98" s="3"/>
      <c r="BH98" s="11">
        <v>16122</v>
      </c>
      <c r="BI98" s="3"/>
      <c r="BJ98" s="11">
        <v>18722</v>
      </c>
      <c r="BK98" s="3"/>
      <c r="BL98" s="11">
        <v>24876</v>
      </c>
      <c r="BM98" s="225"/>
      <c r="BN98" s="233">
        <v>79500</v>
      </c>
      <c r="BO98" s="225"/>
      <c r="BP98" s="233">
        <v>80798</v>
      </c>
      <c r="BQ98" s="225"/>
      <c r="BR98" s="233">
        <v>75077</v>
      </c>
    </row>
    <row r="99" spans="1:70" s="46" customFormat="1" x14ac:dyDescent="0.35">
      <c r="A99" s="53" t="s">
        <v>140</v>
      </c>
      <c r="B99" s="142">
        <f>B96+B98</f>
        <v>54774</v>
      </c>
      <c r="C99" s="141"/>
      <c r="D99" s="142">
        <f>D96+D98</f>
        <v>55229</v>
      </c>
      <c r="E99" s="13"/>
      <c r="F99" s="142">
        <f>F96+F98</f>
        <v>61867</v>
      </c>
      <c r="G99" s="3"/>
      <c r="H99" s="142">
        <f>H96+H98</f>
        <v>60675</v>
      </c>
      <c r="I99" s="3"/>
      <c r="J99" s="142">
        <f>J96+J98</f>
        <v>66129</v>
      </c>
      <c r="K99" s="3"/>
      <c r="L99" s="142">
        <f>L96+L98</f>
        <v>65624</v>
      </c>
      <c r="M99" s="3"/>
      <c r="N99" s="142">
        <f>N96+N98</f>
        <v>62916</v>
      </c>
      <c r="O99" s="3"/>
      <c r="P99" s="142">
        <f>P96+P98</f>
        <v>59973</v>
      </c>
      <c r="Q99" s="3"/>
      <c r="R99" s="142">
        <f>R96+R98</f>
        <v>74609</v>
      </c>
      <c r="S99" s="3"/>
      <c r="T99" s="142">
        <f>T96+T98</f>
        <v>235391</v>
      </c>
      <c r="U99" s="3"/>
      <c r="V99" s="142">
        <f>V96+V98</f>
        <v>218169</v>
      </c>
      <c r="W99" s="3"/>
      <c r="X99" s="142">
        <f>X96+X98</f>
        <v>209663</v>
      </c>
      <c r="Y99" s="3"/>
      <c r="Z99" s="142">
        <f>Z96+Z98</f>
        <v>225586</v>
      </c>
      <c r="AA99" s="3"/>
      <c r="AB99" s="142">
        <f>AB96+AB98</f>
        <v>224555</v>
      </c>
      <c r="AC99" s="3"/>
      <c r="AD99" s="142">
        <f>AD96+AD98</f>
        <v>228478</v>
      </c>
      <c r="AE99" s="3"/>
      <c r="AF99" s="142">
        <f>AF96+AF98</f>
        <v>230468</v>
      </c>
      <c r="AG99" s="3"/>
      <c r="AH99" s="142">
        <f>AH96+AH98</f>
        <v>229079.80562</v>
      </c>
      <c r="AI99" s="3"/>
      <c r="AJ99" s="142">
        <f>AJ96+AJ98</f>
        <v>234769</v>
      </c>
      <c r="AK99" s="3"/>
      <c r="AL99" s="142">
        <f>AL96+AL98</f>
        <v>251642</v>
      </c>
      <c r="AM99" s="3"/>
      <c r="AN99" s="142">
        <f>AN96+AN98</f>
        <v>291582</v>
      </c>
      <c r="AO99" s="3"/>
      <c r="AP99" s="142">
        <f>AP96+AP98</f>
        <v>221762</v>
      </c>
      <c r="AQ99" s="3"/>
      <c r="AR99" s="142">
        <f>AR96+AR98</f>
        <v>229320</v>
      </c>
      <c r="AS99" s="3"/>
      <c r="AT99" s="142">
        <f>AT96+AT98</f>
        <v>239387.20199</v>
      </c>
      <c r="AU99" s="3"/>
      <c r="AV99" s="142">
        <f>AV96+AV98</f>
        <v>242021</v>
      </c>
      <c r="AW99" s="3"/>
      <c r="AX99" s="142">
        <f>AX96+AX98</f>
        <v>238704</v>
      </c>
      <c r="AY99" s="3"/>
      <c r="AZ99" s="142">
        <f>AZ96+AZ98</f>
        <v>326599.39866000001</v>
      </c>
      <c r="BA99" s="3"/>
      <c r="BB99" s="142">
        <f>BB96+BB98</f>
        <v>319796</v>
      </c>
      <c r="BC99" s="3"/>
      <c r="BD99" s="142">
        <f>BD96+BD98</f>
        <v>362068</v>
      </c>
      <c r="BE99" s="3"/>
      <c r="BF99" s="142">
        <f>BF96+BF98</f>
        <v>369088</v>
      </c>
      <c r="BG99" s="3"/>
      <c r="BH99" s="142">
        <f>BH96+BH98</f>
        <v>360101</v>
      </c>
      <c r="BI99" s="3"/>
      <c r="BJ99" s="142">
        <f>BJ96+BJ98</f>
        <v>359033</v>
      </c>
      <c r="BK99" s="3"/>
      <c r="BL99" s="142">
        <f>BL96+BL98</f>
        <v>515063</v>
      </c>
      <c r="BM99" s="225"/>
      <c r="BN99" s="236">
        <f>BN96+BN98</f>
        <v>562334</v>
      </c>
      <c r="BO99" s="225"/>
      <c r="BP99" s="236">
        <f>BP96+BP98</f>
        <v>621769</v>
      </c>
      <c r="BQ99" s="225"/>
      <c r="BR99" s="236">
        <f>BR96+BR98</f>
        <v>553249</v>
      </c>
    </row>
    <row r="100" spans="1:70" s="46" customFormat="1" x14ac:dyDescent="0.35">
      <c r="A100" s="53"/>
      <c r="B100" s="141"/>
      <c r="C100" s="141"/>
      <c r="D100" s="141"/>
      <c r="E100" s="13"/>
      <c r="F100" s="141"/>
      <c r="G100" s="3"/>
      <c r="H100" s="141"/>
      <c r="I100" s="3"/>
      <c r="J100" s="141"/>
      <c r="K100" s="3"/>
      <c r="L100" s="141"/>
      <c r="M100" s="3"/>
      <c r="N100" s="141"/>
      <c r="O100" s="3"/>
      <c r="P100" s="141"/>
      <c r="Q100" s="3"/>
      <c r="R100" s="141"/>
      <c r="S100" s="3"/>
      <c r="T100" s="141"/>
      <c r="U100" s="3"/>
      <c r="V100" s="141"/>
      <c r="W100" s="3"/>
      <c r="X100" s="141"/>
      <c r="Y100" s="3"/>
      <c r="Z100" s="141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225"/>
      <c r="BN100" s="225"/>
      <c r="BO100" s="225"/>
      <c r="BP100" s="225"/>
      <c r="BQ100" s="225"/>
      <c r="BR100" s="225"/>
    </row>
    <row r="101" spans="1:70" s="46" customFormat="1" ht="19.5" customHeight="1" thickBot="1" x14ac:dyDescent="0.4">
      <c r="A101" s="53" t="s">
        <v>141</v>
      </c>
      <c r="B101" s="143">
        <f>B99+B87+B72</f>
        <v>182406</v>
      </c>
      <c r="C101" s="141"/>
      <c r="D101" s="143">
        <f>D99+D87+D72</f>
        <v>192752</v>
      </c>
      <c r="E101" s="13"/>
      <c r="F101" s="143">
        <f>F99+F87+F72</f>
        <v>200024</v>
      </c>
      <c r="G101" s="130"/>
      <c r="H101" s="143">
        <f>H99+H87+H72</f>
        <v>198706</v>
      </c>
      <c r="I101" s="130"/>
      <c r="J101" s="143">
        <f>J99+J87+J72</f>
        <v>207986</v>
      </c>
      <c r="K101" s="3"/>
      <c r="L101" s="143">
        <f>L99+L87+L72</f>
        <v>224864</v>
      </c>
      <c r="M101" s="3"/>
      <c r="N101" s="143">
        <f>N99+N87+N72</f>
        <v>242316</v>
      </c>
      <c r="O101" s="3"/>
      <c r="P101" s="143">
        <f>P99+P87+P72</f>
        <v>239903</v>
      </c>
      <c r="Q101" s="3"/>
      <c r="R101" s="143">
        <f>R99+R87+R72</f>
        <v>239541</v>
      </c>
      <c r="S101" s="3"/>
      <c r="T101" s="143">
        <f>T99+T87+T72</f>
        <v>366641</v>
      </c>
      <c r="U101" s="3"/>
      <c r="V101" s="143">
        <f>V99+V87+V72</f>
        <v>345657</v>
      </c>
      <c r="W101" s="3"/>
      <c r="X101" s="143">
        <f>X99+X87+X72</f>
        <v>328500</v>
      </c>
      <c r="Y101" s="3"/>
      <c r="Z101" s="143">
        <f>Z99+Z87+Z72</f>
        <v>336630</v>
      </c>
      <c r="AA101" s="3"/>
      <c r="AB101" s="143">
        <f>SUM(AB72+AB87+AB99)</f>
        <v>337385</v>
      </c>
      <c r="AC101" s="3"/>
      <c r="AD101" s="143">
        <f>SUM(AD72+AD87+AD99)</f>
        <v>351897</v>
      </c>
      <c r="AE101" s="3"/>
      <c r="AF101" s="143">
        <f>SUM(AF72+AF87+AF99)</f>
        <v>358453</v>
      </c>
      <c r="AG101" s="3"/>
      <c r="AH101" s="143">
        <f>SUM(AH72+AH87+AH99)</f>
        <v>374376.80562</v>
      </c>
      <c r="AI101" s="3"/>
      <c r="AJ101" s="143">
        <f>SUM(AJ72+AJ87+AJ99)</f>
        <v>410440.00001000002</v>
      </c>
      <c r="AK101" s="3"/>
      <c r="AL101" s="143">
        <f>SUM(AL72+AL87+AL99)</f>
        <v>475059.00002000004</v>
      </c>
      <c r="AM101" s="3"/>
      <c r="AN101" s="143">
        <f>SUM(AN72+AN87+AN99)</f>
        <v>598258.00011000002</v>
      </c>
      <c r="AO101" s="3"/>
      <c r="AP101" s="143">
        <f>SUM(AP72+AP87+AP99)</f>
        <v>619939.00005999999</v>
      </c>
      <c r="AQ101" s="3"/>
      <c r="AR101" s="143">
        <f>SUM(AR72+AR87+AR99)</f>
        <v>762751</v>
      </c>
      <c r="AS101" s="3"/>
      <c r="AT101" s="143">
        <f>SUM(AT72+AT87+AT99)</f>
        <v>726263.20198999997</v>
      </c>
      <c r="AU101" s="3"/>
      <c r="AV101" s="143">
        <f>SUM(AV72+AV87+AV99)</f>
        <v>724061</v>
      </c>
      <c r="AW101" s="3"/>
      <c r="AX101" s="143">
        <f>SUM(AX72+AX87+AX99)</f>
        <v>837004</v>
      </c>
      <c r="AY101" s="3"/>
      <c r="AZ101" s="143">
        <f>SUM(AZ72+AZ87+AZ99)</f>
        <v>872201.39865999995</v>
      </c>
      <c r="BA101" s="3"/>
      <c r="BB101" s="143">
        <f>SUM(BB72+BB87+BB99)</f>
        <v>914999</v>
      </c>
      <c r="BC101" s="3"/>
      <c r="BD101" s="143">
        <f>SUM(BD72+BD87+BD99)</f>
        <v>1207376</v>
      </c>
      <c r="BE101" s="3"/>
      <c r="BF101" s="143">
        <f>SUM(BF72+BF87+BF99)</f>
        <v>1243600</v>
      </c>
      <c r="BG101" s="3"/>
      <c r="BH101" s="143">
        <f>SUM(BH72+BH87+BH99)</f>
        <v>1413379</v>
      </c>
      <c r="BI101" s="3"/>
      <c r="BJ101" s="143">
        <f>SUM(BJ72+BJ87+BJ99)</f>
        <v>1429335</v>
      </c>
      <c r="BK101" s="3"/>
      <c r="BL101" s="143">
        <f>SUM(BL72+BL87+BL99)</f>
        <v>1555688</v>
      </c>
      <c r="BM101" s="225"/>
      <c r="BN101" s="237">
        <f>SUM(BN72+BN87+BN99)</f>
        <v>1890643</v>
      </c>
      <c r="BO101" s="225"/>
      <c r="BP101" s="237">
        <f>SUM(BP72+BP87+BP99)</f>
        <v>1878054</v>
      </c>
      <c r="BQ101" s="225"/>
      <c r="BR101" s="237">
        <f>SUM(BR72+BR87+BR99)</f>
        <v>1902465</v>
      </c>
    </row>
    <row r="102" spans="1:70" s="46" customFormat="1" ht="15.75" customHeight="1" thickTop="1" x14ac:dyDescent="0.35">
      <c r="B102" s="3"/>
      <c r="C102" s="3"/>
      <c r="D102" s="3"/>
      <c r="E102" s="1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225"/>
      <c r="BN102" s="225"/>
      <c r="BO102" s="225"/>
      <c r="BP102" s="225"/>
      <c r="BQ102" s="225"/>
      <c r="BR102" s="225"/>
    </row>
    <row r="103" spans="1:70" s="46" customFormat="1" ht="15.75" customHeight="1" x14ac:dyDescent="0.35">
      <c r="B103" s="3"/>
      <c r="C103" s="3"/>
      <c r="D103" s="3"/>
      <c r="E103" s="1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225"/>
      <c r="BN103" s="225"/>
      <c r="BO103" s="225"/>
      <c r="BP103" s="225"/>
      <c r="BQ103" s="225"/>
      <c r="BR103" s="225"/>
    </row>
    <row r="104" spans="1:70" s="46" customFormat="1" ht="15.75" customHeight="1" x14ac:dyDescent="0.35">
      <c r="A104" s="46" t="s">
        <v>142</v>
      </c>
      <c r="B104" s="17">
        <f>+SUM(B17:B25)+B28+B29+B32+B33+SUM(B35:B46)-SUM(B54:B55)-SUM(B60:B64)-SUM(B69:B71)-B74-B77-SUM(B82:B86)</f>
        <v>128594</v>
      </c>
      <c r="C104" s="3"/>
      <c r="D104" s="17">
        <f>+SUM(D17:D25)+D28+D29+D32+D33+SUM(D35:D46)-SUM(D54:D55)-SUM(D60:D64)-SUM(D69:D71)-D74-D77-SUM(D82:D86)</f>
        <v>133926</v>
      </c>
      <c r="E104" s="13"/>
      <c r="F104" s="17">
        <f>+SUM(F17:F25)+F28+F29+F32+F33+SUM(F35:F46)-SUM(F54:F55)-SUM(F60:F64)-SUM(F69:F71)-F74-F77-SUM(F82:F86)</f>
        <v>129721</v>
      </c>
      <c r="G104" s="3"/>
      <c r="H104" s="17">
        <f>+SUM(H17:H25)+H28+H29+H32+H33+SUM(H35:H46)-SUM(H54:H55)-SUM(H60:H64)-SUM(H69:H71)-H74-H77-SUM(H82:H86)</f>
        <v>130774</v>
      </c>
      <c r="I104" s="3"/>
      <c r="J104" s="17">
        <f>+SUM(J17:J25)+J28+J29+J32+J33+SUM(J35:J46)-SUM(J54:J55)-SUM(J60:J64)-SUM(J69:J71)-J74-J77-SUM(J82:J86)</f>
        <v>143826</v>
      </c>
      <c r="K104" s="3"/>
      <c r="L104" s="17">
        <f>+SUM(L17:L25)+L28+L29+L32+L33+SUM(L35:L46)-SUM(L54:L55)-SUM(L60:L64)-SUM(L69:L71)-L74-L77-SUM(L82:L86)</f>
        <v>144186</v>
      </c>
      <c r="M104" s="3"/>
      <c r="N104" s="17">
        <f>+SUM(N17:N25)+N28+N29+N32+N33+SUM(N35:N46)-SUM(N54:N55)-SUM(N60:N64)-SUM(N69:N71)-N74-N77-SUM(N82:N86)</f>
        <v>138877</v>
      </c>
      <c r="O104" s="3"/>
      <c r="P104" s="17">
        <f>+SUM(P17:P25)+P28+P29+P32+P33+SUM(P35:P46)-SUM(P54:P55)-SUM(P60:P64)-SUM(P69:P71)-P74-P77-SUM(P82:P86)</f>
        <v>136880</v>
      </c>
      <c r="Q104" s="3"/>
      <c r="R104" s="17">
        <f>+SUM(R17:R25)+R28+R29+R32+R33+SUM(R35:R46)-SUM(R54:R55)-SUM(R60:R64)-SUM(R69:R71)-R74-R77-SUM(R82:R86)</f>
        <v>130584</v>
      </c>
      <c r="S104" s="3"/>
      <c r="T104" s="17">
        <f>+SUM(T17:T25)+T28+T29+T32+T33+SUM(T35:T46)-SUM(T54:T55)-SUM(T60:T64)-SUM(T69:T71)-T74-T77-SUM(T82:T86)</f>
        <v>151456</v>
      </c>
      <c r="U104" s="3"/>
      <c r="V104" s="17">
        <f>+SUM(V17:V25)+V28+V29+V32+V33+SUM(V35:V46)-SUM(V54:V55)-SUM(V60:V64)-SUM(V69:V71)-V74-V77-SUM(V82:V86)</f>
        <v>130004</v>
      </c>
      <c r="W104" s="3"/>
      <c r="X104" s="17">
        <f>+SUM(X17:X25)+X28+X29+X32+X33+SUM(X35:X46)-SUM(X54:X55)-SUM(X60:X64)-SUM(X69:X71)-X74-X77-SUM(X82:X86)</f>
        <v>143756</v>
      </c>
      <c r="Y104" s="3"/>
      <c r="Z104" s="17">
        <f>+SUM(Z17:Z25)+Z28+Z29+Z32+Z33+SUM(Z35:Z46)-SUM(Z54:Z55)-SUM(Z60:Z64)-SUM(Z69:Z71)-Z74-Z77-SUM(Z82:Z86)</f>
        <v>175847</v>
      </c>
      <c r="AA104" s="3"/>
      <c r="AB104" s="17">
        <f>+SUM(AB17:AB25)+AB28+AB29+AB32+AB33+SUM(AB35:AB46)-SUM(AB54:AB55)-SUM(AB60:AB64)-SUM(AB69:AB71)-AB74-AB77-SUM(AB82:AB86)</f>
        <v>201235</v>
      </c>
      <c r="AC104" s="3"/>
      <c r="AD104" s="17">
        <f>+SUM(AD17:AD25)+AD28+AD29+AD32+AD33+SUM(AD35:AD46)-SUM(AD54:AD55)-SUM(AD60:AD64)-SUM(AD69:AD71)-AD74-AD77-SUM(AD82:AD86)</f>
        <v>210745</v>
      </c>
      <c r="AE104" s="3"/>
      <c r="AF104" s="17">
        <f>+SUM(AF17:AF25)+AF28+AF29+AF32+AF33+SUM(AF35:AF46)-SUM(AF54:AF55)-SUM(AF60:AF64)-SUM(AF69:AF71)-AF74-AF77-SUM(AF82:AF86)</f>
        <v>203938</v>
      </c>
      <c r="AG104" s="3"/>
      <c r="AH104" s="17">
        <f>+SUM(AH17:AH25)+AH28+AH29+AH32+AH33+SUM(AH35:AH46)-SUM(AH54:AH55)-SUM(AH60:AH64)-SUM(AH69:AH71)-AH74-AH77-SUM(AH82:AH86)</f>
        <v>215653</v>
      </c>
      <c r="AI104" s="3"/>
      <c r="AJ104" s="17">
        <f>+SUM(AJ17:AJ25)+AJ28+AJ29+AJ32+AJ33+SUM(AJ35:AJ46)-SUM(AJ54:AJ55)-SUM(AJ60:AJ64)-SUM(AJ69:AJ71)-AJ74-SUM(AJ77:AJ78)-SUM(AJ82:AJ86)</f>
        <v>237359.99998999998</v>
      </c>
      <c r="AK104" s="3"/>
      <c r="AL104" s="17">
        <f>+SUM(AL17:AL25)+AL28+AL29+AL32+AL33+SUM(AL35:AL46)-SUM(AL54:AL55)-SUM(AL60:AL64)-SUM(AL69:AL71)-AL74-SUM(AL77:AL78)-SUM(AL82:AL86)</f>
        <v>278825.61971</v>
      </c>
      <c r="AM104" s="3"/>
      <c r="AN104" s="17">
        <f>+SUM(AN17:AN25)+AN28+AN29+AN32+AN33+SUM(AN35:AN39)+SUM(AN41:AN46)-SUM(AN54:AN55)-SUM(AN60:AN64)-SUM(AN69:AN71)-AN74-SUM(AN77:AN78)-SUM(AN83:AN86)</f>
        <v>321030.99988999998</v>
      </c>
      <c r="AO104" s="3"/>
      <c r="AP104" s="17">
        <f>+SUM(AP17:AP25)+AP28+AP29+AP32+AP33+SUM(AP35:AP39)+SUM(AP41:AP46)-SUM(AP54:AP55)-SUM(AP59:AP64)-SUM(AP69:AP71)-AP74-SUM(AP77:AP78)-SUM(AP83:AP86)</f>
        <v>291266.18828</v>
      </c>
      <c r="AQ104" s="3"/>
      <c r="AR104" s="17">
        <f>+SUM(AR17:AR25)+AR28+AR29+AR32+AR33+SUM(AR35:AR39)+SUM(AR41:AR46)-SUM(AR54:AR55)-SUM(AR59:AR64)-SUM(AR69:AR71)-AR74-SUM(AR77:AR78)-SUM(AR83:AR86)</f>
        <v>340840</v>
      </c>
      <c r="AS104" s="3"/>
      <c r="AT104" s="17">
        <f>+SUM(AT17:AT25)+AT28+AT29+AT32+AT33+SUM(AT35:AT39)+SUM(AT41:AT46)-SUM(AT54:AT55)-SUM(AT59:AT64)-SUM(AT69:AT71)-AT74-SUM(AT77:AT78)-SUM(AT83:AT86)</f>
        <v>458947</v>
      </c>
      <c r="AU104" s="3"/>
      <c r="AV104" s="17">
        <f>+SUM(AV17:AV25)+AV28+AV29+AV32+AV33+SUM(AV35:AV39)+SUM(AV41:AV46)-SUM(AV54:AV55)-SUM(AV59:AV64)-SUM(AV69:AV71)-AV74-SUM(AV77:AV78)-SUM(AV83:AV86)</f>
        <v>435777</v>
      </c>
      <c r="AW104" s="3"/>
      <c r="AX104" s="17">
        <f>+SUM(AX17:AX25)+AX28+AX29+AX32+AX33+SUM(AX35:AX39)+SUM(AX41:AX46)-SUM(AX54:AX55)-SUM(AX59:AX64)-SUM(AX69:AX71)-AX74-SUM(AX77:AX78)-SUM(AX83:AX86)</f>
        <v>487223.99999000004</v>
      </c>
      <c r="AY104" s="3"/>
      <c r="AZ104" s="17">
        <f>+SUM(AZ17:AZ25)+AZ28+AZ29+AZ32+AZ33+SUM(AZ35:AZ39)+SUM(AZ41:AZ46)-SUM(AZ54:AZ55)-SUM(AZ59:AZ64)-SUM(AZ69:AZ71)-AZ74-SUM(AZ77:AZ78)-SUM(AZ83:AZ86)</f>
        <v>507446.68942000007</v>
      </c>
      <c r="BA104" s="3"/>
      <c r="BB104" s="17">
        <f>+SUM(BB17:BB25)+BB28+BB29+BB32+BB33+SUM(BB35:BB39)+SUM(BB41:BB46)-SUM(BB54:BB55)-SUM(BB59:BB64)-SUM(BB69:BB71)-BB74-SUM(BB77:BB78)-SUM(BB83:BB86)</f>
        <v>552280</v>
      </c>
      <c r="BC104" s="3"/>
      <c r="BD104" s="17">
        <f>+SUM(BD17:BD25)+BD28+BD29+BD32+BD33+SUM(BD35:BD39)+SUM(BD41:BD46)-SUM(BD54:BD55)-SUM(BD59:BD64)-SUM(BD69:BD71)-BD74-SUM(BD77:BD78)-SUM(BD83:BD86)</f>
        <v>744297</v>
      </c>
      <c r="BE104" s="3"/>
      <c r="BF104" s="17">
        <f>+SUM(BF17:BF25)+BF28+BF29+BF32+BF33+SUM(BF35:BF39)+SUM(BF41:BF46)-SUM(BF54:BF55)-SUM(BF59:BF64)-SUM(BF69:BF71)-BF74-SUM(BF77:BF78)-SUM(BF83:BF86)</f>
        <v>752963</v>
      </c>
      <c r="BG104" s="3"/>
      <c r="BH104" s="17">
        <f>+SUM(BH17:BH25)+BH28+BH29+BH32+BH33+SUM(BH35:BH39)+SUM(BH41:BH46)-SUM(BH54:BH55)-SUM(BH59:BH64)-SUM(BH69:BH71)-BH74-SUM(BH77:BH78)-SUM(BH83:BH86)</f>
        <v>801829</v>
      </c>
      <c r="BI104" s="3"/>
      <c r="BJ104" s="17">
        <f>+SUM(BJ17:BJ25)+BJ28+BJ29+BJ32+BJ33+SUM(BJ35:BJ39)+SUM(BJ41:BJ46)-SUM(BJ54:BJ55)-SUM(BJ59:BJ64)-SUM(BJ69:BJ71)-BJ74-SUM(BJ77:BJ78)-SUM(BJ83:BJ86)</f>
        <v>838171</v>
      </c>
      <c r="BK104" s="3"/>
      <c r="BL104" s="17">
        <f>+SUM(BL17:BL25)+BL28+BL29+BL32+BL33+SUM(BL35:BL39)+SUM(BL41:BL46)-SUM(BL54:BL55)-SUM(BL59:BL64)-SUM(BL69:BL71)-BL74-SUM(BL77:BL78)-SUM(BL83:BL86)</f>
        <v>837559</v>
      </c>
      <c r="BM104" s="225"/>
      <c r="BN104" s="228">
        <f t="shared" ref="BN104:BP104" si="0">+SUM(BN17:BN25)+BN28+BN29+BN32+BN33+SUM(BN35:BN39)+SUM(BN41:BN46)-SUM(BN54:BN55)-SUM(BN59:BN64)-SUM(BN69:BN71)-BN74-SUM(BN77:BN78)-SUM(BN83:BN86)</f>
        <v>1204307</v>
      </c>
      <c r="BO104" s="225"/>
      <c r="BP104" s="228">
        <f t="shared" si="0"/>
        <v>1249786</v>
      </c>
      <c r="BQ104" s="225"/>
      <c r="BR104" s="228">
        <f t="shared" ref="BR104" si="1">+SUM(BR17:BR25)+BR28+BR29+BR32+BR33+SUM(BR35:BR39)+SUM(BR41:BR46)-SUM(BR54:BR55)-SUM(BR59:BR64)-SUM(BR69:BR71)-BR74-SUM(BR77:BR78)-SUM(BR83:BR86)</f>
        <v>1302678</v>
      </c>
    </row>
    <row r="105" spans="1:70" s="46" customFormat="1" ht="15.75" customHeight="1" x14ac:dyDescent="0.35">
      <c r="A105" s="46" t="s">
        <v>143</v>
      </c>
      <c r="B105" s="17">
        <f>B17+B18</f>
        <v>67185</v>
      </c>
      <c r="C105" s="3"/>
      <c r="D105" s="17">
        <f>D17+D18</f>
        <v>76973</v>
      </c>
      <c r="E105" s="13"/>
      <c r="F105" s="17">
        <f>F17+F18</f>
        <v>70422</v>
      </c>
      <c r="G105" s="3"/>
      <c r="H105" s="17">
        <f>H17+H18</f>
        <v>66556</v>
      </c>
      <c r="I105" s="3"/>
      <c r="J105" s="17">
        <f>J17+J18</f>
        <v>69815</v>
      </c>
      <c r="K105" s="3"/>
      <c r="L105" s="17">
        <f>L17+L18</f>
        <v>71528</v>
      </c>
      <c r="M105" s="3"/>
      <c r="N105" s="17">
        <f>N17+N18</f>
        <v>65509</v>
      </c>
      <c r="O105" s="3"/>
      <c r="P105" s="17">
        <f>P17+P18</f>
        <v>59853</v>
      </c>
      <c r="Q105" s="3"/>
      <c r="R105" s="17">
        <f>R17+R18</f>
        <v>52607</v>
      </c>
      <c r="S105" s="3"/>
      <c r="T105" s="17">
        <f>T17+T18</f>
        <v>69492</v>
      </c>
      <c r="U105" s="3"/>
      <c r="V105" s="17">
        <f>V17+V18</f>
        <v>51624</v>
      </c>
      <c r="W105" s="3"/>
      <c r="X105" s="17">
        <f>X17+X18</f>
        <v>54726</v>
      </c>
      <c r="Y105" s="3"/>
      <c r="Z105" s="17">
        <f>Z17+Z18</f>
        <v>63078</v>
      </c>
      <c r="AA105" s="3"/>
      <c r="AB105" s="17">
        <f>AB17+AB18</f>
        <v>79141</v>
      </c>
      <c r="AC105" s="3"/>
      <c r="AD105" s="17">
        <f>AD17+AD18</f>
        <v>103303</v>
      </c>
      <c r="AE105" s="3"/>
      <c r="AF105" s="17">
        <f>AF17+AF18</f>
        <v>105848</v>
      </c>
      <c r="AG105" s="3"/>
      <c r="AH105" s="17">
        <f>AH17+AH18</f>
        <v>108811</v>
      </c>
      <c r="AI105" s="3"/>
      <c r="AJ105" s="17">
        <f>AJ17+AJ18</f>
        <v>122120</v>
      </c>
      <c r="AK105" s="3"/>
      <c r="AL105" s="17">
        <f>AL17+AL18</f>
        <v>159082</v>
      </c>
      <c r="AM105" s="3"/>
      <c r="AN105" s="17">
        <f>AN17+AN18</f>
        <v>205139</v>
      </c>
      <c r="AO105" s="3"/>
      <c r="AP105" s="17">
        <f>AP17+AP18</f>
        <v>205273</v>
      </c>
      <c r="AQ105" s="3"/>
      <c r="AR105" s="17">
        <f>AR17+AR18</f>
        <v>226922</v>
      </c>
      <c r="AS105" s="3"/>
      <c r="AT105" s="17">
        <f>AT17+AT18</f>
        <v>271795</v>
      </c>
      <c r="AU105" s="3"/>
      <c r="AV105" s="17">
        <f>AV17+AV18</f>
        <v>232718</v>
      </c>
      <c r="AW105" s="3"/>
      <c r="AX105" s="17">
        <f>AX17+AX18</f>
        <v>276728</v>
      </c>
      <c r="AY105" s="3"/>
      <c r="AZ105" s="17">
        <f>AZ17+AZ18</f>
        <v>239246</v>
      </c>
      <c r="BA105" s="3"/>
      <c r="BB105" s="17">
        <f>BB17+BB18</f>
        <v>223530</v>
      </c>
      <c r="BC105" s="3"/>
      <c r="BD105" s="17">
        <f>BD17+BD18</f>
        <v>356208</v>
      </c>
      <c r="BE105" s="3"/>
      <c r="BF105" s="17">
        <f>BF17+BF18</f>
        <v>319533</v>
      </c>
      <c r="BG105" s="3"/>
      <c r="BH105" s="17">
        <f>BH17+BH18</f>
        <v>380240</v>
      </c>
      <c r="BI105" s="3"/>
      <c r="BJ105" s="17">
        <f>BJ17+BJ18</f>
        <v>375667</v>
      </c>
      <c r="BK105" s="3"/>
      <c r="BL105" s="17">
        <f>BL17+BL18</f>
        <v>387825</v>
      </c>
      <c r="BM105" s="225"/>
      <c r="BN105" s="228">
        <f t="shared" ref="BN105:BP105" si="2">BN17+BN18</f>
        <v>429397</v>
      </c>
      <c r="BO105" s="225"/>
      <c r="BP105" s="228">
        <f t="shared" si="2"/>
        <v>439802</v>
      </c>
      <c r="BQ105" s="225"/>
      <c r="BR105" s="228">
        <f t="shared" ref="BR105" si="3">BR17+BR18</f>
        <v>464579</v>
      </c>
    </row>
    <row r="106" spans="1:70" s="46" customFormat="1" ht="15.75" customHeight="1" x14ac:dyDescent="0.35">
      <c r="A106" s="46" t="s">
        <v>144</v>
      </c>
      <c r="B106" s="17">
        <f>B54+B55+B61</f>
        <v>31142</v>
      </c>
      <c r="C106" s="3"/>
      <c r="D106" s="17">
        <f>D54+D55+D61</f>
        <v>38119</v>
      </c>
      <c r="E106" s="13"/>
      <c r="F106" s="17">
        <f>F54+F55+F61</f>
        <v>46227</v>
      </c>
      <c r="G106" s="3"/>
      <c r="H106" s="17">
        <f>H54+H55+H61</f>
        <v>44802</v>
      </c>
      <c r="I106" s="3"/>
      <c r="J106" s="17">
        <f>J54+J55+J61</f>
        <v>41631</v>
      </c>
      <c r="K106" s="3"/>
      <c r="L106" s="17">
        <f>L54+L55+L61</f>
        <v>46741</v>
      </c>
      <c r="M106" s="3"/>
      <c r="N106" s="17">
        <f>N54+N55+N56+N61</f>
        <v>50595</v>
      </c>
      <c r="O106" s="3"/>
      <c r="P106" s="17">
        <f>P54+P55+P61+P74</f>
        <v>47719</v>
      </c>
      <c r="Q106" s="3"/>
      <c r="R106" s="17">
        <f>R54+R55+R61+R74</f>
        <v>34872</v>
      </c>
      <c r="S106" s="3"/>
      <c r="T106" s="17">
        <f>T54+T55+T61+T74</f>
        <v>30346</v>
      </c>
      <c r="U106" s="3"/>
      <c r="V106" s="17">
        <f>V54+V55+V61+V74</f>
        <v>28433</v>
      </c>
      <c r="W106" s="3"/>
      <c r="X106" s="17">
        <f>X54+X55+X61+X74</f>
        <v>28929</v>
      </c>
      <c r="Y106" s="3"/>
      <c r="Z106" s="17">
        <f>Z54+Z55+Z61+Z74</f>
        <v>29256</v>
      </c>
      <c r="AA106" s="3"/>
      <c r="AB106" s="17">
        <f>AB54+AB55+AB61+AB74</f>
        <v>35301</v>
      </c>
      <c r="AC106" s="3"/>
      <c r="AD106" s="17">
        <f>AD54+AD55+AD61+AD74</f>
        <v>45760</v>
      </c>
      <c r="AE106" s="3"/>
      <c r="AF106" s="17">
        <f>AF54+AF55+AF61+AF74</f>
        <v>54865</v>
      </c>
      <c r="AG106" s="3"/>
      <c r="AH106" s="17">
        <f>AH54+AH55+AH61+AH74</f>
        <v>50232</v>
      </c>
      <c r="AI106" s="3"/>
      <c r="AJ106" s="17">
        <f>AJ54+AJ55+AJ61+AJ74</f>
        <v>59027.000010000003</v>
      </c>
      <c r="AK106" s="3"/>
      <c r="AL106" s="17">
        <f>AL54+AL55+AL61+AL74</f>
        <v>82013.999949999998</v>
      </c>
      <c r="AM106" s="3"/>
      <c r="AN106" s="17">
        <f>AN54+AN55+AN61+AN74</f>
        <v>100867.00004</v>
      </c>
      <c r="AO106" s="3"/>
      <c r="AP106" s="17">
        <f>AP54+AP55+AP61+AP74+AP59</f>
        <v>110190.00005999999</v>
      </c>
      <c r="AQ106" s="3"/>
      <c r="AR106" s="17">
        <f>AR54+AR55+AR61+AR74+AR59</f>
        <v>113370</v>
      </c>
      <c r="AS106" s="3"/>
      <c r="AT106" s="17">
        <f>AT54+AT55+AT61+AT74+AT59</f>
        <v>116608</v>
      </c>
      <c r="AU106" s="3"/>
      <c r="AV106" s="17">
        <f>AV54+AV55+AV61+AV74+AV59</f>
        <v>126533</v>
      </c>
      <c r="AW106" s="3"/>
      <c r="AX106" s="17">
        <f>AX54+AX55+AX61+AX74+AX59</f>
        <v>117247</v>
      </c>
      <c r="AY106" s="3"/>
      <c r="AZ106" s="17">
        <f>AZ54+AZ55+AZ61+AZ74+AZ59</f>
        <v>96268</v>
      </c>
      <c r="BA106" s="3"/>
      <c r="BB106" s="17">
        <f>BB54+BB55+BB61+BB74+BB59</f>
        <v>99006</v>
      </c>
      <c r="BC106" s="3"/>
      <c r="BD106" s="17">
        <f>BD54+BD55+BD61+BD74+BD59</f>
        <v>179263</v>
      </c>
      <c r="BE106" s="3"/>
      <c r="BF106" s="17">
        <f>BF54+BF55+BF61+BF74+BF59</f>
        <v>145503</v>
      </c>
      <c r="BG106" s="3"/>
      <c r="BH106" s="17">
        <f>BH54+BH55+BH61+BH74+BH59</f>
        <v>149274</v>
      </c>
      <c r="BI106" s="3"/>
      <c r="BJ106" s="17">
        <f>BJ54+BJ55+BJ61+BJ74+BJ59</f>
        <v>148781</v>
      </c>
      <c r="BK106" s="3"/>
      <c r="BL106" s="17">
        <f>BL54+BL55+BL61+BL74+BL59</f>
        <v>151786</v>
      </c>
      <c r="BM106" s="225"/>
      <c r="BN106" s="228">
        <f t="shared" ref="BN106:BP106" si="4">BN54+BN55+BN61+BN74+BN59</f>
        <v>183199</v>
      </c>
      <c r="BO106" s="225"/>
      <c r="BP106" s="228">
        <f t="shared" si="4"/>
        <v>174426</v>
      </c>
      <c r="BQ106" s="225"/>
      <c r="BR106" s="228">
        <f t="shared" ref="BR106" si="5">BR54+BR55+BR61+BR74+BR59</f>
        <v>187014</v>
      </c>
    </row>
    <row r="107" spans="1:70" s="46" customFormat="1" ht="15.75" customHeight="1" x14ac:dyDescent="0.35">
      <c r="A107" s="46" t="s">
        <v>145</v>
      </c>
      <c r="B107" s="17">
        <f>B105-B106</f>
        <v>36043</v>
      </c>
      <c r="C107" s="3"/>
      <c r="D107" s="17">
        <f>D105-D106</f>
        <v>38854</v>
      </c>
      <c r="E107" s="13"/>
      <c r="F107" s="17">
        <f>F105-F106</f>
        <v>24195</v>
      </c>
      <c r="G107" s="3"/>
      <c r="H107" s="17">
        <f>H105-H106</f>
        <v>21754</v>
      </c>
      <c r="I107" s="3"/>
      <c r="J107" s="17">
        <f>J105-J106</f>
        <v>28184</v>
      </c>
      <c r="K107" s="3"/>
      <c r="L107" s="17">
        <f>L105-L106</f>
        <v>24787</v>
      </c>
      <c r="M107" s="3"/>
      <c r="N107" s="17">
        <f>N105-N106</f>
        <v>14914</v>
      </c>
      <c r="O107" s="3"/>
      <c r="P107" s="17">
        <f>P105-P106</f>
        <v>12134</v>
      </c>
      <c r="Q107" s="3"/>
      <c r="R107" s="17">
        <f>R105-R106</f>
        <v>17735</v>
      </c>
      <c r="S107" s="3"/>
      <c r="T107" s="17">
        <f>T105-T106</f>
        <v>39146</v>
      </c>
      <c r="U107" s="3"/>
      <c r="V107" s="17">
        <f>V105-V106</f>
        <v>23191</v>
      </c>
      <c r="W107" s="3"/>
      <c r="X107" s="17">
        <f>X105-X106</f>
        <v>25797</v>
      </c>
      <c r="Y107" s="3"/>
      <c r="Z107" s="17">
        <f>Z105-Z106</f>
        <v>33822</v>
      </c>
      <c r="AA107" s="3"/>
      <c r="AB107" s="17">
        <f>AB105-AB106</f>
        <v>43840</v>
      </c>
      <c r="AC107" s="3"/>
      <c r="AD107" s="17">
        <f>AD105-AD106</f>
        <v>57543</v>
      </c>
      <c r="AE107" s="3"/>
      <c r="AF107" s="17">
        <f>AF105-AF106</f>
        <v>50983</v>
      </c>
      <c r="AG107" s="3"/>
      <c r="AH107" s="17">
        <f>AH105-AH106</f>
        <v>58579</v>
      </c>
      <c r="AI107" s="3"/>
      <c r="AJ107" s="17">
        <f>AJ105-AJ106</f>
        <v>63092.999989999997</v>
      </c>
      <c r="AK107" s="3"/>
      <c r="AL107" s="17">
        <f>AL105-AL106</f>
        <v>77068.000050000002</v>
      </c>
      <c r="AM107" s="3"/>
      <c r="AN107" s="17">
        <f>AN105-AN106</f>
        <v>104271.99996</v>
      </c>
      <c r="AO107" s="3"/>
      <c r="AP107" s="17">
        <f>AP105-AP106</f>
        <v>95082.999940000009</v>
      </c>
      <c r="AQ107" s="3"/>
      <c r="AR107" s="17">
        <f>AR105-AR106</f>
        <v>113552</v>
      </c>
      <c r="AS107" s="3"/>
      <c r="AT107" s="17">
        <f>AT105-AT106</f>
        <v>155187</v>
      </c>
      <c r="AU107" s="3"/>
      <c r="AV107" s="17">
        <f>AV105-AV106</f>
        <v>106185</v>
      </c>
      <c r="AW107" s="3"/>
      <c r="AX107" s="17">
        <f>AX105-AX106</f>
        <v>159481</v>
      </c>
      <c r="AY107" s="3"/>
      <c r="AZ107" s="17">
        <f>AZ105-AZ106</f>
        <v>142978</v>
      </c>
      <c r="BA107" s="3"/>
      <c r="BB107" s="17">
        <f>BB105-BB106</f>
        <v>124524</v>
      </c>
      <c r="BC107" s="3"/>
      <c r="BD107" s="17">
        <f>BD105-BD106</f>
        <v>176945</v>
      </c>
      <c r="BE107" s="3"/>
      <c r="BF107" s="17">
        <f>BF105-BF106</f>
        <v>174030</v>
      </c>
      <c r="BG107" s="3"/>
      <c r="BH107" s="17">
        <f>BH105-BH106</f>
        <v>230966</v>
      </c>
      <c r="BI107" s="3"/>
      <c r="BJ107" s="17">
        <f>BJ105-BJ106</f>
        <v>226886</v>
      </c>
      <c r="BK107" s="3"/>
      <c r="BL107" s="17">
        <f>BL105-BL106</f>
        <v>236039</v>
      </c>
      <c r="BM107" s="225"/>
      <c r="BN107" s="228">
        <f t="shared" ref="BN107:BP107" si="6">BN105-BN106</f>
        <v>246198</v>
      </c>
      <c r="BO107" s="225"/>
      <c r="BP107" s="228">
        <f t="shared" si="6"/>
        <v>265376</v>
      </c>
      <c r="BQ107" s="225"/>
      <c r="BR107" s="228">
        <f t="shared" ref="BR107" si="7">BR105-BR106</f>
        <v>277565</v>
      </c>
    </row>
    <row r="108" spans="1:70" s="46" customFormat="1" ht="15.75" customHeight="1" x14ac:dyDescent="0.35">
      <c r="B108" s="3"/>
      <c r="C108" s="3"/>
      <c r="D108" s="3"/>
      <c r="E108" s="1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225"/>
      <c r="BN108" s="225"/>
      <c r="BO108" s="225"/>
      <c r="BP108" s="225"/>
      <c r="BQ108" s="225"/>
      <c r="BR108" s="225"/>
    </row>
    <row r="109" spans="1:70" ht="15.75" customHeight="1" x14ac:dyDescent="0.35">
      <c r="A109" s="151" t="s">
        <v>146</v>
      </c>
      <c r="B109" s="144"/>
      <c r="C109" s="144"/>
      <c r="D109" s="144"/>
      <c r="E109" s="144"/>
      <c r="F109" s="144"/>
      <c r="G109" s="144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3"/>
      <c r="Z109" s="144"/>
      <c r="AA109" s="144"/>
      <c r="AB109" s="144"/>
      <c r="AC109" s="144"/>
      <c r="AD109" s="144"/>
      <c r="AE109" s="144"/>
      <c r="AF109" s="144"/>
      <c r="AG109" s="144"/>
      <c r="AH109" s="144"/>
      <c r="AI109" s="144"/>
      <c r="AJ109" s="144"/>
      <c r="AK109" s="144"/>
      <c r="AL109" s="144"/>
      <c r="AM109" s="144"/>
      <c r="AN109" s="144"/>
      <c r="AO109" s="144"/>
      <c r="AP109" s="144"/>
      <c r="AQ109" s="144"/>
      <c r="AR109" s="144"/>
      <c r="AS109" s="144"/>
      <c r="AT109" s="144"/>
      <c r="AU109" s="144"/>
      <c r="AV109" s="144"/>
      <c r="AW109" s="144"/>
      <c r="AX109" s="144"/>
      <c r="AY109" s="144"/>
      <c r="AZ109" s="144"/>
      <c r="BA109" s="144"/>
      <c r="BB109" s="144"/>
      <c r="BC109" s="144"/>
      <c r="BD109" s="144"/>
      <c r="BE109" s="144"/>
      <c r="BF109" s="144"/>
      <c r="BG109" s="144"/>
      <c r="BH109" s="144"/>
      <c r="BI109" s="144"/>
      <c r="BJ109" s="144"/>
      <c r="BK109" s="144"/>
      <c r="BL109" s="144"/>
      <c r="BM109" s="238"/>
      <c r="BN109" s="238"/>
      <c r="BO109" s="238"/>
      <c r="BP109" s="238"/>
      <c r="BQ109" s="238"/>
      <c r="BR109" s="238"/>
    </row>
    <row r="110" spans="1:70" ht="15.75" customHeight="1" x14ac:dyDescent="0.35">
      <c r="A110" s="62" t="s">
        <v>147</v>
      </c>
      <c r="B110" s="17"/>
      <c r="C110" s="145"/>
      <c r="D110" s="145">
        <f>B117</f>
        <v>74176</v>
      </c>
      <c r="E110" s="145"/>
      <c r="F110" s="145">
        <f>D117</f>
        <v>75253</v>
      </c>
      <c r="G110" s="3"/>
      <c r="H110" s="145">
        <f>F117</f>
        <v>75221</v>
      </c>
      <c r="I110" s="3"/>
      <c r="J110" s="145">
        <f>H117</f>
        <v>73498</v>
      </c>
      <c r="K110" s="3"/>
      <c r="L110" s="145">
        <f>J117</f>
        <v>74344</v>
      </c>
      <c r="M110" s="3"/>
      <c r="N110" s="145">
        <f>L117</f>
        <v>84667</v>
      </c>
      <c r="O110" s="3"/>
      <c r="P110" s="145">
        <f>N117</f>
        <v>85821</v>
      </c>
      <c r="Q110" s="3"/>
      <c r="R110" s="145">
        <f>P117</f>
        <v>85447</v>
      </c>
      <c r="S110" s="144"/>
      <c r="T110" s="145">
        <f>R117</f>
        <v>81580</v>
      </c>
      <c r="U110" s="144"/>
      <c r="V110" s="145">
        <f>T117</f>
        <v>78365</v>
      </c>
      <c r="W110" s="144"/>
      <c r="X110" s="145">
        <f>V117</f>
        <v>75723</v>
      </c>
      <c r="Y110" s="3"/>
      <c r="Z110" s="145">
        <f>X117</f>
        <v>75984</v>
      </c>
      <c r="AA110" s="144"/>
      <c r="AB110" s="146">
        <f>Z117</f>
        <v>85373</v>
      </c>
      <c r="AC110" s="144"/>
      <c r="AD110" s="146">
        <f>AB117</f>
        <v>101481</v>
      </c>
      <c r="AE110" s="144"/>
      <c r="AF110" s="146">
        <f>AD117</f>
        <v>100857</v>
      </c>
      <c r="AG110" s="144"/>
      <c r="AH110" s="146">
        <f>AF117</f>
        <v>105918</v>
      </c>
      <c r="AI110" s="144"/>
      <c r="AJ110" s="146">
        <f>AH117</f>
        <v>107649</v>
      </c>
      <c r="AK110" s="144"/>
      <c r="AL110" s="146">
        <f>AJ117</f>
        <v>143116</v>
      </c>
      <c r="AM110" s="144"/>
      <c r="AN110" s="146">
        <f>AL117</f>
        <v>161677</v>
      </c>
      <c r="AO110" s="144"/>
      <c r="AP110" s="146">
        <f>AN117</f>
        <v>184785</v>
      </c>
      <c r="AQ110" s="144"/>
      <c r="AR110" s="146">
        <f>AP117</f>
        <v>205785</v>
      </c>
      <c r="AS110" s="144"/>
      <c r="AT110" s="146">
        <f>AR117</f>
        <v>246722</v>
      </c>
      <c r="AU110" s="144"/>
      <c r="AV110" s="146">
        <f>AT117</f>
        <v>267728</v>
      </c>
      <c r="AW110" s="144"/>
      <c r="AX110" s="146">
        <f>AV117</f>
        <v>289246</v>
      </c>
      <c r="AY110" s="144"/>
      <c r="AZ110" s="146">
        <f>AX117</f>
        <v>315241</v>
      </c>
      <c r="BA110" s="144"/>
      <c r="BB110" s="146">
        <f>AZ117</f>
        <v>324184</v>
      </c>
      <c r="BC110" s="144"/>
      <c r="BD110" s="146">
        <f>BB117</f>
        <v>360280</v>
      </c>
      <c r="BE110" s="144"/>
      <c r="BF110" s="146">
        <f>BD117</f>
        <v>492387</v>
      </c>
      <c r="BG110" s="144"/>
      <c r="BH110" s="146">
        <f>BF117</f>
        <v>547253</v>
      </c>
      <c r="BI110" s="144"/>
      <c r="BJ110" s="146">
        <f>BH117</f>
        <v>521720</v>
      </c>
      <c r="BK110" s="144"/>
      <c r="BL110" s="146">
        <f>BJ117</f>
        <v>516298</v>
      </c>
      <c r="BM110" s="238"/>
      <c r="BN110" s="239">
        <f t="shared" ref="BN110:BR110" si="8">BL117</f>
        <v>510957</v>
      </c>
      <c r="BO110" s="238"/>
      <c r="BP110" s="239">
        <f t="shared" si="8"/>
        <v>934262</v>
      </c>
      <c r="BQ110" s="238"/>
      <c r="BR110" s="239">
        <f t="shared" si="8"/>
        <v>934652</v>
      </c>
    </row>
    <row r="111" spans="1:70" ht="15.75" customHeight="1" x14ac:dyDescent="0.35">
      <c r="A111" s="62" t="s">
        <v>148</v>
      </c>
      <c r="B111" s="17"/>
      <c r="C111" s="145"/>
      <c r="D111" s="17">
        <f>D117-D110-D116</f>
        <v>5168</v>
      </c>
      <c r="E111" s="3"/>
      <c r="F111" s="17">
        <f>F117-F110-F116</f>
        <v>4064</v>
      </c>
      <c r="G111" s="3"/>
      <c r="H111" s="17">
        <f>H117-H110-H116</f>
        <v>2329.661689999999</v>
      </c>
      <c r="I111" s="3"/>
      <c r="J111" s="17">
        <f>J117-J110-J116</f>
        <v>3287.338310000001</v>
      </c>
      <c r="K111" s="3"/>
      <c r="L111" s="17">
        <f>L117-L110-L116-L114</f>
        <v>6374.2901700000002</v>
      </c>
      <c r="M111" s="3"/>
      <c r="N111" s="17">
        <f>N117-N110-N116-N114</f>
        <v>5435</v>
      </c>
      <c r="O111" s="3"/>
      <c r="P111" s="17">
        <f>P117-P110-P116-P114-P115</f>
        <v>4875.4485859999986</v>
      </c>
      <c r="Q111" s="3"/>
      <c r="R111" s="17">
        <f>R117-R110-R116-R114-R115</f>
        <v>821.26124400000117</v>
      </c>
      <c r="S111" s="144"/>
      <c r="T111" s="17">
        <f>T117-T110-T116-T114-T115</f>
        <v>1904</v>
      </c>
      <c r="U111" s="144"/>
      <c r="V111" s="17">
        <f>V117-V110-V116-V114-V115-V112</f>
        <v>729</v>
      </c>
      <c r="W111" s="144"/>
      <c r="X111" s="17">
        <f>X117-X110-X116-X114-X115-X112</f>
        <v>5915</v>
      </c>
      <c r="Y111" s="3"/>
      <c r="Z111" s="17">
        <f>Z117-Z110-Z116-Z114-Z115-Z112</f>
        <v>8056</v>
      </c>
      <c r="AA111" s="144"/>
      <c r="AB111" s="146">
        <f>AB117-AB110-AB116-AB114-AB115-AB112</f>
        <v>21032</v>
      </c>
      <c r="AC111" s="146"/>
      <c r="AD111" s="146">
        <f>AD117-AD110-AD116-AD114-AD115-AD112</f>
        <v>4818.1019999999999</v>
      </c>
      <c r="AE111" s="144"/>
      <c r="AF111" s="146">
        <f>AF117-AF110-AF116-AF114-AF115-AF112</f>
        <v>10711.557219999999</v>
      </c>
      <c r="AG111" s="144"/>
      <c r="AH111" s="146">
        <f>AH117-AH110-AH116-AH114-AH113-AH115-AH112</f>
        <v>8004.5983300000007</v>
      </c>
      <c r="AI111" s="144"/>
      <c r="AJ111" s="146">
        <f>AJ117-AJ110-AJ116-AJ114-AJ113-AJ115-AJ112</f>
        <v>10134.354729999999</v>
      </c>
      <c r="AK111" s="144"/>
      <c r="AL111" s="146">
        <f>AL117-AL110-AL116-AL114-AL113-AL115-AL112</f>
        <v>15101</v>
      </c>
      <c r="AM111" s="144"/>
      <c r="AN111" s="146">
        <f>AN117-AN110-AN116-AN114-AN113-AN115-AN112</f>
        <v>29575</v>
      </c>
      <c r="AO111" s="144"/>
      <c r="AP111" s="146">
        <f>AP117-AP110-AP116-AP114-AP113-AP115-AP112</f>
        <v>25491.526989999998</v>
      </c>
      <c r="AQ111" s="144"/>
      <c r="AR111" s="146">
        <f>AR117-AR110-AR116-AR114-AR113-AR115-AR112</f>
        <v>23951.836929999998</v>
      </c>
      <c r="AS111" s="144"/>
      <c r="AT111" s="146">
        <f>AT117-AT110-AT116-AT114-AT113-AT115-AT112</f>
        <v>24666.09883000001</v>
      </c>
      <c r="AU111" s="144"/>
      <c r="AV111" s="146">
        <f>AV117-AV110-AV116-AV114-AV113-AV115-AV112</f>
        <v>25514</v>
      </c>
      <c r="AW111" s="144"/>
      <c r="AX111" s="146">
        <f>AX117-AX110-AX116-AX114-AX113-AX115-AX112</f>
        <v>27085</v>
      </c>
      <c r="AY111" s="144"/>
      <c r="AZ111" s="146">
        <v>19612</v>
      </c>
      <c r="BA111" s="144"/>
      <c r="BB111" s="146">
        <v>14244</v>
      </c>
      <c r="BC111" s="144"/>
      <c r="BD111" s="146">
        <v>19474</v>
      </c>
      <c r="BE111" s="144"/>
      <c r="BF111" s="146">
        <v>18456.332511764704</v>
      </c>
      <c r="BG111" s="144"/>
      <c r="BH111" s="146">
        <v>6089</v>
      </c>
      <c r="BI111" s="144"/>
      <c r="BJ111" s="146">
        <v>9337</v>
      </c>
      <c r="BK111" s="144"/>
      <c r="BL111" s="146">
        <v>12935</v>
      </c>
      <c r="BM111" s="238"/>
      <c r="BN111" s="239">
        <v>21472.203289523139</v>
      </c>
      <c r="BO111" s="238"/>
      <c r="BP111" s="239">
        <v>40257</v>
      </c>
      <c r="BQ111" s="238"/>
      <c r="BR111" s="239">
        <v>20311</v>
      </c>
    </row>
    <row r="112" spans="1:70" ht="15.75" customHeight="1" x14ac:dyDescent="0.35">
      <c r="A112" s="66" t="s">
        <v>149</v>
      </c>
      <c r="B112" s="17"/>
      <c r="C112" s="145"/>
      <c r="D112" s="17"/>
      <c r="E112" s="3"/>
      <c r="F112" s="17"/>
      <c r="G112" s="3"/>
      <c r="H112" s="17"/>
      <c r="I112" s="3"/>
      <c r="J112" s="17"/>
      <c r="K112" s="3"/>
      <c r="L112" s="17"/>
      <c r="M112" s="3"/>
      <c r="N112" s="17"/>
      <c r="O112" s="3"/>
      <c r="P112" s="17"/>
      <c r="Q112" s="3"/>
      <c r="R112" s="17"/>
      <c r="S112" s="144"/>
      <c r="T112" s="17"/>
      <c r="U112" s="144"/>
      <c r="V112" s="17">
        <f>364+658+867</f>
        <v>1889</v>
      </c>
      <c r="W112" s="144"/>
      <c r="X112" s="17">
        <f>-290+79</f>
        <v>-211</v>
      </c>
      <c r="Y112" s="3"/>
      <c r="Z112" s="17">
        <f>441+148+6+5256-79</f>
        <v>5772</v>
      </c>
      <c r="AA112" s="144"/>
      <c r="AB112" s="17">
        <v>0</v>
      </c>
      <c r="AC112" s="144"/>
      <c r="AD112" s="17">
        <v>0</v>
      </c>
      <c r="AE112" s="144"/>
      <c r="AF112" s="17">
        <v>0</v>
      </c>
      <c r="AG112" s="144"/>
      <c r="AH112" s="17">
        <v>0</v>
      </c>
      <c r="AI112" s="144"/>
      <c r="AJ112" s="146">
        <f>1525+17817</f>
        <v>19342</v>
      </c>
      <c r="AK112" s="144"/>
      <c r="AL112" s="17">
        <f>5657+21206-AJ112</f>
        <v>7521</v>
      </c>
      <c r="AM112" s="144"/>
      <c r="AN112" s="17">
        <v>0</v>
      </c>
      <c r="AO112" s="144"/>
      <c r="AP112" s="17">
        <f>23346+3128+2545-AN112-AL112-AJ112</f>
        <v>2156</v>
      </c>
      <c r="AQ112" s="144"/>
      <c r="AR112" s="17">
        <v>25566</v>
      </c>
      <c r="AS112" s="144"/>
      <c r="AT112" s="17">
        <v>3423</v>
      </c>
      <c r="AU112" s="144"/>
      <c r="AV112" s="17">
        <f>2494+30181+168-AR112-AT112</f>
        <v>3854</v>
      </c>
      <c r="AW112" s="144"/>
      <c r="AX112" s="17">
        <f>4049+33959+168-AR112-AT112-AV112</f>
        <v>5333</v>
      </c>
      <c r="AY112" s="144"/>
      <c r="AZ112" s="17">
        <v>1075</v>
      </c>
      <c r="BA112" s="144"/>
      <c r="BB112" s="17">
        <v>32995</v>
      </c>
      <c r="BC112" s="144"/>
      <c r="BD112" s="17">
        <v>120633</v>
      </c>
      <c r="BE112" s="144"/>
      <c r="BF112" s="17">
        <f>(175377+14386+14438)-BB112-AZ112-BD112</f>
        <v>49498</v>
      </c>
      <c r="BG112" s="144"/>
      <c r="BH112" s="17">
        <v>-14438</v>
      </c>
      <c r="BI112" s="144"/>
      <c r="BJ112" s="17">
        <v>0</v>
      </c>
      <c r="BK112" s="144"/>
      <c r="BL112" s="17">
        <v>-565</v>
      </c>
      <c r="BM112" s="238"/>
      <c r="BN112" s="228">
        <v>430644</v>
      </c>
      <c r="BO112" s="238"/>
      <c r="BP112" s="228">
        <v>-3356</v>
      </c>
      <c r="BQ112" s="238"/>
      <c r="BR112" s="228">
        <v>-1170</v>
      </c>
    </row>
    <row r="113" spans="1:70" ht="15.75" customHeight="1" x14ac:dyDescent="0.35">
      <c r="A113" s="62" t="s">
        <v>150</v>
      </c>
      <c r="B113" s="17"/>
      <c r="C113" s="145"/>
      <c r="D113" s="17"/>
      <c r="E113" s="3"/>
      <c r="F113" s="17"/>
      <c r="G113" s="3"/>
      <c r="H113" s="17"/>
      <c r="I113" s="3"/>
      <c r="J113" s="17"/>
      <c r="K113" s="3"/>
      <c r="L113" s="17"/>
      <c r="M113" s="3"/>
      <c r="N113" s="17"/>
      <c r="O113" s="3"/>
      <c r="P113" s="17"/>
      <c r="Q113" s="3"/>
      <c r="R113" s="17"/>
      <c r="S113" s="144"/>
      <c r="T113" s="17"/>
      <c r="U113" s="144"/>
      <c r="V113" s="17"/>
      <c r="W113" s="144"/>
      <c r="X113" s="17"/>
      <c r="Y113" s="3"/>
      <c r="Z113" s="17"/>
      <c r="AA113" s="144"/>
      <c r="AB113" s="17"/>
      <c r="AC113" s="144"/>
      <c r="AD113" s="17"/>
      <c r="AE113" s="144"/>
      <c r="AF113" s="17"/>
      <c r="AG113" s="144"/>
      <c r="AH113" s="17">
        <f>-1486-559</f>
        <v>-2045</v>
      </c>
      <c r="AI113" s="144"/>
      <c r="AJ113" s="17">
        <v>0</v>
      </c>
      <c r="AK113" s="144"/>
      <c r="AL113" s="17">
        <v>0</v>
      </c>
      <c r="AM113" s="144"/>
      <c r="AN113" s="17">
        <v>0</v>
      </c>
      <c r="AO113" s="144"/>
      <c r="AP113" s="17">
        <v>0</v>
      </c>
      <c r="AQ113" s="144"/>
      <c r="AR113" s="17">
        <v>0</v>
      </c>
      <c r="AS113" s="144"/>
      <c r="AT113" s="17">
        <v>0</v>
      </c>
      <c r="AU113" s="144"/>
      <c r="AV113" s="17">
        <v>0</v>
      </c>
      <c r="AW113" s="144"/>
      <c r="AX113" s="17">
        <v>0</v>
      </c>
      <c r="AY113" s="144"/>
      <c r="AZ113" s="17">
        <v>0</v>
      </c>
      <c r="BA113" s="144"/>
      <c r="BB113" s="17">
        <v>0</v>
      </c>
      <c r="BC113" s="144"/>
      <c r="BD113" s="17">
        <v>0</v>
      </c>
      <c r="BE113" s="144"/>
      <c r="BF113" s="17">
        <v>0</v>
      </c>
      <c r="BG113" s="144"/>
      <c r="BH113" s="17">
        <v>0</v>
      </c>
      <c r="BI113" s="144"/>
      <c r="BJ113" s="17">
        <v>0</v>
      </c>
      <c r="BK113" s="144"/>
      <c r="BL113" s="17">
        <v>0</v>
      </c>
      <c r="BM113" s="238"/>
      <c r="BN113" s="228">
        <v>0</v>
      </c>
      <c r="BO113" s="238"/>
      <c r="BP113" s="228">
        <v>0</v>
      </c>
      <c r="BQ113" s="238"/>
      <c r="BR113" s="228">
        <v>0</v>
      </c>
    </row>
    <row r="114" spans="1:70" ht="15.75" customHeight="1" x14ac:dyDescent="0.35">
      <c r="A114" s="62" t="s">
        <v>151</v>
      </c>
      <c r="B114" s="17"/>
      <c r="C114" s="145"/>
      <c r="D114" s="17">
        <v>0</v>
      </c>
      <c r="E114" s="3"/>
      <c r="F114" s="17">
        <v>0</v>
      </c>
      <c r="G114" s="3"/>
      <c r="H114" s="17">
        <v>0</v>
      </c>
      <c r="I114" s="3"/>
      <c r="J114" s="17">
        <v>0</v>
      </c>
      <c r="K114" s="3"/>
      <c r="L114" s="17">
        <v>8647</v>
      </c>
      <c r="M114" s="3"/>
      <c r="N114" s="17">
        <v>688</v>
      </c>
      <c r="O114" s="3"/>
      <c r="P114" s="17">
        <f>965-N114</f>
        <v>277</v>
      </c>
      <c r="Q114" s="3"/>
      <c r="R114" s="17">
        <f>1184-P114-N114</f>
        <v>219</v>
      </c>
      <c r="S114" s="144"/>
      <c r="T114" s="17">
        <v>0</v>
      </c>
      <c r="U114" s="144"/>
      <c r="V114" s="17">
        <v>0</v>
      </c>
      <c r="W114" s="144"/>
      <c r="X114" s="17">
        <v>376</v>
      </c>
      <c r="Y114" s="3"/>
      <c r="Z114" s="17">
        <f>1382-X114</f>
        <v>1006</v>
      </c>
      <c r="AA114" s="144"/>
      <c r="AB114" s="17">
        <v>0</v>
      </c>
      <c r="AC114" s="144"/>
      <c r="AD114" s="17">
        <v>0</v>
      </c>
      <c r="AE114" s="144"/>
      <c r="AF114" s="17">
        <v>0</v>
      </c>
      <c r="AG114" s="144"/>
      <c r="AH114" s="17">
        <v>681</v>
      </c>
      <c r="AI114" s="144"/>
      <c r="AJ114" s="17">
        <v>11936</v>
      </c>
      <c r="AK114" s="144"/>
      <c r="AL114" s="17">
        <f>14318-AJ114</f>
        <v>2382</v>
      </c>
      <c r="AM114" s="144"/>
      <c r="AN114" s="17">
        <f>14794-AL114-AJ114</f>
        <v>476</v>
      </c>
      <c r="AO114" s="144"/>
      <c r="AP114" s="17">
        <f>15112-AN114-AL114-AJ114</f>
        <v>318</v>
      </c>
      <c r="AQ114" s="144"/>
      <c r="AR114" s="17">
        <v>456</v>
      </c>
      <c r="AS114" s="144"/>
      <c r="AT114" s="17">
        <f>2727-AR114</f>
        <v>2271</v>
      </c>
      <c r="AU114" s="144"/>
      <c r="AV114" s="17">
        <f>3865-AR114-AT114</f>
        <v>1138</v>
      </c>
      <c r="AW114" s="144"/>
      <c r="AX114" s="17">
        <f>10714-AR114-AT114-AV114</f>
        <v>6849</v>
      </c>
      <c r="AY114" s="144"/>
      <c r="AZ114" s="17">
        <v>622</v>
      </c>
      <c r="BA114" s="144"/>
      <c r="BB114" s="17">
        <v>101</v>
      </c>
      <c r="BC114" s="144"/>
      <c r="BD114" s="209">
        <f>5800-BB114-AZ114</f>
        <v>5077</v>
      </c>
      <c r="BE114" s="144"/>
      <c r="BF114" s="209">
        <f>6881-BD114-BB114-AZ114</f>
        <v>1081</v>
      </c>
      <c r="BG114" s="144"/>
      <c r="BH114" s="209">
        <v>1291</v>
      </c>
      <c r="BI114" s="144"/>
      <c r="BJ114" s="209">
        <v>4191</v>
      </c>
      <c r="BK114" s="144"/>
      <c r="BL114" s="209">
        <v>975</v>
      </c>
      <c r="BM114" s="238"/>
      <c r="BN114" s="240">
        <v>10526</v>
      </c>
      <c r="BO114" s="238"/>
      <c r="BP114" s="240">
        <v>325</v>
      </c>
      <c r="BQ114" s="238"/>
      <c r="BR114" s="240">
        <v>1411</v>
      </c>
    </row>
    <row r="115" spans="1:70" ht="15.75" customHeight="1" x14ac:dyDescent="0.35">
      <c r="A115" s="62" t="s">
        <v>152</v>
      </c>
      <c r="B115" s="17"/>
      <c r="C115" s="145"/>
      <c r="D115" s="17">
        <v>0</v>
      </c>
      <c r="E115" s="3"/>
      <c r="F115" s="17">
        <v>0</v>
      </c>
      <c r="G115" s="3"/>
      <c r="H115" s="17">
        <v>0</v>
      </c>
      <c r="I115" s="3"/>
      <c r="J115" s="17">
        <v>0</v>
      </c>
      <c r="K115" s="3"/>
      <c r="L115" s="17">
        <v>0</v>
      </c>
      <c r="M115" s="3"/>
      <c r="N115" s="17">
        <v>0</v>
      </c>
      <c r="O115" s="3"/>
      <c r="P115" s="17">
        <v>-499</v>
      </c>
      <c r="Q115" s="3"/>
      <c r="R115" s="17">
        <v>103</v>
      </c>
      <c r="S115" s="144"/>
      <c r="T115" s="17">
        <v>0</v>
      </c>
      <c r="U115" s="144"/>
      <c r="V115" s="17">
        <v>0</v>
      </c>
      <c r="W115" s="144"/>
      <c r="X115" s="17">
        <v>0</v>
      </c>
      <c r="Y115" s="3"/>
      <c r="Z115" s="17">
        <v>0</v>
      </c>
      <c r="AA115" s="144"/>
      <c r="AB115" s="17">
        <v>-16</v>
      </c>
      <c r="AC115" s="144"/>
      <c r="AD115" s="17">
        <v>0</v>
      </c>
      <c r="AE115" s="144"/>
      <c r="AF115" s="17">
        <v>0</v>
      </c>
      <c r="AG115" s="144"/>
      <c r="AH115" s="17">
        <v>0</v>
      </c>
      <c r="AI115" s="144"/>
      <c r="AJ115" s="17">
        <v>0</v>
      </c>
      <c r="AK115" s="144"/>
      <c r="AL115" s="17">
        <v>0</v>
      </c>
      <c r="AM115" s="144"/>
      <c r="AN115" s="17">
        <v>0</v>
      </c>
      <c r="AO115" s="144"/>
      <c r="AP115" s="17">
        <v>0</v>
      </c>
      <c r="AQ115" s="144"/>
      <c r="AR115" s="17">
        <v>-311</v>
      </c>
      <c r="AS115" s="144"/>
      <c r="AT115" s="17">
        <v>0</v>
      </c>
      <c r="AU115" s="144"/>
      <c r="AV115" s="17">
        <f>-300-AT115-AR115</f>
        <v>11</v>
      </c>
      <c r="AW115" s="144"/>
      <c r="AX115" s="17">
        <f>-1590-AR115-AT115-AV115</f>
        <v>-1290</v>
      </c>
      <c r="AY115" s="144"/>
      <c r="AZ115" s="17">
        <v>-1548</v>
      </c>
      <c r="BA115" s="144"/>
      <c r="BB115" s="17">
        <v>-140</v>
      </c>
      <c r="BC115" s="144"/>
      <c r="BD115" s="17">
        <v>1</v>
      </c>
      <c r="BE115" s="144"/>
      <c r="BF115" s="17">
        <f>-1720-BB113-AZ113-BD113</f>
        <v>-1720</v>
      </c>
      <c r="BG115" s="144"/>
      <c r="BH115" s="17">
        <v>-11</v>
      </c>
      <c r="BI115" s="144"/>
      <c r="BJ115" s="17">
        <v>-470</v>
      </c>
      <c r="BK115" s="144"/>
      <c r="BL115" s="17">
        <v>-61</v>
      </c>
      <c r="BM115" s="238"/>
      <c r="BN115" s="228">
        <v>-5921</v>
      </c>
      <c r="BO115" s="238"/>
      <c r="BP115" s="228">
        <v>0</v>
      </c>
      <c r="BQ115" s="238"/>
      <c r="BR115" s="228">
        <v>-539</v>
      </c>
    </row>
    <row r="116" spans="1:70" s="144" customFormat="1" ht="15.75" customHeight="1" x14ac:dyDescent="0.35">
      <c r="A116" s="170" t="s">
        <v>153</v>
      </c>
      <c r="B116" s="17"/>
      <c r="C116" s="145"/>
      <c r="D116" s="17">
        <f>SUM('DRE Histórico_Consolidado'!K42,'DRE Histórico_Consolidado'!K49)</f>
        <v>-4091</v>
      </c>
      <c r="E116" s="3"/>
      <c r="F116" s="17">
        <f>SUM('DRE Histórico_Consolidado'!M42,'DRE Histórico_Consolidado'!M49)</f>
        <v>-4096</v>
      </c>
      <c r="G116" s="3"/>
      <c r="H116" s="17">
        <f>SUM('DRE Histórico_Consolidado'!O42,'DRE Histórico_Consolidado'!O49)</f>
        <v>-4052.661689999999</v>
      </c>
      <c r="I116" s="3"/>
      <c r="J116" s="17">
        <f>SUM('DRE Histórico_Consolidado'!Q42,'DRE Histórico_Consolidado'!Q49)</f>
        <v>-2441.338310000001</v>
      </c>
      <c r="K116" s="3"/>
      <c r="L116" s="17">
        <f>SUM('DRE Histórico_Consolidado'!S42,'DRE Histórico_Consolidado'!S49)</f>
        <v>-4698.2901700000002</v>
      </c>
      <c r="M116" s="3"/>
      <c r="N116" s="17">
        <f>SUM('DRE Histórico_Consolidado'!U42,'DRE Histórico_Consolidado'!U49)</f>
        <v>-4969</v>
      </c>
      <c r="O116" s="3"/>
      <c r="P116" s="17">
        <f>SUM('DRE Histórico_Consolidado'!W42,'DRE Histórico_Consolidado'!W49)</f>
        <v>-5027.4485859999986</v>
      </c>
      <c r="Q116" s="3"/>
      <c r="R116" s="17">
        <f>SUM('DRE Histórico_Consolidado'!Y42,'DRE Histórico_Consolidado'!Y49)</f>
        <v>-5010.2612440000012</v>
      </c>
      <c r="T116" s="17">
        <f>SUM('DRE Histórico_Consolidado'!AA42,'DRE Histórico_Consolidado'!AA49)</f>
        <v>-5119</v>
      </c>
      <c r="V116" s="17">
        <f>SUM('DRE Histórico_Consolidado'!AC42,'DRE Histórico_Consolidado'!AC49)</f>
        <v>-5260</v>
      </c>
      <c r="X116" s="17">
        <f>SUM('DRE Histórico_Consolidado'!AE42,'DRE Histórico_Consolidado'!AE49)</f>
        <v>-5819</v>
      </c>
      <c r="Y116" s="3"/>
      <c r="Z116" s="17">
        <f>SUM('DRE Histórico_Consolidado'!AG42,'DRE Histórico_Consolidado'!AG49)</f>
        <v>-5445</v>
      </c>
      <c r="AB116" s="17">
        <f>SUM('DRE Histórico_Consolidado'!AI42,'DRE Histórico_Consolidado'!AI49)</f>
        <v>-4908</v>
      </c>
      <c r="AD116" s="17">
        <f>SUM('DRE Histórico_Consolidado'!AK42,'DRE Histórico_Consolidado'!AK49)</f>
        <v>-5442.1019999999999</v>
      </c>
      <c r="AF116" s="17">
        <f>SUM('DRE Histórico_Consolidado'!AM42,'DRE Histórico_Consolidado'!AM49)</f>
        <v>-5650.5572199999997</v>
      </c>
      <c r="AH116" s="17">
        <f>SUM('DRE Histórico_Consolidado'!AO42,'DRE Histórico_Consolidado'!AO49)</f>
        <v>-4909.5983300000007</v>
      </c>
      <c r="AJ116" s="17">
        <f>SUM('DRE Histórico_Consolidado'!AQ42,'DRE Histórico_Consolidado'!AQ49)</f>
        <v>-5945.35473</v>
      </c>
      <c r="AL116" s="17">
        <f>SUM('DRE Histórico_Consolidado'!AS42,'DRE Histórico_Consolidado'!AS49)</f>
        <v>-6443</v>
      </c>
      <c r="AN116" s="17">
        <f>SUM('DRE Histórico_Consolidado'!AU42,'DRE Histórico_Consolidado'!AU49)</f>
        <v>-6943</v>
      </c>
      <c r="AP116" s="17">
        <f>SUM('DRE Histórico_Consolidado'!AW42,'DRE Histórico_Consolidado'!AW49)</f>
        <v>-6965.5269900000003</v>
      </c>
      <c r="AR116" s="17">
        <f>SUM('DRE Histórico_Consolidado'!AY42,'DRE Histórico_Consolidado'!AY49)</f>
        <v>-8725.8369299999995</v>
      </c>
      <c r="AT116" s="17">
        <f>SUM('DRE Histórico_Consolidado'!BA42,'DRE Histórico_Consolidado'!BA49)</f>
        <v>-9354.0988300000081</v>
      </c>
      <c r="AV116" s="17">
        <f>SUM('DRE Histórico_Consolidado'!BC42,'DRE Histórico_Consolidado'!BC49)</f>
        <v>-8999</v>
      </c>
      <c r="AX116" s="17">
        <f>SUM('DRE Histórico_Consolidado'!BE42,'DRE Histórico_Consolidado'!BE49)</f>
        <v>-11982</v>
      </c>
      <c r="AZ116" s="17">
        <f>SUM('DRE Histórico_Consolidado'!BG42,'DRE Histórico_Consolidado'!BG49)</f>
        <v>-10818</v>
      </c>
      <c r="BB116" s="17">
        <f>SUM('DRE Histórico_Consolidado'!BI42,'DRE Histórico_Consolidado'!BI49)</f>
        <v>-11104</v>
      </c>
      <c r="BC116" s="17">
        <f>SUM('DRE Histórico_Consolidado'!BJ42,'DRE Histórico_Consolidado'!BJ49)</f>
        <v>0</v>
      </c>
      <c r="BD116" s="17">
        <f>SUM('DRE Histórico_Consolidado'!BK42,'DRE Histórico_Consolidado'!BK49)</f>
        <v>-13074</v>
      </c>
      <c r="BE116" s="17"/>
      <c r="BF116" s="17">
        <f>SUM('DRE Histórico_Consolidado'!BM42,'DRE Histórico_Consolidado'!BM49)</f>
        <v>-14136.332511764707</v>
      </c>
      <c r="BG116" s="17"/>
      <c r="BH116" s="17">
        <f>SUM('DRE Histórico_Consolidado'!BO42,'DRE Histórico_Consolidado'!BO49)</f>
        <v>-18464</v>
      </c>
      <c r="BI116" s="17"/>
      <c r="BJ116" s="17">
        <f>SUM('DRE Histórico_Consolidado'!BQ42,'DRE Histórico_Consolidado'!BQ49)</f>
        <v>-18480</v>
      </c>
      <c r="BK116" s="17"/>
      <c r="BL116" s="17">
        <f>SUM('DRE Histórico_Consolidado'!BS42,'DRE Histórico_Consolidado'!BS49)</f>
        <v>-18625</v>
      </c>
      <c r="BM116" s="228"/>
      <c r="BN116" s="228">
        <v>-33416.203289523117</v>
      </c>
      <c r="BO116" s="228"/>
      <c r="BP116" s="228">
        <v>-36836</v>
      </c>
      <c r="BQ116" s="228"/>
      <c r="BR116" s="228">
        <v>-36422</v>
      </c>
    </row>
    <row r="117" spans="1:70" ht="15.75" customHeight="1" x14ac:dyDescent="0.35">
      <c r="A117" s="62" t="s">
        <v>154</v>
      </c>
      <c r="B117" s="17">
        <f>B45+B46</f>
        <v>74176</v>
      </c>
      <c r="C117" s="145"/>
      <c r="D117" s="145">
        <f>D45+D46</f>
        <v>75253</v>
      </c>
      <c r="E117" s="145"/>
      <c r="F117" s="145">
        <f>F45+F46</f>
        <v>75221</v>
      </c>
      <c r="G117" s="3"/>
      <c r="H117" s="145">
        <f>H45+H46</f>
        <v>73498</v>
      </c>
      <c r="I117" s="3"/>
      <c r="J117" s="145">
        <f>J45+J46</f>
        <v>74344</v>
      </c>
      <c r="K117" s="3"/>
      <c r="L117" s="145">
        <f>L45+L46</f>
        <v>84667</v>
      </c>
      <c r="M117" s="3"/>
      <c r="N117" s="145">
        <f>N45+N46</f>
        <v>85821</v>
      </c>
      <c r="O117" s="3"/>
      <c r="P117" s="145">
        <f>P45+P46</f>
        <v>85447</v>
      </c>
      <c r="Q117" s="3"/>
      <c r="R117" s="145">
        <f>R45+R46</f>
        <v>81580</v>
      </c>
      <c r="S117" s="144"/>
      <c r="T117" s="145">
        <f>T45+T46</f>
        <v>78365</v>
      </c>
      <c r="U117" s="144"/>
      <c r="V117" s="145">
        <f>V45+V46</f>
        <v>75723</v>
      </c>
      <c r="W117" s="144"/>
      <c r="X117" s="145">
        <f>X45+X46</f>
        <v>75984</v>
      </c>
      <c r="Y117" s="3"/>
      <c r="Z117" s="145">
        <f>Z45+Z46</f>
        <v>85373</v>
      </c>
      <c r="AA117" s="144"/>
      <c r="AB117" s="147">
        <f>AB45+AB46</f>
        <v>101481</v>
      </c>
      <c r="AC117" s="144"/>
      <c r="AD117" s="147">
        <f>AD45+AD46</f>
        <v>100857</v>
      </c>
      <c r="AE117" s="144"/>
      <c r="AF117" s="147">
        <f>AF45+AF46</f>
        <v>105918</v>
      </c>
      <c r="AG117" s="144"/>
      <c r="AH117" s="147">
        <f>AH45+AH46</f>
        <v>107649</v>
      </c>
      <c r="AI117" s="144"/>
      <c r="AJ117" s="147">
        <f>AJ45+AJ46</f>
        <v>143116</v>
      </c>
      <c r="AK117" s="144"/>
      <c r="AL117" s="147">
        <f>AL45+AL46</f>
        <v>161677</v>
      </c>
      <c r="AM117" s="144"/>
      <c r="AN117" s="147">
        <f>AN45+AN46</f>
        <v>184785</v>
      </c>
      <c r="AO117" s="144"/>
      <c r="AP117" s="147">
        <f>AP45+AP46</f>
        <v>205785</v>
      </c>
      <c r="AQ117" s="144"/>
      <c r="AR117" s="147">
        <f>AR45+AR46</f>
        <v>246722</v>
      </c>
      <c r="AS117" s="144"/>
      <c r="AT117" s="147">
        <f>AT45+AT46</f>
        <v>267728</v>
      </c>
      <c r="AU117" s="144"/>
      <c r="AV117" s="147">
        <f>AV45+AV46</f>
        <v>289246</v>
      </c>
      <c r="AW117" s="144"/>
      <c r="AX117" s="147">
        <f>AX45+AX46</f>
        <v>315241</v>
      </c>
      <c r="AY117" s="144"/>
      <c r="AZ117" s="147">
        <f>AZ45+AZ46</f>
        <v>324184</v>
      </c>
      <c r="BA117" s="144"/>
      <c r="BB117" s="147">
        <f>BB45+BB46</f>
        <v>360280</v>
      </c>
      <c r="BC117" s="144"/>
      <c r="BD117" s="147">
        <f>BD45+BD46</f>
        <v>492387</v>
      </c>
      <c r="BE117" s="144"/>
      <c r="BF117" s="147">
        <f>BF45+BF46</f>
        <v>547253</v>
      </c>
      <c r="BG117" s="144"/>
      <c r="BH117" s="147">
        <f>BH45+BH46</f>
        <v>521720</v>
      </c>
      <c r="BI117" s="144"/>
      <c r="BJ117" s="147">
        <f>BJ45+BJ46</f>
        <v>516298</v>
      </c>
      <c r="BK117" s="144"/>
      <c r="BL117" s="147">
        <f>BL45+BL46</f>
        <v>510957</v>
      </c>
      <c r="BM117" s="238"/>
      <c r="BN117" s="241">
        <f t="shared" ref="BN117:BP117" si="9">BN45+BN46</f>
        <v>934262</v>
      </c>
      <c r="BO117" s="238"/>
      <c r="BP117" s="241">
        <f t="shared" si="9"/>
        <v>934652</v>
      </c>
      <c r="BQ117" s="238"/>
      <c r="BR117" s="241">
        <f t="shared" ref="BR117" si="10">BR45+BR46</f>
        <v>918243</v>
      </c>
    </row>
    <row r="118" spans="1:70" ht="15.75" customHeight="1" x14ac:dyDescent="0.35">
      <c r="B118" s="17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144"/>
      <c r="T118" s="3"/>
      <c r="U118" s="144"/>
      <c r="V118" s="3"/>
      <c r="W118" s="144"/>
      <c r="X118" s="3"/>
      <c r="Y118" s="3"/>
      <c r="Z118" s="3"/>
      <c r="AA118" s="144"/>
      <c r="AB118" s="144"/>
      <c r="AC118" s="144"/>
      <c r="AD118" s="144"/>
      <c r="AE118" s="144"/>
      <c r="AF118" s="144"/>
      <c r="AG118" s="144"/>
      <c r="AH118" s="144"/>
      <c r="AI118" s="144"/>
      <c r="AJ118" s="144"/>
      <c r="AK118" s="144"/>
      <c r="AL118" s="144"/>
      <c r="AM118" s="144"/>
      <c r="AN118" s="144"/>
      <c r="AO118" s="144"/>
      <c r="AP118" s="144"/>
      <c r="AQ118" s="144"/>
      <c r="AR118" s="144"/>
      <c r="AS118" s="144"/>
      <c r="AT118" s="144"/>
      <c r="AU118" s="144"/>
      <c r="AV118" s="144"/>
      <c r="AW118" s="144"/>
      <c r="AX118" s="144"/>
      <c r="AY118" s="144"/>
      <c r="AZ118" s="144"/>
      <c r="BA118" s="144"/>
      <c r="BB118" s="144"/>
      <c r="BC118" s="144"/>
      <c r="BD118" s="144"/>
      <c r="BE118" s="144"/>
      <c r="BF118" s="144"/>
      <c r="BG118" s="144"/>
      <c r="BH118" s="144"/>
      <c r="BI118" s="144"/>
      <c r="BJ118" s="144"/>
      <c r="BK118" s="144"/>
      <c r="BL118" s="144"/>
      <c r="BM118" s="238"/>
      <c r="BN118" s="238"/>
      <c r="BO118" s="238"/>
      <c r="BP118" s="238"/>
      <c r="BQ118" s="238"/>
      <c r="BR118" s="238"/>
    </row>
    <row r="119" spans="1:70" ht="15.75" customHeight="1" x14ac:dyDescent="0.35">
      <c r="A119" s="151" t="s">
        <v>155</v>
      </c>
      <c r="B119" s="17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144"/>
      <c r="T119" s="3"/>
      <c r="U119" s="144"/>
      <c r="V119" s="3"/>
      <c r="W119" s="144"/>
      <c r="X119" s="3"/>
      <c r="Y119" s="3"/>
      <c r="Z119" s="3"/>
      <c r="AA119" s="144"/>
      <c r="AB119" s="144"/>
      <c r="AC119" s="144"/>
      <c r="AD119" s="144"/>
      <c r="AE119" s="144"/>
      <c r="AF119" s="144"/>
      <c r="AG119" s="144"/>
      <c r="AH119" s="144"/>
      <c r="AI119" s="144"/>
      <c r="AJ119" s="144"/>
      <c r="AK119" s="144"/>
      <c r="AL119" s="144"/>
      <c r="AM119" s="144"/>
      <c r="AN119" s="144"/>
      <c r="AO119" s="144"/>
      <c r="AP119" s="144"/>
      <c r="AQ119" s="144"/>
      <c r="AR119" s="144"/>
      <c r="AS119" s="144"/>
      <c r="AT119" s="144"/>
      <c r="AU119" s="144"/>
      <c r="AV119" s="144"/>
      <c r="AW119" s="144"/>
      <c r="AX119" s="144"/>
      <c r="AY119" s="144"/>
      <c r="AZ119" s="144"/>
      <c r="BA119" s="144"/>
      <c r="BB119" s="144"/>
      <c r="BC119" s="144"/>
      <c r="BD119" s="144"/>
      <c r="BE119" s="144"/>
      <c r="BF119" s="144"/>
      <c r="BG119" s="144"/>
      <c r="BH119" s="144"/>
      <c r="BI119" s="144"/>
      <c r="BJ119" s="144"/>
      <c r="BK119" s="144"/>
      <c r="BL119" s="144"/>
      <c r="BM119" s="238"/>
      <c r="BN119" s="238"/>
      <c r="BO119" s="238"/>
      <c r="BP119" s="238"/>
      <c r="BQ119" s="238"/>
      <c r="BR119" s="238"/>
    </row>
    <row r="120" spans="1:70" ht="15.75" customHeight="1" x14ac:dyDescent="0.35">
      <c r="A120" s="62" t="s">
        <v>156</v>
      </c>
      <c r="B120" s="17">
        <v>0</v>
      </c>
      <c r="C120" s="3"/>
      <c r="D120" s="17">
        <f>B139</f>
        <v>54774</v>
      </c>
      <c r="E120" s="3"/>
      <c r="F120" s="17">
        <f>D139</f>
        <v>55229</v>
      </c>
      <c r="G120" s="3"/>
      <c r="H120" s="17">
        <f>F139</f>
        <v>61867</v>
      </c>
      <c r="I120" s="3"/>
      <c r="J120" s="17">
        <f>H139</f>
        <v>60675</v>
      </c>
      <c r="K120" s="3"/>
      <c r="L120" s="17">
        <f>J139</f>
        <v>66129</v>
      </c>
      <c r="M120" s="3"/>
      <c r="N120" s="17">
        <f>L139</f>
        <v>65624</v>
      </c>
      <c r="O120" s="3"/>
      <c r="P120" s="17">
        <f>N139</f>
        <v>62916</v>
      </c>
      <c r="Q120" s="3"/>
      <c r="R120" s="17">
        <f>P139</f>
        <v>59973</v>
      </c>
      <c r="S120" s="144"/>
      <c r="T120" s="17">
        <f>R139</f>
        <v>74609</v>
      </c>
      <c r="U120" s="144"/>
      <c r="V120" s="17">
        <f>T139</f>
        <v>235391</v>
      </c>
      <c r="W120" s="144"/>
      <c r="X120" s="17">
        <f>V139</f>
        <v>218169</v>
      </c>
      <c r="Y120" s="3"/>
      <c r="Z120" s="17">
        <f>X139</f>
        <v>209663</v>
      </c>
      <c r="AA120" s="144"/>
      <c r="AB120" s="17">
        <f>Z139</f>
        <v>225586</v>
      </c>
      <c r="AC120" s="144"/>
      <c r="AD120" s="17">
        <f>AB139</f>
        <v>224555</v>
      </c>
      <c r="AE120" s="144"/>
      <c r="AF120" s="17">
        <f>AD139</f>
        <v>228478</v>
      </c>
      <c r="AG120" s="144"/>
      <c r="AH120" s="17">
        <f>AF139</f>
        <v>230468</v>
      </c>
      <c r="AI120" s="144"/>
      <c r="AJ120" s="17">
        <f>AH139</f>
        <v>229080</v>
      </c>
      <c r="AK120" s="144"/>
      <c r="AL120" s="17">
        <f>AJ139</f>
        <v>234769</v>
      </c>
      <c r="AM120" s="144"/>
      <c r="AN120" s="17">
        <f>AL139</f>
        <v>251642</v>
      </c>
      <c r="AO120" s="144"/>
      <c r="AP120" s="17">
        <f>AN139</f>
        <v>291582</v>
      </c>
      <c r="AQ120" s="144"/>
      <c r="AR120" s="17">
        <f>AP139</f>
        <v>221762</v>
      </c>
      <c r="AS120" s="144"/>
      <c r="AT120" s="17">
        <f>AR139</f>
        <v>229320</v>
      </c>
      <c r="AU120" s="144"/>
      <c r="AV120" s="17">
        <f>AT139</f>
        <v>239387</v>
      </c>
      <c r="AW120" s="144"/>
      <c r="AX120" s="17">
        <f>AV139</f>
        <v>242021</v>
      </c>
      <c r="AY120" s="144"/>
      <c r="AZ120" s="17">
        <f>AX139</f>
        <v>238704</v>
      </c>
      <c r="BA120" s="144"/>
      <c r="BB120" s="17">
        <f>AZ139</f>
        <v>326599</v>
      </c>
      <c r="BC120" s="144"/>
      <c r="BD120" s="17">
        <f>BB139</f>
        <v>319796</v>
      </c>
      <c r="BE120" s="144"/>
      <c r="BF120" s="17">
        <f>BD139</f>
        <v>362068</v>
      </c>
      <c r="BG120" s="144"/>
      <c r="BH120" s="17">
        <f>BF139</f>
        <v>369088</v>
      </c>
      <c r="BI120" s="144"/>
      <c r="BJ120" s="17">
        <f>BH139</f>
        <v>360101</v>
      </c>
      <c r="BK120" s="144"/>
      <c r="BL120" s="17">
        <f>BJ139</f>
        <v>359033</v>
      </c>
      <c r="BM120" s="238"/>
      <c r="BN120" s="228">
        <f>BL139</f>
        <v>515063</v>
      </c>
      <c r="BO120" s="238"/>
      <c r="BP120" s="228">
        <f>BN139</f>
        <v>562334</v>
      </c>
      <c r="BQ120" s="238"/>
      <c r="BR120" s="228">
        <f>BP139</f>
        <v>621769</v>
      </c>
    </row>
    <row r="121" spans="1:70" ht="15.75" customHeight="1" x14ac:dyDescent="0.35">
      <c r="A121" s="62" t="s">
        <v>157</v>
      </c>
      <c r="B121" s="17">
        <v>0</v>
      </c>
      <c r="C121" s="3"/>
      <c r="D121" s="17">
        <v>0</v>
      </c>
      <c r="E121" s="3"/>
      <c r="F121" s="145">
        <v>11500</v>
      </c>
      <c r="G121" s="3"/>
      <c r="H121" s="17">
        <v>0</v>
      </c>
      <c r="I121" s="3"/>
      <c r="J121" s="17">
        <v>0</v>
      </c>
      <c r="K121" s="3"/>
      <c r="L121" s="17">
        <v>0</v>
      </c>
      <c r="M121" s="3"/>
      <c r="N121" s="17">
        <v>0</v>
      </c>
      <c r="O121" s="3"/>
      <c r="P121" s="17">
        <v>0</v>
      </c>
      <c r="Q121" s="3"/>
      <c r="R121" s="145">
        <v>20000</v>
      </c>
      <c r="S121" s="144"/>
      <c r="T121" s="145">
        <v>173913</v>
      </c>
      <c r="U121" s="144"/>
      <c r="V121" s="17">
        <v>0</v>
      </c>
      <c r="W121" s="144"/>
      <c r="X121" s="145">
        <f>2274</f>
        <v>2274</v>
      </c>
      <c r="Y121" s="3"/>
      <c r="Z121" s="145">
        <v>98</v>
      </c>
      <c r="AA121" s="144"/>
      <c r="AB121" s="145"/>
      <c r="AC121" s="144"/>
      <c r="AD121" s="145">
        <v>305</v>
      </c>
      <c r="AE121" s="144"/>
      <c r="AF121" s="145"/>
      <c r="AG121" s="144"/>
      <c r="AH121" s="145"/>
      <c r="AI121" s="144"/>
      <c r="AJ121" s="145">
        <v>230</v>
      </c>
      <c r="AK121" s="144"/>
      <c r="AL121" s="17">
        <v>0</v>
      </c>
      <c r="AM121" s="144"/>
      <c r="AN121" s="17">
        <v>0</v>
      </c>
      <c r="AO121" s="144"/>
      <c r="AP121" s="17">
        <v>0</v>
      </c>
      <c r="AQ121" s="144"/>
      <c r="AR121" s="17">
        <v>0</v>
      </c>
      <c r="AS121" s="144"/>
      <c r="AT121" s="17">
        <v>0</v>
      </c>
      <c r="AU121" s="144"/>
      <c r="AV121" s="17">
        <v>0</v>
      </c>
      <c r="AW121" s="144"/>
      <c r="AX121" s="17">
        <v>0</v>
      </c>
      <c r="AY121" s="144"/>
      <c r="AZ121" s="17">
        <v>89375</v>
      </c>
      <c r="BA121" s="144"/>
      <c r="BB121" s="17"/>
      <c r="BC121" s="144"/>
      <c r="BD121" s="17"/>
      <c r="BE121" s="144"/>
      <c r="BF121" s="17"/>
      <c r="BG121" s="144"/>
      <c r="BH121" s="17"/>
      <c r="BI121" s="144"/>
      <c r="BJ121" s="17"/>
      <c r="BK121" s="144"/>
      <c r="BL121" s="17">
        <v>150000</v>
      </c>
      <c r="BM121" s="238"/>
      <c r="BN121" s="228"/>
      <c r="BO121" s="238"/>
      <c r="BQ121" s="238"/>
    </row>
    <row r="122" spans="1:70" ht="15.75" customHeight="1" x14ac:dyDescent="0.35">
      <c r="A122" s="62" t="s">
        <v>512</v>
      </c>
      <c r="B122" s="17"/>
      <c r="C122" s="3"/>
      <c r="D122" s="17"/>
      <c r="E122" s="3"/>
      <c r="F122" s="145"/>
      <c r="G122" s="3"/>
      <c r="H122" s="17"/>
      <c r="I122" s="3"/>
      <c r="J122" s="17"/>
      <c r="K122" s="3"/>
      <c r="L122" s="17"/>
      <c r="M122" s="3"/>
      <c r="N122" s="17"/>
      <c r="O122" s="3"/>
      <c r="P122" s="17"/>
      <c r="Q122" s="3"/>
      <c r="R122" s="145"/>
      <c r="S122" s="144"/>
      <c r="T122" s="145"/>
      <c r="U122" s="144"/>
      <c r="V122" s="17"/>
      <c r="W122" s="144"/>
      <c r="X122" s="145"/>
      <c r="Y122" s="3"/>
      <c r="Z122" s="145"/>
      <c r="AA122" s="144"/>
      <c r="AB122" s="145"/>
      <c r="AC122" s="144"/>
      <c r="AD122" s="145"/>
      <c r="AE122" s="144"/>
      <c r="AF122" s="145"/>
      <c r="AG122" s="144"/>
      <c r="AH122" s="145"/>
      <c r="AI122" s="144"/>
      <c r="AJ122" s="145"/>
      <c r="AK122" s="144"/>
      <c r="AL122" s="17"/>
      <c r="AM122" s="144"/>
      <c r="AN122" s="17"/>
      <c r="AO122" s="144"/>
      <c r="AP122" s="17"/>
      <c r="AQ122" s="144"/>
      <c r="AR122" s="17"/>
      <c r="AS122" s="144"/>
      <c r="AT122" s="17"/>
      <c r="AU122" s="144"/>
      <c r="AV122" s="17"/>
      <c r="AW122" s="144"/>
      <c r="AX122" s="17"/>
      <c r="AY122" s="144"/>
      <c r="AZ122" s="17"/>
      <c r="BA122" s="144"/>
      <c r="BB122" s="17"/>
      <c r="BC122" s="144"/>
      <c r="BD122" s="17"/>
      <c r="BE122" s="144"/>
      <c r="BF122" s="17"/>
      <c r="BG122" s="144"/>
      <c r="BH122" s="17"/>
      <c r="BI122" s="144"/>
      <c r="BJ122" s="17"/>
      <c r="BK122" s="144"/>
      <c r="BL122" s="17"/>
      <c r="BM122" s="238"/>
      <c r="BN122" s="228"/>
      <c r="BO122" s="238"/>
      <c r="BP122" s="228">
        <v>45</v>
      </c>
      <c r="BQ122" s="238"/>
      <c r="BR122" s="228">
        <v>3102</v>
      </c>
    </row>
    <row r="123" spans="1:70" ht="15.75" customHeight="1" x14ac:dyDescent="0.35">
      <c r="A123" s="62" t="s">
        <v>158</v>
      </c>
      <c r="B123" s="17">
        <v>0</v>
      </c>
      <c r="C123" s="3"/>
      <c r="D123" s="17">
        <v>0</v>
      </c>
      <c r="E123" s="3"/>
      <c r="F123" s="17">
        <v>0</v>
      </c>
      <c r="G123" s="3"/>
      <c r="H123" s="17">
        <v>0</v>
      </c>
      <c r="I123" s="3"/>
      <c r="J123" s="17">
        <v>0</v>
      </c>
      <c r="K123" s="3"/>
      <c r="L123" s="17">
        <v>0</v>
      </c>
      <c r="M123" s="3"/>
      <c r="N123" s="17">
        <v>0</v>
      </c>
      <c r="O123" s="3"/>
      <c r="P123" s="17">
        <v>0</v>
      </c>
      <c r="Q123" s="3"/>
      <c r="R123" s="17">
        <v>0</v>
      </c>
      <c r="S123" s="144"/>
      <c r="T123" s="145">
        <v>-16401</v>
      </c>
      <c r="U123" s="144"/>
      <c r="V123" s="145">
        <f>-16506-T123</f>
        <v>-105</v>
      </c>
      <c r="W123" s="144"/>
      <c r="X123" s="17">
        <v>0</v>
      </c>
      <c r="Y123" s="3"/>
      <c r="Z123" s="17">
        <v>0</v>
      </c>
      <c r="AA123" s="144"/>
      <c r="AB123" s="17">
        <v>0</v>
      </c>
      <c r="AC123" s="144"/>
      <c r="AD123" s="17">
        <v>0</v>
      </c>
      <c r="AE123" s="144"/>
      <c r="AF123" s="17">
        <v>0</v>
      </c>
      <c r="AG123" s="144"/>
      <c r="AH123" s="17">
        <v>0</v>
      </c>
      <c r="AI123" s="144"/>
      <c r="AJ123" s="17">
        <v>0</v>
      </c>
      <c r="AK123" s="144"/>
      <c r="AL123" s="17">
        <v>0</v>
      </c>
      <c r="AM123" s="144"/>
      <c r="AN123" s="17">
        <v>0</v>
      </c>
      <c r="AO123" s="144"/>
      <c r="AP123" s="17">
        <v>0</v>
      </c>
      <c r="AQ123" s="144"/>
      <c r="AR123" s="17">
        <v>0</v>
      </c>
      <c r="AS123" s="144"/>
      <c r="AT123" s="17">
        <v>0</v>
      </c>
      <c r="AU123" s="144"/>
      <c r="AV123" s="17">
        <v>0</v>
      </c>
      <c r="AW123" s="144"/>
      <c r="AX123" s="17">
        <v>0</v>
      </c>
      <c r="AY123" s="144"/>
      <c r="AZ123" s="17">
        <v>-4659</v>
      </c>
      <c r="BA123" s="144"/>
      <c r="BB123" s="17">
        <v>-20</v>
      </c>
      <c r="BC123" s="144"/>
      <c r="BD123" s="17"/>
      <c r="BE123" s="144"/>
      <c r="BF123" s="17">
        <v>-93</v>
      </c>
      <c r="BG123" s="144"/>
      <c r="BH123" s="17"/>
      <c r="BI123" s="144"/>
      <c r="BJ123" s="17"/>
      <c r="BK123" s="144"/>
      <c r="BL123" s="17">
        <v>-6</v>
      </c>
      <c r="BM123" s="238"/>
      <c r="BN123" s="228">
        <f>-104-BL123</f>
        <v>-98</v>
      </c>
      <c r="BO123" s="238"/>
      <c r="BQ123" s="238"/>
    </row>
    <row r="124" spans="1:70" ht="15.75" customHeight="1" x14ac:dyDescent="0.35">
      <c r="A124" s="210" t="s">
        <v>471</v>
      </c>
      <c r="B124" s="17"/>
      <c r="C124" s="3"/>
      <c r="D124" s="17"/>
      <c r="E124" s="3"/>
      <c r="F124" s="17"/>
      <c r="G124" s="3"/>
      <c r="H124" s="17"/>
      <c r="I124" s="3"/>
      <c r="J124" s="17"/>
      <c r="K124" s="3"/>
      <c r="L124" s="17"/>
      <c r="M124" s="3"/>
      <c r="N124" s="17"/>
      <c r="O124" s="3"/>
      <c r="P124" s="17"/>
      <c r="Q124" s="3"/>
      <c r="R124" s="17"/>
      <c r="S124" s="144"/>
      <c r="T124" s="145"/>
      <c r="U124" s="144"/>
      <c r="V124" s="145"/>
      <c r="W124" s="144"/>
      <c r="X124" s="17"/>
      <c r="Y124" s="3"/>
      <c r="Z124" s="17"/>
      <c r="AA124" s="144"/>
      <c r="AB124" s="17"/>
      <c r="AC124" s="144"/>
      <c r="AD124" s="17"/>
      <c r="AE124" s="144"/>
      <c r="AF124" s="17"/>
      <c r="AG124" s="144"/>
      <c r="AH124" s="17"/>
      <c r="AI124" s="144"/>
      <c r="AJ124" s="17"/>
      <c r="AK124" s="144"/>
      <c r="AL124" s="17"/>
      <c r="AM124" s="144"/>
      <c r="AN124" s="17"/>
      <c r="AO124" s="144"/>
      <c r="AP124" s="17"/>
      <c r="AQ124" s="144"/>
      <c r="AR124" s="17"/>
      <c r="AS124" s="144"/>
      <c r="AT124" s="17"/>
      <c r="AU124" s="144"/>
      <c r="AV124" s="17"/>
      <c r="AW124" s="144"/>
      <c r="AX124" s="17"/>
      <c r="AY124" s="144"/>
      <c r="AZ124" s="17"/>
      <c r="BA124" s="144"/>
      <c r="BB124" s="17"/>
      <c r="BC124" s="144"/>
      <c r="BD124" s="17"/>
      <c r="BE124" s="144"/>
      <c r="BF124" s="17"/>
      <c r="BG124" s="144"/>
      <c r="BH124" s="17"/>
      <c r="BI124" s="144"/>
      <c r="BJ124" s="17"/>
      <c r="BK124" s="144"/>
      <c r="BL124" s="17">
        <v>39</v>
      </c>
      <c r="BM124" s="238"/>
      <c r="BN124" s="228"/>
      <c r="BO124" s="238"/>
      <c r="BP124" s="228"/>
      <c r="BQ124" s="238"/>
      <c r="BR124" s="228"/>
    </row>
    <row r="125" spans="1:70" ht="15.75" customHeight="1" x14ac:dyDescent="0.35">
      <c r="A125" s="62" t="s">
        <v>159</v>
      </c>
      <c r="B125" s="17">
        <v>0</v>
      </c>
      <c r="C125" s="3"/>
      <c r="D125" s="17">
        <v>-265</v>
      </c>
      <c r="E125" s="3"/>
      <c r="F125" s="17">
        <f>-5285-D125</f>
        <v>-5020</v>
      </c>
      <c r="G125" s="3"/>
      <c r="H125" s="17">
        <v>0</v>
      </c>
      <c r="I125" s="3"/>
      <c r="J125" s="17">
        <v>0</v>
      </c>
      <c r="K125" s="3"/>
      <c r="L125" s="17">
        <v>0</v>
      </c>
      <c r="M125" s="3"/>
      <c r="N125" s="17">
        <v>0</v>
      </c>
      <c r="O125" s="3"/>
      <c r="P125" s="17">
        <v>0</v>
      </c>
      <c r="Q125" s="3"/>
      <c r="R125" s="17">
        <v>0</v>
      </c>
      <c r="S125" s="144"/>
      <c r="T125" s="17">
        <v>0</v>
      </c>
      <c r="U125" s="144"/>
      <c r="V125" s="17">
        <v>0</v>
      </c>
      <c r="W125" s="144"/>
      <c r="X125" s="17">
        <v>0</v>
      </c>
      <c r="Y125" s="3"/>
      <c r="Z125" s="17">
        <v>0</v>
      </c>
      <c r="AA125" s="144"/>
      <c r="AB125" s="17">
        <v>0</v>
      </c>
      <c r="AC125" s="144"/>
      <c r="AD125" s="17">
        <v>0</v>
      </c>
      <c r="AE125" s="144"/>
      <c r="AF125" s="17">
        <v>0</v>
      </c>
      <c r="AG125" s="144"/>
      <c r="AH125" s="17">
        <v>0</v>
      </c>
      <c r="AI125" s="144"/>
      <c r="AJ125" s="17">
        <v>0</v>
      </c>
      <c r="AK125" s="144"/>
      <c r="AL125" s="17">
        <v>0</v>
      </c>
      <c r="AM125" s="144"/>
      <c r="AN125" s="17">
        <v>0</v>
      </c>
      <c r="AO125" s="144"/>
      <c r="AP125" s="17">
        <v>0</v>
      </c>
      <c r="AQ125" s="144"/>
      <c r="AR125" s="17">
        <v>0</v>
      </c>
      <c r="AS125" s="144"/>
      <c r="AT125" s="17">
        <v>0</v>
      </c>
      <c r="AU125" s="144"/>
      <c r="AV125" s="17">
        <v>0</v>
      </c>
      <c r="AW125" s="144"/>
      <c r="AX125" s="17">
        <v>0</v>
      </c>
      <c r="AY125" s="144"/>
      <c r="AZ125" s="17"/>
      <c r="BA125" s="144"/>
      <c r="BB125" s="17"/>
      <c r="BC125" s="144"/>
      <c r="BD125" s="17"/>
      <c r="BE125" s="144"/>
      <c r="BF125" s="17"/>
      <c r="BG125" s="144"/>
      <c r="BH125" s="17"/>
      <c r="BI125" s="144"/>
      <c r="BJ125" s="17"/>
      <c r="BK125" s="144"/>
      <c r="BL125" s="17"/>
      <c r="BM125" s="238"/>
      <c r="BN125" s="228"/>
      <c r="BO125" s="238"/>
      <c r="BP125" s="228"/>
      <c r="BQ125" s="238"/>
      <c r="BR125" s="228"/>
    </row>
    <row r="126" spans="1:70" ht="15.75" customHeight="1" x14ac:dyDescent="0.35">
      <c r="A126" s="62" t="s">
        <v>160</v>
      </c>
      <c r="B126" s="17">
        <v>0</v>
      </c>
      <c r="C126" s="3"/>
      <c r="D126" s="17">
        <v>0</v>
      </c>
      <c r="E126" s="3"/>
      <c r="F126" s="17">
        <v>0</v>
      </c>
      <c r="G126" s="3"/>
      <c r="H126" s="17">
        <v>0</v>
      </c>
      <c r="I126" s="3"/>
      <c r="J126" s="17">
        <v>0</v>
      </c>
      <c r="K126" s="3"/>
      <c r="L126" s="17">
        <v>0</v>
      </c>
      <c r="M126" s="3"/>
      <c r="N126" s="17">
        <f>-722</f>
        <v>-722</v>
      </c>
      <c r="O126" s="3"/>
      <c r="P126" s="17">
        <v>0</v>
      </c>
      <c r="Q126" s="3"/>
      <c r="R126" s="17">
        <v>0</v>
      </c>
      <c r="S126" s="3"/>
      <c r="T126" s="17">
        <v>0</v>
      </c>
      <c r="U126" s="3"/>
      <c r="V126" s="17">
        <v>0</v>
      </c>
      <c r="W126" s="3"/>
      <c r="X126" s="17">
        <v>0</v>
      </c>
      <c r="Y126" s="3"/>
      <c r="Z126" s="17">
        <v>0</v>
      </c>
      <c r="AA126" s="144"/>
      <c r="AB126" s="17">
        <v>0</v>
      </c>
      <c r="AC126" s="144"/>
      <c r="AD126" s="17">
        <v>0</v>
      </c>
      <c r="AE126" s="144"/>
      <c r="AF126" s="17">
        <v>0</v>
      </c>
      <c r="AG126" s="144"/>
      <c r="AH126" s="17">
        <v>-3443</v>
      </c>
      <c r="AI126" s="144"/>
      <c r="AJ126" s="17">
        <v>0</v>
      </c>
      <c r="AK126" s="144"/>
      <c r="AL126" s="17">
        <v>0</v>
      </c>
      <c r="AM126" s="144"/>
      <c r="AN126" s="17">
        <v>0</v>
      </c>
      <c r="AO126" s="144"/>
      <c r="AP126" s="17">
        <v>-8848</v>
      </c>
      <c r="AQ126" s="144"/>
      <c r="AR126" s="17">
        <v>0</v>
      </c>
      <c r="AS126" s="144"/>
      <c r="AT126" s="17">
        <v>0</v>
      </c>
      <c r="AU126" s="144"/>
      <c r="AV126" s="17">
        <v>0</v>
      </c>
      <c r="AW126" s="144"/>
      <c r="AX126" s="17">
        <v>-3254</v>
      </c>
      <c r="AY126" s="144"/>
      <c r="AZ126" s="17"/>
      <c r="BA126" s="144"/>
      <c r="BB126" s="17"/>
      <c r="BC126" s="144"/>
      <c r="BD126" s="17"/>
      <c r="BE126" s="144"/>
      <c r="BF126" s="17">
        <v>-2410</v>
      </c>
      <c r="BG126" s="144"/>
      <c r="BH126" s="17"/>
      <c r="BI126" s="144"/>
      <c r="BJ126" s="17"/>
      <c r="BK126" s="144"/>
      <c r="BL126" s="17"/>
      <c r="BM126" s="238"/>
      <c r="BN126" s="228"/>
      <c r="BO126" s="238"/>
      <c r="BP126" s="228"/>
      <c r="BQ126" s="238"/>
      <c r="BR126" s="228"/>
    </row>
    <row r="127" spans="1:70" ht="15.75" customHeight="1" x14ac:dyDescent="0.35">
      <c r="A127" s="62" t="s">
        <v>161</v>
      </c>
      <c r="B127" s="17">
        <v>0</v>
      </c>
      <c r="C127" s="3"/>
      <c r="D127" s="17">
        <v>0</v>
      </c>
      <c r="E127" s="3"/>
      <c r="F127" s="17">
        <v>0</v>
      </c>
      <c r="G127" s="3"/>
      <c r="H127" s="17">
        <v>0</v>
      </c>
      <c r="I127" s="3"/>
      <c r="J127" s="17">
        <v>0</v>
      </c>
      <c r="K127" s="3"/>
      <c r="L127" s="17">
        <v>0</v>
      </c>
      <c r="M127" s="3"/>
      <c r="N127" s="17">
        <v>0</v>
      </c>
      <c r="O127" s="3"/>
      <c r="P127" s="17">
        <v>0</v>
      </c>
      <c r="Q127" s="3"/>
      <c r="R127" s="17">
        <v>0</v>
      </c>
      <c r="S127" s="3"/>
      <c r="T127" s="17">
        <v>0</v>
      </c>
      <c r="U127" s="144"/>
      <c r="V127" s="17">
        <v>0</v>
      </c>
      <c r="W127" s="144"/>
      <c r="X127" s="17">
        <v>0</v>
      </c>
      <c r="Y127" s="3"/>
      <c r="Z127" s="17">
        <v>0</v>
      </c>
      <c r="AA127" s="144"/>
      <c r="AB127" s="17">
        <v>0</v>
      </c>
      <c r="AC127" s="144"/>
      <c r="AD127" s="17">
        <v>0</v>
      </c>
      <c r="AE127" s="144"/>
      <c r="AF127" s="17">
        <v>0</v>
      </c>
      <c r="AG127" s="144"/>
      <c r="AH127" s="17">
        <v>-128</v>
      </c>
      <c r="AI127" s="144"/>
      <c r="AJ127" s="17">
        <v>0</v>
      </c>
      <c r="AK127" s="144"/>
      <c r="AL127" s="17">
        <v>0</v>
      </c>
      <c r="AM127" s="144"/>
      <c r="AN127" s="17">
        <v>0</v>
      </c>
      <c r="AO127" s="144"/>
      <c r="AP127" s="17">
        <v>-736</v>
      </c>
      <c r="AQ127" s="144"/>
      <c r="AR127" s="17">
        <v>0</v>
      </c>
      <c r="AS127" s="144"/>
      <c r="AT127" s="17">
        <v>0</v>
      </c>
      <c r="AU127" s="144"/>
      <c r="AV127" s="17">
        <v>0</v>
      </c>
      <c r="AW127" s="144"/>
      <c r="AX127" s="17">
        <v>0</v>
      </c>
      <c r="AY127" s="144"/>
      <c r="AZ127" s="17"/>
      <c r="BA127" s="144"/>
      <c r="BB127" s="17"/>
      <c r="BC127" s="144"/>
      <c r="BD127" s="17"/>
      <c r="BE127" s="144"/>
      <c r="BF127" s="17"/>
      <c r="BG127" s="144"/>
      <c r="BH127" s="17"/>
      <c r="BI127" s="144"/>
      <c r="BJ127" s="17"/>
      <c r="BK127" s="144"/>
      <c r="BL127" s="17"/>
      <c r="BM127" s="238"/>
      <c r="BN127" s="228"/>
      <c r="BO127" s="238"/>
      <c r="BP127" s="228"/>
      <c r="BQ127" s="238"/>
      <c r="BR127" s="228"/>
    </row>
    <row r="128" spans="1:70" ht="15.75" customHeight="1" x14ac:dyDescent="0.35">
      <c r="A128" s="62" t="s">
        <v>437</v>
      </c>
      <c r="B128" s="17">
        <v>0</v>
      </c>
      <c r="C128" s="3"/>
      <c r="D128" s="17">
        <v>0</v>
      </c>
      <c r="E128" s="3"/>
      <c r="F128" s="17">
        <v>0</v>
      </c>
      <c r="G128" s="3"/>
      <c r="H128" s="17">
        <v>0</v>
      </c>
      <c r="I128" s="3"/>
      <c r="J128" s="17">
        <v>0</v>
      </c>
      <c r="K128" s="3"/>
      <c r="L128" s="17">
        <v>0</v>
      </c>
      <c r="M128" s="3"/>
      <c r="N128" s="17">
        <v>0</v>
      </c>
      <c r="O128" s="3"/>
      <c r="P128" s="17">
        <v>0</v>
      </c>
      <c r="Q128" s="3"/>
      <c r="R128" s="17">
        <v>0</v>
      </c>
      <c r="S128" s="3"/>
      <c r="T128" s="17">
        <v>0</v>
      </c>
      <c r="U128" s="144"/>
      <c r="V128" s="17">
        <v>0</v>
      </c>
      <c r="W128" s="144"/>
      <c r="X128" s="17"/>
      <c r="Y128" s="3"/>
      <c r="Z128" s="17">
        <v>0</v>
      </c>
      <c r="AA128" s="144"/>
      <c r="AB128" s="17">
        <v>0</v>
      </c>
      <c r="AC128" s="144"/>
      <c r="AD128" s="17">
        <v>0</v>
      </c>
      <c r="AE128" s="144"/>
      <c r="AF128" s="17">
        <v>0</v>
      </c>
      <c r="AG128" s="144"/>
      <c r="AH128" s="17">
        <v>0</v>
      </c>
      <c r="AI128" s="144"/>
      <c r="AJ128" s="17">
        <v>0</v>
      </c>
      <c r="AK128" s="144"/>
      <c r="AL128" s="17">
        <v>0</v>
      </c>
      <c r="AM128" s="144"/>
      <c r="AN128" s="17">
        <v>0</v>
      </c>
      <c r="AO128" s="144"/>
      <c r="AP128" s="17">
        <v>-41386</v>
      </c>
      <c r="AQ128" s="144"/>
      <c r="AR128" s="17">
        <v>0</v>
      </c>
      <c r="AS128" s="144"/>
      <c r="AT128" s="17">
        <v>1118</v>
      </c>
      <c r="AU128" s="144"/>
      <c r="AV128" s="17">
        <v>0</v>
      </c>
      <c r="AW128" s="144"/>
      <c r="AX128" s="17">
        <v>-10225</v>
      </c>
      <c r="AY128" s="144"/>
      <c r="AZ128" s="17"/>
      <c r="BA128" s="144"/>
      <c r="BB128" s="17">
        <v>-4087</v>
      </c>
      <c r="BC128" s="144"/>
      <c r="BD128" s="17"/>
      <c r="BE128" s="144"/>
      <c r="BF128" s="17">
        <v>-2080</v>
      </c>
      <c r="BG128" s="144"/>
      <c r="BH128" s="17"/>
      <c r="BI128" s="144"/>
      <c r="BJ128" s="17"/>
      <c r="BK128" s="144"/>
      <c r="BL128" s="17"/>
      <c r="BM128" s="238"/>
      <c r="BN128" s="228"/>
      <c r="BO128" s="238"/>
      <c r="BP128" s="228"/>
      <c r="BQ128" s="238"/>
      <c r="BR128" s="228">
        <v>-3080</v>
      </c>
    </row>
    <row r="129" spans="1:70" ht="15.75" customHeight="1" x14ac:dyDescent="0.35">
      <c r="A129" s="62" t="s">
        <v>438</v>
      </c>
      <c r="B129" s="17"/>
      <c r="C129" s="3"/>
      <c r="D129" s="17"/>
      <c r="E129" s="3"/>
      <c r="F129" s="17"/>
      <c r="G129" s="3"/>
      <c r="H129" s="17"/>
      <c r="I129" s="3"/>
      <c r="J129" s="17"/>
      <c r="K129" s="3"/>
      <c r="L129" s="17"/>
      <c r="M129" s="3"/>
      <c r="N129" s="17"/>
      <c r="O129" s="3"/>
      <c r="P129" s="17"/>
      <c r="Q129" s="3"/>
      <c r="R129" s="17"/>
      <c r="S129" s="3"/>
      <c r="T129" s="17"/>
      <c r="U129" s="144"/>
      <c r="V129" s="17"/>
      <c r="W129" s="144"/>
      <c r="X129" s="17"/>
      <c r="Y129" s="3"/>
      <c r="Z129" s="17"/>
      <c r="AA129" s="144"/>
      <c r="AB129" s="17"/>
      <c r="AC129" s="144"/>
      <c r="AD129" s="17"/>
      <c r="AE129" s="144"/>
      <c r="AF129" s="17"/>
      <c r="AG129" s="144"/>
      <c r="AH129" s="17"/>
      <c r="AI129" s="144"/>
      <c r="AJ129" s="17"/>
      <c r="AK129" s="144"/>
      <c r="AL129" s="17"/>
      <c r="AM129" s="144"/>
      <c r="AN129" s="17"/>
      <c r="AO129" s="144"/>
      <c r="AP129" s="17"/>
      <c r="AQ129" s="144"/>
      <c r="AR129" s="17"/>
      <c r="AS129" s="144"/>
      <c r="AT129" s="17"/>
      <c r="AU129" s="144"/>
      <c r="AV129" s="17"/>
      <c r="AW129" s="144"/>
      <c r="AX129" s="17"/>
      <c r="AY129" s="144"/>
      <c r="AZ129" s="17"/>
      <c r="BA129" s="144"/>
      <c r="BB129" s="17"/>
      <c r="BC129" s="144"/>
      <c r="BD129" s="17"/>
      <c r="BE129" s="144"/>
      <c r="BF129" s="17">
        <v>-11180</v>
      </c>
      <c r="BG129" s="144"/>
      <c r="BH129" s="17"/>
      <c r="BI129" s="144"/>
      <c r="BJ129" s="17"/>
      <c r="BK129" s="144"/>
      <c r="BL129" s="17"/>
      <c r="BM129" s="238"/>
      <c r="BN129" s="228">
        <v>-26000</v>
      </c>
      <c r="BO129" s="238"/>
      <c r="BP129" s="228"/>
      <c r="BQ129" s="238"/>
      <c r="BR129" s="228"/>
    </row>
    <row r="130" spans="1:70" ht="15.75" customHeight="1" x14ac:dyDescent="0.35">
      <c r="A130" s="62" t="s">
        <v>162</v>
      </c>
      <c r="B130" s="17">
        <v>0</v>
      </c>
      <c r="C130" s="3"/>
      <c r="D130" s="17">
        <v>0</v>
      </c>
      <c r="E130" s="3"/>
      <c r="F130" s="17">
        <v>0</v>
      </c>
      <c r="G130" s="3"/>
      <c r="H130" s="17">
        <v>0</v>
      </c>
      <c r="I130" s="3"/>
      <c r="J130" s="17">
        <v>0</v>
      </c>
      <c r="K130" s="3"/>
      <c r="L130" s="17">
        <v>0</v>
      </c>
      <c r="M130" s="3"/>
      <c r="N130" s="17">
        <v>0</v>
      </c>
      <c r="O130" s="3"/>
      <c r="P130" s="17">
        <v>0</v>
      </c>
      <c r="Q130" s="3"/>
      <c r="R130" s="17">
        <v>0</v>
      </c>
      <c r="S130" s="3"/>
      <c r="T130" s="17">
        <v>0</v>
      </c>
      <c r="U130" s="144"/>
      <c r="V130" s="17">
        <v>0</v>
      </c>
      <c r="W130" s="144"/>
      <c r="X130" s="17">
        <v>5806</v>
      </c>
      <c r="Y130" s="3"/>
      <c r="Z130" s="17">
        <v>0</v>
      </c>
      <c r="AA130" s="144"/>
      <c r="AB130" s="17">
        <v>0</v>
      </c>
      <c r="AC130" s="144"/>
      <c r="AD130" s="17">
        <v>0</v>
      </c>
      <c r="AE130" s="144"/>
      <c r="AF130" s="17">
        <v>0</v>
      </c>
      <c r="AG130" s="144"/>
      <c r="AH130" s="17">
        <v>0</v>
      </c>
      <c r="AI130" s="144"/>
      <c r="AJ130" s="17">
        <v>0</v>
      </c>
      <c r="AK130" s="144"/>
      <c r="AL130" s="17">
        <v>0</v>
      </c>
      <c r="AM130" s="144"/>
      <c r="AN130" s="17">
        <v>0</v>
      </c>
      <c r="AO130" s="144"/>
      <c r="AP130" s="17">
        <v>0</v>
      </c>
      <c r="AQ130" s="144"/>
      <c r="AR130" s="17">
        <v>0</v>
      </c>
      <c r="AS130" s="144"/>
      <c r="AT130" s="17">
        <v>0</v>
      </c>
      <c r="AU130" s="144"/>
      <c r="AV130" s="17">
        <v>0</v>
      </c>
      <c r="AW130" s="144"/>
      <c r="AX130" s="17">
        <v>0</v>
      </c>
      <c r="AY130" s="144"/>
      <c r="AZ130" s="17"/>
      <c r="BA130" s="144"/>
      <c r="BB130" s="17"/>
      <c r="BC130" s="144"/>
      <c r="BD130" s="17"/>
      <c r="BE130" s="144"/>
      <c r="BF130" s="17">
        <v>1434</v>
      </c>
      <c r="BG130" s="144"/>
      <c r="BH130" s="17">
        <v>1434</v>
      </c>
      <c r="BI130" s="144"/>
      <c r="BJ130" s="17">
        <v>575</v>
      </c>
      <c r="BK130" s="144"/>
      <c r="BL130" s="17">
        <v>1272</v>
      </c>
      <c r="BM130" s="238"/>
      <c r="BN130" s="228">
        <f>5081-BL130-BJ130-BH130</f>
        <v>1800</v>
      </c>
      <c r="BO130" s="238"/>
      <c r="BP130" s="228">
        <v>1031</v>
      </c>
      <c r="BQ130" s="238"/>
      <c r="BR130" s="228">
        <v>1172</v>
      </c>
    </row>
    <row r="131" spans="1:70" ht="15.75" customHeight="1" x14ac:dyDescent="0.35">
      <c r="A131" s="62" t="s">
        <v>163</v>
      </c>
      <c r="B131" s="17">
        <v>0</v>
      </c>
      <c r="C131" s="3"/>
      <c r="D131" s="17">
        <v>0</v>
      </c>
      <c r="E131" s="3"/>
      <c r="F131" s="17">
        <v>0</v>
      </c>
      <c r="G131" s="3"/>
      <c r="H131" s="17">
        <v>0</v>
      </c>
      <c r="I131" s="3"/>
      <c r="J131" s="17">
        <v>0</v>
      </c>
      <c r="K131" s="3"/>
      <c r="L131" s="17">
        <v>0</v>
      </c>
      <c r="M131" s="3"/>
      <c r="N131" s="17">
        <v>0</v>
      </c>
      <c r="O131" s="3"/>
      <c r="P131" s="17">
        <v>0</v>
      </c>
      <c r="Q131" s="3"/>
      <c r="R131" s="17">
        <v>0</v>
      </c>
      <c r="S131" s="3"/>
      <c r="T131" s="17">
        <v>0</v>
      </c>
      <c r="U131" s="144"/>
      <c r="V131" s="17">
        <v>0</v>
      </c>
      <c r="W131" s="144"/>
      <c r="X131" s="17">
        <v>-11278</v>
      </c>
      <c r="Y131" s="3"/>
      <c r="Z131" s="17">
        <f>-12090-X131</f>
        <v>-812</v>
      </c>
      <c r="AA131" s="144"/>
      <c r="AB131" s="17">
        <f>-712*0</f>
        <v>0</v>
      </c>
      <c r="AC131" s="144"/>
      <c r="AD131" s="17">
        <v>0</v>
      </c>
      <c r="AE131" s="144"/>
      <c r="AF131" s="17">
        <v>0</v>
      </c>
      <c r="AG131" s="144"/>
      <c r="AH131" s="17">
        <f>-1256</f>
        <v>-1256</v>
      </c>
      <c r="AI131" s="144"/>
      <c r="AJ131" s="17"/>
      <c r="AK131" s="144"/>
      <c r="AL131" s="17"/>
      <c r="AM131" s="144"/>
      <c r="AN131" s="17"/>
      <c r="AO131" s="144"/>
      <c r="AP131" s="17">
        <v>-18968</v>
      </c>
      <c r="AQ131" s="144"/>
      <c r="AR131" s="17">
        <v>-1307</v>
      </c>
      <c r="AS131" s="144"/>
      <c r="AT131" s="17">
        <v>0</v>
      </c>
      <c r="AU131" s="144"/>
      <c r="AV131" s="17">
        <v>0</v>
      </c>
      <c r="AW131" s="144"/>
      <c r="AX131" s="17">
        <v>0</v>
      </c>
      <c r="AY131" s="144"/>
      <c r="AZ131" s="17"/>
      <c r="BA131" s="144"/>
      <c r="BB131" s="17"/>
      <c r="BC131" s="144"/>
      <c r="BD131" s="17"/>
      <c r="BE131" s="144"/>
      <c r="BG131" s="144"/>
      <c r="BI131" s="144"/>
      <c r="BK131" s="144"/>
      <c r="BM131" s="238"/>
      <c r="BN131" s="222"/>
      <c r="BO131" s="238"/>
      <c r="BP131" s="222"/>
      <c r="BQ131" s="238"/>
      <c r="BR131" s="222">
        <v>-65720</v>
      </c>
    </row>
    <row r="132" spans="1:70" ht="15.75" customHeight="1" x14ac:dyDescent="0.35">
      <c r="A132" s="210" t="s">
        <v>470</v>
      </c>
      <c r="B132" s="17"/>
      <c r="C132" s="3"/>
      <c r="D132" s="17"/>
      <c r="E132" s="3"/>
      <c r="F132" s="17"/>
      <c r="G132" s="3"/>
      <c r="H132" s="17"/>
      <c r="I132" s="3"/>
      <c r="J132" s="17"/>
      <c r="K132" s="3"/>
      <c r="L132" s="17"/>
      <c r="M132" s="3"/>
      <c r="N132" s="17"/>
      <c r="O132" s="3"/>
      <c r="P132" s="17"/>
      <c r="Q132" s="3"/>
      <c r="R132" s="17"/>
      <c r="S132" s="3"/>
      <c r="T132" s="17"/>
      <c r="U132" s="144"/>
      <c r="V132" s="17"/>
      <c r="W132" s="144"/>
      <c r="X132" s="17"/>
      <c r="Y132" s="3"/>
      <c r="Z132" s="17"/>
      <c r="AA132" s="144"/>
      <c r="AB132" s="17"/>
      <c r="AC132" s="144"/>
      <c r="AD132" s="17"/>
      <c r="AE132" s="144"/>
      <c r="AF132" s="17"/>
      <c r="AG132" s="144"/>
      <c r="AH132" s="17"/>
      <c r="AI132" s="144"/>
      <c r="AJ132" s="17"/>
      <c r="AK132" s="144"/>
      <c r="AL132" s="17"/>
      <c r="AM132" s="144"/>
      <c r="AN132" s="17"/>
      <c r="AO132" s="144"/>
      <c r="AP132" s="17"/>
      <c r="AQ132" s="144"/>
      <c r="AR132" s="17"/>
      <c r="AS132" s="144"/>
      <c r="AT132" s="17"/>
      <c r="AU132" s="144"/>
      <c r="AV132" s="17"/>
      <c r="AW132" s="144"/>
      <c r="AX132" s="17"/>
      <c r="AY132" s="144"/>
      <c r="AZ132" s="17"/>
      <c r="BA132" s="144"/>
      <c r="BB132" s="17"/>
      <c r="BC132" s="144"/>
      <c r="BD132" s="17"/>
      <c r="BE132" s="144"/>
      <c r="BG132" s="144"/>
      <c r="BI132" s="144"/>
      <c r="BK132" s="144"/>
      <c r="BL132" s="38">
        <v>1665</v>
      </c>
      <c r="BM132" s="238"/>
      <c r="BN132" s="222">
        <v>-627</v>
      </c>
      <c r="BO132" s="238"/>
      <c r="BP132" s="222">
        <v>296</v>
      </c>
      <c r="BQ132" s="238"/>
      <c r="BR132" s="222">
        <v>46</v>
      </c>
    </row>
    <row r="133" spans="1:70" ht="15.75" customHeight="1" x14ac:dyDescent="0.35">
      <c r="A133" s="210" t="s">
        <v>408</v>
      </c>
      <c r="B133" s="17"/>
      <c r="C133" s="3"/>
      <c r="D133" s="17"/>
      <c r="E133" s="3"/>
      <c r="F133" s="17"/>
      <c r="G133" s="3"/>
      <c r="H133" s="17"/>
      <c r="I133" s="3"/>
      <c r="J133" s="17"/>
      <c r="K133" s="3"/>
      <c r="L133" s="17"/>
      <c r="M133" s="3"/>
      <c r="N133" s="17"/>
      <c r="O133" s="3"/>
      <c r="P133" s="17"/>
      <c r="Q133" s="3"/>
      <c r="R133" s="17"/>
      <c r="S133" s="3"/>
      <c r="T133" s="17"/>
      <c r="U133" s="144"/>
      <c r="V133" s="17"/>
      <c r="W133" s="144"/>
      <c r="X133" s="17"/>
      <c r="Y133" s="3"/>
      <c r="Z133" s="17"/>
      <c r="AA133" s="144"/>
      <c r="AB133" s="17"/>
      <c r="AC133" s="144"/>
      <c r="AD133" s="17"/>
      <c r="AE133" s="144"/>
      <c r="AF133" s="17"/>
      <c r="AG133" s="144"/>
      <c r="AH133" s="17"/>
      <c r="AI133" s="144"/>
      <c r="AJ133" s="17"/>
      <c r="AK133" s="144"/>
      <c r="AL133" s="17"/>
      <c r="AM133" s="144"/>
      <c r="AN133" s="17"/>
      <c r="AO133" s="144"/>
      <c r="AP133" s="17"/>
      <c r="AQ133" s="144"/>
      <c r="AR133" s="17"/>
      <c r="AS133" s="144"/>
      <c r="AT133" s="17"/>
      <c r="AU133" s="144"/>
      <c r="AV133" s="17"/>
      <c r="AW133" s="144"/>
      <c r="AX133" s="17"/>
      <c r="AY133" s="144"/>
      <c r="AZ133" s="17"/>
      <c r="BA133" s="144"/>
      <c r="BB133" s="17"/>
      <c r="BC133" s="144"/>
      <c r="BD133" s="17">
        <v>10252</v>
      </c>
      <c r="BE133" s="144"/>
      <c r="BF133" s="17"/>
      <c r="BG133" s="144"/>
      <c r="BH133" s="17"/>
      <c r="BI133" s="144"/>
      <c r="BJ133" s="17">
        <v>-2151</v>
      </c>
      <c r="BK133" s="144"/>
      <c r="BL133" s="17"/>
      <c r="BM133" s="238"/>
      <c r="BN133" s="228"/>
      <c r="BO133" s="238"/>
      <c r="BP133" s="228"/>
      <c r="BQ133" s="238"/>
      <c r="BR133" s="228"/>
    </row>
    <row r="134" spans="1:70" ht="15.75" customHeight="1" x14ac:dyDescent="0.35">
      <c r="A134" s="218" t="s">
        <v>450</v>
      </c>
      <c r="B134" s="17"/>
      <c r="C134" s="3"/>
      <c r="D134" s="17"/>
      <c r="E134" s="3"/>
      <c r="F134" s="17"/>
      <c r="G134" s="3"/>
      <c r="H134" s="17"/>
      <c r="I134" s="3"/>
      <c r="J134" s="17"/>
      <c r="K134" s="3"/>
      <c r="L134" s="17"/>
      <c r="M134" s="3"/>
      <c r="N134" s="17"/>
      <c r="O134" s="3"/>
      <c r="P134" s="17"/>
      <c r="Q134" s="3"/>
      <c r="R134" s="17"/>
      <c r="S134" s="3"/>
      <c r="T134" s="17"/>
      <c r="U134" s="144"/>
      <c r="V134" s="17"/>
      <c r="W134" s="144"/>
      <c r="X134" s="17"/>
      <c r="Y134" s="3"/>
      <c r="Z134" s="17"/>
      <c r="AA134" s="144"/>
      <c r="AB134" s="17"/>
      <c r="AC134" s="144"/>
      <c r="AD134" s="17"/>
      <c r="AE134" s="144"/>
      <c r="AF134" s="17"/>
      <c r="AG134" s="144"/>
      <c r="AH134" s="17"/>
      <c r="AI134" s="144"/>
      <c r="AJ134" s="17"/>
      <c r="AK134" s="144"/>
      <c r="AL134" s="17"/>
      <c r="AM134" s="144"/>
      <c r="AN134" s="17"/>
      <c r="AO134" s="144"/>
      <c r="AP134" s="17"/>
      <c r="AQ134" s="144"/>
      <c r="AR134" s="17"/>
      <c r="AS134" s="144"/>
      <c r="AT134" s="17"/>
      <c r="AU134" s="144"/>
      <c r="AV134" s="17"/>
      <c r="AW134" s="144"/>
      <c r="AX134" s="17"/>
      <c r="AY134" s="144"/>
      <c r="AZ134" s="17"/>
      <c r="BA134" s="144"/>
      <c r="BB134" s="17"/>
      <c r="BC134" s="144"/>
      <c r="BD134" s="17"/>
      <c r="BE134" s="144"/>
      <c r="BF134" s="17"/>
      <c r="BG134" s="144"/>
      <c r="BH134" s="17">
        <v>-14438</v>
      </c>
      <c r="BI134" s="144"/>
      <c r="BJ134" s="17"/>
      <c r="BK134" s="144"/>
      <c r="BL134" s="17"/>
      <c r="BM134" s="238"/>
      <c r="BN134" s="228"/>
      <c r="BO134" s="238"/>
      <c r="BP134" s="228"/>
      <c r="BQ134" s="238"/>
      <c r="BR134" s="228"/>
    </row>
    <row r="135" spans="1:70" ht="15.75" customHeight="1" x14ac:dyDescent="0.35">
      <c r="A135" s="218" t="s">
        <v>520</v>
      </c>
      <c r="B135" s="17"/>
      <c r="C135" s="3"/>
      <c r="D135" s="17"/>
      <c r="E135" s="3"/>
      <c r="F135" s="17"/>
      <c r="G135" s="3"/>
      <c r="H135" s="17"/>
      <c r="I135" s="3"/>
      <c r="J135" s="17"/>
      <c r="K135" s="3"/>
      <c r="L135" s="17"/>
      <c r="M135" s="3"/>
      <c r="N135" s="17"/>
      <c r="O135" s="3"/>
      <c r="P135" s="17"/>
      <c r="Q135" s="3"/>
      <c r="R135" s="17"/>
      <c r="S135" s="3"/>
      <c r="T135" s="17"/>
      <c r="U135" s="144"/>
      <c r="V135" s="17"/>
      <c r="W135" s="144"/>
      <c r="X135" s="17"/>
      <c r="Y135" s="3"/>
      <c r="Z135" s="17"/>
      <c r="AA135" s="144"/>
      <c r="AB135" s="17"/>
      <c r="AC135" s="144"/>
      <c r="AD135" s="17"/>
      <c r="AE135" s="144"/>
      <c r="AF135" s="17"/>
      <c r="AG135" s="144"/>
      <c r="AH135" s="17"/>
      <c r="AI135" s="144"/>
      <c r="AJ135" s="17"/>
      <c r="AK135" s="144"/>
      <c r="AL135" s="17"/>
      <c r="AM135" s="144"/>
      <c r="AN135" s="17"/>
      <c r="AO135" s="144"/>
      <c r="AP135" s="17"/>
      <c r="AQ135" s="144"/>
      <c r="AR135" s="17"/>
      <c r="AS135" s="144"/>
      <c r="AT135" s="17"/>
      <c r="AU135" s="144"/>
      <c r="AV135" s="17"/>
      <c r="AW135" s="144"/>
      <c r="AX135" s="17"/>
      <c r="AY135" s="144"/>
      <c r="AZ135" s="17"/>
      <c r="BA135" s="144"/>
      <c r="BB135" s="17"/>
      <c r="BC135" s="144"/>
      <c r="BD135" s="17"/>
      <c r="BE135" s="144"/>
      <c r="BF135" s="17"/>
      <c r="BG135" s="144"/>
      <c r="BH135" s="17"/>
      <c r="BI135" s="144"/>
      <c r="BJ135" s="17"/>
      <c r="BK135" s="144"/>
      <c r="BL135" s="17"/>
      <c r="BM135" s="238"/>
      <c r="BN135" s="228"/>
      <c r="BO135" s="238"/>
      <c r="BP135" s="228">
        <v>5348</v>
      </c>
      <c r="BQ135" s="238"/>
      <c r="BR135" s="228"/>
    </row>
    <row r="136" spans="1:70" ht="15.65" customHeight="1" x14ac:dyDescent="0.35">
      <c r="A136" s="62" t="s">
        <v>519</v>
      </c>
      <c r="B136" s="17">
        <v>0</v>
      </c>
      <c r="C136" s="3"/>
      <c r="D136" s="17">
        <v>0</v>
      </c>
      <c r="E136" s="3"/>
      <c r="F136" s="17">
        <v>0</v>
      </c>
      <c r="G136" s="3"/>
      <c r="H136" s="17">
        <v>0</v>
      </c>
      <c r="I136" s="3"/>
      <c r="J136" s="17">
        <v>0</v>
      </c>
      <c r="K136" s="3"/>
      <c r="L136" s="17">
        <v>0</v>
      </c>
      <c r="M136" s="3"/>
      <c r="N136" s="17">
        <v>0</v>
      </c>
      <c r="O136" s="3"/>
      <c r="P136" s="17">
        <v>0</v>
      </c>
      <c r="Q136" s="3"/>
      <c r="R136" s="17">
        <v>0</v>
      </c>
      <c r="S136" s="3"/>
      <c r="T136" s="17">
        <v>0</v>
      </c>
      <c r="U136" s="144"/>
      <c r="V136" s="17">
        <v>1035</v>
      </c>
      <c r="W136" s="144"/>
      <c r="X136" s="148">
        <f>657-V136</f>
        <v>-378</v>
      </c>
      <c r="Y136" s="3"/>
      <c r="Z136" s="148">
        <f>578-X136-V136</f>
        <v>-79</v>
      </c>
      <c r="AA136" s="144"/>
      <c r="AB136" s="148">
        <v>0</v>
      </c>
      <c r="AC136" s="144"/>
      <c r="AD136" s="17">
        <v>0</v>
      </c>
      <c r="AE136" s="144"/>
      <c r="AF136" s="17">
        <v>0</v>
      </c>
      <c r="AG136" s="144"/>
      <c r="AH136" s="17">
        <v>98</v>
      </c>
      <c r="AI136" s="144"/>
      <c r="AJ136" s="17">
        <v>229</v>
      </c>
      <c r="AK136" s="144"/>
      <c r="AL136" s="17">
        <v>8649</v>
      </c>
      <c r="AM136" s="144"/>
      <c r="AN136" s="17">
        <v>6234</v>
      </c>
      <c r="AO136" s="144"/>
      <c r="AP136" s="17">
        <v>-12259</v>
      </c>
      <c r="AQ136" s="144"/>
      <c r="AR136" s="17">
        <v>0</v>
      </c>
      <c r="AS136" s="144"/>
      <c r="AT136" s="17">
        <v>0</v>
      </c>
      <c r="AU136" s="144"/>
      <c r="AV136" s="17">
        <v>295</v>
      </c>
      <c r="AW136" s="144"/>
      <c r="AX136" s="17">
        <v>5236</v>
      </c>
      <c r="AY136" s="144"/>
      <c r="AZ136" s="17">
        <v>344</v>
      </c>
      <c r="BA136" s="144"/>
      <c r="BB136" s="17">
        <v>0</v>
      </c>
      <c r="BC136" s="144"/>
      <c r="BD136" s="17">
        <v>-725</v>
      </c>
      <c r="BE136" s="144"/>
      <c r="BF136" s="17"/>
      <c r="BG136" s="144"/>
      <c r="BH136" s="17"/>
      <c r="BI136" s="144"/>
      <c r="BJ136" s="17"/>
      <c r="BK136" s="144"/>
      <c r="BL136" s="17"/>
      <c r="BM136" s="238"/>
      <c r="BN136" s="228">
        <v>71377</v>
      </c>
      <c r="BO136" s="238"/>
      <c r="BQ136" s="238"/>
      <c r="BR136" s="38">
        <v>-3010</v>
      </c>
    </row>
    <row r="137" spans="1:70" s="144" customFormat="1" ht="15.75" customHeight="1" x14ac:dyDescent="0.35">
      <c r="A137" s="170" t="s">
        <v>62</v>
      </c>
      <c r="B137" s="17">
        <v>0</v>
      </c>
      <c r="C137" s="3"/>
      <c r="D137" s="17">
        <f>'DRE Histórico_Consolidado'!K33</f>
        <v>720</v>
      </c>
      <c r="E137" s="3"/>
      <c r="F137" s="17">
        <f>'DRE Histórico_Consolidado'!M33</f>
        <v>158</v>
      </c>
      <c r="G137" s="3"/>
      <c r="H137" s="17">
        <f>'DRE Histórico_Consolidado'!O33</f>
        <v>-1192</v>
      </c>
      <c r="I137" s="3"/>
      <c r="J137" s="17">
        <f>'DRE Histórico_Consolidado'!Q33</f>
        <v>5454</v>
      </c>
      <c r="K137" s="3"/>
      <c r="L137" s="17">
        <f>'DRE Histórico_Consolidado'!S33</f>
        <v>-505</v>
      </c>
      <c r="M137" s="3"/>
      <c r="N137" s="17">
        <f>'DRE Histórico_Consolidado'!U33</f>
        <v>-1986</v>
      </c>
      <c r="O137" s="3"/>
      <c r="P137" s="17">
        <f>'DRE Histórico_Consolidado'!W33</f>
        <v>-2943</v>
      </c>
      <c r="Q137" s="3"/>
      <c r="R137" s="17">
        <f>'DRE Histórico_Consolidado'!Y33</f>
        <v>-5364</v>
      </c>
      <c r="T137" s="17">
        <f>'DRE Histórico_Consolidado'!AA33</f>
        <v>3270</v>
      </c>
      <c r="V137" s="17">
        <f>'DRE Histórico_Consolidado'!AC33</f>
        <v>-18152</v>
      </c>
      <c r="X137" s="17">
        <f>'DRE Histórico_Consolidado'!AE33</f>
        <v>-4930</v>
      </c>
      <c r="Y137" s="3"/>
      <c r="Z137" s="17">
        <f>'DRE Histórico_Consolidado'!AG33</f>
        <v>16716</v>
      </c>
      <c r="AB137" s="17">
        <f>'DRE Histórico_Consolidado'!AI33</f>
        <v>-1031</v>
      </c>
      <c r="AD137" s="17">
        <f>'DRE Histórico_Consolidado'!AK33</f>
        <v>6204</v>
      </c>
      <c r="AF137" s="17">
        <f>'DRE Histórico_Consolidado'!AM33</f>
        <v>3781</v>
      </c>
      <c r="AH137" s="17">
        <f>'DRE Histórico_Consolidado'!AO33</f>
        <v>5545</v>
      </c>
      <c r="AJ137" s="17">
        <f>'DRE Histórico_Consolidado'!AQ33</f>
        <v>5230</v>
      </c>
      <c r="AL137" s="17">
        <f>'DRE Histórico_Consolidado'!AS33</f>
        <v>10946</v>
      </c>
      <c r="AN137" s="17">
        <f>'DRE Histórico_Consolidado'!AU33</f>
        <v>36381</v>
      </c>
      <c r="AP137" s="17">
        <f>'DRE Histórico_Consolidado'!AW33</f>
        <v>12377</v>
      </c>
      <c r="AR137" s="17">
        <f>'DRE Histórico_Consolidado'!AY33</f>
        <v>8865</v>
      </c>
      <c r="AT137" s="17">
        <f>'DRE Histórico_Consolidado'!BA33</f>
        <v>8949</v>
      </c>
      <c r="AV137" s="17">
        <f>'DRE Histórico_Consolidado'!BC33</f>
        <v>2339</v>
      </c>
      <c r="AX137" s="17">
        <f>'DRE Histórico_Consolidado'!BE33</f>
        <v>4926</v>
      </c>
      <c r="AZ137" s="17">
        <f>'DRE Histórico_Consolidado'!BG33</f>
        <v>2835</v>
      </c>
      <c r="BB137" s="17">
        <f>'DRE Histórico_Consolidado'!BI33</f>
        <v>-2696</v>
      </c>
      <c r="BD137" s="17">
        <f>'DRE Histórico_Consolidado'!BK33</f>
        <v>20767</v>
      </c>
      <c r="BF137" s="17">
        <f>'DRE Histórico_Consolidado'!BM33</f>
        <v>21349</v>
      </c>
      <c r="BH137" s="17">
        <f>'DRE Histórico_Consolidado'!BO33</f>
        <v>4017</v>
      </c>
      <c r="BJ137" s="17">
        <f>'DRE Histórico_Consolidado'!BQ33</f>
        <v>508</v>
      </c>
      <c r="BL137" s="17">
        <f>'DRE Histórico_Consolidado'!BS33</f>
        <v>3060</v>
      </c>
      <c r="BM137" s="238"/>
      <c r="BN137" s="228">
        <f>'DRE Histórico_Consolidado'!BU33</f>
        <v>819</v>
      </c>
      <c r="BO137" s="238"/>
      <c r="BP137" s="228">
        <f>'DRE Histórico_Consolidado'!BW33</f>
        <v>52715</v>
      </c>
      <c r="BQ137" s="238"/>
      <c r="BR137" s="228">
        <f>'DRE Histórico_Consolidado'!BY33</f>
        <v>-1030</v>
      </c>
    </row>
    <row r="138" spans="1:70" ht="15.75" customHeight="1" x14ac:dyDescent="0.35">
      <c r="A138" s="62" t="s">
        <v>164</v>
      </c>
      <c r="B138" s="17">
        <v>0</v>
      </c>
      <c r="C138" s="3"/>
      <c r="D138" s="17">
        <v>0</v>
      </c>
      <c r="E138" s="3"/>
      <c r="F138" s="17">
        <v>0</v>
      </c>
      <c r="G138" s="3"/>
      <c r="H138" s="17">
        <v>0</v>
      </c>
      <c r="I138" s="3"/>
      <c r="J138" s="17">
        <v>0</v>
      </c>
      <c r="K138" s="3"/>
      <c r="L138" s="17">
        <v>0</v>
      </c>
      <c r="M138" s="3"/>
      <c r="N138" s="17">
        <v>0</v>
      </c>
      <c r="O138" s="3"/>
      <c r="P138" s="17">
        <v>0</v>
      </c>
      <c r="Q138" s="3"/>
      <c r="R138" s="17">
        <v>0</v>
      </c>
      <c r="S138" s="144"/>
      <c r="T138" s="17">
        <v>0</v>
      </c>
      <c r="U138" s="144"/>
      <c r="V138" s="17">
        <v>0</v>
      </c>
      <c r="W138" s="144"/>
      <c r="X138" s="17">
        <v>0</v>
      </c>
      <c r="Y138" s="144"/>
      <c r="Z138" s="17">
        <v>0</v>
      </c>
      <c r="AA138" s="144"/>
      <c r="AB138" s="17">
        <v>0</v>
      </c>
      <c r="AC138" s="144"/>
      <c r="AD138" s="17">
        <v>-2586</v>
      </c>
      <c r="AE138" s="144"/>
      <c r="AF138" s="17">
        <v>-1791</v>
      </c>
      <c r="AG138" s="144"/>
      <c r="AH138" s="17">
        <v>-2204</v>
      </c>
      <c r="AI138" s="144"/>
      <c r="AJ138" s="17">
        <v>0</v>
      </c>
      <c r="AK138" s="144"/>
      <c r="AL138" s="17">
        <f>-9303+6581</f>
        <v>-2722</v>
      </c>
      <c r="AM138" s="144"/>
      <c r="AN138" s="17">
        <f>-11978+9303</f>
        <v>-2675</v>
      </c>
      <c r="AO138" s="144"/>
      <c r="AP138" s="17">
        <v>0</v>
      </c>
      <c r="AQ138" s="144"/>
      <c r="AR138" s="17">
        <v>0</v>
      </c>
      <c r="AS138" s="144"/>
      <c r="AT138" s="17">
        <v>0</v>
      </c>
      <c r="AU138" s="144"/>
      <c r="AV138" s="17">
        <v>0</v>
      </c>
      <c r="AW138" s="144"/>
      <c r="AX138" s="17">
        <v>0</v>
      </c>
      <c r="AY138" s="144"/>
      <c r="AZ138" s="17">
        <v>0</v>
      </c>
      <c r="BA138" s="144"/>
      <c r="BB138" s="17">
        <v>0</v>
      </c>
      <c r="BC138" s="144"/>
      <c r="BD138" s="17">
        <v>11978</v>
      </c>
      <c r="BE138" s="144"/>
      <c r="BF138" s="17">
        <v>0</v>
      </c>
      <c r="BG138" s="144"/>
      <c r="BH138" s="17">
        <v>0</v>
      </c>
      <c r="BI138" s="144"/>
      <c r="BJ138" s="17">
        <v>0</v>
      </c>
      <c r="BK138" s="144"/>
      <c r="BL138" s="17">
        <v>0</v>
      </c>
      <c r="BM138" s="238"/>
      <c r="BN138" s="228">
        <v>0</v>
      </c>
      <c r="BO138" s="238"/>
      <c r="BP138" s="228">
        <v>0</v>
      </c>
      <c r="BQ138" s="238"/>
      <c r="BR138" s="228">
        <v>0</v>
      </c>
    </row>
    <row r="139" spans="1:70" ht="15.75" customHeight="1" x14ac:dyDescent="0.35">
      <c r="A139" s="62" t="s">
        <v>165</v>
      </c>
      <c r="B139" s="17">
        <f>B99</f>
        <v>54774</v>
      </c>
      <c r="C139" s="3"/>
      <c r="D139" s="17">
        <f>SUM(D120:D137)</f>
        <v>55229</v>
      </c>
      <c r="E139" s="17"/>
      <c r="F139" s="17">
        <f>SUM(F120:F137)</f>
        <v>61867</v>
      </c>
      <c r="G139" s="3"/>
      <c r="H139" s="17">
        <f>SUM(H120:H137)</f>
        <v>60675</v>
      </c>
      <c r="I139" s="3"/>
      <c r="J139" s="17">
        <f>SUM(J120:J137)</f>
        <v>66129</v>
      </c>
      <c r="K139" s="3"/>
      <c r="L139" s="17">
        <f>SUM(L120:L137)</f>
        <v>65624</v>
      </c>
      <c r="M139" s="3"/>
      <c r="N139" s="17">
        <f>SUM(N120:N137)</f>
        <v>62916</v>
      </c>
      <c r="O139" s="3"/>
      <c r="P139" s="17">
        <f>SUM(P120:P137)</f>
        <v>59973</v>
      </c>
      <c r="Q139" s="3"/>
      <c r="R139" s="17">
        <f>SUM(R120:R137)</f>
        <v>74609</v>
      </c>
      <c r="S139" s="144"/>
      <c r="T139" s="17">
        <f>SUM(T120:T137)</f>
        <v>235391</v>
      </c>
      <c r="U139" s="144"/>
      <c r="V139" s="17">
        <f>SUM(V120:V137)</f>
        <v>218169</v>
      </c>
      <c r="W139" s="144"/>
      <c r="X139" s="17">
        <f>SUM(X120:X137)</f>
        <v>209663</v>
      </c>
      <c r="Y139" s="3"/>
      <c r="Z139" s="17">
        <f>SUM(Z120:Z137)</f>
        <v>225586</v>
      </c>
      <c r="AA139" s="144"/>
      <c r="AB139" s="17">
        <f>SUM(AB120:AB137)</f>
        <v>224555</v>
      </c>
      <c r="AC139" s="17"/>
      <c r="AD139" s="17">
        <f>SUM(AD120:AD138)</f>
        <v>228478</v>
      </c>
      <c r="AE139" s="144"/>
      <c r="AF139" s="17">
        <f>SUM(AF120:AF138)</f>
        <v>230468</v>
      </c>
      <c r="AG139" s="144"/>
      <c r="AH139" s="17">
        <f>SUM(AH120:AH138)</f>
        <v>229080</v>
      </c>
      <c r="AI139" s="144"/>
      <c r="AJ139" s="17">
        <f>SUM(AJ120:AJ138)</f>
        <v>234769</v>
      </c>
      <c r="AK139" s="144"/>
      <c r="AL139" s="17">
        <f>SUM(AL120:AL138)</f>
        <v>251642</v>
      </c>
      <c r="AM139" s="144"/>
      <c r="AN139" s="17">
        <f>SUM(AN120:AN138)</f>
        <v>291582</v>
      </c>
      <c r="AO139" s="144"/>
      <c r="AP139" s="17">
        <f>SUM(AP120:AP138)</f>
        <v>221762</v>
      </c>
      <c r="AQ139" s="144"/>
      <c r="AR139" s="17">
        <f>SUM(AR120:AR138)</f>
        <v>229320</v>
      </c>
      <c r="AS139" s="144"/>
      <c r="AT139" s="17">
        <f>SUM(AT120:AT138)</f>
        <v>239387</v>
      </c>
      <c r="AU139" s="144"/>
      <c r="AV139" s="17">
        <f>SUM(AV120:AV138)</f>
        <v>242021</v>
      </c>
      <c r="AW139" s="144"/>
      <c r="AX139" s="17">
        <f>SUM(AX120:AX138)</f>
        <v>238704</v>
      </c>
      <c r="AY139" s="144"/>
      <c r="AZ139" s="17">
        <f>SUM(AZ120:AZ138)</f>
        <v>326599</v>
      </c>
      <c r="BA139" s="144"/>
      <c r="BB139" s="17">
        <f>SUM(BB120:BB138)</f>
        <v>319796</v>
      </c>
      <c r="BC139" s="144"/>
      <c r="BD139" s="17">
        <f>SUM(BD120:BD138)</f>
        <v>362068</v>
      </c>
      <c r="BE139" s="144"/>
      <c r="BF139" s="17">
        <f>SUM(BF120:BF138)</f>
        <v>369088</v>
      </c>
      <c r="BG139" s="144"/>
      <c r="BH139" s="17">
        <f>SUM(BH120:BH138)</f>
        <v>360101</v>
      </c>
      <c r="BI139" s="144"/>
      <c r="BJ139" s="17">
        <f>SUM(BJ120:BJ138)</f>
        <v>359033</v>
      </c>
      <c r="BK139" s="144"/>
      <c r="BL139" s="17">
        <f>SUM(BL120:BL138)</f>
        <v>515063</v>
      </c>
      <c r="BM139" s="238"/>
      <c r="BN139" s="228">
        <f>SUM(BN120:BN138)</f>
        <v>562334</v>
      </c>
      <c r="BO139" s="238"/>
      <c r="BP139" s="228">
        <f>SUM(BP120:BP138)</f>
        <v>621769</v>
      </c>
      <c r="BQ139" s="238"/>
      <c r="BR139" s="228">
        <f>SUM(BR120:BR138)</f>
        <v>553249</v>
      </c>
    </row>
    <row r="140" spans="1:70" ht="15.75" customHeight="1" x14ac:dyDescent="0.35">
      <c r="A140" s="62" t="s">
        <v>166</v>
      </c>
      <c r="B140" s="3"/>
      <c r="C140" s="3"/>
      <c r="D140" s="17">
        <f>D139-D99</f>
        <v>0</v>
      </c>
      <c r="E140" s="3"/>
      <c r="F140" s="17">
        <f>F139-F99</f>
        <v>0</v>
      </c>
      <c r="G140" s="3"/>
      <c r="H140" s="17">
        <f>H139-H99</f>
        <v>0</v>
      </c>
      <c r="I140" s="3"/>
      <c r="J140" s="17">
        <f>J139-J99</f>
        <v>0</v>
      </c>
      <c r="K140" s="3"/>
      <c r="L140" s="17">
        <f>L139-L99</f>
        <v>0</v>
      </c>
      <c r="M140" s="3"/>
      <c r="N140" s="17">
        <f>N139-N99</f>
        <v>0</v>
      </c>
      <c r="O140" s="3"/>
      <c r="P140" s="17">
        <f>P139-P99</f>
        <v>0</v>
      </c>
      <c r="Q140" s="3"/>
      <c r="R140" s="17">
        <f>R139-R99</f>
        <v>0</v>
      </c>
      <c r="S140" s="144"/>
      <c r="T140" s="17">
        <f>T139-T99</f>
        <v>0</v>
      </c>
      <c r="U140" s="144"/>
      <c r="V140" s="17">
        <f>V139-V99</f>
        <v>0</v>
      </c>
      <c r="W140" s="144"/>
      <c r="X140" s="17">
        <f>X139-X99</f>
        <v>0</v>
      </c>
      <c r="Y140" s="3"/>
      <c r="Z140" s="17">
        <f>Z139-Z99</f>
        <v>0</v>
      </c>
      <c r="AA140" s="144"/>
      <c r="AB140" s="17">
        <f>AB139-AB99</f>
        <v>0</v>
      </c>
      <c r="AC140" s="144"/>
      <c r="AD140" s="17">
        <f>AD139-AD99</f>
        <v>0</v>
      </c>
      <c r="AE140" s="144"/>
      <c r="AF140" s="17">
        <f>AF139-AF99</f>
        <v>0</v>
      </c>
      <c r="AG140" s="144"/>
      <c r="AH140" s="17">
        <f>AH139-AH99</f>
        <v>0.19438000000081956</v>
      </c>
      <c r="AI140" s="144"/>
      <c r="AJ140" s="17">
        <f>AJ139-AJ99</f>
        <v>0</v>
      </c>
      <c r="AK140" s="144"/>
      <c r="AL140" s="17">
        <f>AL139-AL99</f>
        <v>0</v>
      </c>
      <c r="AM140" s="144"/>
      <c r="AN140" s="17">
        <f>AN139-AN99</f>
        <v>0</v>
      </c>
      <c r="AO140" s="144"/>
      <c r="AP140" s="17">
        <f>AP139-AP99</f>
        <v>0</v>
      </c>
      <c r="AQ140" s="144"/>
      <c r="AR140" s="17">
        <f>AR139-AR99</f>
        <v>0</v>
      </c>
      <c r="AS140" s="144"/>
      <c r="AT140" s="17">
        <f>AT139-AT99</f>
        <v>-0.20199000000138767</v>
      </c>
      <c r="AU140" s="144"/>
      <c r="AV140" s="17">
        <f>AV139-AV99</f>
        <v>0</v>
      </c>
      <c r="AW140" s="144"/>
      <c r="AX140" s="17">
        <f>AX139-AX99</f>
        <v>0</v>
      </c>
      <c r="AY140" s="144"/>
      <c r="AZ140" s="17">
        <f>AZ139-AZ99</f>
        <v>-0.39866000000620261</v>
      </c>
      <c r="BA140" s="144"/>
      <c r="BB140" s="17">
        <f>BB139-BB99</f>
        <v>0</v>
      </c>
      <c r="BC140" s="144"/>
      <c r="BD140" s="17">
        <f>BD139-BD99</f>
        <v>0</v>
      </c>
      <c r="BE140" s="144"/>
      <c r="BF140" s="17">
        <f>BF139-BF99</f>
        <v>0</v>
      </c>
      <c r="BG140" s="144"/>
      <c r="BH140" s="17">
        <f>BH139-BH99</f>
        <v>0</v>
      </c>
      <c r="BI140" s="144"/>
      <c r="BJ140" s="17">
        <f>BJ139-BJ99</f>
        <v>0</v>
      </c>
      <c r="BK140" s="144"/>
      <c r="BL140" s="17"/>
      <c r="BM140" s="238"/>
      <c r="BN140" s="228">
        <f>BN139-BN99</f>
        <v>0</v>
      </c>
      <c r="BO140" s="238"/>
      <c r="BP140" s="228">
        <f>BP139-BP99</f>
        <v>0</v>
      </c>
      <c r="BQ140" s="238"/>
      <c r="BR140" s="228">
        <f>BR139-BR99</f>
        <v>0</v>
      </c>
    </row>
    <row r="141" spans="1:70" ht="15.75" customHeight="1" x14ac:dyDescent="0.3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144"/>
      <c r="T141" s="3"/>
      <c r="U141" s="144"/>
      <c r="V141" s="3"/>
      <c r="W141" s="144"/>
      <c r="X141" s="3"/>
      <c r="Y141" s="3"/>
      <c r="Z141" s="3"/>
      <c r="AA141" s="144"/>
      <c r="AB141" s="144"/>
      <c r="AC141" s="144"/>
      <c r="AD141" s="144"/>
      <c r="AE141" s="144"/>
      <c r="AF141" s="144"/>
      <c r="AG141" s="144"/>
      <c r="AH141" s="144"/>
      <c r="AI141" s="144"/>
      <c r="AJ141" s="144"/>
      <c r="AK141" s="144"/>
      <c r="AL141" s="144"/>
      <c r="AM141" s="144"/>
      <c r="AN141" s="144"/>
      <c r="AO141" s="144"/>
      <c r="AP141" s="144"/>
      <c r="AQ141" s="144"/>
      <c r="AR141" s="144"/>
      <c r="AS141" s="144"/>
      <c r="AT141" s="144"/>
      <c r="AU141" s="144"/>
      <c r="AV141" s="144"/>
      <c r="AW141" s="144"/>
      <c r="AX141" s="144"/>
      <c r="AY141" s="144"/>
      <c r="AZ141" s="144"/>
      <c r="BA141" s="144"/>
      <c r="BB141" s="144"/>
      <c r="BC141" s="144"/>
      <c r="BD141" s="144"/>
      <c r="BE141" s="144"/>
      <c r="BF141" s="144"/>
      <c r="BG141" s="144"/>
      <c r="BH141" s="144"/>
      <c r="BI141" s="144"/>
      <c r="BJ141" s="144"/>
      <c r="BK141" s="144"/>
      <c r="BL141" s="144"/>
      <c r="BM141" s="238"/>
      <c r="BN141" s="238"/>
      <c r="BO141" s="238"/>
      <c r="BP141" s="238"/>
      <c r="BQ141" s="238"/>
      <c r="BR141" s="238"/>
    </row>
    <row r="142" spans="1:70" ht="15.75" customHeight="1" x14ac:dyDescent="0.35">
      <c r="A142" s="62" t="s">
        <v>167</v>
      </c>
      <c r="B142" s="144"/>
      <c r="C142" s="144"/>
      <c r="D142" s="17">
        <v>0</v>
      </c>
      <c r="E142" s="3"/>
      <c r="F142" s="17">
        <v>0</v>
      </c>
      <c r="G142" s="3"/>
      <c r="H142" s="17">
        <v>0</v>
      </c>
      <c r="I142" s="3"/>
      <c r="J142" s="17">
        <v>0</v>
      </c>
      <c r="K142" s="3"/>
      <c r="L142" s="17">
        <v>0</v>
      </c>
      <c r="M142" s="3"/>
      <c r="N142" s="17">
        <v>0</v>
      </c>
      <c r="O142" s="3"/>
      <c r="P142" s="17">
        <v>0</v>
      </c>
      <c r="Q142" s="3"/>
      <c r="R142" s="17">
        <v>0</v>
      </c>
      <c r="S142" s="144"/>
      <c r="T142" s="17">
        <v>0</v>
      </c>
      <c r="U142" s="144"/>
      <c r="V142" s="17">
        <v>0</v>
      </c>
      <c r="W142" s="144"/>
      <c r="X142" s="17">
        <v>0</v>
      </c>
      <c r="Y142" s="3"/>
      <c r="Z142" s="17">
        <v>0</v>
      </c>
      <c r="AA142" s="144"/>
      <c r="AB142" s="17">
        <v>0</v>
      </c>
      <c r="AC142" s="144"/>
      <c r="AD142" s="17">
        <v>0</v>
      </c>
      <c r="AE142" s="144"/>
      <c r="AF142" s="17">
        <v>0</v>
      </c>
      <c r="AG142" s="144"/>
      <c r="AH142" s="11">
        <f>3443</f>
        <v>3443</v>
      </c>
      <c r="AI142" s="144"/>
      <c r="AJ142" s="17">
        <v>0</v>
      </c>
      <c r="AK142" s="144"/>
      <c r="AL142" s="17">
        <v>0</v>
      </c>
      <c r="AM142" s="144"/>
      <c r="AN142" s="17">
        <v>0</v>
      </c>
      <c r="AO142" s="144"/>
      <c r="AP142" s="17">
        <v>0</v>
      </c>
      <c r="AQ142" s="144"/>
      <c r="AR142" s="17">
        <v>0</v>
      </c>
      <c r="AS142" s="144"/>
      <c r="AT142" s="17">
        <v>41386</v>
      </c>
      <c r="AU142" s="144"/>
      <c r="AV142" s="17">
        <v>41386</v>
      </c>
      <c r="AW142" s="144"/>
      <c r="AX142" s="17">
        <v>3254</v>
      </c>
      <c r="AY142" s="144"/>
      <c r="AZ142" s="17">
        <v>0</v>
      </c>
      <c r="BA142" s="144"/>
      <c r="BB142" s="17">
        <v>0</v>
      </c>
      <c r="BC142" s="144"/>
      <c r="BD142" s="17">
        <v>0</v>
      </c>
      <c r="BE142" s="144"/>
      <c r="BF142" s="17">
        <v>13590</v>
      </c>
      <c r="BG142" s="144"/>
      <c r="BH142" s="17">
        <v>0</v>
      </c>
      <c r="BI142" s="144"/>
      <c r="BJ142" s="17">
        <v>0</v>
      </c>
      <c r="BK142" s="144"/>
      <c r="BL142" s="17">
        <v>0</v>
      </c>
      <c r="BM142" s="238"/>
      <c r="BN142" s="228">
        <v>26000</v>
      </c>
      <c r="BO142" s="238"/>
      <c r="BP142" s="17">
        <v>0</v>
      </c>
      <c r="BQ142" s="238"/>
      <c r="BR142" s="17">
        <v>0</v>
      </c>
    </row>
    <row r="143" spans="1:70" ht="15.75" customHeight="1" x14ac:dyDescent="0.35">
      <c r="B143" s="144"/>
      <c r="C143" s="144"/>
      <c r="D143" s="144"/>
      <c r="E143" s="144"/>
      <c r="F143" s="144"/>
      <c r="G143" s="144"/>
      <c r="H143" s="144"/>
      <c r="I143" s="144"/>
      <c r="J143" s="144"/>
      <c r="K143" s="144"/>
      <c r="L143" s="144"/>
      <c r="M143" s="144"/>
      <c r="N143" s="144"/>
      <c r="O143" s="144"/>
      <c r="P143" s="144"/>
      <c r="Q143" s="144"/>
      <c r="R143" s="144"/>
      <c r="S143" s="144"/>
      <c r="T143" s="144"/>
      <c r="U143" s="144"/>
      <c r="V143" s="144"/>
      <c r="W143" s="144"/>
      <c r="X143" s="144"/>
      <c r="Y143" s="3"/>
      <c r="Z143" s="144"/>
      <c r="AA143" s="144"/>
      <c r="AB143" s="144"/>
      <c r="AC143" s="144"/>
      <c r="AD143" s="144"/>
      <c r="AE143" s="144"/>
      <c r="AF143" s="144"/>
      <c r="AG143" s="144"/>
      <c r="AH143" s="144"/>
      <c r="AI143" s="144"/>
      <c r="AJ143" s="144"/>
      <c r="AK143" s="144"/>
      <c r="AL143" s="144"/>
      <c r="AM143" s="144"/>
      <c r="AN143" s="144"/>
      <c r="AO143" s="144"/>
      <c r="AP143" s="144"/>
      <c r="AQ143" s="144"/>
      <c r="AR143" s="144"/>
      <c r="AS143" s="144"/>
      <c r="AT143" s="144"/>
      <c r="AU143" s="144"/>
      <c r="AV143" s="144"/>
      <c r="AW143" s="144"/>
      <c r="AX143" s="144"/>
      <c r="AY143" s="144"/>
      <c r="AZ143" s="144"/>
      <c r="BA143" s="144"/>
      <c r="BB143" s="144"/>
      <c r="BC143" s="144"/>
      <c r="BD143" s="144"/>
      <c r="BE143" s="144"/>
      <c r="BF143" s="144"/>
      <c r="BG143" s="144"/>
      <c r="BH143" s="144"/>
      <c r="BI143" s="144"/>
      <c r="BJ143" s="144"/>
      <c r="BK143" s="144"/>
      <c r="BL143" s="144"/>
      <c r="BM143" s="238"/>
      <c r="BN143" s="238"/>
      <c r="BO143" s="238"/>
      <c r="BP143" s="238"/>
      <c r="BQ143" s="238"/>
      <c r="BR143" s="238"/>
    </row>
    <row r="144" spans="1:70" ht="15.75" customHeight="1" x14ac:dyDescent="0.35">
      <c r="A144" s="151" t="s">
        <v>168</v>
      </c>
      <c r="B144" s="144"/>
      <c r="C144" s="144"/>
      <c r="D144" s="144"/>
      <c r="E144" s="144"/>
      <c r="F144" s="144"/>
      <c r="G144" s="144"/>
      <c r="H144" s="144"/>
      <c r="I144" s="144"/>
      <c r="J144" s="144"/>
      <c r="K144" s="144"/>
      <c r="L144" s="144"/>
      <c r="M144" s="144"/>
      <c r="N144" s="144"/>
      <c r="O144" s="144"/>
      <c r="P144" s="144"/>
      <c r="Q144" s="144"/>
      <c r="R144" s="144"/>
      <c r="S144" s="144"/>
      <c r="T144" s="144"/>
      <c r="U144" s="144"/>
      <c r="V144" s="144"/>
      <c r="W144" s="144"/>
      <c r="X144" s="144"/>
      <c r="Y144" s="3"/>
      <c r="Z144" s="144"/>
      <c r="AA144" s="144"/>
      <c r="AB144" s="144"/>
      <c r="AC144" s="144"/>
      <c r="AD144" s="144"/>
      <c r="AE144" s="144"/>
      <c r="AF144" s="144"/>
      <c r="AG144" s="144"/>
      <c r="AH144" s="144"/>
      <c r="AI144" s="144"/>
      <c r="AJ144" s="144"/>
      <c r="AK144" s="144"/>
      <c r="AL144" s="144"/>
      <c r="AM144" s="144"/>
      <c r="AN144" s="144"/>
      <c r="AO144" s="144"/>
      <c r="AP144" s="144"/>
      <c r="AQ144" s="144"/>
      <c r="AR144" s="144"/>
      <c r="AS144" s="144"/>
      <c r="AT144" s="144"/>
      <c r="AU144" s="144"/>
      <c r="AV144" s="144"/>
      <c r="AW144" s="144"/>
      <c r="AX144" s="144"/>
      <c r="AY144" s="144"/>
      <c r="AZ144" s="144"/>
      <c r="BA144" s="144"/>
      <c r="BB144" s="144"/>
      <c r="BC144" s="144"/>
      <c r="BD144" s="144"/>
      <c r="BE144" s="144"/>
      <c r="BF144" s="144"/>
      <c r="BG144" s="144"/>
      <c r="BH144" s="144"/>
      <c r="BI144" s="144"/>
      <c r="BJ144" s="144"/>
      <c r="BK144" s="144"/>
      <c r="BL144" s="144"/>
      <c r="BM144" s="238"/>
      <c r="BN144" s="238"/>
      <c r="BO144" s="238"/>
      <c r="BP144" s="238"/>
      <c r="BQ144" s="238"/>
      <c r="BR144" s="238"/>
    </row>
    <row r="145" spans="1:70" ht="15.75" customHeight="1" x14ac:dyDescent="0.35">
      <c r="A145" s="62" t="s">
        <v>169</v>
      </c>
      <c r="B145" s="17">
        <f>B14+B15+B16+B34</f>
        <v>2508</v>
      </c>
      <c r="C145" s="144"/>
      <c r="D145" s="17">
        <f>D14+D15+D16+D34</f>
        <v>2408</v>
      </c>
      <c r="E145" s="144"/>
      <c r="F145" s="17">
        <f>F14+F15+F16+F34</f>
        <v>5296</v>
      </c>
      <c r="G145" s="144"/>
      <c r="H145" s="17">
        <f>H14+H15+H16+H34</f>
        <v>5123</v>
      </c>
      <c r="I145" s="144"/>
      <c r="J145" s="17">
        <f>J14+J15+J16+J34</f>
        <v>3474</v>
      </c>
      <c r="K145" s="144"/>
      <c r="L145" s="17">
        <f>L14+L15+L16+L34</f>
        <v>5180</v>
      </c>
      <c r="M145" s="144"/>
      <c r="N145" s="17">
        <f>N14+N15+N16+N34</f>
        <v>27016</v>
      </c>
      <c r="O145" s="144"/>
      <c r="P145" s="17">
        <f>P14+P15+P16+P34</f>
        <v>26806</v>
      </c>
      <c r="Q145" s="144"/>
      <c r="R145" s="17">
        <f>R14+R15+R16+R34</f>
        <v>44528</v>
      </c>
      <c r="S145" s="144"/>
      <c r="T145" s="17">
        <f>T14+T15+T16+T34</f>
        <v>147452</v>
      </c>
      <c r="U145" s="144"/>
      <c r="V145" s="17">
        <f>V14+V15+V16+V34</f>
        <v>149107</v>
      </c>
      <c r="W145" s="144"/>
      <c r="X145" s="17">
        <f>X14+X15+X16+X34</f>
        <v>135441</v>
      </c>
      <c r="Y145" s="3"/>
      <c r="Z145" s="17">
        <f>Z14+Z15+Z16+Z34</f>
        <v>110422</v>
      </c>
      <c r="AA145" s="144"/>
      <c r="AB145" s="17">
        <f>AB14+AB15+AB16+AB34</f>
        <v>78564</v>
      </c>
      <c r="AC145" s="144"/>
      <c r="AD145" s="17">
        <f>AD14+AD15+AD16+AD34</f>
        <v>70557</v>
      </c>
      <c r="AE145" s="144"/>
      <c r="AF145" s="17">
        <f>AF14+AF15+AF16+AF34</f>
        <v>72427</v>
      </c>
      <c r="AG145" s="144"/>
      <c r="AH145" s="17">
        <f>AH14+AH15+AH16+AH34</f>
        <v>77966</v>
      </c>
      <c r="AI145" s="144"/>
      <c r="AJ145" s="17">
        <f>AJ14+AJ15+AJ16+AJ34</f>
        <v>67724</v>
      </c>
      <c r="AK145" s="144"/>
      <c r="AL145" s="17">
        <f>AL14+AL15+AL16+AL34</f>
        <v>58765</v>
      </c>
      <c r="AM145" s="144"/>
      <c r="AN145" s="17">
        <f>AN14+AN15+AN16+AN34</f>
        <v>105337</v>
      </c>
      <c r="AO145" s="144"/>
      <c r="AP145" s="17">
        <f>AP14+AP15+AP16+AP34</f>
        <v>117204</v>
      </c>
      <c r="AQ145" s="144"/>
      <c r="AR145" s="17">
        <f>AR14+AR15+AR16+AR34</f>
        <v>192554</v>
      </c>
      <c r="AS145" s="144"/>
      <c r="AT145" s="17">
        <f>AT14+AT15+AT16+AT34</f>
        <v>80181</v>
      </c>
      <c r="AU145" s="144"/>
      <c r="AV145" s="17">
        <f>AV14+AV15+AV16+AV34</f>
        <v>94380</v>
      </c>
      <c r="AW145" s="144"/>
      <c r="AX145" s="17">
        <f>AX14+AX15+AX16+AX34</f>
        <v>138273</v>
      </c>
      <c r="AY145" s="144"/>
      <c r="AZ145" s="17">
        <f>AZ14+AZ15+AZ16+AZ34</f>
        <v>187158</v>
      </c>
      <c r="BA145" s="144"/>
      <c r="BB145" s="17">
        <f>BB14+BB15+BB16+BB34</f>
        <v>193559</v>
      </c>
      <c r="BC145" s="144"/>
      <c r="BD145" s="17">
        <f>BD14+BD15+BD16+BD34</f>
        <v>195882</v>
      </c>
      <c r="BE145" s="144"/>
      <c r="BF145" s="17">
        <f>BF14+BF15+BF16+BF34</f>
        <v>246551</v>
      </c>
      <c r="BG145" s="144"/>
      <c r="BH145" s="17">
        <f>BH14+BH15+BH16+BH34</f>
        <v>363300</v>
      </c>
      <c r="BI145" s="144"/>
      <c r="BJ145" s="17">
        <f>BJ14+BJ15+BJ16+BJ34</f>
        <v>370766</v>
      </c>
      <c r="BK145" s="144"/>
      <c r="BL145" s="17">
        <f>BL14+BL15+BL16+BL34</f>
        <v>492988</v>
      </c>
      <c r="BM145" s="238"/>
      <c r="BN145" s="228">
        <f t="shared" ref="BN145:BR145" si="11">BN14+BN15+BN16+BN34</f>
        <v>357508</v>
      </c>
      <c r="BO145" s="238"/>
      <c r="BP145" s="228">
        <f t="shared" si="11"/>
        <v>315334</v>
      </c>
      <c r="BQ145" s="238"/>
      <c r="BR145" s="228">
        <f t="shared" si="11"/>
        <v>316397</v>
      </c>
    </row>
    <row r="146" spans="1:70" ht="15.75" customHeight="1" x14ac:dyDescent="0.35">
      <c r="A146" s="62" t="s">
        <v>170</v>
      </c>
      <c r="B146" s="17">
        <f>-B57-B66-B75+B27</f>
        <v>-65812</v>
      </c>
      <c r="C146" s="144"/>
      <c r="D146" s="17">
        <f>-D57-D66-D75+D27</f>
        <v>-67727</v>
      </c>
      <c r="E146" s="144"/>
      <c r="F146" s="17">
        <f>-F57-F66-F75+F27</f>
        <v>-58898</v>
      </c>
      <c r="G146" s="144"/>
      <c r="H146" s="17">
        <f>-H57-H66-H75+H27</f>
        <v>-59544</v>
      </c>
      <c r="I146" s="144"/>
      <c r="J146" s="17">
        <f>-J57-J66-J75+J27</f>
        <v>-65474</v>
      </c>
      <c r="K146" s="144"/>
      <c r="L146" s="17">
        <f>-L57-L66-L75+L27</f>
        <v>-65904</v>
      </c>
      <c r="M146" s="144"/>
      <c r="N146" s="17">
        <f>-N57-N66-N75+N27</f>
        <v>-17107</v>
      </c>
      <c r="O146" s="144"/>
      <c r="P146" s="17">
        <f>-P57-P66-P75+P27</f>
        <v>-12487</v>
      </c>
      <c r="Q146" s="144"/>
      <c r="R146" s="17">
        <f>-R57-R66-R75+R27</f>
        <v>-11948</v>
      </c>
      <c r="S146" s="144"/>
      <c r="T146" s="17">
        <f>-T57-T66-T75+T27</f>
        <v>-5774</v>
      </c>
      <c r="U146" s="144"/>
      <c r="V146" s="17">
        <f>-V57-V66-V75+V27</f>
        <v>-4556</v>
      </c>
      <c r="W146" s="144"/>
      <c r="X146" s="17">
        <f>-X57-X66-X75+X27</f>
        <v>-3412</v>
      </c>
      <c r="Y146" s="3"/>
      <c r="Z146" s="17">
        <f>-Z57-Z66-Z75+Z27</f>
        <v>-2078</v>
      </c>
      <c r="AA146" s="144"/>
      <c r="AB146" s="17">
        <f>-AB57-AB66-AB75+AB27</f>
        <v>-1641</v>
      </c>
      <c r="AC146" s="144"/>
      <c r="AD146" s="17">
        <f>-AD57-AD66-AD75+AD27</f>
        <v>-5170</v>
      </c>
      <c r="AE146" s="144"/>
      <c r="AF146" s="17">
        <f>-AF57-AF66-AF75+AF27</f>
        <v>-5379</v>
      </c>
      <c r="AG146" s="144"/>
      <c r="AH146" s="17">
        <f>-AH57-AH66-AH75+AH27</f>
        <v>-60790</v>
      </c>
      <c r="AI146" s="144"/>
      <c r="AJ146" s="17">
        <f>-AJ57-AJ66-AJ75+AJ27</f>
        <v>-58318</v>
      </c>
      <c r="AK146" s="144"/>
      <c r="AL146" s="17">
        <f>-AL57-AL66-AL75+AL27</f>
        <v>-63352</v>
      </c>
      <c r="AM146" s="144"/>
      <c r="AN146" s="17">
        <f>-AN57-AN66-AN75+AN27</f>
        <v>-116343</v>
      </c>
      <c r="AO146" s="144"/>
      <c r="AP146" s="17">
        <f>-AP57-AP66-AP75+AP27</f>
        <v>-136409</v>
      </c>
      <c r="AQ146" s="144"/>
      <c r="AR146" s="17">
        <f>-AR57-AR66-AR75+AR27</f>
        <v>-238266</v>
      </c>
      <c r="AS146" s="144"/>
      <c r="AT146" s="17">
        <f>-AT57-AT66-AT75+AT27</f>
        <v>-254253</v>
      </c>
      <c r="AU146" s="144"/>
      <c r="AV146" s="17">
        <f>-AV57-AV66-AV75+AV27</f>
        <v>-250815</v>
      </c>
      <c r="AW146" s="144"/>
      <c r="AX146" s="17">
        <f>-AX57-AX66-AX75+AX27</f>
        <v>-350419</v>
      </c>
      <c r="AY146" s="144"/>
      <c r="AZ146" s="17">
        <f>-AZ57-AZ66-AZ75+AZ27</f>
        <v>-339854</v>
      </c>
      <c r="BA146" s="144"/>
      <c r="BB146" s="17">
        <f>-BB57-BB66-BB75+BB27</f>
        <v>-381338</v>
      </c>
      <c r="BC146" s="144"/>
      <c r="BD146" s="17">
        <f>-BD57-BD66-BD75+BD27</f>
        <v>-428949</v>
      </c>
      <c r="BE146" s="144"/>
      <c r="BF146" s="17">
        <f>-BF57-BF66-BF75+BF27</f>
        <v>-460898</v>
      </c>
      <c r="BG146" s="144"/>
      <c r="BH146" s="17">
        <f>-BH57-BH66-BH75+BH27</f>
        <v>-643041</v>
      </c>
      <c r="BI146" s="144"/>
      <c r="BJ146" s="17">
        <f>-BJ57-BJ66-BJ75+BJ27</f>
        <v>-703072.38549000002</v>
      </c>
      <c r="BK146" s="144"/>
      <c r="BL146" s="17">
        <f>-BL57-BL66-BL75+BL27</f>
        <v>-666296</v>
      </c>
      <c r="BM146" s="238"/>
      <c r="BN146" s="228">
        <f t="shared" ref="BN146:BR146" si="12">-BN57-BN66-BN75+BN27</f>
        <v>-803421</v>
      </c>
      <c r="BO146" s="238"/>
      <c r="BP146" s="228">
        <f t="shared" si="12"/>
        <v>-808715</v>
      </c>
      <c r="BQ146" s="238"/>
      <c r="BR146" s="228">
        <f t="shared" si="12"/>
        <v>-946601</v>
      </c>
    </row>
    <row r="147" spans="1:70" ht="15.75" customHeight="1" x14ac:dyDescent="0.35">
      <c r="A147" s="62" t="s">
        <v>171</v>
      </c>
      <c r="B147" s="17">
        <f>-B58-B76</f>
        <v>0</v>
      </c>
      <c r="C147" s="144"/>
      <c r="D147" s="17">
        <f>-D58-D76</f>
        <v>0</v>
      </c>
      <c r="E147" s="144"/>
      <c r="F147" s="17">
        <f>-F58-F76</f>
        <v>0</v>
      </c>
      <c r="G147" s="144"/>
      <c r="H147" s="17">
        <f>-H58-H76</f>
        <v>0</v>
      </c>
      <c r="I147" s="144"/>
      <c r="J147" s="17">
        <f>-J58-J76</f>
        <v>0</v>
      </c>
      <c r="K147" s="144"/>
      <c r="L147" s="17">
        <f>-L58-L76</f>
        <v>0</v>
      </c>
      <c r="M147" s="144"/>
      <c r="N147" s="17">
        <f>-N58-N76</f>
        <v>-65498</v>
      </c>
      <c r="O147" s="144"/>
      <c r="P147" s="17">
        <f>-P58-P76</f>
        <v>-65635</v>
      </c>
      <c r="Q147" s="144"/>
      <c r="R147" s="17">
        <f>-R58-R76</f>
        <v>-65731</v>
      </c>
      <c r="S147" s="144"/>
      <c r="T147" s="17">
        <f>-T58-T76</f>
        <v>-65874</v>
      </c>
      <c r="U147" s="144"/>
      <c r="V147" s="17">
        <f>-V58-V76</f>
        <v>-64637</v>
      </c>
      <c r="W147" s="144"/>
      <c r="X147" s="17">
        <f>-X58-X76</f>
        <v>-60199</v>
      </c>
      <c r="Y147" s="3"/>
      <c r="Z147" s="17">
        <f>-Z58-Z76</f>
        <v>-54032</v>
      </c>
      <c r="AA147" s="144"/>
      <c r="AB147" s="17">
        <f>-AB58-AB76</f>
        <v>-48007</v>
      </c>
      <c r="AC147" s="144"/>
      <c r="AD147" s="17">
        <f>-AD58-AD76</f>
        <v>-41919</v>
      </c>
      <c r="AE147" s="144"/>
      <c r="AF147" s="17">
        <f>-AF58-AF76</f>
        <v>-35834</v>
      </c>
      <c r="AG147" s="144"/>
      <c r="AH147" s="17">
        <f>-AH58-AH76</f>
        <v>0</v>
      </c>
      <c r="AI147" s="144"/>
      <c r="AJ147" s="17">
        <f>-AJ58-AJ76</f>
        <v>0</v>
      </c>
      <c r="AK147" s="144"/>
      <c r="AL147" s="17">
        <f>-AL58-AL76</f>
        <v>0</v>
      </c>
      <c r="AM147" s="144"/>
      <c r="AN147" s="17">
        <f>-AN58-AN76</f>
        <v>0</v>
      </c>
      <c r="AO147" s="144"/>
      <c r="AP147" s="17">
        <f>-AP58-AP76</f>
        <v>0</v>
      </c>
      <c r="AQ147" s="144"/>
      <c r="AR147" s="17">
        <f>-AR58-AR76</f>
        <v>0</v>
      </c>
      <c r="AS147" s="144"/>
      <c r="AT147" s="17">
        <f>-AT58-AT76</f>
        <v>0</v>
      </c>
      <c r="AU147" s="144"/>
      <c r="AV147" s="17">
        <f>-AV58-AV76</f>
        <v>0</v>
      </c>
      <c r="AW147" s="144"/>
      <c r="AX147" s="17">
        <f>-AX58-AX76</f>
        <v>0</v>
      </c>
      <c r="AY147" s="144"/>
      <c r="AZ147" s="17">
        <f>-AZ58-AZ76</f>
        <v>0</v>
      </c>
      <c r="BA147" s="144"/>
      <c r="BB147" s="17">
        <f>-BB58-BB76</f>
        <v>0</v>
      </c>
      <c r="BC147" s="144"/>
      <c r="BD147" s="17">
        <f>-BD58-BD76</f>
        <v>0</v>
      </c>
      <c r="BE147" s="144"/>
      <c r="BF147" s="17">
        <f>-BF58-BF76</f>
        <v>0</v>
      </c>
      <c r="BG147" s="144"/>
      <c r="BH147" s="17">
        <f>-BH58-BH76</f>
        <v>0</v>
      </c>
      <c r="BI147" s="144"/>
      <c r="BJ147" s="17">
        <f>-BJ58-BJ76</f>
        <v>0</v>
      </c>
      <c r="BK147" s="144"/>
      <c r="BL147" s="17">
        <f>-BL58-BL76</f>
        <v>0</v>
      </c>
      <c r="BM147" s="238"/>
      <c r="BN147" s="228">
        <f t="shared" ref="BN147:BR147" si="13">-BN58-BN76</f>
        <v>0</v>
      </c>
      <c r="BO147" s="238"/>
      <c r="BP147" s="228">
        <f t="shared" si="13"/>
        <v>0</v>
      </c>
      <c r="BQ147" s="238"/>
      <c r="BR147" s="228">
        <f t="shared" si="13"/>
        <v>0</v>
      </c>
    </row>
    <row r="148" spans="1:70" ht="15.75" customHeight="1" x14ac:dyDescent="0.35">
      <c r="A148" s="62" t="s">
        <v>172</v>
      </c>
      <c r="B148" s="17">
        <f>-B68-B79+B35</f>
        <v>0</v>
      </c>
      <c r="C148" s="144"/>
      <c r="D148" s="17">
        <f>-D68-D79+D35</f>
        <v>-3015</v>
      </c>
      <c r="E148" s="144"/>
      <c r="F148" s="17">
        <f>-F68-F79+F35</f>
        <v>-4953</v>
      </c>
      <c r="G148" s="144"/>
      <c r="H148" s="17">
        <f>-H68-H79+H35</f>
        <v>-6779</v>
      </c>
      <c r="I148" s="144"/>
      <c r="J148" s="17">
        <f>-J68-J79+J35</f>
        <v>-6734</v>
      </c>
      <c r="K148" s="144"/>
      <c r="L148" s="17">
        <f>-L68-L79+L35</f>
        <v>-9021</v>
      </c>
      <c r="M148" s="144"/>
      <c r="N148" s="17">
        <f>-N68-N79+N35</f>
        <v>-9183</v>
      </c>
      <c r="O148" s="144"/>
      <c r="P148" s="17">
        <f>-P68-P79+P35</f>
        <v>-9507</v>
      </c>
      <c r="Q148" s="144"/>
      <c r="R148" s="17">
        <f>-R68-R79+R35</f>
        <v>-9613</v>
      </c>
      <c r="S148" s="144"/>
      <c r="T148" s="17">
        <f>-T68-T79+T35</f>
        <v>0</v>
      </c>
      <c r="U148" s="144"/>
      <c r="V148" s="17">
        <f>-V68-V79+V35</f>
        <v>0</v>
      </c>
      <c r="W148" s="144"/>
      <c r="X148" s="17">
        <f>-X68-X79+X35</f>
        <v>0</v>
      </c>
      <c r="Y148" s="3"/>
      <c r="Z148" s="17">
        <f>-Z68-Z79+Z35</f>
        <v>0</v>
      </c>
      <c r="AA148" s="144"/>
      <c r="AB148" s="17">
        <f>-AB68-AB79+AB35</f>
        <v>0</v>
      </c>
      <c r="AC148" s="144"/>
      <c r="AD148" s="17">
        <f>-AD68-AD79+AD35</f>
        <v>0</v>
      </c>
      <c r="AE148" s="144"/>
      <c r="AF148" s="17">
        <v>0</v>
      </c>
      <c r="AG148" s="144"/>
      <c r="AH148" s="17">
        <v>0</v>
      </c>
      <c r="AI148" s="144"/>
      <c r="AJ148" s="17">
        <f>-AJ79</f>
        <v>-901</v>
      </c>
      <c r="AK148" s="144"/>
      <c r="AL148" s="17">
        <f>-AL79</f>
        <v>-1975</v>
      </c>
      <c r="AM148" s="144"/>
      <c r="AN148" s="17">
        <f>-AN79</f>
        <v>-960</v>
      </c>
      <c r="AO148" s="144"/>
      <c r="AP148" s="17">
        <f>-AP79</f>
        <v>-992</v>
      </c>
      <c r="AQ148" s="144"/>
      <c r="AR148" s="17">
        <f>-AR79</f>
        <v>-1024</v>
      </c>
      <c r="AS148" s="144"/>
      <c r="AT148" s="17">
        <f>-AT79</f>
        <v>0</v>
      </c>
      <c r="AU148" s="144"/>
      <c r="AV148" s="17">
        <f>-AV79</f>
        <v>0</v>
      </c>
      <c r="AW148" s="144"/>
      <c r="AX148" s="17">
        <f>-AX79</f>
        <v>0</v>
      </c>
      <c r="AY148" s="144"/>
      <c r="AZ148" s="17">
        <f>-AZ79</f>
        <v>0</v>
      </c>
      <c r="BA148" s="144"/>
      <c r="BB148" s="17">
        <f>-BB79</f>
        <v>-983</v>
      </c>
      <c r="BC148" s="144"/>
      <c r="BD148" s="17">
        <f>-BD79</f>
        <v>-1008</v>
      </c>
      <c r="BE148" s="144"/>
      <c r="BF148" s="17">
        <f>-BF79</f>
        <v>0</v>
      </c>
      <c r="BG148" s="144"/>
      <c r="BH148" s="17">
        <f>-BH79</f>
        <v>0</v>
      </c>
      <c r="BI148" s="144"/>
      <c r="BJ148" s="17">
        <f>-BJ79</f>
        <v>0</v>
      </c>
      <c r="BK148" s="144"/>
      <c r="BL148" s="17">
        <f>-BL79</f>
        <v>0</v>
      </c>
      <c r="BM148" s="238"/>
      <c r="BN148" s="228">
        <f t="shared" ref="BN148:BR148" si="14">-BN79</f>
        <v>0</v>
      </c>
      <c r="BO148" s="238"/>
      <c r="BP148" s="228">
        <f t="shared" si="14"/>
        <v>0</v>
      </c>
      <c r="BQ148" s="238"/>
      <c r="BR148" s="228">
        <f t="shared" si="14"/>
        <v>0</v>
      </c>
    </row>
    <row r="149" spans="1:70" ht="15.75" customHeight="1" x14ac:dyDescent="0.35">
      <c r="A149" s="62" t="s">
        <v>173</v>
      </c>
      <c r="B149" s="17">
        <f>-B65-B80</f>
        <v>-10516</v>
      </c>
      <c r="C149" s="144"/>
      <c r="D149" s="17">
        <f>-D65-D80</f>
        <v>-10363</v>
      </c>
      <c r="E149" s="144"/>
      <c r="F149" s="17">
        <f>-F65-F80</f>
        <v>-9299</v>
      </c>
      <c r="G149" s="144"/>
      <c r="H149" s="17">
        <f>-H65-H80</f>
        <v>-8899</v>
      </c>
      <c r="I149" s="144"/>
      <c r="J149" s="17">
        <f>-J65-J80</f>
        <v>-8718</v>
      </c>
      <c r="K149" s="144"/>
      <c r="L149" s="17">
        <f>-L65-L80</f>
        <v>-8563</v>
      </c>
      <c r="M149" s="144"/>
      <c r="N149" s="17">
        <f>-N65-N80</f>
        <v>-8421</v>
      </c>
      <c r="O149" s="144"/>
      <c r="P149" s="17">
        <f>-P65-P80</f>
        <v>-8139</v>
      </c>
      <c r="Q149" s="144"/>
      <c r="R149" s="17">
        <f>-R65-R80</f>
        <v>-7864</v>
      </c>
      <c r="S149" s="144"/>
      <c r="T149" s="17">
        <f>-T65-T80</f>
        <v>-4087</v>
      </c>
      <c r="U149" s="144"/>
      <c r="V149" s="17">
        <f>-V65-V80</f>
        <v>-3894</v>
      </c>
      <c r="W149" s="144"/>
      <c r="X149" s="17">
        <f>-X65-X80*0</f>
        <v>-3312</v>
      </c>
      <c r="Y149" s="3"/>
      <c r="Z149" s="17">
        <f>-Z65-Z80*0-853-5</f>
        <v>-1955</v>
      </c>
      <c r="AA149" s="144"/>
      <c r="AB149" s="17">
        <f>-AB65-AB80*0-677-2635+2627</f>
        <v>-1967</v>
      </c>
      <c r="AC149" s="144"/>
      <c r="AD149" s="17">
        <f>-AD65-AD80+2641</f>
        <v>-1989</v>
      </c>
      <c r="AE149" s="144"/>
      <c r="AF149" s="17">
        <f>-AF65-AF80*0-38-2685+2661</f>
        <v>-2023</v>
      </c>
      <c r="AG149" s="144"/>
      <c r="AH149" s="17">
        <v>-1052.9164900000001</v>
      </c>
      <c r="AI149" s="144"/>
      <c r="AJ149" s="17">
        <f>-11096+2738</f>
        <v>-8358</v>
      </c>
      <c r="AK149" s="144"/>
      <c r="AL149" s="17">
        <f>-AL80-AL65+2790</f>
        <v>-14893</v>
      </c>
      <c r="AM149" s="144"/>
      <c r="AN149" s="17">
        <v>-10101</v>
      </c>
      <c r="AO149" s="144"/>
      <c r="AP149" s="17">
        <v>-26611</v>
      </c>
      <c r="AQ149" s="144"/>
      <c r="AR149" s="17">
        <v>-36083</v>
      </c>
      <c r="AS149" s="144"/>
      <c r="AT149" s="17">
        <v>-31461</v>
      </c>
      <c r="AU149" s="144"/>
      <c r="AV149" s="17">
        <v>-34236</v>
      </c>
      <c r="AW149" s="144"/>
      <c r="AX149" s="17">
        <v>-33235</v>
      </c>
      <c r="AY149" s="144"/>
      <c r="AZ149" s="17">
        <v>-24952</v>
      </c>
      <c r="BA149" s="144"/>
      <c r="BB149" s="17">
        <v>-40466</v>
      </c>
      <c r="BC149" s="144"/>
      <c r="BD149" s="17">
        <v>-144842</v>
      </c>
      <c r="BE149" s="144"/>
      <c r="BF149" s="17">
        <v>-166158</v>
      </c>
      <c r="BG149" s="144"/>
      <c r="BH149" s="17">
        <v>-158552</v>
      </c>
      <c r="BI149" s="144"/>
      <c r="BJ149" s="17">
        <v>-143328</v>
      </c>
      <c r="BK149" s="144"/>
      <c r="BL149" s="17">
        <v>-145612</v>
      </c>
      <c r="BM149" s="238"/>
      <c r="BN149" s="228">
        <v>-192412</v>
      </c>
      <c r="BO149" s="238"/>
      <c r="BP149" s="228">
        <v>-130915</v>
      </c>
      <c r="BQ149" s="238"/>
      <c r="BR149" s="228">
        <v>-115429</v>
      </c>
    </row>
    <row r="150" spans="1:70" s="63" customFormat="1" ht="15.75" customHeight="1" x14ac:dyDescent="0.35">
      <c r="A150" s="115" t="s">
        <v>174</v>
      </c>
      <c r="B150" s="149">
        <f>SUM(B145:B149)</f>
        <v>-73820</v>
      </c>
      <c r="C150" s="150"/>
      <c r="D150" s="149">
        <f>SUM(D145:D149)</f>
        <v>-78697</v>
      </c>
      <c r="E150" s="150"/>
      <c r="F150" s="149">
        <f>SUM(F145:F149)</f>
        <v>-67854</v>
      </c>
      <c r="G150" s="150"/>
      <c r="H150" s="149">
        <f>SUM(H145:H149)</f>
        <v>-70099</v>
      </c>
      <c r="I150" s="150"/>
      <c r="J150" s="149">
        <f>SUM(J145:J149)</f>
        <v>-77452</v>
      </c>
      <c r="K150" s="150"/>
      <c r="L150" s="149">
        <f>SUM(L145:L149)</f>
        <v>-78308</v>
      </c>
      <c r="M150" s="150"/>
      <c r="N150" s="149">
        <f>SUM(N145:N149)</f>
        <v>-73193</v>
      </c>
      <c r="O150" s="150"/>
      <c r="P150" s="149">
        <f>SUM(P145:P149)</f>
        <v>-68962</v>
      </c>
      <c r="Q150" s="150"/>
      <c r="R150" s="149">
        <f>SUM(R145:R149)</f>
        <v>-50628</v>
      </c>
      <c r="S150" s="150"/>
      <c r="T150" s="149">
        <f>SUM(T145:T149)</f>
        <v>71717</v>
      </c>
      <c r="U150" s="150"/>
      <c r="V150" s="149">
        <f>SUM(V145:V149)</f>
        <v>76020</v>
      </c>
      <c r="W150" s="150"/>
      <c r="X150" s="149">
        <f>SUM(X145:X149)</f>
        <v>68518</v>
      </c>
      <c r="Y150" s="25"/>
      <c r="Z150" s="149">
        <f>SUM(Z145:Z149)</f>
        <v>52357</v>
      </c>
      <c r="AA150" s="150"/>
      <c r="AB150" s="149">
        <f>SUM(AB145:AB149)</f>
        <v>26949</v>
      </c>
      <c r="AC150" s="150"/>
      <c r="AD150" s="149">
        <f>SUM(AD145:AD149)</f>
        <v>21479</v>
      </c>
      <c r="AE150" s="150"/>
      <c r="AF150" s="149">
        <f>SUM(AF145:AF149)</f>
        <v>29191</v>
      </c>
      <c r="AG150" s="150"/>
      <c r="AH150" s="149">
        <f>SUM(AH145:AH149)</f>
        <v>16123.08351</v>
      </c>
      <c r="AI150" s="150"/>
      <c r="AJ150" s="149">
        <f>SUM(AJ145:AJ149)</f>
        <v>147</v>
      </c>
      <c r="AK150" s="150"/>
      <c r="AL150" s="149">
        <f>SUM(AL145:AL149)</f>
        <v>-21455</v>
      </c>
      <c r="AM150" s="150"/>
      <c r="AN150" s="149">
        <f>SUM(AN145:AN149)</f>
        <v>-22067</v>
      </c>
      <c r="AO150" s="150"/>
      <c r="AP150" s="149">
        <f>SUM(AP145:AP149)</f>
        <v>-46808</v>
      </c>
      <c r="AQ150" s="150"/>
      <c r="AR150" s="149">
        <f>SUM(AR145:AR149)</f>
        <v>-82819</v>
      </c>
      <c r="AS150" s="150"/>
      <c r="AT150" s="149">
        <f>SUM(AT145:AT149)</f>
        <v>-205533</v>
      </c>
      <c r="AU150" s="150"/>
      <c r="AV150" s="149">
        <f>SUM(AV145:AV149)</f>
        <v>-190671</v>
      </c>
      <c r="AW150" s="150"/>
      <c r="AX150" s="149">
        <f>SUM(AX145:AX149)</f>
        <v>-245381</v>
      </c>
      <c r="AY150" s="150"/>
      <c r="AZ150" s="149">
        <f>SUM(AZ145:AZ149)</f>
        <v>-177648</v>
      </c>
      <c r="BA150" s="150"/>
      <c r="BB150" s="149">
        <f>SUM(BB145:BB149)</f>
        <v>-229228</v>
      </c>
      <c r="BC150" s="150"/>
      <c r="BD150" s="149">
        <f>SUM(BD145:BD149)</f>
        <v>-378917</v>
      </c>
      <c r="BE150" s="150"/>
      <c r="BF150" s="149">
        <f>SUM(BF145:BF149)</f>
        <v>-380505</v>
      </c>
      <c r="BG150" s="150"/>
      <c r="BH150" s="149">
        <f>SUM(BH145:BH149)</f>
        <v>-438293</v>
      </c>
      <c r="BI150" s="150"/>
      <c r="BJ150" s="149">
        <f>SUM(BJ145:BJ149)</f>
        <v>-475634.38549000002</v>
      </c>
      <c r="BK150" s="150"/>
      <c r="BL150" s="149">
        <f>SUM(BL145:BL149)</f>
        <v>-318920</v>
      </c>
      <c r="BM150" s="242"/>
      <c r="BN150" s="243">
        <f t="shared" ref="BN150:BR150" si="15">SUM(BN145:BN149)</f>
        <v>-638325</v>
      </c>
      <c r="BO150" s="242"/>
      <c r="BP150" s="243">
        <f t="shared" si="15"/>
        <v>-624296</v>
      </c>
      <c r="BQ150" s="242"/>
      <c r="BR150" s="243">
        <f t="shared" si="15"/>
        <v>-745633</v>
      </c>
    </row>
    <row r="151" spans="1:70" x14ac:dyDescent="0.3">
      <c r="BM151" s="222"/>
      <c r="BN151" s="222"/>
      <c r="BO151" s="222"/>
      <c r="BP151" s="222"/>
      <c r="BQ151" s="222"/>
      <c r="BR151" s="222"/>
    </row>
    <row r="152" spans="1:70" ht="15.75" customHeight="1" x14ac:dyDescent="0.3">
      <c r="AF152" s="64"/>
      <c r="AH152" s="64"/>
      <c r="AJ152" s="64"/>
      <c r="AL152" s="64"/>
      <c r="AN152" s="64"/>
      <c r="AP152" s="64"/>
      <c r="AR152" s="64"/>
      <c r="AT152" s="64"/>
      <c r="AV152" s="64"/>
      <c r="AX152" s="64"/>
      <c r="AZ152" s="64"/>
      <c r="BB152" s="64"/>
      <c r="BD152" s="64"/>
      <c r="BF152" s="64"/>
      <c r="BH152" s="64"/>
      <c r="BJ152" s="64"/>
      <c r="BL152" s="64"/>
      <c r="BM152" s="222"/>
      <c r="BN152" s="244"/>
      <c r="BO152" s="222"/>
      <c r="BP152" s="244"/>
      <c r="BQ152" s="222"/>
      <c r="BR152" s="244"/>
    </row>
    <row r="153" spans="1:70" ht="15.75" customHeight="1" x14ac:dyDescent="0.3">
      <c r="AB153" s="64"/>
      <c r="BM153" s="222"/>
      <c r="BN153" s="222"/>
      <c r="BO153" s="222"/>
      <c r="BP153" s="222"/>
      <c r="BQ153" s="222"/>
      <c r="BR153" s="222"/>
    </row>
    <row r="154" spans="1:70" x14ac:dyDescent="0.3">
      <c r="BM154" s="222"/>
      <c r="BN154" s="222"/>
      <c r="BO154" s="222"/>
      <c r="BP154" s="222"/>
      <c r="BQ154" s="222"/>
      <c r="BR154" s="222"/>
    </row>
    <row r="155" spans="1:70" x14ac:dyDescent="0.3">
      <c r="BM155" s="222"/>
      <c r="BN155" s="222"/>
      <c r="BO155" s="222"/>
      <c r="BP155" s="222"/>
      <c r="BQ155" s="222"/>
      <c r="BR155" s="222"/>
    </row>
    <row r="156" spans="1:70" x14ac:dyDescent="0.3">
      <c r="BM156" s="222"/>
      <c r="BN156" s="222"/>
      <c r="BO156" s="222"/>
      <c r="BP156" s="222"/>
      <c r="BQ156" s="222"/>
      <c r="BR156" s="222"/>
    </row>
    <row r="157" spans="1:70" x14ac:dyDescent="0.3">
      <c r="BM157" s="222"/>
      <c r="BN157" s="222"/>
      <c r="BO157" s="222"/>
      <c r="BP157" s="222"/>
      <c r="BQ157" s="222"/>
      <c r="BR157" s="222"/>
    </row>
    <row r="158" spans="1:70" x14ac:dyDescent="0.3">
      <c r="BM158" s="222"/>
      <c r="BN158" s="222"/>
      <c r="BO158" s="222"/>
      <c r="BP158" s="222"/>
      <c r="BQ158" s="222"/>
      <c r="BR158" s="222"/>
    </row>
    <row r="159" spans="1:70" ht="15.75" customHeight="1" x14ac:dyDescent="0.3">
      <c r="AB159" s="64"/>
      <c r="BM159" s="222"/>
      <c r="BN159" s="222"/>
      <c r="BO159" s="222"/>
      <c r="BP159" s="222"/>
      <c r="BQ159" s="222"/>
      <c r="BR159" s="222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F81C8-A22F-4448-9046-F1D23F8B4BD3}">
  <sheetPr>
    <tabColor rgb="FF92D050"/>
  </sheetPr>
  <dimension ref="A1:BY72"/>
  <sheetViews>
    <sheetView showGridLines="0" zoomScale="85" zoomScaleNormal="85" workbookViewId="0">
      <pane xSplit="1" topLeftCell="BI1" activePane="topRight" state="frozen"/>
      <selection pane="topRight" activeCell="BY53" sqref="BY53"/>
    </sheetView>
  </sheetViews>
  <sheetFormatPr defaultRowHeight="13.5" x14ac:dyDescent="0.35"/>
  <cols>
    <col min="1" max="1" width="89" style="66" bestFit="1" customWidth="1"/>
    <col min="2" max="2" width="2.7265625" style="66" customWidth="1"/>
    <col min="3" max="3" width="11.7265625" style="66" customWidth="1"/>
    <col min="4" max="4" width="2.7265625" style="66" customWidth="1"/>
    <col min="5" max="5" width="11.7265625" style="66" customWidth="1"/>
    <col min="6" max="6" width="2.7265625" style="66" customWidth="1"/>
    <col min="7" max="7" width="11.7265625" style="66" customWidth="1"/>
    <col min="8" max="8" width="2.7265625" style="66" customWidth="1"/>
    <col min="9" max="9" width="11.7265625" style="66" customWidth="1"/>
    <col min="10" max="10" width="2.7265625" style="66" customWidth="1"/>
    <col min="11" max="11" width="11.7265625" style="66" customWidth="1"/>
    <col min="12" max="12" width="2.7265625" style="66" customWidth="1"/>
    <col min="13" max="13" width="11.7265625" style="66" customWidth="1"/>
    <col min="14" max="14" width="2.7265625" style="66" customWidth="1"/>
    <col min="15" max="15" width="11.7265625" style="66" customWidth="1"/>
    <col min="16" max="16" width="2.7265625" style="66" customWidth="1"/>
    <col min="17" max="17" width="11.7265625" style="66" customWidth="1"/>
    <col min="18" max="18" width="2.7265625" style="66" customWidth="1"/>
    <col min="19" max="19" width="11.7265625" style="66" customWidth="1"/>
    <col min="20" max="20" width="2.7265625" style="66" customWidth="1"/>
    <col min="21" max="21" width="11.7265625" style="66" customWidth="1"/>
    <col min="22" max="22" width="2.7265625" style="66" customWidth="1"/>
    <col min="23" max="23" width="11.7265625" style="66" customWidth="1"/>
    <col min="24" max="24" width="2.7265625" style="66" customWidth="1"/>
    <col min="25" max="25" width="11.7265625" style="66" customWidth="1"/>
    <col min="26" max="26" width="2.7265625" style="66" customWidth="1"/>
    <col min="27" max="27" width="11.7265625" style="66" customWidth="1"/>
    <col min="28" max="28" width="2.81640625" style="66" customWidth="1"/>
    <col min="29" max="29" width="11.7265625" style="66" customWidth="1"/>
    <col min="30" max="30" width="3.54296875" style="66" customWidth="1"/>
    <col min="31" max="31" width="11.7265625" style="66" customWidth="1"/>
    <col min="32" max="32" width="4.453125" style="66" customWidth="1"/>
    <col min="33" max="33" width="11.7265625" style="66" customWidth="1"/>
    <col min="34" max="34" width="4.26953125" style="66" customWidth="1"/>
    <col min="35" max="35" width="9.1796875" style="66"/>
    <col min="36" max="36" width="4.54296875" style="66" customWidth="1"/>
    <col min="37" max="37" width="9.26953125" style="66" bestFit="1" customWidth="1"/>
    <col min="38" max="38" width="4.26953125" style="66" customWidth="1"/>
    <col min="39" max="39" width="9.26953125" style="66" bestFit="1" customWidth="1"/>
    <col min="40" max="40" width="4.26953125" style="66" customWidth="1"/>
    <col min="41" max="41" width="10" style="66" customWidth="1"/>
    <col min="42" max="42" width="4.26953125" style="66" customWidth="1"/>
    <col min="43" max="43" width="10" style="66" customWidth="1"/>
    <col min="44" max="44" width="4.1796875" style="47" customWidth="1"/>
    <col min="45" max="45" width="10" style="66" customWidth="1"/>
    <col min="46" max="46" width="4.1796875" style="47" customWidth="1"/>
    <col min="47" max="47" width="10" style="66" customWidth="1"/>
    <col min="48" max="48" width="4.1796875" style="47" customWidth="1"/>
    <col min="49" max="49" width="10" style="66" customWidth="1"/>
    <col min="50" max="50" width="4.1796875" style="47" customWidth="1"/>
    <col min="51" max="51" width="10" style="66" customWidth="1"/>
    <col min="52" max="52" width="4.1796875" style="47" customWidth="1"/>
    <col min="53" max="53" width="10" style="66" customWidth="1"/>
    <col min="54" max="54" width="4.1796875" style="47" customWidth="1"/>
    <col min="55" max="55" width="10" style="66" customWidth="1"/>
    <col min="56" max="56" width="4.1796875" style="47" customWidth="1"/>
    <col min="57" max="57" width="10" style="66" customWidth="1"/>
    <col min="58" max="58" width="4.1796875" style="47" customWidth="1"/>
    <col min="59" max="59" width="10" style="66" customWidth="1"/>
    <col min="60" max="60" width="4.1796875" style="47" customWidth="1"/>
    <col min="61" max="61" width="10" style="66" customWidth="1"/>
    <col min="62" max="62" width="4.1796875" style="47" customWidth="1"/>
    <col min="63" max="63" width="10" style="66" customWidth="1"/>
    <col min="64" max="64" width="4.1796875" style="47" customWidth="1"/>
    <col min="65" max="65" width="10" style="66" customWidth="1"/>
    <col min="66" max="66" width="4.1796875" style="47" customWidth="1"/>
    <col min="67" max="67" width="10" style="66" customWidth="1"/>
    <col min="68" max="68" width="4.1796875" style="47" customWidth="1"/>
    <col min="69" max="69" width="10" style="66" customWidth="1"/>
    <col min="70" max="70" width="4.1796875" style="47" customWidth="1"/>
    <col min="71" max="71" width="10" style="66" customWidth="1"/>
    <col min="72" max="72" width="4.1796875" style="246" customWidth="1"/>
    <col min="73" max="73" width="10" style="247" customWidth="1"/>
    <col min="74" max="74" width="4.1796875" style="246" customWidth="1"/>
    <col min="75" max="75" width="10" style="247" customWidth="1"/>
    <col min="76" max="76" width="4.1796875" style="246" customWidth="1"/>
    <col min="77" max="77" width="10" style="247" customWidth="1"/>
    <col min="78" max="248" width="9.1796875" style="66"/>
    <col min="249" max="249" width="78.26953125" style="66" customWidth="1"/>
    <col min="250" max="250" width="6.54296875" style="66" bestFit="1" customWidth="1"/>
    <col min="251" max="251" width="9.1796875" style="66"/>
    <col min="252" max="252" width="11.1796875" style="66" bestFit="1" customWidth="1"/>
    <col min="253" max="253" width="2.26953125" style="66" customWidth="1"/>
    <col min="254" max="254" width="13" style="66" bestFit="1" customWidth="1"/>
    <col min="255" max="255" width="2.26953125" style="66" customWidth="1"/>
    <col min="256" max="256" width="15.7265625" style="66" customWidth="1"/>
    <col min="257" max="257" width="1.54296875" style="66" customWidth="1"/>
    <col min="258" max="258" width="15.26953125" style="66" bestFit="1" customWidth="1"/>
    <col min="259" max="259" width="2.81640625" style="66" customWidth="1"/>
    <col min="260" max="260" width="11.1796875" style="66" bestFit="1" customWidth="1"/>
    <col min="261" max="261" width="1.81640625" style="66" customWidth="1"/>
    <col min="262" max="262" width="13" style="66" bestFit="1" customWidth="1"/>
    <col min="263" max="263" width="1.54296875" style="66" customWidth="1"/>
    <col min="264" max="264" width="11.1796875" style="66" bestFit="1" customWidth="1"/>
    <col min="265" max="265" width="2" style="66" customWidth="1"/>
    <col min="266" max="266" width="13" style="66" bestFit="1" customWidth="1"/>
    <col min="267" max="267" width="9.1796875" style="66"/>
    <col min="268" max="268" width="16.26953125" style="66" bestFit="1" customWidth="1"/>
    <col min="269" max="270" width="9.1796875" style="66"/>
    <col min="271" max="271" width="9.54296875" style="66" bestFit="1" customWidth="1"/>
    <col min="272" max="504" width="9.1796875" style="66"/>
    <col min="505" max="505" width="78.26953125" style="66" customWidth="1"/>
    <col min="506" max="506" width="6.54296875" style="66" bestFit="1" customWidth="1"/>
    <col min="507" max="507" width="9.1796875" style="66"/>
    <col min="508" max="508" width="11.1796875" style="66" bestFit="1" customWidth="1"/>
    <col min="509" max="509" width="2.26953125" style="66" customWidth="1"/>
    <col min="510" max="510" width="13" style="66" bestFit="1" customWidth="1"/>
    <col min="511" max="511" width="2.26953125" style="66" customWidth="1"/>
    <col min="512" max="512" width="15.7265625" style="66" customWidth="1"/>
    <col min="513" max="513" width="1.54296875" style="66" customWidth="1"/>
    <col min="514" max="514" width="15.26953125" style="66" bestFit="1" customWidth="1"/>
    <col min="515" max="515" width="2.81640625" style="66" customWidth="1"/>
    <col min="516" max="516" width="11.1796875" style="66" bestFit="1" customWidth="1"/>
    <col min="517" max="517" width="1.81640625" style="66" customWidth="1"/>
    <col min="518" max="518" width="13" style="66" bestFit="1" customWidth="1"/>
    <col min="519" max="519" width="1.54296875" style="66" customWidth="1"/>
    <col min="520" max="520" width="11.1796875" style="66" bestFit="1" customWidth="1"/>
    <col min="521" max="521" width="2" style="66" customWidth="1"/>
    <col min="522" max="522" width="13" style="66" bestFit="1" customWidth="1"/>
    <col min="523" max="523" width="9.1796875" style="66"/>
    <col min="524" max="524" width="16.26953125" style="66" bestFit="1" customWidth="1"/>
    <col min="525" max="526" width="9.1796875" style="66"/>
    <col min="527" max="527" width="9.54296875" style="66" bestFit="1" customWidth="1"/>
    <col min="528" max="760" width="9.1796875" style="66"/>
    <col min="761" max="761" width="78.26953125" style="66" customWidth="1"/>
    <col min="762" max="762" width="6.54296875" style="66" bestFit="1" customWidth="1"/>
    <col min="763" max="763" width="9.1796875" style="66"/>
    <col min="764" max="764" width="11.1796875" style="66" bestFit="1" customWidth="1"/>
    <col min="765" max="765" width="2.26953125" style="66" customWidth="1"/>
    <col min="766" max="766" width="13" style="66" bestFit="1" customWidth="1"/>
    <col min="767" max="767" width="2.26953125" style="66" customWidth="1"/>
    <col min="768" max="768" width="15.7265625" style="66" customWidth="1"/>
    <col min="769" max="769" width="1.54296875" style="66" customWidth="1"/>
    <col min="770" max="770" width="15.26953125" style="66" bestFit="1" customWidth="1"/>
    <col min="771" max="771" width="2.81640625" style="66" customWidth="1"/>
    <col min="772" max="772" width="11.1796875" style="66" bestFit="1" customWidth="1"/>
    <col min="773" max="773" width="1.81640625" style="66" customWidth="1"/>
    <col min="774" max="774" width="13" style="66" bestFit="1" customWidth="1"/>
    <col min="775" max="775" width="1.54296875" style="66" customWidth="1"/>
    <col min="776" max="776" width="11.1796875" style="66" bestFit="1" customWidth="1"/>
    <col min="777" max="777" width="2" style="66" customWidth="1"/>
    <col min="778" max="778" width="13" style="66" bestFit="1" customWidth="1"/>
    <col min="779" max="779" width="9.1796875" style="66"/>
    <col min="780" max="780" width="16.26953125" style="66" bestFit="1" customWidth="1"/>
    <col min="781" max="782" width="9.1796875" style="66"/>
    <col min="783" max="783" width="9.54296875" style="66" bestFit="1" customWidth="1"/>
    <col min="784" max="1016" width="9.1796875" style="66"/>
    <col min="1017" max="1017" width="78.26953125" style="66" customWidth="1"/>
    <col min="1018" max="1018" width="6.54296875" style="66" bestFit="1" customWidth="1"/>
    <col min="1019" max="1019" width="9.1796875" style="66"/>
    <col min="1020" max="1020" width="11.1796875" style="66" bestFit="1" customWidth="1"/>
    <col min="1021" max="1021" width="2.26953125" style="66" customWidth="1"/>
    <col min="1022" max="1022" width="13" style="66" bestFit="1" customWidth="1"/>
    <col min="1023" max="1023" width="2.26953125" style="66" customWidth="1"/>
    <col min="1024" max="1024" width="15.7265625" style="66" customWidth="1"/>
    <col min="1025" max="1025" width="1.54296875" style="66" customWidth="1"/>
    <col min="1026" max="1026" width="15.26953125" style="66" bestFit="1" customWidth="1"/>
    <col min="1027" max="1027" width="2.81640625" style="66" customWidth="1"/>
    <col min="1028" max="1028" width="11.1796875" style="66" bestFit="1" customWidth="1"/>
    <col min="1029" max="1029" width="1.81640625" style="66" customWidth="1"/>
    <col min="1030" max="1030" width="13" style="66" bestFit="1" customWidth="1"/>
    <col min="1031" max="1031" width="1.54296875" style="66" customWidth="1"/>
    <col min="1032" max="1032" width="11.1796875" style="66" bestFit="1" customWidth="1"/>
    <col min="1033" max="1033" width="2" style="66" customWidth="1"/>
    <col min="1034" max="1034" width="13" style="66" bestFit="1" customWidth="1"/>
    <col min="1035" max="1035" width="9.1796875" style="66"/>
    <col min="1036" max="1036" width="16.26953125" style="66" bestFit="1" customWidth="1"/>
    <col min="1037" max="1038" width="9.1796875" style="66"/>
    <col min="1039" max="1039" width="9.54296875" style="66" bestFit="1" customWidth="1"/>
    <col min="1040" max="1272" width="9.1796875" style="66"/>
    <col min="1273" max="1273" width="78.26953125" style="66" customWidth="1"/>
    <col min="1274" max="1274" width="6.54296875" style="66" bestFit="1" customWidth="1"/>
    <col min="1275" max="1275" width="9.1796875" style="66"/>
    <col min="1276" max="1276" width="11.1796875" style="66" bestFit="1" customWidth="1"/>
    <col min="1277" max="1277" width="2.26953125" style="66" customWidth="1"/>
    <col min="1278" max="1278" width="13" style="66" bestFit="1" customWidth="1"/>
    <col min="1279" max="1279" width="2.26953125" style="66" customWidth="1"/>
    <col min="1280" max="1280" width="15.7265625" style="66" customWidth="1"/>
    <col min="1281" max="1281" width="1.54296875" style="66" customWidth="1"/>
    <col min="1282" max="1282" width="15.26953125" style="66" bestFit="1" customWidth="1"/>
    <col min="1283" max="1283" width="2.81640625" style="66" customWidth="1"/>
    <col min="1284" max="1284" width="11.1796875" style="66" bestFit="1" customWidth="1"/>
    <col min="1285" max="1285" width="1.81640625" style="66" customWidth="1"/>
    <col min="1286" max="1286" width="13" style="66" bestFit="1" customWidth="1"/>
    <col min="1287" max="1287" width="1.54296875" style="66" customWidth="1"/>
    <col min="1288" max="1288" width="11.1796875" style="66" bestFit="1" customWidth="1"/>
    <col min="1289" max="1289" width="2" style="66" customWidth="1"/>
    <col min="1290" max="1290" width="13" style="66" bestFit="1" customWidth="1"/>
    <col min="1291" max="1291" width="9.1796875" style="66"/>
    <col min="1292" max="1292" width="16.26953125" style="66" bestFit="1" customWidth="1"/>
    <col min="1293" max="1294" width="9.1796875" style="66"/>
    <col min="1295" max="1295" width="9.54296875" style="66" bestFit="1" customWidth="1"/>
    <col min="1296" max="1528" width="9.1796875" style="66"/>
    <col min="1529" max="1529" width="78.26953125" style="66" customWidth="1"/>
    <col min="1530" max="1530" width="6.54296875" style="66" bestFit="1" customWidth="1"/>
    <col min="1531" max="1531" width="9.1796875" style="66"/>
    <col min="1532" max="1532" width="11.1796875" style="66" bestFit="1" customWidth="1"/>
    <col min="1533" max="1533" width="2.26953125" style="66" customWidth="1"/>
    <col min="1534" max="1534" width="13" style="66" bestFit="1" customWidth="1"/>
    <col min="1535" max="1535" width="2.26953125" style="66" customWidth="1"/>
    <col min="1536" max="1536" width="15.7265625" style="66" customWidth="1"/>
    <col min="1537" max="1537" width="1.54296875" style="66" customWidth="1"/>
    <col min="1538" max="1538" width="15.26953125" style="66" bestFit="1" customWidth="1"/>
    <col min="1539" max="1539" width="2.81640625" style="66" customWidth="1"/>
    <col min="1540" max="1540" width="11.1796875" style="66" bestFit="1" customWidth="1"/>
    <col min="1541" max="1541" width="1.81640625" style="66" customWidth="1"/>
    <col min="1542" max="1542" width="13" style="66" bestFit="1" customWidth="1"/>
    <col min="1543" max="1543" width="1.54296875" style="66" customWidth="1"/>
    <col min="1544" max="1544" width="11.1796875" style="66" bestFit="1" customWidth="1"/>
    <col min="1545" max="1545" width="2" style="66" customWidth="1"/>
    <col min="1546" max="1546" width="13" style="66" bestFit="1" customWidth="1"/>
    <col min="1547" max="1547" width="9.1796875" style="66"/>
    <col min="1548" max="1548" width="16.26953125" style="66" bestFit="1" customWidth="1"/>
    <col min="1549" max="1550" width="9.1796875" style="66"/>
    <col min="1551" max="1551" width="9.54296875" style="66" bestFit="1" customWidth="1"/>
    <col min="1552" max="1784" width="9.1796875" style="66"/>
    <col min="1785" max="1785" width="78.26953125" style="66" customWidth="1"/>
    <col min="1786" max="1786" width="6.54296875" style="66" bestFit="1" customWidth="1"/>
    <col min="1787" max="1787" width="9.1796875" style="66"/>
    <col min="1788" max="1788" width="11.1796875" style="66" bestFit="1" customWidth="1"/>
    <col min="1789" max="1789" width="2.26953125" style="66" customWidth="1"/>
    <col min="1790" max="1790" width="13" style="66" bestFit="1" customWidth="1"/>
    <col min="1791" max="1791" width="2.26953125" style="66" customWidth="1"/>
    <col min="1792" max="1792" width="15.7265625" style="66" customWidth="1"/>
    <col min="1793" max="1793" width="1.54296875" style="66" customWidth="1"/>
    <col min="1794" max="1794" width="15.26953125" style="66" bestFit="1" customWidth="1"/>
    <col min="1795" max="1795" width="2.81640625" style="66" customWidth="1"/>
    <col min="1796" max="1796" width="11.1796875" style="66" bestFit="1" customWidth="1"/>
    <col min="1797" max="1797" width="1.81640625" style="66" customWidth="1"/>
    <col min="1798" max="1798" width="13" style="66" bestFit="1" customWidth="1"/>
    <col min="1799" max="1799" width="1.54296875" style="66" customWidth="1"/>
    <col min="1800" max="1800" width="11.1796875" style="66" bestFit="1" customWidth="1"/>
    <col min="1801" max="1801" width="2" style="66" customWidth="1"/>
    <col min="1802" max="1802" width="13" style="66" bestFit="1" customWidth="1"/>
    <col min="1803" max="1803" width="9.1796875" style="66"/>
    <col min="1804" max="1804" width="16.26953125" style="66" bestFit="1" customWidth="1"/>
    <col min="1805" max="1806" width="9.1796875" style="66"/>
    <col min="1807" max="1807" width="9.54296875" style="66" bestFit="1" customWidth="1"/>
    <col min="1808" max="2040" width="9.1796875" style="66"/>
    <col min="2041" max="2041" width="78.26953125" style="66" customWidth="1"/>
    <col min="2042" max="2042" width="6.54296875" style="66" bestFit="1" customWidth="1"/>
    <col min="2043" max="2043" width="9.1796875" style="66"/>
    <col min="2044" max="2044" width="11.1796875" style="66" bestFit="1" customWidth="1"/>
    <col min="2045" max="2045" width="2.26953125" style="66" customWidth="1"/>
    <col min="2046" max="2046" width="13" style="66" bestFit="1" customWidth="1"/>
    <col min="2047" max="2047" width="2.26953125" style="66" customWidth="1"/>
    <col min="2048" max="2048" width="15.7265625" style="66" customWidth="1"/>
    <col min="2049" max="2049" width="1.54296875" style="66" customWidth="1"/>
    <col min="2050" max="2050" width="15.26953125" style="66" bestFit="1" customWidth="1"/>
    <col min="2051" max="2051" width="2.81640625" style="66" customWidth="1"/>
    <col min="2052" max="2052" width="11.1796875" style="66" bestFit="1" customWidth="1"/>
    <col min="2053" max="2053" width="1.81640625" style="66" customWidth="1"/>
    <col min="2054" max="2054" width="13" style="66" bestFit="1" customWidth="1"/>
    <col min="2055" max="2055" width="1.54296875" style="66" customWidth="1"/>
    <col min="2056" max="2056" width="11.1796875" style="66" bestFit="1" customWidth="1"/>
    <col min="2057" max="2057" width="2" style="66" customWidth="1"/>
    <col min="2058" max="2058" width="13" style="66" bestFit="1" customWidth="1"/>
    <col min="2059" max="2059" width="9.1796875" style="66"/>
    <col min="2060" max="2060" width="16.26953125" style="66" bestFit="1" customWidth="1"/>
    <col min="2061" max="2062" width="9.1796875" style="66"/>
    <col min="2063" max="2063" width="9.54296875" style="66" bestFit="1" customWidth="1"/>
    <col min="2064" max="2296" width="9.1796875" style="66"/>
    <col min="2297" max="2297" width="78.26953125" style="66" customWidth="1"/>
    <col min="2298" max="2298" width="6.54296875" style="66" bestFit="1" customWidth="1"/>
    <col min="2299" max="2299" width="9.1796875" style="66"/>
    <col min="2300" max="2300" width="11.1796875" style="66" bestFit="1" customWidth="1"/>
    <col min="2301" max="2301" width="2.26953125" style="66" customWidth="1"/>
    <col min="2302" max="2302" width="13" style="66" bestFit="1" customWidth="1"/>
    <col min="2303" max="2303" width="2.26953125" style="66" customWidth="1"/>
    <col min="2304" max="2304" width="15.7265625" style="66" customWidth="1"/>
    <col min="2305" max="2305" width="1.54296875" style="66" customWidth="1"/>
    <col min="2306" max="2306" width="15.26953125" style="66" bestFit="1" customWidth="1"/>
    <col min="2307" max="2307" width="2.81640625" style="66" customWidth="1"/>
    <col min="2308" max="2308" width="11.1796875" style="66" bestFit="1" customWidth="1"/>
    <col min="2309" max="2309" width="1.81640625" style="66" customWidth="1"/>
    <col min="2310" max="2310" width="13" style="66" bestFit="1" customWidth="1"/>
    <col min="2311" max="2311" width="1.54296875" style="66" customWidth="1"/>
    <col min="2312" max="2312" width="11.1796875" style="66" bestFit="1" customWidth="1"/>
    <col min="2313" max="2313" width="2" style="66" customWidth="1"/>
    <col min="2314" max="2314" width="13" style="66" bestFit="1" customWidth="1"/>
    <col min="2315" max="2315" width="9.1796875" style="66"/>
    <col min="2316" max="2316" width="16.26953125" style="66" bestFit="1" customWidth="1"/>
    <col min="2317" max="2318" width="9.1796875" style="66"/>
    <col min="2319" max="2319" width="9.54296875" style="66" bestFit="1" customWidth="1"/>
    <col min="2320" max="2552" width="9.1796875" style="66"/>
    <col min="2553" max="2553" width="78.26953125" style="66" customWidth="1"/>
    <col min="2554" max="2554" width="6.54296875" style="66" bestFit="1" customWidth="1"/>
    <col min="2555" max="2555" width="9.1796875" style="66"/>
    <col min="2556" max="2556" width="11.1796875" style="66" bestFit="1" customWidth="1"/>
    <col min="2557" max="2557" width="2.26953125" style="66" customWidth="1"/>
    <col min="2558" max="2558" width="13" style="66" bestFit="1" customWidth="1"/>
    <col min="2559" max="2559" width="2.26953125" style="66" customWidth="1"/>
    <col min="2560" max="2560" width="15.7265625" style="66" customWidth="1"/>
    <col min="2561" max="2561" width="1.54296875" style="66" customWidth="1"/>
    <col min="2562" max="2562" width="15.26953125" style="66" bestFit="1" customWidth="1"/>
    <col min="2563" max="2563" width="2.81640625" style="66" customWidth="1"/>
    <col min="2564" max="2564" width="11.1796875" style="66" bestFit="1" customWidth="1"/>
    <col min="2565" max="2565" width="1.81640625" style="66" customWidth="1"/>
    <col min="2566" max="2566" width="13" style="66" bestFit="1" customWidth="1"/>
    <col min="2567" max="2567" width="1.54296875" style="66" customWidth="1"/>
    <col min="2568" max="2568" width="11.1796875" style="66" bestFit="1" customWidth="1"/>
    <col min="2569" max="2569" width="2" style="66" customWidth="1"/>
    <col min="2570" max="2570" width="13" style="66" bestFit="1" customWidth="1"/>
    <col min="2571" max="2571" width="9.1796875" style="66"/>
    <col min="2572" max="2572" width="16.26953125" style="66" bestFit="1" customWidth="1"/>
    <col min="2573" max="2574" width="9.1796875" style="66"/>
    <col min="2575" max="2575" width="9.54296875" style="66" bestFit="1" customWidth="1"/>
    <col min="2576" max="2808" width="9.1796875" style="66"/>
    <col min="2809" max="2809" width="78.26953125" style="66" customWidth="1"/>
    <col min="2810" max="2810" width="6.54296875" style="66" bestFit="1" customWidth="1"/>
    <col min="2811" max="2811" width="9.1796875" style="66"/>
    <col min="2812" max="2812" width="11.1796875" style="66" bestFit="1" customWidth="1"/>
    <col min="2813" max="2813" width="2.26953125" style="66" customWidth="1"/>
    <col min="2814" max="2814" width="13" style="66" bestFit="1" customWidth="1"/>
    <col min="2815" max="2815" width="2.26953125" style="66" customWidth="1"/>
    <col min="2816" max="2816" width="15.7265625" style="66" customWidth="1"/>
    <col min="2817" max="2817" width="1.54296875" style="66" customWidth="1"/>
    <col min="2818" max="2818" width="15.26953125" style="66" bestFit="1" customWidth="1"/>
    <col min="2819" max="2819" width="2.81640625" style="66" customWidth="1"/>
    <col min="2820" max="2820" width="11.1796875" style="66" bestFit="1" customWidth="1"/>
    <col min="2821" max="2821" width="1.81640625" style="66" customWidth="1"/>
    <col min="2822" max="2822" width="13" style="66" bestFit="1" customWidth="1"/>
    <col min="2823" max="2823" width="1.54296875" style="66" customWidth="1"/>
    <col min="2824" max="2824" width="11.1796875" style="66" bestFit="1" customWidth="1"/>
    <col min="2825" max="2825" width="2" style="66" customWidth="1"/>
    <col min="2826" max="2826" width="13" style="66" bestFit="1" customWidth="1"/>
    <col min="2827" max="2827" width="9.1796875" style="66"/>
    <col min="2828" max="2828" width="16.26953125" style="66" bestFit="1" customWidth="1"/>
    <col min="2829" max="2830" width="9.1796875" style="66"/>
    <col min="2831" max="2831" width="9.54296875" style="66" bestFit="1" customWidth="1"/>
    <col min="2832" max="3064" width="9.1796875" style="66"/>
    <col min="3065" max="3065" width="78.26953125" style="66" customWidth="1"/>
    <col min="3066" max="3066" width="6.54296875" style="66" bestFit="1" customWidth="1"/>
    <col min="3067" max="3067" width="9.1796875" style="66"/>
    <col min="3068" max="3068" width="11.1796875" style="66" bestFit="1" customWidth="1"/>
    <col min="3069" max="3069" width="2.26953125" style="66" customWidth="1"/>
    <col min="3070" max="3070" width="13" style="66" bestFit="1" customWidth="1"/>
    <col min="3071" max="3071" width="2.26953125" style="66" customWidth="1"/>
    <col min="3072" max="3072" width="15.7265625" style="66" customWidth="1"/>
    <col min="3073" max="3073" width="1.54296875" style="66" customWidth="1"/>
    <col min="3074" max="3074" width="15.26953125" style="66" bestFit="1" customWidth="1"/>
    <col min="3075" max="3075" width="2.81640625" style="66" customWidth="1"/>
    <col min="3076" max="3076" width="11.1796875" style="66" bestFit="1" customWidth="1"/>
    <col min="3077" max="3077" width="1.81640625" style="66" customWidth="1"/>
    <col min="3078" max="3078" width="13" style="66" bestFit="1" customWidth="1"/>
    <col min="3079" max="3079" width="1.54296875" style="66" customWidth="1"/>
    <col min="3080" max="3080" width="11.1796875" style="66" bestFit="1" customWidth="1"/>
    <col min="3081" max="3081" width="2" style="66" customWidth="1"/>
    <col min="3082" max="3082" width="13" style="66" bestFit="1" customWidth="1"/>
    <col min="3083" max="3083" width="9.1796875" style="66"/>
    <col min="3084" max="3084" width="16.26953125" style="66" bestFit="1" customWidth="1"/>
    <col min="3085" max="3086" width="9.1796875" style="66"/>
    <col min="3087" max="3087" width="9.54296875" style="66" bestFit="1" customWidth="1"/>
    <col min="3088" max="3320" width="9.1796875" style="66"/>
    <col min="3321" max="3321" width="78.26953125" style="66" customWidth="1"/>
    <col min="3322" max="3322" width="6.54296875" style="66" bestFit="1" customWidth="1"/>
    <col min="3323" max="3323" width="9.1796875" style="66"/>
    <col min="3324" max="3324" width="11.1796875" style="66" bestFit="1" customWidth="1"/>
    <col min="3325" max="3325" width="2.26953125" style="66" customWidth="1"/>
    <col min="3326" max="3326" width="13" style="66" bestFit="1" customWidth="1"/>
    <col min="3327" max="3327" width="2.26953125" style="66" customWidth="1"/>
    <col min="3328" max="3328" width="15.7265625" style="66" customWidth="1"/>
    <col min="3329" max="3329" width="1.54296875" style="66" customWidth="1"/>
    <col min="3330" max="3330" width="15.26953125" style="66" bestFit="1" customWidth="1"/>
    <col min="3331" max="3331" width="2.81640625" style="66" customWidth="1"/>
    <col min="3332" max="3332" width="11.1796875" style="66" bestFit="1" customWidth="1"/>
    <col min="3333" max="3333" width="1.81640625" style="66" customWidth="1"/>
    <col min="3334" max="3334" width="13" style="66" bestFit="1" customWidth="1"/>
    <col min="3335" max="3335" width="1.54296875" style="66" customWidth="1"/>
    <col min="3336" max="3336" width="11.1796875" style="66" bestFit="1" customWidth="1"/>
    <col min="3337" max="3337" width="2" style="66" customWidth="1"/>
    <col min="3338" max="3338" width="13" style="66" bestFit="1" customWidth="1"/>
    <col min="3339" max="3339" width="9.1796875" style="66"/>
    <col min="3340" max="3340" width="16.26953125" style="66" bestFit="1" customWidth="1"/>
    <col min="3341" max="3342" width="9.1796875" style="66"/>
    <col min="3343" max="3343" width="9.54296875" style="66" bestFit="1" customWidth="1"/>
    <col min="3344" max="3576" width="9.1796875" style="66"/>
    <col min="3577" max="3577" width="78.26953125" style="66" customWidth="1"/>
    <col min="3578" max="3578" width="6.54296875" style="66" bestFit="1" customWidth="1"/>
    <col min="3579" max="3579" width="9.1796875" style="66"/>
    <col min="3580" max="3580" width="11.1796875" style="66" bestFit="1" customWidth="1"/>
    <col min="3581" max="3581" width="2.26953125" style="66" customWidth="1"/>
    <col min="3582" max="3582" width="13" style="66" bestFit="1" customWidth="1"/>
    <col min="3583" max="3583" width="2.26953125" style="66" customWidth="1"/>
    <col min="3584" max="3584" width="15.7265625" style="66" customWidth="1"/>
    <col min="3585" max="3585" width="1.54296875" style="66" customWidth="1"/>
    <col min="3586" max="3586" width="15.26953125" style="66" bestFit="1" customWidth="1"/>
    <col min="3587" max="3587" width="2.81640625" style="66" customWidth="1"/>
    <col min="3588" max="3588" width="11.1796875" style="66" bestFit="1" customWidth="1"/>
    <col min="3589" max="3589" width="1.81640625" style="66" customWidth="1"/>
    <col min="3590" max="3590" width="13" style="66" bestFit="1" customWidth="1"/>
    <col min="3591" max="3591" width="1.54296875" style="66" customWidth="1"/>
    <col min="3592" max="3592" width="11.1796875" style="66" bestFit="1" customWidth="1"/>
    <col min="3593" max="3593" width="2" style="66" customWidth="1"/>
    <col min="3594" max="3594" width="13" style="66" bestFit="1" customWidth="1"/>
    <col min="3595" max="3595" width="9.1796875" style="66"/>
    <col min="3596" max="3596" width="16.26953125" style="66" bestFit="1" customWidth="1"/>
    <col min="3597" max="3598" width="9.1796875" style="66"/>
    <col min="3599" max="3599" width="9.54296875" style="66" bestFit="1" customWidth="1"/>
    <col min="3600" max="3832" width="9.1796875" style="66"/>
    <col min="3833" max="3833" width="78.26953125" style="66" customWidth="1"/>
    <col min="3834" max="3834" width="6.54296875" style="66" bestFit="1" customWidth="1"/>
    <col min="3835" max="3835" width="9.1796875" style="66"/>
    <col min="3836" max="3836" width="11.1796875" style="66" bestFit="1" customWidth="1"/>
    <col min="3837" max="3837" width="2.26953125" style="66" customWidth="1"/>
    <col min="3838" max="3838" width="13" style="66" bestFit="1" customWidth="1"/>
    <col min="3839" max="3839" width="2.26953125" style="66" customWidth="1"/>
    <col min="3840" max="3840" width="15.7265625" style="66" customWidth="1"/>
    <col min="3841" max="3841" width="1.54296875" style="66" customWidth="1"/>
    <col min="3842" max="3842" width="15.26953125" style="66" bestFit="1" customWidth="1"/>
    <col min="3843" max="3843" width="2.81640625" style="66" customWidth="1"/>
    <col min="3844" max="3844" width="11.1796875" style="66" bestFit="1" customWidth="1"/>
    <col min="3845" max="3845" width="1.81640625" style="66" customWidth="1"/>
    <col min="3846" max="3846" width="13" style="66" bestFit="1" customWidth="1"/>
    <col min="3847" max="3847" width="1.54296875" style="66" customWidth="1"/>
    <col min="3848" max="3848" width="11.1796875" style="66" bestFit="1" customWidth="1"/>
    <col min="3849" max="3849" width="2" style="66" customWidth="1"/>
    <col min="3850" max="3850" width="13" style="66" bestFit="1" customWidth="1"/>
    <col min="3851" max="3851" width="9.1796875" style="66"/>
    <col min="3852" max="3852" width="16.26953125" style="66" bestFit="1" customWidth="1"/>
    <col min="3853" max="3854" width="9.1796875" style="66"/>
    <col min="3855" max="3855" width="9.54296875" style="66" bestFit="1" customWidth="1"/>
    <col min="3856" max="4088" width="9.1796875" style="66"/>
    <col min="4089" max="4089" width="78.26953125" style="66" customWidth="1"/>
    <col min="4090" max="4090" width="6.54296875" style="66" bestFit="1" customWidth="1"/>
    <col min="4091" max="4091" width="9.1796875" style="66"/>
    <col min="4092" max="4092" width="11.1796875" style="66" bestFit="1" customWidth="1"/>
    <col min="4093" max="4093" width="2.26953125" style="66" customWidth="1"/>
    <col min="4094" max="4094" width="13" style="66" bestFit="1" customWidth="1"/>
    <col min="4095" max="4095" width="2.26953125" style="66" customWidth="1"/>
    <col min="4096" max="4096" width="15.7265625" style="66" customWidth="1"/>
    <col min="4097" max="4097" width="1.54296875" style="66" customWidth="1"/>
    <col min="4098" max="4098" width="15.26953125" style="66" bestFit="1" customWidth="1"/>
    <col min="4099" max="4099" width="2.81640625" style="66" customWidth="1"/>
    <col min="4100" max="4100" width="11.1796875" style="66" bestFit="1" customWidth="1"/>
    <col min="4101" max="4101" width="1.81640625" style="66" customWidth="1"/>
    <col min="4102" max="4102" width="13" style="66" bestFit="1" customWidth="1"/>
    <col min="4103" max="4103" width="1.54296875" style="66" customWidth="1"/>
    <col min="4104" max="4104" width="11.1796875" style="66" bestFit="1" customWidth="1"/>
    <col min="4105" max="4105" width="2" style="66" customWidth="1"/>
    <col min="4106" max="4106" width="13" style="66" bestFit="1" customWidth="1"/>
    <col min="4107" max="4107" width="9.1796875" style="66"/>
    <col min="4108" max="4108" width="16.26953125" style="66" bestFit="1" customWidth="1"/>
    <col min="4109" max="4110" width="9.1796875" style="66"/>
    <col min="4111" max="4111" width="9.54296875" style="66" bestFit="1" customWidth="1"/>
    <col min="4112" max="4344" width="9.1796875" style="66"/>
    <col min="4345" max="4345" width="78.26953125" style="66" customWidth="1"/>
    <col min="4346" max="4346" width="6.54296875" style="66" bestFit="1" customWidth="1"/>
    <col min="4347" max="4347" width="9.1796875" style="66"/>
    <col min="4348" max="4348" width="11.1796875" style="66" bestFit="1" customWidth="1"/>
    <col min="4349" max="4349" width="2.26953125" style="66" customWidth="1"/>
    <col min="4350" max="4350" width="13" style="66" bestFit="1" customWidth="1"/>
    <col min="4351" max="4351" width="2.26953125" style="66" customWidth="1"/>
    <col min="4352" max="4352" width="15.7265625" style="66" customWidth="1"/>
    <col min="4353" max="4353" width="1.54296875" style="66" customWidth="1"/>
    <col min="4354" max="4354" width="15.26953125" style="66" bestFit="1" customWidth="1"/>
    <col min="4355" max="4355" width="2.81640625" style="66" customWidth="1"/>
    <col min="4356" max="4356" width="11.1796875" style="66" bestFit="1" customWidth="1"/>
    <col min="4357" max="4357" width="1.81640625" style="66" customWidth="1"/>
    <col min="4358" max="4358" width="13" style="66" bestFit="1" customWidth="1"/>
    <col min="4359" max="4359" width="1.54296875" style="66" customWidth="1"/>
    <col min="4360" max="4360" width="11.1796875" style="66" bestFit="1" customWidth="1"/>
    <col min="4361" max="4361" width="2" style="66" customWidth="1"/>
    <col min="4362" max="4362" width="13" style="66" bestFit="1" customWidth="1"/>
    <col min="4363" max="4363" width="9.1796875" style="66"/>
    <col min="4364" max="4364" width="16.26953125" style="66" bestFit="1" customWidth="1"/>
    <col min="4365" max="4366" width="9.1796875" style="66"/>
    <col min="4367" max="4367" width="9.54296875" style="66" bestFit="1" customWidth="1"/>
    <col min="4368" max="4600" width="9.1796875" style="66"/>
    <col min="4601" max="4601" width="78.26953125" style="66" customWidth="1"/>
    <col min="4602" max="4602" width="6.54296875" style="66" bestFit="1" customWidth="1"/>
    <col min="4603" max="4603" width="9.1796875" style="66"/>
    <col min="4604" max="4604" width="11.1796875" style="66" bestFit="1" customWidth="1"/>
    <col min="4605" max="4605" width="2.26953125" style="66" customWidth="1"/>
    <col min="4606" max="4606" width="13" style="66" bestFit="1" customWidth="1"/>
    <col min="4607" max="4607" width="2.26953125" style="66" customWidth="1"/>
    <col min="4608" max="4608" width="15.7265625" style="66" customWidth="1"/>
    <col min="4609" max="4609" width="1.54296875" style="66" customWidth="1"/>
    <col min="4610" max="4610" width="15.26953125" style="66" bestFit="1" customWidth="1"/>
    <col min="4611" max="4611" width="2.81640625" style="66" customWidth="1"/>
    <col min="4612" max="4612" width="11.1796875" style="66" bestFit="1" customWidth="1"/>
    <col min="4613" max="4613" width="1.81640625" style="66" customWidth="1"/>
    <col min="4614" max="4614" width="13" style="66" bestFit="1" customWidth="1"/>
    <col min="4615" max="4615" width="1.54296875" style="66" customWidth="1"/>
    <col min="4616" max="4616" width="11.1796875" style="66" bestFit="1" customWidth="1"/>
    <col min="4617" max="4617" width="2" style="66" customWidth="1"/>
    <col min="4618" max="4618" width="13" style="66" bestFit="1" customWidth="1"/>
    <col min="4619" max="4619" width="9.1796875" style="66"/>
    <col min="4620" max="4620" width="16.26953125" style="66" bestFit="1" customWidth="1"/>
    <col min="4621" max="4622" width="9.1796875" style="66"/>
    <col min="4623" max="4623" width="9.54296875" style="66" bestFit="1" customWidth="1"/>
    <col min="4624" max="4856" width="9.1796875" style="66"/>
    <col min="4857" max="4857" width="78.26953125" style="66" customWidth="1"/>
    <col min="4858" max="4858" width="6.54296875" style="66" bestFit="1" customWidth="1"/>
    <col min="4859" max="4859" width="9.1796875" style="66"/>
    <col min="4860" max="4860" width="11.1796875" style="66" bestFit="1" customWidth="1"/>
    <col min="4861" max="4861" width="2.26953125" style="66" customWidth="1"/>
    <col min="4862" max="4862" width="13" style="66" bestFit="1" customWidth="1"/>
    <col min="4863" max="4863" width="2.26953125" style="66" customWidth="1"/>
    <col min="4864" max="4864" width="15.7265625" style="66" customWidth="1"/>
    <col min="4865" max="4865" width="1.54296875" style="66" customWidth="1"/>
    <col min="4866" max="4866" width="15.26953125" style="66" bestFit="1" customWidth="1"/>
    <col min="4867" max="4867" width="2.81640625" style="66" customWidth="1"/>
    <col min="4868" max="4868" width="11.1796875" style="66" bestFit="1" customWidth="1"/>
    <col min="4869" max="4869" width="1.81640625" style="66" customWidth="1"/>
    <col min="4870" max="4870" width="13" style="66" bestFit="1" customWidth="1"/>
    <col min="4871" max="4871" width="1.54296875" style="66" customWidth="1"/>
    <col min="4872" max="4872" width="11.1796875" style="66" bestFit="1" customWidth="1"/>
    <col min="4873" max="4873" width="2" style="66" customWidth="1"/>
    <col min="4874" max="4874" width="13" style="66" bestFit="1" customWidth="1"/>
    <col min="4875" max="4875" width="9.1796875" style="66"/>
    <col min="4876" max="4876" width="16.26953125" style="66" bestFit="1" customWidth="1"/>
    <col min="4877" max="4878" width="9.1796875" style="66"/>
    <col min="4879" max="4879" width="9.54296875" style="66" bestFit="1" customWidth="1"/>
    <col min="4880" max="5112" width="9.1796875" style="66"/>
    <col min="5113" max="5113" width="78.26953125" style="66" customWidth="1"/>
    <col min="5114" max="5114" width="6.54296875" style="66" bestFit="1" customWidth="1"/>
    <col min="5115" max="5115" width="9.1796875" style="66"/>
    <col min="5116" max="5116" width="11.1796875" style="66" bestFit="1" customWidth="1"/>
    <col min="5117" max="5117" width="2.26953125" style="66" customWidth="1"/>
    <col min="5118" max="5118" width="13" style="66" bestFit="1" customWidth="1"/>
    <col min="5119" max="5119" width="2.26953125" style="66" customWidth="1"/>
    <col min="5120" max="5120" width="15.7265625" style="66" customWidth="1"/>
    <col min="5121" max="5121" width="1.54296875" style="66" customWidth="1"/>
    <col min="5122" max="5122" width="15.26953125" style="66" bestFit="1" customWidth="1"/>
    <col min="5123" max="5123" width="2.81640625" style="66" customWidth="1"/>
    <col min="5124" max="5124" width="11.1796875" style="66" bestFit="1" customWidth="1"/>
    <col min="5125" max="5125" width="1.81640625" style="66" customWidth="1"/>
    <col min="5126" max="5126" width="13" style="66" bestFit="1" customWidth="1"/>
    <col min="5127" max="5127" width="1.54296875" style="66" customWidth="1"/>
    <col min="5128" max="5128" width="11.1796875" style="66" bestFit="1" customWidth="1"/>
    <col min="5129" max="5129" width="2" style="66" customWidth="1"/>
    <col min="5130" max="5130" width="13" style="66" bestFit="1" customWidth="1"/>
    <col min="5131" max="5131" width="9.1796875" style="66"/>
    <col min="5132" max="5132" width="16.26953125" style="66" bestFit="1" customWidth="1"/>
    <col min="5133" max="5134" width="9.1796875" style="66"/>
    <col min="5135" max="5135" width="9.54296875" style="66" bestFit="1" customWidth="1"/>
    <col min="5136" max="5368" width="9.1796875" style="66"/>
    <col min="5369" max="5369" width="78.26953125" style="66" customWidth="1"/>
    <col min="5370" max="5370" width="6.54296875" style="66" bestFit="1" customWidth="1"/>
    <col min="5371" max="5371" width="9.1796875" style="66"/>
    <col min="5372" max="5372" width="11.1796875" style="66" bestFit="1" customWidth="1"/>
    <col min="5373" max="5373" width="2.26953125" style="66" customWidth="1"/>
    <col min="5374" max="5374" width="13" style="66" bestFit="1" customWidth="1"/>
    <col min="5375" max="5375" width="2.26953125" style="66" customWidth="1"/>
    <col min="5376" max="5376" width="15.7265625" style="66" customWidth="1"/>
    <col min="5377" max="5377" width="1.54296875" style="66" customWidth="1"/>
    <col min="5378" max="5378" width="15.26953125" style="66" bestFit="1" customWidth="1"/>
    <col min="5379" max="5379" width="2.81640625" style="66" customWidth="1"/>
    <col min="5380" max="5380" width="11.1796875" style="66" bestFit="1" customWidth="1"/>
    <col min="5381" max="5381" width="1.81640625" style="66" customWidth="1"/>
    <col min="5382" max="5382" width="13" style="66" bestFit="1" customWidth="1"/>
    <col min="5383" max="5383" width="1.54296875" style="66" customWidth="1"/>
    <col min="5384" max="5384" width="11.1796875" style="66" bestFit="1" customWidth="1"/>
    <col min="5385" max="5385" width="2" style="66" customWidth="1"/>
    <col min="5386" max="5386" width="13" style="66" bestFit="1" customWidth="1"/>
    <col min="5387" max="5387" width="9.1796875" style="66"/>
    <col min="5388" max="5388" width="16.26953125" style="66" bestFit="1" customWidth="1"/>
    <col min="5389" max="5390" width="9.1796875" style="66"/>
    <col min="5391" max="5391" width="9.54296875" style="66" bestFit="1" customWidth="1"/>
    <col min="5392" max="5624" width="9.1796875" style="66"/>
    <col min="5625" max="5625" width="78.26953125" style="66" customWidth="1"/>
    <col min="5626" max="5626" width="6.54296875" style="66" bestFit="1" customWidth="1"/>
    <col min="5627" max="5627" width="9.1796875" style="66"/>
    <col min="5628" max="5628" width="11.1796875" style="66" bestFit="1" customWidth="1"/>
    <col min="5629" max="5629" width="2.26953125" style="66" customWidth="1"/>
    <col min="5630" max="5630" width="13" style="66" bestFit="1" customWidth="1"/>
    <col min="5631" max="5631" width="2.26953125" style="66" customWidth="1"/>
    <col min="5632" max="5632" width="15.7265625" style="66" customWidth="1"/>
    <col min="5633" max="5633" width="1.54296875" style="66" customWidth="1"/>
    <col min="5634" max="5634" width="15.26953125" style="66" bestFit="1" customWidth="1"/>
    <col min="5635" max="5635" width="2.81640625" style="66" customWidth="1"/>
    <col min="5636" max="5636" width="11.1796875" style="66" bestFit="1" customWidth="1"/>
    <col min="5637" max="5637" width="1.81640625" style="66" customWidth="1"/>
    <col min="5638" max="5638" width="13" style="66" bestFit="1" customWidth="1"/>
    <col min="5639" max="5639" width="1.54296875" style="66" customWidth="1"/>
    <col min="5640" max="5640" width="11.1796875" style="66" bestFit="1" customWidth="1"/>
    <col min="5641" max="5641" width="2" style="66" customWidth="1"/>
    <col min="5642" max="5642" width="13" style="66" bestFit="1" customWidth="1"/>
    <col min="5643" max="5643" width="9.1796875" style="66"/>
    <col min="5644" max="5644" width="16.26953125" style="66" bestFit="1" customWidth="1"/>
    <col min="5645" max="5646" width="9.1796875" style="66"/>
    <col min="5647" max="5647" width="9.54296875" style="66" bestFit="1" customWidth="1"/>
    <col min="5648" max="5880" width="9.1796875" style="66"/>
    <col min="5881" max="5881" width="78.26953125" style="66" customWidth="1"/>
    <col min="5882" max="5882" width="6.54296875" style="66" bestFit="1" customWidth="1"/>
    <col min="5883" max="5883" width="9.1796875" style="66"/>
    <col min="5884" max="5884" width="11.1796875" style="66" bestFit="1" customWidth="1"/>
    <col min="5885" max="5885" width="2.26953125" style="66" customWidth="1"/>
    <col min="5886" max="5886" width="13" style="66" bestFit="1" customWidth="1"/>
    <col min="5887" max="5887" width="2.26953125" style="66" customWidth="1"/>
    <col min="5888" max="5888" width="15.7265625" style="66" customWidth="1"/>
    <col min="5889" max="5889" width="1.54296875" style="66" customWidth="1"/>
    <col min="5890" max="5890" width="15.26953125" style="66" bestFit="1" customWidth="1"/>
    <col min="5891" max="5891" width="2.81640625" style="66" customWidth="1"/>
    <col min="5892" max="5892" width="11.1796875" style="66" bestFit="1" customWidth="1"/>
    <col min="5893" max="5893" width="1.81640625" style="66" customWidth="1"/>
    <col min="5894" max="5894" width="13" style="66" bestFit="1" customWidth="1"/>
    <col min="5895" max="5895" width="1.54296875" style="66" customWidth="1"/>
    <col min="5896" max="5896" width="11.1796875" style="66" bestFit="1" customWidth="1"/>
    <col min="5897" max="5897" width="2" style="66" customWidth="1"/>
    <col min="5898" max="5898" width="13" style="66" bestFit="1" customWidth="1"/>
    <col min="5899" max="5899" width="9.1796875" style="66"/>
    <col min="5900" max="5900" width="16.26953125" style="66" bestFit="1" customWidth="1"/>
    <col min="5901" max="5902" width="9.1796875" style="66"/>
    <col min="5903" max="5903" width="9.54296875" style="66" bestFit="1" customWidth="1"/>
    <col min="5904" max="6136" width="9.1796875" style="66"/>
    <col min="6137" max="6137" width="78.26953125" style="66" customWidth="1"/>
    <col min="6138" max="6138" width="6.54296875" style="66" bestFit="1" customWidth="1"/>
    <col min="6139" max="6139" width="9.1796875" style="66"/>
    <col min="6140" max="6140" width="11.1796875" style="66" bestFit="1" customWidth="1"/>
    <col min="6141" max="6141" width="2.26953125" style="66" customWidth="1"/>
    <col min="6142" max="6142" width="13" style="66" bestFit="1" customWidth="1"/>
    <col min="6143" max="6143" width="2.26953125" style="66" customWidth="1"/>
    <col min="6144" max="6144" width="15.7265625" style="66" customWidth="1"/>
    <col min="6145" max="6145" width="1.54296875" style="66" customWidth="1"/>
    <col min="6146" max="6146" width="15.26953125" style="66" bestFit="1" customWidth="1"/>
    <col min="6147" max="6147" width="2.81640625" style="66" customWidth="1"/>
    <col min="6148" max="6148" width="11.1796875" style="66" bestFit="1" customWidth="1"/>
    <col min="6149" max="6149" width="1.81640625" style="66" customWidth="1"/>
    <col min="6150" max="6150" width="13" style="66" bestFit="1" customWidth="1"/>
    <col min="6151" max="6151" width="1.54296875" style="66" customWidth="1"/>
    <col min="6152" max="6152" width="11.1796875" style="66" bestFit="1" customWidth="1"/>
    <col min="6153" max="6153" width="2" style="66" customWidth="1"/>
    <col min="6154" max="6154" width="13" style="66" bestFit="1" customWidth="1"/>
    <col min="6155" max="6155" width="9.1796875" style="66"/>
    <col min="6156" max="6156" width="16.26953125" style="66" bestFit="1" customWidth="1"/>
    <col min="6157" max="6158" width="9.1796875" style="66"/>
    <col min="6159" max="6159" width="9.54296875" style="66" bestFit="1" customWidth="1"/>
    <col min="6160" max="6392" width="9.1796875" style="66"/>
    <col min="6393" max="6393" width="78.26953125" style="66" customWidth="1"/>
    <col min="6394" max="6394" width="6.54296875" style="66" bestFit="1" customWidth="1"/>
    <col min="6395" max="6395" width="9.1796875" style="66"/>
    <col min="6396" max="6396" width="11.1796875" style="66" bestFit="1" customWidth="1"/>
    <col min="6397" max="6397" width="2.26953125" style="66" customWidth="1"/>
    <col min="6398" max="6398" width="13" style="66" bestFit="1" customWidth="1"/>
    <col min="6399" max="6399" width="2.26953125" style="66" customWidth="1"/>
    <col min="6400" max="6400" width="15.7265625" style="66" customWidth="1"/>
    <col min="6401" max="6401" width="1.54296875" style="66" customWidth="1"/>
    <col min="6402" max="6402" width="15.26953125" style="66" bestFit="1" customWidth="1"/>
    <col min="6403" max="6403" width="2.81640625" style="66" customWidth="1"/>
    <col min="6404" max="6404" width="11.1796875" style="66" bestFit="1" customWidth="1"/>
    <col min="6405" max="6405" width="1.81640625" style="66" customWidth="1"/>
    <col min="6406" max="6406" width="13" style="66" bestFit="1" customWidth="1"/>
    <col min="6407" max="6407" width="1.54296875" style="66" customWidth="1"/>
    <col min="6408" max="6408" width="11.1796875" style="66" bestFit="1" customWidth="1"/>
    <col min="6409" max="6409" width="2" style="66" customWidth="1"/>
    <col min="6410" max="6410" width="13" style="66" bestFit="1" customWidth="1"/>
    <col min="6411" max="6411" width="9.1796875" style="66"/>
    <col min="6412" max="6412" width="16.26953125" style="66" bestFit="1" customWidth="1"/>
    <col min="6413" max="6414" width="9.1796875" style="66"/>
    <col min="6415" max="6415" width="9.54296875" style="66" bestFit="1" customWidth="1"/>
    <col min="6416" max="6648" width="9.1796875" style="66"/>
    <col min="6649" max="6649" width="78.26953125" style="66" customWidth="1"/>
    <col min="6650" max="6650" width="6.54296875" style="66" bestFit="1" customWidth="1"/>
    <col min="6651" max="6651" width="9.1796875" style="66"/>
    <col min="6652" max="6652" width="11.1796875" style="66" bestFit="1" customWidth="1"/>
    <col min="6653" max="6653" width="2.26953125" style="66" customWidth="1"/>
    <col min="6654" max="6654" width="13" style="66" bestFit="1" customWidth="1"/>
    <col min="6655" max="6655" width="2.26953125" style="66" customWidth="1"/>
    <col min="6656" max="6656" width="15.7265625" style="66" customWidth="1"/>
    <col min="6657" max="6657" width="1.54296875" style="66" customWidth="1"/>
    <col min="6658" max="6658" width="15.26953125" style="66" bestFit="1" customWidth="1"/>
    <col min="6659" max="6659" width="2.81640625" style="66" customWidth="1"/>
    <col min="6660" max="6660" width="11.1796875" style="66" bestFit="1" customWidth="1"/>
    <col min="6661" max="6661" width="1.81640625" style="66" customWidth="1"/>
    <col min="6662" max="6662" width="13" style="66" bestFit="1" customWidth="1"/>
    <col min="6663" max="6663" width="1.54296875" style="66" customWidth="1"/>
    <col min="6664" max="6664" width="11.1796875" style="66" bestFit="1" customWidth="1"/>
    <col min="6665" max="6665" width="2" style="66" customWidth="1"/>
    <col min="6666" max="6666" width="13" style="66" bestFit="1" customWidth="1"/>
    <col min="6667" max="6667" width="9.1796875" style="66"/>
    <col min="6668" max="6668" width="16.26953125" style="66" bestFit="1" customWidth="1"/>
    <col min="6669" max="6670" width="9.1796875" style="66"/>
    <col min="6671" max="6671" width="9.54296875" style="66" bestFit="1" customWidth="1"/>
    <col min="6672" max="6904" width="9.1796875" style="66"/>
    <col min="6905" max="6905" width="78.26953125" style="66" customWidth="1"/>
    <col min="6906" max="6906" width="6.54296875" style="66" bestFit="1" customWidth="1"/>
    <col min="6907" max="6907" width="9.1796875" style="66"/>
    <col min="6908" max="6908" width="11.1796875" style="66" bestFit="1" customWidth="1"/>
    <col min="6909" max="6909" width="2.26953125" style="66" customWidth="1"/>
    <col min="6910" max="6910" width="13" style="66" bestFit="1" customWidth="1"/>
    <col min="6911" max="6911" width="2.26953125" style="66" customWidth="1"/>
    <col min="6912" max="6912" width="15.7265625" style="66" customWidth="1"/>
    <col min="6913" max="6913" width="1.54296875" style="66" customWidth="1"/>
    <col min="6914" max="6914" width="15.26953125" style="66" bestFit="1" customWidth="1"/>
    <col min="6915" max="6915" width="2.81640625" style="66" customWidth="1"/>
    <col min="6916" max="6916" width="11.1796875" style="66" bestFit="1" customWidth="1"/>
    <col min="6917" max="6917" width="1.81640625" style="66" customWidth="1"/>
    <col min="6918" max="6918" width="13" style="66" bestFit="1" customWidth="1"/>
    <col min="6919" max="6919" width="1.54296875" style="66" customWidth="1"/>
    <col min="6920" max="6920" width="11.1796875" style="66" bestFit="1" customWidth="1"/>
    <col min="6921" max="6921" width="2" style="66" customWidth="1"/>
    <col min="6922" max="6922" width="13" style="66" bestFit="1" customWidth="1"/>
    <col min="6923" max="6923" width="9.1796875" style="66"/>
    <col min="6924" max="6924" width="16.26953125" style="66" bestFit="1" customWidth="1"/>
    <col min="6925" max="6926" width="9.1796875" style="66"/>
    <col min="6927" max="6927" width="9.54296875" style="66" bestFit="1" customWidth="1"/>
    <col min="6928" max="7160" width="9.1796875" style="66"/>
    <col min="7161" max="7161" width="78.26953125" style="66" customWidth="1"/>
    <col min="7162" max="7162" width="6.54296875" style="66" bestFit="1" customWidth="1"/>
    <col min="7163" max="7163" width="9.1796875" style="66"/>
    <col min="7164" max="7164" width="11.1796875" style="66" bestFit="1" customWidth="1"/>
    <col min="7165" max="7165" width="2.26953125" style="66" customWidth="1"/>
    <col min="7166" max="7166" width="13" style="66" bestFit="1" customWidth="1"/>
    <col min="7167" max="7167" width="2.26953125" style="66" customWidth="1"/>
    <col min="7168" max="7168" width="15.7265625" style="66" customWidth="1"/>
    <col min="7169" max="7169" width="1.54296875" style="66" customWidth="1"/>
    <col min="7170" max="7170" width="15.26953125" style="66" bestFit="1" customWidth="1"/>
    <col min="7171" max="7171" width="2.81640625" style="66" customWidth="1"/>
    <col min="7172" max="7172" width="11.1796875" style="66" bestFit="1" customWidth="1"/>
    <col min="7173" max="7173" width="1.81640625" style="66" customWidth="1"/>
    <col min="7174" max="7174" width="13" style="66" bestFit="1" customWidth="1"/>
    <col min="7175" max="7175" width="1.54296875" style="66" customWidth="1"/>
    <col min="7176" max="7176" width="11.1796875" style="66" bestFit="1" customWidth="1"/>
    <col min="7177" max="7177" width="2" style="66" customWidth="1"/>
    <col min="7178" max="7178" width="13" style="66" bestFit="1" customWidth="1"/>
    <col min="7179" max="7179" width="9.1796875" style="66"/>
    <col min="7180" max="7180" width="16.26953125" style="66" bestFit="1" customWidth="1"/>
    <col min="7181" max="7182" width="9.1796875" style="66"/>
    <col min="7183" max="7183" width="9.54296875" style="66" bestFit="1" customWidth="1"/>
    <col min="7184" max="7416" width="9.1796875" style="66"/>
    <col min="7417" max="7417" width="78.26953125" style="66" customWidth="1"/>
    <col min="7418" max="7418" width="6.54296875" style="66" bestFit="1" customWidth="1"/>
    <col min="7419" max="7419" width="9.1796875" style="66"/>
    <col min="7420" max="7420" width="11.1796875" style="66" bestFit="1" customWidth="1"/>
    <col min="7421" max="7421" width="2.26953125" style="66" customWidth="1"/>
    <col min="7422" max="7422" width="13" style="66" bestFit="1" customWidth="1"/>
    <col min="7423" max="7423" width="2.26953125" style="66" customWidth="1"/>
    <col min="7424" max="7424" width="15.7265625" style="66" customWidth="1"/>
    <col min="7425" max="7425" width="1.54296875" style="66" customWidth="1"/>
    <col min="7426" max="7426" width="15.26953125" style="66" bestFit="1" customWidth="1"/>
    <col min="7427" max="7427" width="2.81640625" style="66" customWidth="1"/>
    <col min="7428" max="7428" width="11.1796875" style="66" bestFit="1" customWidth="1"/>
    <col min="7429" max="7429" width="1.81640625" style="66" customWidth="1"/>
    <col min="7430" max="7430" width="13" style="66" bestFit="1" customWidth="1"/>
    <col min="7431" max="7431" width="1.54296875" style="66" customWidth="1"/>
    <col min="7432" max="7432" width="11.1796875" style="66" bestFit="1" customWidth="1"/>
    <col min="7433" max="7433" width="2" style="66" customWidth="1"/>
    <col min="7434" max="7434" width="13" style="66" bestFit="1" customWidth="1"/>
    <col min="7435" max="7435" width="9.1796875" style="66"/>
    <col min="7436" max="7436" width="16.26953125" style="66" bestFit="1" customWidth="1"/>
    <col min="7437" max="7438" width="9.1796875" style="66"/>
    <col min="7439" max="7439" width="9.54296875" style="66" bestFit="1" customWidth="1"/>
    <col min="7440" max="7672" width="9.1796875" style="66"/>
    <col min="7673" max="7673" width="78.26953125" style="66" customWidth="1"/>
    <col min="7674" max="7674" width="6.54296875" style="66" bestFit="1" customWidth="1"/>
    <col min="7675" max="7675" width="9.1796875" style="66"/>
    <col min="7676" max="7676" width="11.1796875" style="66" bestFit="1" customWidth="1"/>
    <col min="7677" max="7677" width="2.26953125" style="66" customWidth="1"/>
    <col min="7678" max="7678" width="13" style="66" bestFit="1" customWidth="1"/>
    <col min="7679" max="7679" width="2.26953125" style="66" customWidth="1"/>
    <col min="7680" max="7680" width="15.7265625" style="66" customWidth="1"/>
    <col min="7681" max="7681" width="1.54296875" style="66" customWidth="1"/>
    <col min="7682" max="7682" width="15.26953125" style="66" bestFit="1" customWidth="1"/>
    <col min="7683" max="7683" width="2.81640625" style="66" customWidth="1"/>
    <col min="7684" max="7684" width="11.1796875" style="66" bestFit="1" customWidth="1"/>
    <col min="7685" max="7685" width="1.81640625" style="66" customWidth="1"/>
    <col min="7686" max="7686" width="13" style="66" bestFit="1" customWidth="1"/>
    <col min="7687" max="7687" width="1.54296875" style="66" customWidth="1"/>
    <col min="7688" max="7688" width="11.1796875" style="66" bestFit="1" customWidth="1"/>
    <col min="7689" max="7689" width="2" style="66" customWidth="1"/>
    <col min="7690" max="7690" width="13" style="66" bestFit="1" customWidth="1"/>
    <col min="7691" max="7691" width="9.1796875" style="66"/>
    <col min="7692" max="7692" width="16.26953125" style="66" bestFit="1" customWidth="1"/>
    <col min="7693" max="7694" width="9.1796875" style="66"/>
    <col min="7695" max="7695" width="9.54296875" style="66" bestFit="1" customWidth="1"/>
    <col min="7696" max="7928" width="9.1796875" style="66"/>
    <col min="7929" max="7929" width="78.26953125" style="66" customWidth="1"/>
    <col min="7930" max="7930" width="6.54296875" style="66" bestFit="1" customWidth="1"/>
    <col min="7931" max="7931" width="9.1796875" style="66"/>
    <col min="7932" max="7932" width="11.1796875" style="66" bestFit="1" customWidth="1"/>
    <col min="7933" max="7933" width="2.26953125" style="66" customWidth="1"/>
    <col min="7934" max="7934" width="13" style="66" bestFit="1" customWidth="1"/>
    <col min="7935" max="7935" width="2.26953125" style="66" customWidth="1"/>
    <col min="7936" max="7936" width="15.7265625" style="66" customWidth="1"/>
    <col min="7937" max="7937" width="1.54296875" style="66" customWidth="1"/>
    <col min="7938" max="7938" width="15.26953125" style="66" bestFit="1" customWidth="1"/>
    <col min="7939" max="7939" width="2.81640625" style="66" customWidth="1"/>
    <col min="7940" max="7940" width="11.1796875" style="66" bestFit="1" customWidth="1"/>
    <col min="7941" max="7941" width="1.81640625" style="66" customWidth="1"/>
    <col min="7942" max="7942" width="13" style="66" bestFit="1" customWidth="1"/>
    <col min="7943" max="7943" width="1.54296875" style="66" customWidth="1"/>
    <col min="7944" max="7944" width="11.1796875" style="66" bestFit="1" customWidth="1"/>
    <col min="7945" max="7945" width="2" style="66" customWidth="1"/>
    <col min="7946" max="7946" width="13" style="66" bestFit="1" customWidth="1"/>
    <col min="7947" max="7947" width="9.1796875" style="66"/>
    <col min="7948" max="7948" width="16.26953125" style="66" bestFit="1" customWidth="1"/>
    <col min="7949" max="7950" width="9.1796875" style="66"/>
    <col min="7951" max="7951" width="9.54296875" style="66" bestFit="1" customWidth="1"/>
    <col min="7952" max="8184" width="9.1796875" style="66"/>
    <col min="8185" max="8185" width="78.26953125" style="66" customWidth="1"/>
    <col min="8186" max="8186" width="6.54296875" style="66" bestFit="1" customWidth="1"/>
    <col min="8187" max="8187" width="9.1796875" style="66"/>
    <col min="8188" max="8188" width="11.1796875" style="66" bestFit="1" customWidth="1"/>
    <col min="8189" max="8189" width="2.26953125" style="66" customWidth="1"/>
    <col min="8190" max="8190" width="13" style="66" bestFit="1" customWidth="1"/>
    <col min="8191" max="8191" width="2.26953125" style="66" customWidth="1"/>
    <col min="8192" max="8192" width="15.7265625" style="66" customWidth="1"/>
    <col min="8193" max="8193" width="1.54296875" style="66" customWidth="1"/>
    <col min="8194" max="8194" width="15.26953125" style="66" bestFit="1" customWidth="1"/>
    <col min="8195" max="8195" width="2.81640625" style="66" customWidth="1"/>
    <col min="8196" max="8196" width="11.1796875" style="66" bestFit="1" customWidth="1"/>
    <col min="8197" max="8197" width="1.81640625" style="66" customWidth="1"/>
    <col min="8198" max="8198" width="13" style="66" bestFit="1" customWidth="1"/>
    <col min="8199" max="8199" width="1.54296875" style="66" customWidth="1"/>
    <col min="8200" max="8200" width="11.1796875" style="66" bestFit="1" customWidth="1"/>
    <col min="8201" max="8201" width="2" style="66" customWidth="1"/>
    <col min="8202" max="8202" width="13" style="66" bestFit="1" customWidth="1"/>
    <col min="8203" max="8203" width="9.1796875" style="66"/>
    <col min="8204" max="8204" width="16.26953125" style="66" bestFit="1" customWidth="1"/>
    <col min="8205" max="8206" width="9.1796875" style="66"/>
    <col min="8207" max="8207" width="9.54296875" style="66" bestFit="1" customWidth="1"/>
    <col min="8208" max="8440" width="9.1796875" style="66"/>
    <col min="8441" max="8441" width="78.26953125" style="66" customWidth="1"/>
    <col min="8442" max="8442" width="6.54296875" style="66" bestFit="1" customWidth="1"/>
    <col min="8443" max="8443" width="9.1796875" style="66"/>
    <col min="8444" max="8444" width="11.1796875" style="66" bestFit="1" customWidth="1"/>
    <col min="8445" max="8445" width="2.26953125" style="66" customWidth="1"/>
    <col min="8446" max="8446" width="13" style="66" bestFit="1" customWidth="1"/>
    <col min="8447" max="8447" width="2.26953125" style="66" customWidth="1"/>
    <col min="8448" max="8448" width="15.7265625" style="66" customWidth="1"/>
    <col min="8449" max="8449" width="1.54296875" style="66" customWidth="1"/>
    <col min="8450" max="8450" width="15.26953125" style="66" bestFit="1" customWidth="1"/>
    <col min="8451" max="8451" width="2.81640625" style="66" customWidth="1"/>
    <col min="8452" max="8452" width="11.1796875" style="66" bestFit="1" customWidth="1"/>
    <col min="8453" max="8453" width="1.81640625" style="66" customWidth="1"/>
    <col min="8454" max="8454" width="13" style="66" bestFit="1" customWidth="1"/>
    <col min="8455" max="8455" width="1.54296875" style="66" customWidth="1"/>
    <col min="8456" max="8456" width="11.1796875" style="66" bestFit="1" customWidth="1"/>
    <col min="8457" max="8457" width="2" style="66" customWidth="1"/>
    <col min="8458" max="8458" width="13" style="66" bestFit="1" customWidth="1"/>
    <col min="8459" max="8459" width="9.1796875" style="66"/>
    <col min="8460" max="8460" width="16.26953125" style="66" bestFit="1" customWidth="1"/>
    <col min="8461" max="8462" width="9.1796875" style="66"/>
    <col min="8463" max="8463" width="9.54296875" style="66" bestFit="1" customWidth="1"/>
    <col min="8464" max="8696" width="9.1796875" style="66"/>
    <col min="8697" max="8697" width="78.26953125" style="66" customWidth="1"/>
    <col min="8698" max="8698" width="6.54296875" style="66" bestFit="1" customWidth="1"/>
    <col min="8699" max="8699" width="9.1796875" style="66"/>
    <col min="8700" max="8700" width="11.1796875" style="66" bestFit="1" customWidth="1"/>
    <col min="8701" max="8701" width="2.26953125" style="66" customWidth="1"/>
    <col min="8702" max="8702" width="13" style="66" bestFit="1" customWidth="1"/>
    <col min="8703" max="8703" width="2.26953125" style="66" customWidth="1"/>
    <col min="8704" max="8704" width="15.7265625" style="66" customWidth="1"/>
    <col min="8705" max="8705" width="1.54296875" style="66" customWidth="1"/>
    <col min="8706" max="8706" width="15.26953125" style="66" bestFit="1" customWidth="1"/>
    <col min="8707" max="8707" width="2.81640625" style="66" customWidth="1"/>
    <col min="8708" max="8708" width="11.1796875" style="66" bestFit="1" customWidth="1"/>
    <col min="8709" max="8709" width="1.81640625" style="66" customWidth="1"/>
    <col min="8710" max="8710" width="13" style="66" bestFit="1" customWidth="1"/>
    <col min="8711" max="8711" width="1.54296875" style="66" customWidth="1"/>
    <col min="8712" max="8712" width="11.1796875" style="66" bestFit="1" customWidth="1"/>
    <col min="8713" max="8713" width="2" style="66" customWidth="1"/>
    <col min="8714" max="8714" width="13" style="66" bestFit="1" customWidth="1"/>
    <col min="8715" max="8715" width="9.1796875" style="66"/>
    <col min="8716" max="8716" width="16.26953125" style="66" bestFit="1" customWidth="1"/>
    <col min="8717" max="8718" width="9.1796875" style="66"/>
    <col min="8719" max="8719" width="9.54296875" style="66" bestFit="1" customWidth="1"/>
    <col min="8720" max="8952" width="9.1796875" style="66"/>
    <col min="8953" max="8953" width="78.26953125" style="66" customWidth="1"/>
    <col min="8954" max="8954" width="6.54296875" style="66" bestFit="1" customWidth="1"/>
    <col min="8955" max="8955" width="9.1796875" style="66"/>
    <col min="8956" max="8956" width="11.1796875" style="66" bestFit="1" customWidth="1"/>
    <col min="8957" max="8957" width="2.26953125" style="66" customWidth="1"/>
    <col min="8958" max="8958" width="13" style="66" bestFit="1" customWidth="1"/>
    <col min="8959" max="8959" width="2.26953125" style="66" customWidth="1"/>
    <col min="8960" max="8960" width="15.7265625" style="66" customWidth="1"/>
    <col min="8961" max="8961" width="1.54296875" style="66" customWidth="1"/>
    <col min="8962" max="8962" width="15.26953125" style="66" bestFit="1" customWidth="1"/>
    <col min="8963" max="8963" width="2.81640625" style="66" customWidth="1"/>
    <col min="8964" max="8964" width="11.1796875" style="66" bestFit="1" customWidth="1"/>
    <col min="8965" max="8965" width="1.81640625" style="66" customWidth="1"/>
    <col min="8966" max="8966" width="13" style="66" bestFit="1" customWidth="1"/>
    <col min="8967" max="8967" width="1.54296875" style="66" customWidth="1"/>
    <col min="8968" max="8968" width="11.1796875" style="66" bestFit="1" customWidth="1"/>
    <col min="8969" max="8969" width="2" style="66" customWidth="1"/>
    <col min="8970" max="8970" width="13" style="66" bestFit="1" customWidth="1"/>
    <col min="8971" max="8971" width="9.1796875" style="66"/>
    <col min="8972" max="8972" width="16.26953125" style="66" bestFit="1" customWidth="1"/>
    <col min="8973" max="8974" width="9.1796875" style="66"/>
    <col min="8975" max="8975" width="9.54296875" style="66" bestFit="1" customWidth="1"/>
    <col min="8976" max="9208" width="9.1796875" style="66"/>
    <col min="9209" max="9209" width="78.26953125" style="66" customWidth="1"/>
    <col min="9210" max="9210" width="6.54296875" style="66" bestFit="1" customWidth="1"/>
    <col min="9211" max="9211" width="9.1796875" style="66"/>
    <col min="9212" max="9212" width="11.1796875" style="66" bestFit="1" customWidth="1"/>
    <col min="9213" max="9213" width="2.26953125" style="66" customWidth="1"/>
    <col min="9214" max="9214" width="13" style="66" bestFit="1" customWidth="1"/>
    <col min="9215" max="9215" width="2.26953125" style="66" customWidth="1"/>
    <col min="9216" max="9216" width="15.7265625" style="66" customWidth="1"/>
    <col min="9217" max="9217" width="1.54296875" style="66" customWidth="1"/>
    <col min="9218" max="9218" width="15.26953125" style="66" bestFit="1" customWidth="1"/>
    <col min="9219" max="9219" width="2.81640625" style="66" customWidth="1"/>
    <col min="9220" max="9220" width="11.1796875" style="66" bestFit="1" customWidth="1"/>
    <col min="9221" max="9221" width="1.81640625" style="66" customWidth="1"/>
    <col min="9222" max="9222" width="13" style="66" bestFit="1" customWidth="1"/>
    <col min="9223" max="9223" width="1.54296875" style="66" customWidth="1"/>
    <col min="9224" max="9224" width="11.1796875" style="66" bestFit="1" customWidth="1"/>
    <col min="9225" max="9225" width="2" style="66" customWidth="1"/>
    <col min="9226" max="9226" width="13" style="66" bestFit="1" customWidth="1"/>
    <col min="9227" max="9227" width="9.1796875" style="66"/>
    <col min="9228" max="9228" width="16.26953125" style="66" bestFit="1" customWidth="1"/>
    <col min="9229" max="9230" width="9.1796875" style="66"/>
    <col min="9231" max="9231" width="9.54296875" style="66" bestFit="1" customWidth="1"/>
    <col min="9232" max="9464" width="9.1796875" style="66"/>
    <col min="9465" max="9465" width="78.26953125" style="66" customWidth="1"/>
    <col min="9466" max="9466" width="6.54296875" style="66" bestFit="1" customWidth="1"/>
    <col min="9467" max="9467" width="9.1796875" style="66"/>
    <col min="9468" max="9468" width="11.1796875" style="66" bestFit="1" customWidth="1"/>
    <col min="9469" max="9469" width="2.26953125" style="66" customWidth="1"/>
    <col min="9470" max="9470" width="13" style="66" bestFit="1" customWidth="1"/>
    <col min="9471" max="9471" width="2.26953125" style="66" customWidth="1"/>
    <col min="9472" max="9472" width="15.7265625" style="66" customWidth="1"/>
    <col min="9473" max="9473" width="1.54296875" style="66" customWidth="1"/>
    <col min="9474" max="9474" width="15.26953125" style="66" bestFit="1" customWidth="1"/>
    <col min="9475" max="9475" width="2.81640625" style="66" customWidth="1"/>
    <col min="9476" max="9476" width="11.1796875" style="66" bestFit="1" customWidth="1"/>
    <col min="9477" max="9477" width="1.81640625" style="66" customWidth="1"/>
    <col min="9478" max="9478" width="13" style="66" bestFit="1" customWidth="1"/>
    <col min="9479" max="9479" width="1.54296875" style="66" customWidth="1"/>
    <col min="9480" max="9480" width="11.1796875" style="66" bestFit="1" customWidth="1"/>
    <col min="9481" max="9481" width="2" style="66" customWidth="1"/>
    <col min="9482" max="9482" width="13" style="66" bestFit="1" customWidth="1"/>
    <col min="9483" max="9483" width="9.1796875" style="66"/>
    <col min="9484" max="9484" width="16.26953125" style="66" bestFit="1" customWidth="1"/>
    <col min="9485" max="9486" width="9.1796875" style="66"/>
    <col min="9487" max="9487" width="9.54296875" style="66" bestFit="1" customWidth="1"/>
    <col min="9488" max="9720" width="9.1796875" style="66"/>
    <col min="9721" max="9721" width="78.26953125" style="66" customWidth="1"/>
    <col min="9722" max="9722" width="6.54296875" style="66" bestFit="1" customWidth="1"/>
    <col min="9723" max="9723" width="9.1796875" style="66"/>
    <col min="9724" max="9724" width="11.1796875" style="66" bestFit="1" customWidth="1"/>
    <col min="9725" max="9725" width="2.26953125" style="66" customWidth="1"/>
    <col min="9726" max="9726" width="13" style="66" bestFit="1" customWidth="1"/>
    <col min="9727" max="9727" width="2.26953125" style="66" customWidth="1"/>
    <col min="9728" max="9728" width="15.7265625" style="66" customWidth="1"/>
    <col min="9729" max="9729" width="1.54296875" style="66" customWidth="1"/>
    <col min="9730" max="9730" width="15.26953125" style="66" bestFit="1" customWidth="1"/>
    <col min="9731" max="9731" width="2.81640625" style="66" customWidth="1"/>
    <col min="9732" max="9732" width="11.1796875" style="66" bestFit="1" customWidth="1"/>
    <col min="9733" max="9733" width="1.81640625" style="66" customWidth="1"/>
    <col min="9734" max="9734" width="13" style="66" bestFit="1" customWidth="1"/>
    <col min="9735" max="9735" width="1.54296875" style="66" customWidth="1"/>
    <col min="9736" max="9736" width="11.1796875" style="66" bestFit="1" customWidth="1"/>
    <col min="9737" max="9737" width="2" style="66" customWidth="1"/>
    <col min="9738" max="9738" width="13" style="66" bestFit="1" customWidth="1"/>
    <col min="9739" max="9739" width="9.1796875" style="66"/>
    <col min="9740" max="9740" width="16.26953125" style="66" bestFit="1" customWidth="1"/>
    <col min="9741" max="9742" width="9.1796875" style="66"/>
    <col min="9743" max="9743" width="9.54296875" style="66" bestFit="1" customWidth="1"/>
    <col min="9744" max="9976" width="9.1796875" style="66"/>
    <col min="9977" max="9977" width="78.26953125" style="66" customWidth="1"/>
    <col min="9978" max="9978" width="6.54296875" style="66" bestFit="1" customWidth="1"/>
    <col min="9979" max="9979" width="9.1796875" style="66"/>
    <col min="9980" max="9980" width="11.1796875" style="66" bestFit="1" customWidth="1"/>
    <col min="9981" max="9981" width="2.26953125" style="66" customWidth="1"/>
    <col min="9982" max="9982" width="13" style="66" bestFit="1" customWidth="1"/>
    <col min="9983" max="9983" width="2.26953125" style="66" customWidth="1"/>
    <col min="9984" max="9984" width="15.7265625" style="66" customWidth="1"/>
    <col min="9985" max="9985" width="1.54296875" style="66" customWidth="1"/>
    <col min="9986" max="9986" width="15.26953125" style="66" bestFit="1" customWidth="1"/>
    <col min="9987" max="9987" width="2.81640625" style="66" customWidth="1"/>
    <col min="9988" max="9988" width="11.1796875" style="66" bestFit="1" customWidth="1"/>
    <col min="9989" max="9989" width="1.81640625" style="66" customWidth="1"/>
    <col min="9990" max="9990" width="13" style="66" bestFit="1" customWidth="1"/>
    <col min="9991" max="9991" width="1.54296875" style="66" customWidth="1"/>
    <col min="9992" max="9992" width="11.1796875" style="66" bestFit="1" customWidth="1"/>
    <col min="9993" max="9993" width="2" style="66" customWidth="1"/>
    <col min="9994" max="9994" width="13" style="66" bestFit="1" customWidth="1"/>
    <col min="9995" max="9995" width="9.1796875" style="66"/>
    <col min="9996" max="9996" width="16.26953125" style="66" bestFit="1" customWidth="1"/>
    <col min="9997" max="9998" width="9.1796875" style="66"/>
    <col min="9999" max="9999" width="9.54296875" style="66" bestFit="1" customWidth="1"/>
    <col min="10000" max="10232" width="9.1796875" style="66"/>
    <col min="10233" max="10233" width="78.26953125" style="66" customWidth="1"/>
    <col min="10234" max="10234" width="6.54296875" style="66" bestFit="1" customWidth="1"/>
    <col min="10235" max="10235" width="9.1796875" style="66"/>
    <col min="10236" max="10236" width="11.1796875" style="66" bestFit="1" customWidth="1"/>
    <col min="10237" max="10237" width="2.26953125" style="66" customWidth="1"/>
    <col min="10238" max="10238" width="13" style="66" bestFit="1" customWidth="1"/>
    <col min="10239" max="10239" width="2.26953125" style="66" customWidth="1"/>
    <col min="10240" max="10240" width="15.7265625" style="66" customWidth="1"/>
    <col min="10241" max="10241" width="1.54296875" style="66" customWidth="1"/>
    <col min="10242" max="10242" width="15.26953125" style="66" bestFit="1" customWidth="1"/>
    <col min="10243" max="10243" width="2.81640625" style="66" customWidth="1"/>
    <col min="10244" max="10244" width="11.1796875" style="66" bestFit="1" customWidth="1"/>
    <col min="10245" max="10245" width="1.81640625" style="66" customWidth="1"/>
    <col min="10246" max="10246" width="13" style="66" bestFit="1" customWidth="1"/>
    <col min="10247" max="10247" width="1.54296875" style="66" customWidth="1"/>
    <col min="10248" max="10248" width="11.1796875" style="66" bestFit="1" customWidth="1"/>
    <col min="10249" max="10249" width="2" style="66" customWidth="1"/>
    <col min="10250" max="10250" width="13" style="66" bestFit="1" customWidth="1"/>
    <col min="10251" max="10251" width="9.1796875" style="66"/>
    <col min="10252" max="10252" width="16.26953125" style="66" bestFit="1" customWidth="1"/>
    <col min="10253" max="10254" width="9.1796875" style="66"/>
    <col min="10255" max="10255" width="9.54296875" style="66" bestFit="1" customWidth="1"/>
    <col min="10256" max="10488" width="9.1796875" style="66"/>
    <col min="10489" max="10489" width="78.26953125" style="66" customWidth="1"/>
    <col min="10490" max="10490" width="6.54296875" style="66" bestFit="1" customWidth="1"/>
    <col min="10491" max="10491" width="9.1796875" style="66"/>
    <col min="10492" max="10492" width="11.1796875" style="66" bestFit="1" customWidth="1"/>
    <col min="10493" max="10493" width="2.26953125" style="66" customWidth="1"/>
    <col min="10494" max="10494" width="13" style="66" bestFit="1" customWidth="1"/>
    <col min="10495" max="10495" width="2.26953125" style="66" customWidth="1"/>
    <col min="10496" max="10496" width="15.7265625" style="66" customWidth="1"/>
    <col min="10497" max="10497" width="1.54296875" style="66" customWidth="1"/>
    <col min="10498" max="10498" width="15.26953125" style="66" bestFit="1" customWidth="1"/>
    <col min="10499" max="10499" width="2.81640625" style="66" customWidth="1"/>
    <col min="10500" max="10500" width="11.1796875" style="66" bestFit="1" customWidth="1"/>
    <col min="10501" max="10501" width="1.81640625" style="66" customWidth="1"/>
    <col min="10502" max="10502" width="13" style="66" bestFit="1" customWidth="1"/>
    <col min="10503" max="10503" width="1.54296875" style="66" customWidth="1"/>
    <col min="10504" max="10504" width="11.1796875" style="66" bestFit="1" customWidth="1"/>
    <col min="10505" max="10505" width="2" style="66" customWidth="1"/>
    <col min="10506" max="10506" width="13" style="66" bestFit="1" customWidth="1"/>
    <col min="10507" max="10507" width="9.1796875" style="66"/>
    <col min="10508" max="10508" width="16.26953125" style="66" bestFit="1" customWidth="1"/>
    <col min="10509" max="10510" width="9.1796875" style="66"/>
    <col min="10511" max="10511" width="9.54296875" style="66" bestFit="1" customWidth="1"/>
    <col min="10512" max="10744" width="9.1796875" style="66"/>
    <col min="10745" max="10745" width="78.26953125" style="66" customWidth="1"/>
    <col min="10746" max="10746" width="6.54296875" style="66" bestFit="1" customWidth="1"/>
    <col min="10747" max="10747" width="9.1796875" style="66"/>
    <col min="10748" max="10748" width="11.1796875" style="66" bestFit="1" customWidth="1"/>
    <col min="10749" max="10749" width="2.26953125" style="66" customWidth="1"/>
    <col min="10750" max="10750" width="13" style="66" bestFit="1" customWidth="1"/>
    <col min="10751" max="10751" width="2.26953125" style="66" customWidth="1"/>
    <col min="10752" max="10752" width="15.7265625" style="66" customWidth="1"/>
    <col min="10753" max="10753" width="1.54296875" style="66" customWidth="1"/>
    <col min="10754" max="10754" width="15.26953125" style="66" bestFit="1" customWidth="1"/>
    <col min="10755" max="10755" width="2.81640625" style="66" customWidth="1"/>
    <col min="10756" max="10756" width="11.1796875" style="66" bestFit="1" customWidth="1"/>
    <col min="10757" max="10757" width="1.81640625" style="66" customWidth="1"/>
    <col min="10758" max="10758" width="13" style="66" bestFit="1" customWidth="1"/>
    <col min="10759" max="10759" width="1.54296875" style="66" customWidth="1"/>
    <col min="10760" max="10760" width="11.1796875" style="66" bestFit="1" customWidth="1"/>
    <col min="10761" max="10761" width="2" style="66" customWidth="1"/>
    <col min="10762" max="10762" width="13" style="66" bestFit="1" customWidth="1"/>
    <col min="10763" max="10763" width="9.1796875" style="66"/>
    <col min="10764" max="10764" width="16.26953125" style="66" bestFit="1" customWidth="1"/>
    <col min="10765" max="10766" width="9.1796875" style="66"/>
    <col min="10767" max="10767" width="9.54296875" style="66" bestFit="1" customWidth="1"/>
    <col min="10768" max="11000" width="9.1796875" style="66"/>
    <col min="11001" max="11001" width="78.26953125" style="66" customWidth="1"/>
    <col min="11002" max="11002" width="6.54296875" style="66" bestFit="1" customWidth="1"/>
    <col min="11003" max="11003" width="9.1796875" style="66"/>
    <col min="11004" max="11004" width="11.1796875" style="66" bestFit="1" customWidth="1"/>
    <col min="11005" max="11005" width="2.26953125" style="66" customWidth="1"/>
    <col min="11006" max="11006" width="13" style="66" bestFit="1" customWidth="1"/>
    <col min="11007" max="11007" width="2.26953125" style="66" customWidth="1"/>
    <col min="11008" max="11008" width="15.7265625" style="66" customWidth="1"/>
    <col min="11009" max="11009" width="1.54296875" style="66" customWidth="1"/>
    <col min="11010" max="11010" width="15.26953125" style="66" bestFit="1" customWidth="1"/>
    <col min="11011" max="11011" width="2.81640625" style="66" customWidth="1"/>
    <col min="11012" max="11012" width="11.1796875" style="66" bestFit="1" customWidth="1"/>
    <col min="11013" max="11013" width="1.81640625" style="66" customWidth="1"/>
    <col min="11014" max="11014" width="13" style="66" bestFit="1" customWidth="1"/>
    <col min="11015" max="11015" width="1.54296875" style="66" customWidth="1"/>
    <col min="11016" max="11016" width="11.1796875" style="66" bestFit="1" customWidth="1"/>
    <col min="11017" max="11017" width="2" style="66" customWidth="1"/>
    <col min="11018" max="11018" width="13" style="66" bestFit="1" customWidth="1"/>
    <col min="11019" max="11019" width="9.1796875" style="66"/>
    <col min="11020" max="11020" width="16.26953125" style="66" bestFit="1" customWidth="1"/>
    <col min="11021" max="11022" width="9.1796875" style="66"/>
    <col min="11023" max="11023" width="9.54296875" style="66" bestFit="1" customWidth="1"/>
    <col min="11024" max="11256" width="9.1796875" style="66"/>
    <col min="11257" max="11257" width="78.26953125" style="66" customWidth="1"/>
    <col min="11258" max="11258" width="6.54296875" style="66" bestFit="1" customWidth="1"/>
    <col min="11259" max="11259" width="9.1796875" style="66"/>
    <col min="11260" max="11260" width="11.1796875" style="66" bestFit="1" customWidth="1"/>
    <col min="11261" max="11261" width="2.26953125" style="66" customWidth="1"/>
    <col min="11262" max="11262" width="13" style="66" bestFit="1" customWidth="1"/>
    <col min="11263" max="11263" width="2.26953125" style="66" customWidth="1"/>
    <col min="11264" max="11264" width="15.7265625" style="66" customWidth="1"/>
    <col min="11265" max="11265" width="1.54296875" style="66" customWidth="1"/>
    <col min="11266" max="11266" width="15.26953125" style="66" bestFit="1" customWidth="1"/>
    <col min="11267" max="11267" width="2.81640625" style="66" customWidth="1"/>
    <col min="11268" max="11268" width="11.1796875" style="66" bestFit="1" customWidth="1"/>
    <col min="11269" max="11269" width="1.81640625" style="66" customWidth="1"/>
    <col min="11270" max="11270" width="13" style="66" bestFit="1" customWidth="1"/>
    <col min="11271" max="11271" width="1.54296875" style="66" customWidth="1"/>
    <col min="11272" max="11272" width="11.1796875" style="66" bestFit="1" customWidth="1"/>
    <col min="11273" max="11273" width="2" style="66" customWidth="1"/>
    <col min="11274" max="11274" width="13" style="66" bestFit="1" customWidth="1"/>
    <col min="11275" max="11275" width="9.1796875" style="66"/>
    <col min="11276" max="11276" width="16.26953125" style="66" bestFit="1" customWidth="1"/>
    <col min="11277" max="11278" width="9.1796875" style="66"/>
    <col min="11279" max="11279" width="9.54296875" style="66" bestFit="1" customWidth="1"/>
    <col min="11280" max="11512" width="9.1796875" style="66"/>
    <col min="11513" max="11513" width="78.26953125" style="66" customWidth="1"/>
    <col min="11514" max="11514" width="6.54296875" style="66" bestFit="1" customWidth="1"/>
    <col min="11515" max="11515" width="9.1796875" style="66"/>
    <col min="11516" max="11516" width="11.1796875" style="66" bestFit="1" customWidth="1"/>
    <col min="11517" max="11517" width="2.26953125" style="66" customWidth="1"/>
    <col min="11518" max="11518" width="13" style="66" bestFit="1" customWidth="1"/>
    <col min="11519" max="11519" width="2.26953125" style="66" customWidth="1"/>
    <col min="11520" max="11520" width="15.7265625" style="66" customWidth="1"/>
    <col min="11521" max="11521" width="1.54296875" style="66" customWidth="1"/>
    <col min="11522" max="11522" width="15.26953125" style="66" bestFit="1" customWidth="1"/>
    <col min="11523" max="11523" width="2.81640625" style="66" customWidth="1"/>
    <col min="11524" max="11524" width="11.1796875" style="66" bestFit="1" customWidth="1"/>
    <col min="11525" max="11525" width="1.81640625" style="66" customWidth="1"/>
    <col min="11526" max="11526" width="13" style="66" bestFit="1" customWidth="1"/>
    <col min="11527" max="11527" width="1.54296875" style="66" customWidth="1"/>
    <col min="11528" max="11528" width="11.1796875" style="66" bestFit="1" customWidth="1"/>
    <col min="11529" max="11529" width="2" style="66" customWidth="1"/>
    <col min="11530" max="11530" width="13" style="66" bestFit="1" customWidth="1"/>
    <col min="11531" max="11531" width="9.1796875" style="66"/>
    <col min="11532" max="11532" width="16.26953125" style="66" bestFit="1" customWidth="1"/>
    <col min="11533" max="11534" width="9.1796875" style="66"/>
    <col min="11535" max="11535" width="9.54296875" style="66" bestFit="1" customWidth="1"/>
    <col min="11536" max="11768" width="9.1796875" style="66"/>
    <col min="11769" max="11769" width="78.26953125" style="66" customWidth="1"/>
    <col min="11770" max="11770" width="6.54296875" style="66" bestFit="1" customWidth="1"/>
    <col min="11771" max="11771" width="9.1796875" style="66"/>
    <col min="11772" max="11772" width="11.1796875" style="66" bestFit="1" customWidth="1"/>
    <col min="11773" max="11773" width="2.26953125" style="66" customWidth="1"/>
    <col min="11774" max="11774" width="13" style="66" bestFit="1" customWidth="1"/>
    <col min="11775" max="11775" width="2.26953125" style="66" customWidth="1"/>
    <col min="11776" max="11776" width="15.7265625" style="66" customWidth="1"/>
    <col min="11777" max="11777" width="1.54296875" style="66" customWidth="1"/>
    <col min="11778" max="11778" width="15.26953125" style="66" bestFit="1" customWidth="1"/>
    <col min="11779" max="11779" width="2.81640625" style="66" customWidth="1"/>
    <col min="11780" max="11780" width="11.1796875" style="66" bestFit="1" customWidth="1"/>
    <col min="11781" max="11781" width="1.81640625" style="66" customWidth="1"/>
    <col min="11782" max="11782" width="13" style="66" bestFit="1" customWidth="1"/>
    <col min="11783" max="11783" width="1.54296875" style="66" customWidth="1"/>
    <col min="11784" max="11784" width="11.1796875" style="66" bestFit="1" customWidth="1"/>
    <col min="11785" max="11785" width="2" style="66" customWidth="1"/>
    <col min="11786" max="11786" width="13" style="66" bestFit="1" customWidth="1"/>
    <col min="11787" max="11787" width="9.1796875" style="66"/>
    <col min="11788" max="11788" width="16.26953125" style="66" bestFit="1" customWidth="1"/>
    <col min="11789" max="11790" width="9.1796875" style="66"/>
    <col min="11791" max="11791" width="9.54296875" style="66" bestFit="1" customWidth="1"/>
    <col min="11792" max="12024" width="9.1796875" style="66"/>
    <col min="12025" max="12025" width="78.26953125" style="66" customWidth="1"/>
    <col min="12026" max="12026" width="6.54296875" style="66" bestFit="1" customWidth="1"/>
    <col min="12027" max="12027" width="9.1796875" style="66"/>
    <col min="12028" max="12028" width="11.1796875" style="66" bestFit="1" customWidth="1"/>
    <col min="12029" max="12029" width="2.26953125" style="66" customWidth="1"/>
    <col min="12030" max="12030" width="13" style="66" bestFit="1" customWidth="1"/>
    <col min="12031" max="12031" width="2.26953125" style="66" customWidth="1"/>
    <col min="12032" max="12032" width="15.7265625" style="66" customWidth="1"/>
    <col min="12033" max="12033" width="1.54296875" style="66" customWidth="1"/>
    <col min="12034" max="12034" width="15.26953125" style="66" bestFit="1" customWidth="1"/>
    <col min="12035" max="12035" width="2.81640625" style="66" customWidth="1"/>
    <col min="12036" max="12036" width="11.1796875" style="66" bestFit="1" customWidth="1"/>
    <col min="12037" max="12037" width="1.81640625" style="66" customWidth="1"/>
    <col min="12038" max="12038" width="13" style="66" bestFit="1" customWidth="1"/>
    <col min="12039" max="12039" width="1.54296875" style="66" customWidth="1"/>
    <col min="12040" max="12040" width="11.1796875" style="66" bestFit="1" customWidth="1"/>
    <col min="12041" max="12041" width="2" style="66" customWidth="1"/>
    <col min="12042" max="12042" width="13" style="66" bestFit="1" customWidth="1"/>
    <col min="12043" max="12043" width="9.1796875" style="66"/>
    <col min="12044" max="12044" width="16.26953125" style="66" bestFit="1" customWidth="1"/>
    <col min="12045" max="12046" width="9.1796875" style="66"/>
    <col min="12047" max="12047" width="9.54296875" style="66" bestFit="1" customWidth="1"/>
    <col min="12048" max="12280" width="9.1796875" style="66"/>
    <col min="12281" max="12281" width="78.26953125" style="66" customWidth="1"/>
    <col min="12282" max="12282" width="6.54296875" style="66" bestFit="1" customWidth="1"/>
    <col min="12283" max="12283" width="9.1796875" style="66"/>
    <col min="12284" max="12284" width="11.1796875" style="66" bestFit="1" customWidth="1"/>
    <col min="12285" max="12285" width="2.26953125" style="66" customWidth="1"/>
    <col min="12286" max="12286" width="13" style="66" bestFit="1" customWidth="1"/>
    <col min="12287" max="12287" width="2.26953125" style="66" customWidth="1"/>
    <col min="12288" max="12288" width="15.7265625" style="66" customWidth="1"/>
    <col min="12289" max="12289" width="1.54296875" style="66" customWidth="1"/>
    <col min="12290" max="12290" width="15.26953125" style="66" bestFit="1" customWidth="1"/>
    <col min="12291" max="12291" width="2.81640625" style="66" customWidth="1"/>
    <col min="12292" max="12292" width="11.1796875" style="66" bestFit="1" customWidth="1"/>
    <col min="12293" max="12293" width="1.81640625" style="66" customWidth="1"/>
    <col min="12294" max="12294" width="13" style="66" bestFit="1" customWidth="1"/>
    <col min="12295" max="12295" width="1.54296875" style="66" customWidth="1"/>
    <col min="12296" max="12296" width="11.1796875" style="66" bestFit="1" customWidth="1"/>
    <col min="12297" max="12297" width="2" style="66" customWidth="1"/>
    <col min="12298" max="12298" width="13" style="66" bestFit="1" customWidth="1"/>
    <col min="12299" max="12299" width="9.1796875" style="66"/>
    <col min="12300" max="12300" width="16.26953125" style="66" bestFit="1" customWidth="1"/>
    <col min="12301" max="12302" width="9.1796875" style="66"/>
    <col min="12303" max="12303" width="9.54296875" style="66" bestFit="1" customWidth="1"/>
    <col min="12304" max="12536" width="9.1796875" style="66"/>
    <col min="12537" max="12537" width="78.26953125" style="66" customWidth="1"/>
    <col min="12538" max="12538" width="6.54296875" style="66" bestFit="1" customWidth="1"/>
    <col min="12539" max="12539" width="9.1796875" style="66"/>
    <col min="12540" max="12540" width="11.1796875" style="66" bestFit="1" customWidth="1"/>
    <col min="12541" max="12541" width="2.26953125" style="66" customWidth="1"/>
    <col min="12542" max="12542" width="13" style="66" bestFit="1" customWidth="1"/>
    <col min="12543" max="12543" width="2.26953125" style="66" customWidth="1"/>
    <col min="12544" max="12544" width="15.7265625" style="66" customWidth="1"/>
    <col min="12545" max="12545" width="1.54296875" style="66" customWidth="1"/>
    <col min="12546" max="12546" width="15.26953125" style="66" bestFit="1" customWidth="1"/>
    <col min="12547" max="12547" width="2.81640625" style="66" customWidth="1"/>
    <col min="12548" max="12548" width="11.1796875" style="66" bestFit="1" customWidth="1"/>
    <col min="12549" max="12549" width="1.81640625" style="66" customWidth="1"/>
    <col min="12550" max="12550" width="13" style="66" bestFit="1" customWidth="1"/>
    <col min="12551" max="12551" width="1.54296875" style="66" customWidth="1"/>
    <col min="12552" max="12552" width="11.1796875" style="66" bestFit="1" customWidth="1"/>
    <col min="12553" max="12553" width="2" style="66" customWidth="1"/>
    <col min="12554" max="12554" width="13" style="66" bestFit="1" customWidth="1"/>
    <col min="12555" max="12555" width="9.1796875" style="66"/>
    <col min="12556" max="12556" width="16.26953125" style="66" bestFit="1" customWidth="1"/>
    <col min="12557" max="12558" width="9.1796875" style="66"/>
    <col min="12559" max="12559" width="9.54296875" style="66" bestFit="1" customWidth="1"/>
    <col min="12560" max="12792" width="9.1796875" style="66"/>
    <col min="12793" max="12793" width="78.26953125" style="66" customWidth="1"/>
    <col min="12794" max="12794" width="6.54296875" style="66" bestFit="1" customWidth="1"/>
    <col min="12795" max="12795" width="9.1796875" style="66"/>
    <col min="12796" max="12796" width="11.1796875" style="66" bestFit="1" customWidth="1"/>
    <col min="12797" max="12797" width="2.26953125" style="66" customWidth="1"/>
    <col min="12798" max="12798" width="13" style="66" bestFit="1" customWidth="1"/>
    <col min="12799" max="12799" width="2.26953125" style="66" customWidth="1"/>
    <col min="12800" max="12800" width="15.7265625" style="66" customWidth="1"/>
    <col min="12801" max="12801" width="1.54296875" style="66" customWidth="1"/>
    <col min="12802" max="12802" width="15.26953125" style="66" bestFit="1" customWidth="1"/>
    <col min="12803" max="12803" width="2.81640625" style="66" customWidth="1"/>
    <col min="12804" max="12804" width="11.1796875" style="66" bestFit="1" customWidth="1"/>
    <col min="12805" max="12805" width="1.81640625" style="66" customWidth="1"/>
    <col min="12806" max="12806" width="13" style="66" bestFit="1" customWidth="1"/>
    <col min="12807" max="12807" width="1.54296875" style="66" customWidth="1"/>
    <col min="12808" max="12808" width="11.1796875" style="66" bestFit="1" customWidth="1"/>
    <col min="12809" max="12809" width="2" style="66" customWidth="1"/>
    <col min="12810" max="12810" width="13" style="66" bestFit="1" customWidth="1"/>
    <col min="12811" max="12811" width="9.1796875" style="66"/>
    <col min="12812" max="12812" width="16.26953125" style="66" bestFit="1" customWidth="1"/>
    <col min="12813" max="12814" width="9.1796875" style="66"/>
    <col min="12815" max="12815" width="9.54296875" style="66" bestFit="1" customWidth="1"/>
    <col min="12816" max="13048" width="9.1796875" style="66"/>
    <col min="13049" max="13049" width="78.26953125" style="66" customWidth="1"/>
    <col min="13050" max="13050" width="6.54296875" style="66" bestFit="1" customWidth="1"/>
    <col min="13051" max="13051" width="9.1796875" style="66"/>
    <col min="13052" max="13052" width="11.1796875" style="66" bestFit="1" customWidth="1"/>
    <col min="13053" max="13053" width="2.26953125" style="66" customWidth="1"/>
    <col min="13054" max="13054" width="13" style="66" bestFit="1" customWidth="1"/>
    <col min="13055" max="13055" width="2.26953125" style="66" customWidth="1"/>
    <col min="13056" max="13056" width="15.7265625" style="66" customWidth="1"/>
    <col min="13057" max="13057" width="1.54296875" style="66" customWidth="1"/>
    <col min="13058" max="13058" width="15.26953125" style="66" bestFit="1" customWidth="1"/>
    <col min="13059" max="13059" width="2.81640625" style="66" customWidth="1"/>
    <col min="13060" max="13060" width="11.1796875" style="66" bestFit="1" customWidth="1"/>
    <col min="13061" max="13061" width="1.81640625" style="66" customWidth="1"/>
    <col min="13062" max="13062" width="13" style="66" bestFit="1" customWidth="1"/>
    <col min="13063" max="13063" width="1.54296875" style="66" customWidth="1"/>
    <col min="13064" max="13064" width="11.1796875" style="66" bestFit="1" customWidth="1"/>
    <col min="13065" max="13065" width="2" style="66" customWidth="1"/>
    <col min="13066" max="13066" width="13" style="66" bestFit="1" customWidth="1"/>
    <col min="13067" max="13067" width="9.1796875" style="66"/>
    <col min="13068" max="13068" width="16.26953125" style="66" bestFit="1" customWidth="1"/>
    <col min="13069" max="13070" width="9.1796875" style="66"/>
    <col min="13071" max="13071" width="9.54296875" style="66" bestFit="1" customWidth="1"/>
    <col min="13072" max="13304" width="9.1796875" style="66"/>
    <col min="13305" max="13305" width="78.26953125" style="66" customWidth="1"/>
    <col min="13306" max="13306" width="6.54296875" style="66" bestFit="1" customWidth="1"/>
    <col min="13307" max="13307" width="9.1796875" style="66"/>
    <col min="13308" max="13308" width="11.1796875" style="66" bestFit="1" customWidth="1"/>
    <col min="13309" max="13309" width="2.26953125" style="66" customWidth="1"/>
    <col min="13310" max="13310" width="13" style="66" bestFit="1" customWidth="1"/>
    <col min="13311" max="13311" width="2.26953125" style="66" customWidth="1"/>
    <col min="13312" max="13312" width="15.7265625" style="66" customWidth="1"/>
    <col min="13313" max="13313" width="1.54296875" style="66" customWidth="1"/>
    <col min="13314" max="13314" width="15.26953125" style="66" bestFit="1" customWidth="1"/>
    <col min="13315" max="13315" width="2.81640625" style="66" customWidth="1"/>
    <col min="13316" max="13316" width="11.1796875" style="66" bestFit="1" customWidth="1"/>
    <col min="13317" max="13317" width="1.81640625" style="66" customWidth="1"/>
    <col min="13318" max="13318" width="13" style="66" bestFit="1" customWidth="1"/>
    <col min="13319" max="13319" width="1.54296875" style="66" customWidth="1"/>
    <col min="13320" max="13320" width="11.1796875" style="66" bestFit="1" customWidth="1"/>
    <col min="13321" max="13321" width="2" style="66" customWidth="1"/>
    <col min="13322" max="13322" width="13" style="66" bestFit="1" customWidth="1"/>
    <col min="13323" max="13323" width="9.1796875" style="66"/>
    <col min="13324" max="13324" width="16.26953125" style="66" bestFit="1" customWidth="1"/>
    <col min="13325" max="13326" width="9.1796875" style="66"/>
    <col min="13327" max="13327" width="9.54296875" style="66" bestFit="1" customWidth="1"/>
    <col min="13328" max="13560" width="9.1796875" style="66"/>
    <col min="13561" max="13561" width="78.26953125" style="66" customWidth="1"/>
    <col min="13562" max="13562" width="6.54296875" style="66" bestFit="1" customWidth="1"/>
    <col min="13563" max="13563" width="9.1796875" style="66"/>
    <col min="13564" max="13564" width="11.1796875" style="66" bestFit="1" customWidth="1"/>
    <col min="13565" max="13565" width="2.26953125" style="66" customWidth="1"/>
    <col min="13566" max="13566" width="13" style="66" bestFit="1" customWidth="1"/>
    <col min="13567" max="13567" width="2.26953125" style="66" customWidth="1"/>
    <col min="13568" max="13568" width="15.7265625" style="66" customWidth="1"/>
    <col min="13569" max="13569" width="1.54296875" style="66" customWidth="1"/>
    <col min="13570" max="13570" width="15.26953125" style="66" bestFit="1" customWidth="1"/>
    <col min="13571" max="13571" width="2.81640625" style="66" customWidth="1"/>
    <col min="13572" max="13572" width="11.1796875" style="66" bestFit="1" customWidth="1"/>
    <col min="13573" max="13573" width="1.81640625" style="66" customWidth="1"/>
    <col min="13574" max="13574" width="13" style="66" bestFit="1" customWidth="1"/>
    <col min="13575" max="13575" width="1.54296875" style="66" customWidth="1"/>
    <col min="13576" max="13576" width="11.1796875" style="66" bestFit="1" customWidth="1"/>
    <col min="13577" max="13577" width="2" style="66" customWidth="1"/>
    <col min="13578" max="13578" width="13" style="66" bestFit="1" customWidth="1"/>
    <col min="13579" max="13579" width="9.1796875" style="66"/>
    <col min="13580" max="13580" width="16.26953125" style="66" bestFit="1" customWidth="1"/>
    <col min="13581" max="13582" width="9.1796875" style="66"/>
    <col min="13583" max="13583" width="9.54296875" style="66" bestFit="1" customWidth="1"/>
    <col min="13584" max="13816" width="9.1796875" style="66"/>
    <col min="13817" max="13817" width="78.26953125" style="66" customWidth="1"/>
    <col min="13818" max="13818" width="6.54296875" style="66" bestFit="1" customWidth="1"/>
    <col min="13819" max="13819" width="9.1796875" style="66"/>
    <col min="13820" max="13820" width="11.1796875" style="66" bestFit="1" customWidth="1"/>
    <col min="13821" max="13821" width="2.26953125" style="66" customWidth="1"/>
    <col min="13822" max="13822" width="13" style="66" bestFit="1" customWidth="1"/>
    <col min="13823" max="13823" width="2.26953125" style="66" customWidth="1"/>
    <col min="13824" max="13824" width="15.7265625" style="66" customWidth="1"/>
    <col min="13825" max="13825" width="1.54296875" style="66" customWidth="1"/>
    <col min="13826" max="13826" width="15.26953125" style="66" bestFit="1" customWidth="1"/>
    <col min="13827" max="13827" width="2.81640625" style="66" customWidth="1"/>
    <col min="13828" max="13828" width="11.1796875" style="66" bestFit="1" customWidth="1"/>
    <col min="13829" max="13829" width="1.81640625" style="66" customWidth="1"/>
    <col min="13830" max="13830" width="13" style="66" bestFit="1" customWidth="1"/>
    <col min="13831" max="13831" width="1.54296875" style="66" customWidth="1"/>
    <col min="13832" max="13832" width="11.1796875" style="66" bestFit="1" customWidth="1"/>
    <col min="13833" max="13833" width="2" style="66" customWidth="1"/>
    <col min="13834" max="13834" width="13" style="66" bestFit="1" customWidth="1"/>
    <col min="13835" max="13835" width="9.1796875" style="66"/>
    <col min="13836" max="13836" width="16.26953125" style="66" bestFit="1" customWidth="1"/>
    <col min="13837" max="13838" width="9.1796875" style="66"/>
    <col min="13839" max="13839" width="9.54296875" style="66" bestFit="1" customWidth="1"/>
    <col min="13840" max="14072" width="9.1796875" style="66"/>
    <col min="14073" max="14073" width="78.26953125" style="66" customWidth="1"/>
    <col min="14074" max="14074" width="6.54296875" style="66" bestFit="1" customWidth="1"/>
    <col min="14075" max="14075" width="9.1796875" style="66"/>
    <col min="14076" max="14076" width="11.1796875" style="66" bestFit="1" customWidth="1"/>
    <col min="14077" max="14077" width="2.26953125" style="66" customWidth="1"/>
    <col min="14078" max="14078" width="13" style="66" bestFit="1" customWidth="1"/>
    <col min="14079" max="14079" width="2.26953125" style="66" customWidth="1"/>
    <col min="14080" max="14080" width="15.7265625" style="66" customWidth="1"/>
    <col min="14081" max="14081" width="1.54296875" style="66" customWidth="1"/>
    <col min="14082" max="14082" width="15.26953125" style="66" bestFit="1" customWidth="1"/>
    <col min="14083" max="14083" width="2.81640625" style="66" customWidth="1"/>
    <col min="14084" max="14084" width="11.1796875" style="66" bestFit="1" customWidth="1"/>
    <col min="14085" max="14085" width="1.81640625" style="66" customWidth="1"/>
    <col min="14086" max="14086" width="13" style="66" bestFit="1" customWidth="1"/>
    <col min="14087" max="14087" width="1.54296875" style="66" customWidth="1"/>
    <col min="14088" max="14088" width="11.1796875" style="66" bestFit="1" customWidth="1"/>
    <col min="14089" max="14089" width="2" style="66" customWidth="1"/>
    <col min="14090" max="14090" width="13" style="66" bestFit="1" customWidth="1"/>
    <col min="14091" max="14091" width="9.1796875" style="66"/>
    <col min="14092" max="14092" width="16.26953125" style="66" bestFit="1" customWidth="1"/>
    <col min="14093" max="14094" width="9.1796875" style="66"/>
    <col min="14095" max="14095" width="9.54296875" style="66" bestFit="1" customWidth="1"/>
    <col min="14096" max="14328" width="9.1796875" style="66"/>
    <col min="14329" max="14329" width="78.26953125" style="66" customWidth="1"/>
    <col min="14330" max="14330" width="6.54296875" style="66" bestFit="1" customWidth="1"/>
    <col min="14331" max="14331" width="9.1796875" style="66"/>
    <col min="14332" max="14332" width="11.1796875" style="66" bestFit="1" customWidth="1"/>
    <col min="14333" max="14333" width="2.26953125" style="66" customWidth="1"/>
    <col min="14334" max="14334" width="13" style="66" bestFit="1" customWidth="1"/>
    <col min="14335" max="14335" width="2.26953125" style="66" customWidth="1"/>
    <col min="14336" max="14336" width="15.7265625" style="66" customWidth="1"/>
    <col min="14337" max="14337" width="1.54296875" style="66" customWidth="1"/>
    <col min="14338" max="14338" width="15.26953125" style="66" bestFit="1" customWidth="1"/>
    <col min="14339" max="14339" width="2.81640625" style="66" customWidth="1"/>
    <col min="14340" max="14340" width="11.1796875" style="66" bestFit="1" customWidth="1"/>
    <col min="14341" max="14341" width="1.81640625" style="66" customWidth="1"/>
    <col min="14342" max="14342" width="13" style="66" bestFit="1" customWidth="1"/>
    <col min="14343" max="14343" width="1.54296875" style="66" customWidth="1"/>
    <col min="14344" max="14344" width="11.1796875" style="66" bestFit="1" customWidth="1"/>
    <col min="14345" max="14345" width="2" style="66" customWidth="1"/>
    <col min="14346" max="14346" width="13" style="66" bestFit="1" customWidth="1"/>
    <col min="14347" max="14347" width="9.1796875" style="66"/>
    <col min="14348" max="14348" width="16.26953125" style="66" bestFit="1" customWidth="1"/>
    <col min="14349" max="14350" width="9.1796875" style="66"/>
    <col min="14351" max="14351" width="9.54296875" style="66" bestFit="1" customWidth="1"/>
    <col min="14352" max="14584" width="9.1796875" style="66"/>
    <col min="14585" max="14585" width="78.26953125" style="66" customWidth="1"/>
    <col min="14586" max="14586" width="6.54296875" style="66" bestFit="1" customWidth="1"/>
    <col min="14587" max="14587" width="9.1796875" style="66"/>
    <col min="14588" max="14588" width="11.1796875" style="66" bestFit="1" customWidth="1"/>
    <col min="14589" max="14589" width="2.26953125" style="66" customWidth="1"/>
    <col min="14590" max="14590" width="13" style="66" bestFit="1" customWidth="1"/>
    <col min="14591" max="14591" width="2.26953125" style="66" customWidth="1"/>
    <col min="14592" max="14592" width="15.7265625" style="66" customWidth="1"/>
    <col min="14593" max="14593" width="1.54296875" style="66" customWidth="1"/>
    <col min="14594" max="14594" width="15.26953125" style="66" bestFit="1" customWidth="1"/>
    <col min="14595" max="14595" width="2.81640625" style="66" customWidth="1"/>
    <col min="14596" max="14596" width="11.1796875" style="66" bestFit="1" customWidth="1"/>
    <col min="14597" max="14597" width="1.81640625" style="66" customWidth="1"/>
    <col min="14598" max="14598" width="13" style="66" bestFit="1" customWidth="1"/>
    <col min="14599" max="14599" width="1.54296875" style="66" customWidth="1"/>
    <col min="14600" max="14600" width="11.1796875" style="66" bestFit="1" customWidth="1"/>
    <col min="14601" max="14601" width="2" style="66" customWidth="1"/>
    <col min="14602" max="14602" width="13" style="66" bestFit="1" customWidth="1"/>
    <col min="14603" max="14603" width="9.1796875" style="66"/>
    <col min="14604" max="14604" width="16.26953125" style="66" bestFit="1" customWidth="1"/>
    <col min="14605" max="14606" width="9.1796875" style="66"/>
    <col min="14607" max="14607" width="9.54296875" style="66" bestFit="1" customWidth="1"/>
    <col min="14608" max="14840" width="9.1796875" style="66"/>
    <col min="14841" max="14841" width="78.26953125" style="66" customWidth="1"/>
    <col min="14842" max="14842" width="6.54296875" style="66" bestFit="1" customWidth="1"/>
    <col min="14843" max="14843" width="9.1796875" style="66"/>
    <col min="14844" max="14844" width="11.1796875" style="66" bestFit="1" customWidth="1"/>
    <col min="14845" max="14845" width="2.26953125" style="66" customWidth="1"/>
    <col min="14846" max="14846" width="13" style="66" bestFit="1" customWidth="1"/>
    <col min="14847" max="14847" width="2.26953125" style="66" customWidth="1"/>
    <col min="14848" max="14848" width="15.7265625" style="66" customWidth="1"/>
    <col min="14849" max="14849" width="1.54296875" style="66" customWidth="1"/>
    <col min="14850" max="14850" width="15.26953125" style="66" bestFit="1" customWidth="1"/>
    <col min="14851" max="14851" width="2.81640625" style="66" customWidth="1"/>
    <col min="14852" max="14852" width="11.1796875" style="66" bestFit="1" customWidth="1"/>
    <col min="14853" max="14853" width="1.81640625" style="66" customWidth="1"/>
    <col min="14854" max="14854" width="13" style="66" bestFit="1" customWidth="1"/>
    <col min="14855" max="14855" width="1.54296875" style="66" customWidth="1"/>
    <col min="14856" max="14856" width="11.1796875" style="66" bestFit="1" customWidth="1"/>
    <col min="14857" max="14857" width="2" style="66" customWidth="1"/>
    <col min="14858" max="14858" width="13" style="66" bestFit="1" customWidth="1"/>
    <col min="14859" max="14859" width="9.1796875" style="66"/>
    <col min="14860" max="14860" width="16.26953125" style="66" bestFit="1" customWidth="1"/>
    <col min="14861" max="14862" width="9.1796875" style="66"/>
    <col min="14863" max="14863" width="9.54296875" style="66" bestFit="1" customWidth="1"/>
    <col min="14864" max="15096" width="9.1796875" style="66"/>
    <col min="15097" max="15097" width="78.26953125" style="66" customWidth="1"/>
    <col min="15098" max="15098" width="6.54296875" style="66" bestFit="1" customWidth="1"/>
    <col min="15099" max="15099" width="9.1796875" style="66"/>
    <col min="15100" max="15100" width="11.1796875" style="66" bestFit="1" customWidth="1"/>
    <col min="15101" max="15101" width="2.26953125" style="66" customWidth="1"/>
    <col min="15102" max="15102" width="13" style="66" bestFit="1" customWidth="1"/>
    <col min="15103" max="15103" width="2.26953125" style="66" customWidth="1"/>
    <col min="15104" max="15104" width="15.7265625" style="66" customWidth="1"/>
    <col min="15105" max="15105" width="1.54296875" style="66" customWidth="1"/>
    <col min="15106" max="15106" width="15.26953125" style="66" bestFit="1" customWidth="1"/>
    <col min="15107" max="15107" width="2.81640625" style="66" customWidth="1"/>
    <col min="15108" max="15108" width="11.1796875" style="66" bestFit="1" customWidth="1"/>
    <col min="15109" max="15109" width="1.81640625" style="66" customWidth="1"/>
    <col min="15110" max="15110" width="13" style="66" bestFit="1" customWidth="1"/>
    <col min="15111" max="15111" width="1.54296875" style="66" customWidth="1"/>
    <col min="15112" max="15112" width="11.1796875" style="66" bestFit="1" customWidth="1"/>
    <col min="15113" max="15113" width="2" style="66" customWidth="1"/>
    <col min="15114" max="15114" width="13" style="66" bestFit="1" customWidth="1"/>
    <col min="15115" max="15115" width="9.1796875" style="66"/>
    <col min="15116" max="15116" width="16.26953125" style="66" bestFit="1" customWidth="1"/>
    <col min="15117" max="15118" width="9.1796875" style="66"/>
    <col min="15119" max="15119" width="9.54296875" style="66" bestFit="1" customWidth="1"/>
    <col min="15120" max="15352" width="9.1796875" style="66"/>
    <col min="15353" max="15353" width="78.26953125" style="66" customWidth="1"/>
    <col min="15354" max="15354" width="6.54296875" style="66" bestFit="1" customWidth="1"/>
    <col min="15355" max="15355" width="9.1796875" style="66"/>
    <col min="15356" max="15356" width="11.1796875" style="66" bestFit="1" customWidth="1"/>
    <col min="15357" max="15357" width="2.26953125" style="66" customWidth="1"/>
    <col min="15358" max="15358" width="13" style="66" bestFit="1" customWidth="1"/>
    <col min="15359" max="15359" width="2.26953125" style="66" customWidth="1"/>
    <col min="15360" max="15360" width="15.7265625" style="66" customWidth="1"/>
    <col min="15361" max="15361" width="1.54296875" style="66" customWidth="1"/>
    <col min="15362" max="15362" width="15.26953125" style="66" bestFit="1" customWidth="1"/>
    <col min="15363" max="15363" width="2.81640625" style="66" customWidth="1"/>
    <col min="15364" max="15364" width="11.1796875" style="66" bestFit="1" customWidth="1"/>
    <col min="15365" max="15365" width="1.81640625" style="66" customWidth="1"/>
    <col min="15366" max="15366" width="13" style="66" bestFit="1" customWidth="1"/>
    <col min="15367" max="15367" width="1.54296875" style="66" customWidth="1"/>
    <col min="15368" max="15368" width="11.1796875" style="66" bestFit="1" customWidth="1"/>
    <col min="15369" max="15369" width="2" style="66" customWidth="1"/>
    <col min="15370" max="15370" width="13" style="66" bestFit="1" customWidth="1"/>
    <col min="15371" max="15371" width="9.1796875" style="66"/>
    <col min="15372" max="15372" width="16.26953125" style="66" bestFit="1" customWidth="1"/>
    <col min="15373" max="15374" width="9.1796875" style="66"/>
    <col min="15375" max="15375" width="9.54296875" style="66" bestFit="1" customWidth="1"/>
    <col min="15376" max="15608" width="9.1796875" style="66"/>
    <col min="15609" max="15609" width="78.26953125" style="66" customWidth="1"/>
    <col min="15610" max="15610" width="6.54296875" style="66" bestFit="1" customWidth="1"/>
    <col min="15611" max="15611" width="9.1796875" style="66"/>
    <col min="15612" max="15612" width="11.1796875" style="66" bestFit="1" customWidth="1"/>
    <col min="15613" max="15613" width="2.26953125" style="66" customWidth="1"/>
    <col min="15614" max="15614" width="13" style="66" bestFit="1" customWidth="1"/>
    <col min="15615" max="15615" width="2.26953125" style="66" customWidth="1"/>
    <col min="15616" max="15616" width="15.7265625" style="66" customWidth="1"/>
    <col min="15617" max="15617" width="1.54296875" style="66" customWidth="1"/>
    <col min="15618" max="15618" width="15.26953125" style="66" bestFit="1" customWidth="1"/>
    <col min="15619" max="15619" width="2.81640625" style="66" customWidth="1"/>
    <col min="15620" max="15620" width="11.1796875" style="66" bestFit="1" customWidth="1"/>
    <col min="15621" max="15621" width="1.81640625" style="66" customWidth="1"/>
    <col min="15622" max="15622" width="13" style="66" bestFit="1" customWidth="1"/>
    <col min="15623" max="15623" width="1.54296875" style="66" customWidth="1"/>
    <col min="15624" max="15624" width="11.1796875" style="66" bestFit="1" customWidth="1"/>
    <col min="15625" max="15625" width="2" style="66" customWidth="1"/>
    <col min="15626" max="15626" width="13" style="66" bestFit="1" customWidth="1"/>
    <col min="15627" max="15627" width="9.1796875" style="66"/>
    <col min="15628" max="15628" width="16.26953125" style="66" bestFit="1" customWidth="1"/>
    <col min="15629" max="15630" width="9.1796875" style="66"/>
    <col min="15631" max="15631" width="9.54296875" style="66" bestFit="1" customWidth="1"/>
    <col min="15632" max="15864" width="9.1796875" style="66"/>
    <col min="15865" max="15865" width="78.26953125" style="66" customWidth="1"/>
    <col min="15866" max="15866" width="6.54296875" style="66" bestFit="1" customWidth="1"/>
    <col min="15867" max="15867" width="9.1796875" style="66"/>
    <col min="15868" max="15868" width="11.1796875" style="66" bestFit="1" customWidth="1"/>
    <col min="15869" max="15869" width="2.26953125" style="66" customWidth="1"/>
    <col min="15870" max="15870" width="13" style="66" bestFit="1" customWidth="1"/>
    <col min="15871" max="15871" width="2.26953125" style="66" customWidth="1"/>
    <col min="15872" max="15872" width="15.7265625" style="66" customWidth="1"/>
    <col min="15873" max="15873" width="1.54296875" style="66" customWidth="1"/>
    <col min="15874" max="15874" width="15.26953125" style="66" bestFit="1" customWidth="1"/>
    <col min="15875" max="15875" width="2.81640625" style="66" customWidth="1"/>
    <col min="15876" max="15876" width="11.1796875" style="66" bestFit="1" customWidth="1"/>
    <col min="15877" max="15877" width="1.81640625" style="66" customWidth="1"/>
    <col min="15878" max="15878" width="13" style="66" bestFit="1" customWidth="1"/>
    <col min="15879" max="15879" width="1.54296875" style="66" customWidth="1"/>
    <col min="15880" max="15880" width="11.1796875" style="66" bestFit="1" customWidth="1"/>
    <col min="15881" max="15881" width="2" style="66" customWidth="1"/>
    <col min="15882" max="15882" width="13" style="66" bestFit="1" customWidth="1"/>
    <col min="15883" max="15883" width="9.1796875" style="66"/>
    <col min="15884" max="15884" width="16.26953125" style="66" bestFit="1" customWidth="1"/>
    <col min="15885" max="15886" width="9.1796875" style="66"/>
    <col min="15887" max="15887" width="9.54296875" style="66" bestFit="1" customWidth="1"/>
    <col min="15888" max="16120" width="9.1796875" style="66"/>
    <col min="16121" max="16121" width="78.26953125" style="66" customWidth="1"/>
    <col min="16122" max="16122" width="6.54296875" style="66" bestFit="1" customWidth="1"/>
    <col min="16123" max="16123" width="9.1796875" style="66"/>
    <col min="16124" max="16124" width="11.1796875" style="66" bestFit="1" customWidth="1"/>
    <col min="16125" max="16125" width="2.26953125" style="66" customWidth="1"/>
    <col min="16126" max="16126" width="13" style="66" bestFit="1" customWidth="1"/>
    <col min="16127" max="16127" width="2.26953125" style="66" customWidth="1"/>
    <col min="16128" max="16128" width="15.7265625" style="66" customWidth="1"/>
    <col min="16129" max="16129" width="1.54296875" style="66" customWidth="1"/>
    <col min="16130" max="16130" width="15.26953125" style="66" bestFit="1" customWidth="1"/>
    <col min="16131" max="16131" width="2.81640625" style="66" customWidth="1"/>
    <col min="16132" max="16132" width="11.1796875" style="66" bestFit="1" customWidth="1"/>
    <col min="16133" max="16133" width="1.81640625" style="66" customWidth="1"/>
    <col min="16134" max="16134" width="13" style="66" bestFit="1" customWidth="1"/>
    <col min="16135" max="16135" width="1.54296875" style="66" customWidth="1"/>
    <col min="16136" max="16136" width="11.1796875" style="66" bestFit="1" customWidth="1"/>
    <col min="16137" max="16137" width="2" style="66" customWidth="1"/>
    <col min="16138" max="16138" width="13" style="66" bestFit="1" customWidth="1"/>
    <col min="16139" max="16139" width="9.1796875" style="66"/>
    <col min="16140" max="16140" width="16.26953125" style="66" bestFit="1" customWidth="1"/>
    <col min="16141" max="16142" width="9.1796875" style="66"/>
    <col min="16143" max="16143" width="9.54296875" style="66" bestFit="1" customWidth="1"/>
    <col min="16144" max="16384" width="9.1796875" style="66"/>
  </cols>
  <sheetData>
    <row r="1" spans="1:77" ht="32.25" customHeight="1" x14ac:dyDescent="0.35"/>
    <row r="2" spans="1:77" ht="19" x14ac:dyDescent="0.45">
      <c r="A2" s="65" t="s">
        <v>175</v>
      </c>
      <c r="I2" s="67"/>
      <c r="Q2" s="67"/>
    </row>
    <row r="3" spans="1:77" ht="19" x14ac:dyDescent="0.35">
      <c r="A3" s="68" t="s">
        <v>176</v>
      </c>
      <c r="I3" s="67"/>
      <c r="Q3" s="67"/>
    </row>
    <row r="4" spans="1:77" ht="19" x14ac:dyDescent="0.35">
      <c r="A4" s="68" t="s">
        <v>177</v>
      </c>
      <c r="I4" s="67"/>
      <c r="Q4" s="67"/>
    </row>
    <row r="5" spans="1:77" ht="19" x14ac:dyDescent="0.35">
      <c r="A5" s="69" t="s">
        <v>178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77" x14ac:dyDescent="0.35">
      <c r="A6" s="70"/>
      <c r="B6" s="71"/>
      <c r="C6" s="71"/>
      <c r="D6" s="71"/>
      <c r="E6" s="71"/>
      <c r="F6" s="71"/>
      <c r="G6" s="71"/>
      <c r="H6" s="71"/>
      <c r="I6" s="72"/>
      <c r="J6" s="73"/>
      <c r="K6" s="71"/>
      <c r="L6" s="71"/>
      <c r="M6" s="71"/>
      <c r="N6" s="71"/>
      <c r="Q6" s="67"/>
    </row>
    <row r="7" spans="1:77" x14ac:dyDescent="0.35">
      <c r="A7" s="74"/>
      <c r="C7" s="389"/>
      <c r="D7" s="389"/>
      <c r="E7" s="389"/>
      <c r="F7" s="389"/>
      <c r="G7" s="389"/>
      <c r="H7" s="389"/>
      <c r="I7" s="389"/>
      <c r="K7" s="389"/>
      <c r="L7" s="389"/>
      <c r="M7" s="389"/>
      <c r="N7" s="389"/>
      <c r="O7" s="389"/>
      <c r="P7" s="389"/>
      <c r="Q7" s="389"/>
    </row>
    <row r="8" spans="1:77" x14ac:dyDescent="0.35">
      <c r="A8" s="74"/>
      <c r="C8" s="390"/>
      <c r="D8" s="389"/>
      <c r="E8" s="389"/>
      <c r="F8" s="75"/>
      <c r="G8" s="390"/>
      <c r="H8" s="389"/>
      <c r="I8" s="389"/>
      <c r="K8" s="390"/>
      <c r="L8" s="389"/>
      <c r="M8" s="389"/>
      <c r="N8" s="75"/>
      <c r="O8" s="390"/>
      <c r="P8" s="389"/>
      <c r="Q8" s="389"/>
    </row>
    <row r="9" spans="1:77" ht="27" x14ac:dyDescent="0.35">
      <c r="A9" s="73"/>
      <c r="B9" s="76"/>
      <c r="C9" s="113" t="s">
        <v>179</v>
      </c>
      <c r="D9" s="76"/>
      <c r="E9" s="113" t="s">
        <v>180</v>
      </c>
      <c r="F9" s="77"/>
      <c r="G9" s="113" t="s">
        <v>181</v>
      </c>
      <c r="H9" s="76"/>
      <c r="I9" s="113" t="s">
        <v>182</v>
      </c>
      <c r="J9" s="78"/>
      <c r="K9" s="113" t="s">
        <v>183</v>
      </c>
      <c r="L9" s="76"/>
      <c r="M9" s="113" t="s">
        <v>184</v>
      </c>
      <c r="N9" s="77"/>
      <c r="O9" s="113" t="s">
        <v>185</v>
      </c>
      <c r="P9" s="76"/>
      <c r="Q9" s="113" t="s">
        <v>186</v>
      </c>
      <c r="S9" s="113" t="s">
        <v>187</v>
      </c>
      <c r="T9" s="76"/>
      <c r="U9" s="113" t="s">
        <v>188</v>
      </c>
      <c r="V9" s="77"/>
      <c r="W9" s="113" t="s">
        <v>189</v>
      </c>
      <c r="X9" s="76"/>
      <c r="Y9" s="113" t="s">
        <v>190</v>
      </c>
      <c r="AA9" s="113" t="s">
        <v>191</v>
      </c>
      <c r="AC9" s="113" t="s">
        <v>192</v>
      </c>
      <c r="AE9" s="113" t="s">
        <v>193</v>
      </c>
      <c r="AG9" s="113" t="s">
        <v>194</v>
      </c>
      <c r="AI9" s="113" t="s">
        <v>195</v>
      </c>
      <c r="AK9" s="113" t="s">
        <v>196</v>
      </c>
      <c r="AM9" s="113" t="s">
        <v>197</v>
      </c>
      <c r="AO9" s="113" t="s">
        <v>198</v>
      </c>
      <c r="AQ9" s="113" t="s">
        <v>199</v>
      </c>
      <c r="AS9" s="113" t="s">
        <v>200</v>
      </c>
      <c r="AU9" s="113" t="s">
        <v>201</v>
      </c>
      <c r="AW9" s="113" t="s">
        <v>297</v>
      </c>
      <c r="AY9" s="113" t="s">
        <v>317</v>
      </c>
      <c r="BA9" s="113" t="s">
        <v>383</v>
      </c>
      <c r="BC9" s="113" t="s">
        <v>388</v>
      </c>
      <c r="BE9" s="113" t="s">
        <v>391</v>
      </c>
      <c r="BG9" s="113" t="s">
        <v>402</v>
      </c>
      <c r="BI9" s="113" t="s">
        <v>406</v>
      </c>
      <c r="BK9" s="113" t="s">
        <v>409</v>
      </c>
      <c r="BM9" s="113" t="s">
        <v>439</v>
      </c>
      <c r="BO9" s="113" t="s">
        <v>451</v>
      </c>
      <c r="BQ9" s="113" t="s">
        <v>463</v>
      </c>
      <c r="BS9" s="113" t="s">
        <v>472</v>
      </c>
      <c r="BU9" s="224" t="s">
        <v>474</v>
      </c>
      <c r="BW9" s="113" t="s">
        <v>506</v>
      </c>
      <c r="BY9" s="113" t="s">
        <v>523</v>
      </c>
    </row>
    <row r="10" spans="1:77" x14ac:dyDescent="0.35">
      <c r="A10" s="73"/>
      <c r="B10" s="76"/>
      <c r="C10" s="76"/>
      <c r="D10" s="76"/>
      <c r="E10" s="76"/>
      <c r="F10" s="76"/>
      <c r="G10" s="76"/>
      <c r="H10" s="76"/>
      <c r="I10" s="76"/>
      <c r="J10" s="78"/>
      <c r="K10" s="76"/>
      <c r="L10" s="78"/>
      <c r="M10" s="76"/>
      <c r="N10" s="78"/>
      <c r="O10" s="76"/>
      <c r="P10" s="76"/>
      <c r="Q10" s="76"/>
      <c r="S10" s="76"/>
      <c r="U10" s="76"/>
      <c r="W10" s="76"/>
      <c r="Y10" s="76"/>
      <c r="AA10" s="76"/>
      <c r="AC10" s="76"/>
      <c r="AE10" s="76"/>
      <c r="AG10" s="76"/>
      <c r="AI10" s="76"/>
      <c r="AK10" s="76"/>
      <c r="AM10" s="76"/>
      <c r="AO10" s="76"/>
      <c r="AQ10" s="76"/>
      <c r="AS10" s="76"/>
      <c r="AU10" s="76"/>
      <c r="AW10" s="76"/>
      <c r="AY10" s="76"/>
      <c r="BA10" s="76"/>
      <c r="BC10" s="76"/>
      <c r="BE10" s="76"/>
      <c r="BG10" s="76"/>
      <c r="BI10" s="76"/>
      <c r="BK10" s="76"/>
      <c r="BM10" s="76"/>
      <c r="BO10" s="76"/>
      <c r="BQ10" s="76"/>
      <c r="BS10" s="76"/>
      <c r="BU10" s="248"/>
      <c r="BW10" s="248"/>
      <c r="BY10" s="248"/>
    </row>
    <row r="11" spans="1:77" x14ac:dyDescent="0.35">
      <c r="A11" s="73"/>
      <c r="B11" s="76"/>
      <c r="C11" s="79"/>
      <c r="D11" s="76"/>
      <c r="E11" s="79"/>
      <c r="F11" s="76"/>
      <c r="G11" s="79"/>
      <c r="H11" s="76"/>
      <c r="I11" s="79"/>
      <c r="J11" s="78"/>
      <c r="K11" s="79"/>
      <c r="L11" s="78"/>
      <c r="M11" s="79"/>
      <c r="N11" s="78"/>
      <c r="O11" s="79"/>
      <c r="P11" s="76"/>
      <c r="Q11" s="79"/>
      <c r="S11" s="79"/>
      <c r="U11" s="79"/>
      <c r="W11" s="79"/>
      <c r="Y11" s="79"/>
      <c r="AA11" s="79"/>
      <c r="AC11" s="79"/>
      <c r="AE11" s="79"/>
      <c r="AG11" s="79"/>
      <c r="AI11" s="79"/>
      <c r="AK11" s="79"/>
      <c r="AM11" s="79"/>
      <c r="AO11" s="79"/>
      <c r="AQ11" s="79"/>
      <c r="AS11" s="79"/>
      <c r="AU11" s="79"/>
      <c r="AW11" s="79"/>
      <c r="AY11" s="79"/>
      <c r="BA11" s="79"/>
      <c r="BC11" s="79"/>
      <c r="BE11" s="79"/>
      <c r="BG11" s="79"/>
      <c r="BI11" s="79"/>
      <c r="BK11" s="79"/>
      <c r="BM11" s="79"/>
      <c r="BO11" s="79"/>
      <c r="BQ11" s="79"/>
      <c r="BS11" s="79"/>
      <c r="BU11" s="249"/>
      <c r="BW11" s="249"/>
      <c r="BY11" s="249"/>
    </row>
    <row r="12" spans="1:77" x14ac:dyDescent="0.35">
      <c r="A12" s="80" t="s">
        <v>55</v>
      </c>
      <c r="B12" s="81"/>
      <c r="C12" s="79">
        <v>52292</v>
      </c>
      <c r="D12" s="81"/>
      <c r="E12" s="79">
        <v>54026</v>
      </c>
      <c r="F12" s="81"/>
      <c r="G12" s="79">
        <v>61399</v>
      </c>
      <c r="H12" s="81"/>
      <c r="I12" s="79">
        <f>236502-G12-E12-C12</f>
        <v>68785</v>
      </c>
      <c r="J12" s="82"/>
      <c r="K12" s="79">
        <v>76096</v>
      </c>
      <c r="L12" s="83"/>
      <c r="M12" s="79">
        <v>84326</v>
      </c>
      <c r="N12" s="82"/>
      <c r="O12" s="79">
        <v>79884</v>
      </c>
      <c r="P12" s="82"/>
      <c r="Q12" s="79">
        <f>327237-O12-M12-K12</f>
        <v>86931</v>
      </c>
      <c r="S12" s="79">
        <v>82880</v>
      </c>
      <c r="U12" s="79">
        <v>92456</v>
      </c>
      <c r="W12" s="79">
        <v>85388</v>
      </c>
      <c r="Y12" s="79">
        <f>348612-W12-U12-S12</f>
        <v>87888</v>
      </c>
      <c r="AA12" s="79">
        <v>71122</v>
      </c>
      <c r="AC12" s="79">
        <v>48186</v>
      </c>
      <c r="AE12" s="79">
        <v>54827</v>
      </c>
      <c r="AG12" s="79">
        <f>242213-AE12-AC12-AA12</f>
        <v>68078</v>
      </c>
      <c r="AI12" s="79">
        <v>78441</v>
      </c>
      <c r="AK12" s="79">
        <v>111524</v>
      </c>
      <c r="AM12" s="79">
        <v>123583</v>
      </c>
      <c r="AO12" s="79">
        <f>433141-AM12-AK12-AI12</f>
        <v>119593</v>
      </c>
      <c r="AQ12" s="79">
        <v>129288</v>
      </c>
      <c r="AS12" s="79">
        <v>183942</v>
      </c>
      <c r="AU12" s="79">
        <v>254439</v>
      </c>
      <c r="AW12" s="79">
        <v>245825</v>
      </c>
      <c r="AY12" s="79">
        <v>241262</v>
      </c>
      <c r="BA12" s="79">
        <v>253934</v>
      </c>
      <c r="BC12" s="79">
        <v>268957</v>
      </c>
      <c r="BE12" s="79">
        <v>282257</v>
      </c>
      <c r="BG12" s="79">
        <v>216431</v>
      </c>
      <c r="BI12" s="79">
        <v>205260</v>
      </c>
      <c r="BK12" s="79">
        <v>392676</v>
      </c>
      <c r="BM12" s="79">
        <v>419693</v>
      </c>
      <c r="BO12" s="79">
        <v>368845</v>
      </c>
      <c r="BQ12" s="79">
        <v>361894</v>
      </c>
      <c r="BS12" s="79">
        <v>359134</v>
      </c>
      <c r="BU12" s="249">
        <v>473750</v>
      </c>
      <c r="BW12" s="249">
        <v>421197</v>
      </c>
      <c r="BY12" s="249">
        <v>462618</v>
      </c>
    </row>
    <row r="13" spans="1:77" x14ac:dyDescent="0.35">
      <c r="A13" s="9" t="s">
        <v>202</v>
      </c>
      <c r="B13" s="84"/>
      <c r="C13" s="114">
        <v>-39486</v>
      </c>
      <c r="D13" s="85"/>
      <c r="E13" s="114">
        <v>-44543</v>
      </c>
      <c r="F13" s="85"/>
      <c r="G13" s="114">
        <v>-57243</v>
      </c>
      <c r="H13" s="85"/>
      <c r="I13" s="114">
        <f>-203099-G13-E13-C13</f>
        <v>-61827</v>
      </c>
      <c r="J13" s="86"/>
      <c r="K13" s="114">
        <v>-65521</v>
      </c>
      <c r="L13" s="86"/>
      <c r="M13" s="114">
        <v>-77319</v>
      </c>
      <c r="N13" s="86"/>
      <c r="O13" s="114">
        <v>-70948</v>
      </c>
      <c r="P13" s="86"/>
      <c r="Q13" s="114">
        <f>-282214-O13-M13-K13</f>
        <v>-68426</v>
      </c>
      <c r="S13" s="114">
        <v>-72350</v>
      </c>
      <c r="U13" s="114">
        <v>-79769</v>
      </c>
      <c r="W13" s="114">
        <v>-74646</v>
      </c>
      <c r="Y13" s="114">
        <f>-299585-W13-U13-S13</f>
        <v>-72820</v>
      </c>
      <c r="AA13" s="114">
        <v>-61707</v>
      </c>
      <c r="AC13" s="114">
        <v>-52435</v>
      </c>
      <c r="AE13" s="114">
        <v>-45380</v>
      </c>
      <c r="AG13" s="114">
        <f>-215064-AE13-AC13-AA13</f>
        <v>-55542</v>
      </c>
      <c r="AI13" s="114">
        <v>-67030</v>
      </c>
      <c r="AK13" s="114">
        <v>-90054</v>
      </c>
      <c r="AM13" s="114">
        <v>-102421</v>
      </c>
      <c r="AO13" s="114">
        <f>-362687-AM13-AK13-AI13</f>
        <v>-103182</v>
      </c>
      <c r="AQ13" s="114">
        <v>-103765</v>
      </c>
      <c r="AS13" s="114">
        <v>-144536</v>
      </c>
      <c r="AU13" s="114">
        <v>-176368</v>
      </c>
      <c r="AW13" s="114">
        <v>-190243</v>
      </c>
      <c r="AY13" s="114">
        <v>-191671</v>
      </c>
      <c r="BA13" s="114">
        <v>-199081</v>
      </c>
      <c r="BC13" s="114">
        <v>-217445</v>
      </c>
      <c r="BE13" s="114">
        <v>-222643</v>
      </c>
      <c r="BG13" s="114">
        <v>-172916</v>
      </c>
      <c r="BI13" s="114">
        <v>-166271</v>
      </c>
      <c r="BK13" s="114">
        <v>-303825</v>
      </c>
      <c r="BM13" s="114">
        <v>-317453</v>
      </c>
      <c r="BO13" s="114">
        <v>-295005</v>
      </c>
      <c r="BQ13" s="114">
        <v>-290091</v>
      </c>
      <c r="BS13" s="114">
        <v>-285065</v>
      </c>
      <c r="BU13" s="250">
        <v>-383114</v>
      </c>
      <c r="BW13" s="250">
        <v>-357176</v>
      </c>
      <c r="BY13" s="250">
        <v>-375171</v>
      </c>
    </row>
    <row r="14" spans="1:77" x14ac:dyDescent="0.35">
      <c r="A14" s="80"/>
      <c r="B14" s="62"/>
      <c r="C14" s="81"/>
      <c r="D14" s="81"/>
      <c r="E14" s="81"/>
      <c r="F14" s="81"/>
      <c r="G14" s="81"/>
      <c r="H14" s="81"/>
      <c r="I14" s="81"/>
      <c r="J14" s="87"/>
      <c r="K14" s="81"/>
      <c r="L14" s="87"/>
      <c r="M14" s="81"/>
      <c r="N14" s="87"/>
      <c r="O14" s="81"/>
      <c r="P14" s="87"/>
      <c r="Q14" s="81"/>
      <c r="S14" s="81"/>
      <c r="U14" s="81"/>
      <c r="W14" s="81"/>
      <c r="Y14" s="81"/>
      <c r="AA14" s="81"/>
      <c r="AC14" s="81"/>
      <c r="AE14" s="81"/>
      <c r="AG14" s="81"/>
      <c r="AI14" s="81"/>
      <c r="AK14" s="81"/>
      <c r="AM14" s="81"/>
      <c r="AO14" s="81"/>
      <c r="AQ14" s="81"/>
      <c r="AS14" s="81"/>
      <c r="AU14" s="81"/>
      <c r="AW14" s="81"/>
      <c r="AY14" s="81"/>
      <c r="BA14" s="81"/>
      <c r="BC14" s="81"/>
      <c r="BE14" s="81"/>
      <c r="BG14" s="81"/>
      <c r="BI14" s="81"/>
      <c r="BK14" s="81"/>
      <c r="BM14" s="81"/>
      <c r="BO14" s="81"/>
      <c r="BQ14" s="81"/>
      <c r="BS14" s="81"/>
      <c r="BU14" s="251"/>
      <c r="BW14" s="251"/>
      <c r="BY14" s="251"/>
    </row>
    <row r="15" spans="1:77" s="95" customFormat="1" x14ac:dyDescent="0.35">
      <c r="A15" s="80" t="s">
        <v>56</v>
      </c>
      <c r="B15" s="115"/>
      <c r="C15" s="116">
        <f>SUM(C12:C13)</f>
        <v>12806</v>
      </c>
      <c r="D15" s="117"/>
      <c r="E15" s="116">
        <f>SUM(E12:E13)</f>
        <v>9483</v>
      </c>
      <c r="F15" s="117"/>
      <c r="G15" s="116">
        <f>SUM(G12:G13)</f>
        <v>4156</v>
      </c>
      <c r="H15" s="117"/>
      <c r="I15" s="116">
        <f>SUM(I12:I13)</f>
        <v>6958</v>
      </c>
      <c r="J15" s="118"/>
      <c r="K15" s="116">
        <f>SUM(K12:K13)</f>
        <v>10575</v>
      </c>
      <c r="L15" s="118"/>
      <c r="M15" s="116">
        <f>SUM(M12:M13)</f>
        <v>7007</v>
      </c>
      <c r="N15" s="118"/>
      <c r="O15" s="116">
        <f>SUM(O12:O13)</f>
        <v>8936</v>
      </c>
      <c r="P15" s="118"/>
      <c r="Q15" s="116">
        <f>SUM(Q12:Q13)</f>
        <v>18505</v>
      </c>
      <c r="S15" s="116">
        <f>SUM(S12:S13)</f>
        <v>10530</v>
      </c>
      <c r="U15" s="116">
        <f>SUM(U12:U13)</f>
        <v>12687</v>
      </c>
      <c r="W15" s="116">
        <f>SUM(W12:W13)</f>
        <v>10742</v>
      </c>
      <c r="Y15" s="116">
        <f>SUM(Y12:Y13)</f>
        <v>15068</v>
      </c>
      <c r="AA15" s="116">
        <f>SUM(AA12:AA13)</f>
        <v>9415</v>
      </c>
      <c r="AC15" s="116">
        <f>SUM(AC12:AC13)</f>
        <v>-4249</v>
      </c>
      <c r="AE15" s="116">
        <f>SUM(AE12:AE13)</f>
        <v>9447</v>
      </c>
      <c r="AG15" s="116">
        <f>SUM(AG12:AG13)</f>
        <v>12536</v>
      </c>
      <c r="AI15" s="116">
        <f>SUM(AI12:AI13)</f>
        <v>11411</v>
      </c>
      <c r="AK15" s="116">
        <f>SUM(AK12:AK13)</f>
        <v>21470</v>
      </c>
      <c r="AM15" s="116">
        <f>SUM(AM12:AM13)</f>
        <v>21162</v>
      </c>
      <c r="AO15" s="116">
        <f>SUM(AO12:AO13)</f>
        <v>16411</v>
      </c>
      <c r="AQ15" s="116">
        <f>SUM(AQ12:AQ13)</f>
        <v>25523</v>
      </c>
      <c r="AR15" s="97"/>
      <c r="AS15" s="116">
        <f>SUM(AS12:AS13)</f>
        <v>39406</v>
      </c>
      <c r="AT15" s="97"/>
      <c r="AU15" s="116">
        <f>SUM(AU12:AU13)</f>
        <v>78071</v>
      </c>
      <c r="AV15" s="97"/>
      <c r="AW15" s="116">
        <f>SUM(AW12:AW13)</f>
        <v>55582</v>
      </c>
      <c r="AX15" s="97"/>
      <c r="AY15" s="116">
        <f>SUM(AY12:AY13)</f>
        <v>49591</v>
      </c>
      <c r="AZ15" s="97"/>
      <c r="BA15" s="116">
        <f>SUM(BA12:BA13)</f>
        <v>54853</v>
      </c>
      <c r="BB15" s="97"/>
      <c r="BC15" s="116">
        <f>SUM(BC12:BC13)</f>
        <v>51512</v>
      </c>
      <c r="BD15" s="97"/>
      <c r="BE15" s="116">
        <f>SUM(BE12:BE13)</f>
        <v>59614</v>
      </c>
      <c r="BF15" s="97"/>
      <c r="BG15" s="116">
        <f>SUM(BG12:BG13)</f>
        <v>43515</v>
      </c>
      <c r="BH15" s="97"/>
      <c r="BI15" s="116">
        <f>SUM(BI12:BI13)</f>
        <v>38989</v>
      </c>
      <c r="BJ15" s="97"/>
      <c r="BK15" s="116">
        <f>SUM(BK12:BK13)</f>
        <v>88851</v>
      </c>
      <c r="BL15" s="97"/>
      <c r="BM15" s="116">
        <f>SUM(BM12:BM13)</f>
        <v>102240</v>
      </c>
      <c r="BN15" s="97"/>
      <c r="BO15" s="116">
        <f>SUM(BO12:BO13)</f>
        <v>73840</v>
      </c>
      <c r="BP15" s="97"/>
      <c r="BQ15" s="116">
        <f>SUM(BQ12:BQ13)</f>
        <v>71803</v>
      </c>
      <c r="BR15" s="97"/>
      <c r="BS15" s="116">
        <f>SUM(BS12:BS13)</f>
        <v>74069</v>
      </c>
      <c r="BT15" s="252"/>
      <c r="BU15" s="253">
        <f>SUM(BU12:BU13)</f>
        <v>90636</v>
      </c>
      <c r="BV15" s="252"/>
      <c r="BW15" s="253">
        <f>SUM(BW12:BW13)</f>
        <v>64021</v>
      </c>
      <c r="BX15" s="252"/>
      <c r="BY15" s="253">
        <f>SUM(BY12:BY13)</f>
        <v>87447</v>
      </c>
    </row>
    <row r="16" spans="1:77" x14ac:dyDescent="0.35">
      <c r="A16" s="88"/>
      <c r="B16" s="62"/>
      <c r="C16" s="81"/>
      <c r="D16" s="81"/>
      <c r="E16" s="81"/>
      <c r="F16" s="81"/>
      <c r="G16" s="81"/>
      <c r="H16" s="81"/>
      <c r="I16" s="81"/>
      <c r="J16" s="87"/>
      <c r="K16" s="81"/>
      <c r="L16" s="87"/>
      <c r="M16" s="81"/>
      <c r="N16" s="87"/>
      <c r="O16" s="81"/>
      <c r="P16" s="87"/>
      <c r="Q16" s="81"/>
      <c r="S16" s="81"/>
      <c r="U16" s="81"/>
      <c r="W16" s="81"/>
      <c r="Y16" s="81"/>
      <c r="AA16" s="81"/>
      <c r="AC16" s="81"/>
      <c r="AE16" s="81"/>
      <c r="AG16" s="81"/>
      <c r="AI16" s="81"/>
      <c r="AK16" s="81"/>
      <c r="AM16" s="81"/>
      <c r="AO16" s="81"/>
      <c r="AQ16" s="81"/>
      <c r="AS16" s="81"/>
      <c r="AU16" s="81"/>
      <c r="AW16" s="81"/>
      <c r="AY16" s="81"/>
      <c r="BA16" s="81"/>
      <c r="BC16" s="81"/>
      <c r="BE16" s="81"/>
      <c r="BG16" s="81"/>
      <c r="BI16" s="81"/>
      <c r="BK16" s="81"/>
      <c r="BM16" s="81"/>
      <c r="BO16" s="81"/>
      <c r="BQ16" s="81"/>
      <c r="BS16" s="81"/>
      <c r="BU16" s="251"/>
      <c r="BW16" s="251"/>
      <c r="BY16" s="251"/>
    </row>
    <row r="17" spans="1:77" x14ac:dyDescent="0.35">
      <c r="A17" s="80" t="s">
        <v>203</v>
      </c>
      <c r="B17" s="62"/>
      <c r="C17" s="81"/>
      <c r="D17" s="81"/>
      <c r="E17" s="81"/>
      <c r="F17" s="81"/>
      <c r="G17" s="81"/>
      <c r="H17" s="81"/>
      <c r="I17" s="81"/>
      <c r="J17" s="87"/>
      <c r="K17" s="81"/>
      <c r="L17" s="87"/>
      <c r="M17" s="81"/>
      <c r="N17" s="87"/>
      <c r="O17" s="81"/>
      <c r="P17" s="87"/>
      <c r="Q17" s="81"/>
      <c r="S17" s="81"/>
      <c r="U17" s="81"/>
      <c r="W17" s="81"/>
      <c r="Y17" s="81"/>
      <c r="AA17" s="81"/>
      <c r="AC17" s="81"/>
      <c r="AE17" s="81"/>
      <c r="AG17" s="81"/>
      <c r="AI17" s="81"/>
      <c r="AK17" s="81"/>
      <c r="AM17" s="81"/>
      <c r="AO17" s="81"/>
      <c r="AQ17" s="81"/>
      <c r="AS17" s="81"/>
      <c r="AU17" s="81"/>
      <c r="AW17" s="81"/>
      <c r="AY17" s="81"/>
      <c r="BA17" s="81"/>
      <c r="BC17" s="81"/>
      <c r="BE17" s="81"/>
      <c r="BG17" s="81"/>
      <c r="BI17" s="81"/>
      <c r="BK17" s="81"/>
      <c r="BM17" s="81"/>
      <c r="BO17" s="81"/>
      <c r="BQ17" s="81"/>
      <c r="BS17" s="81"/>
      <c r="BU17" s="251"/>
      <c r="BW17" s="251"/>
      <c r="BY17" s="251"/>
    </row>
    <row r="18" spans="1:77" x14ac:dyDescent="0.35">
      <c r="A18" s="88" t="s">
        <v>204</v>
      </c>
      <c r="B18" s="62"/>
      <c r="C18" s="79">
        <f>-9041+27</f>
        <v>-9014</v>
      </c>
      <c r="D18" s="81"/>
      <c r="E18" s="79">
        <v>-10452</v>
      </c>
      <c r="F18" s="81"/>
      <c r="G18" s="79">
        <v>-8349</v>
      </c>
      <c r="H18" s="81"/>
      <c r="I18" s="79">
        <f>-41116-G18-E18-C18</f>
        <v>-13301</v>
      </c>
      <c r="J18" s="87"/>
      <c r="K18" s="79">
        <f>-8348-1</f>
        <v>-8349</v>
      </c>
      <c r="L18" s="87"/>
      <c r="M18" s="79">
        <v>-4123</v>
      </c>
      <c r="N18" s="87"/>
      <c r="O18" s="79">
        <v>-5844</v>
      </c>
      <c r="P18" s="87"/>
      <c r="Q18" s="79">
        <f>-30375-O18-M18-K18</f>
        <v>-12059</v>
      </c>
      <c r="S18" s="79">
        <v>-9440</v>
      </c>
      <c r="U18" s="79">
        <v>-10900</v>
      </c>
      <c r="W18" s="79">
        <v>-11224</v>
      </c>
      <c r="Y18" s="79">
        <f>-42064-W18-U18-S18</f>
        <v>-10500</v>
      </c>
      <c r="AA18" s="79">
        <v>1144</v>
      </c>
      <c r="AC18" s="79">
        <v>-10798</v>
      </c>
      <c r="AE18" s="79">
        <v>-12461</v>
      </c>
      <c r="AG18" s="79">
        <f>-31998-AE18-AC18-AA18</f>
        <v>-9883</v>
      </c>
      <c r="AI18" s="79">
        <v>-11007</v>
      </c>
      <c r="AK18" s="79">
        <v>-12675</v>
      </c>
      <c r="AM18" s="79">
        <v>-14047</v>
      </c>
      <c r="AO18" s="79">
        <f>-49962-AM18-AK18-AI18</f>
        <v>-12233</v>
      </c>
      <c r="AQ18" s="79">
        <v>-14971</v>
      </c>
      <c r="AS18" s="79">
        <v>-19973</v>
      </c>
      <c r="AU18" s="79">
        <v>-27577</v>
      </c>
      <c r="AW18" s="79">
        <v>-31603</v>
      </c>
      <c r="AY18" s="79">
        <v>-25536</v>
      </c>
      <c r="BA18" s="79">
        <v>-30564</v>
      </c>
      <c r="BC18" s="79">
        <v>-30896</v>
      </c>
      <c r="BE18" s="79">
        <v>-41176</v>
      </c>
      <c r="BG18" s="79">
        <v>-29528</v>
      </c>
      <c r="BI18" s="79">
        <v>-32401</v>
      </c>
      <c r="BK18" s="79">
        <v>-43794</v>
      </c>
      <c r="BM18" s="79">
        <f>-162113-BK18-BI18-BG18</f>
        <v>-56390</v>
      </c>
      <c r="BO18" s="79">
        <v>-52195</v>
      </c>
      <c r="BQ18" s="79">
        <v>-50265</v>
      </c>
      <c r="BS18" s="79">
        <v>-50130</v>
      </c>
      <c r="BU18" s="249">
        <v>-62096</v>
      </c>
      <c r="BW18" s="249">
        <v>8414</v>
      </c>
      <c r="BY18" s="249">
        <v>-52827</v>
      </c>
    </row>
    <row r="19" spans="1:77" x14ac:dyDescent="0.35">
      <c r="A19" s="88"/>
      <c r="B19" s="62"/>
      <c r="C19" s="81"/>
      <c r="D19" s="81"/>
      <c r="E19" s="81"/>
      <c r="F19" s="81"/>
      <c r="G19" s="81"/>
      <c r="H19" s="81"/>
      <c r="I19" s="81"/>
      <c r="J19" s="87"/>
      <c r="K19" s="81"/>
      <c r="L19" s="87"/>
      <c r="M19" s="81"/>
      <c r="N19" s="87"/>
      <c r="O19" s="81"/>
      <c r="P19" s="87"/>
      <c r="Q19" s="81"/>
      <c r="S19" s="81"/>
      <c r="U19" s="81"/>
      <c r="W19" s="81"/>
      <c r="Y19" s="81"/>
      <c r="AA19" s="81"/>
      <c r="AC19" s="81"/>
      <c r="AE19" s="81"/>
      <c r="AG19" s="81"/>
      <c r="AI19" s="81"/>
      <c r="AK19" s="81"/>
      <c r="AM19" s="81"/>
      <c r="AO19" s="81"/>
      <c r="AQ19" s="81"/>
      <c r="AS19" s="81"/>
      <c r="AU19" s="81"/>
      <c r="AW19" s="81"/>
      <c r="AY19" s="81"/>
      <c r="BA19" s="81"/>
      <c r="BC19" s="81"/>
      <c r="BE19" s="81"/>
      <c r="BG19" s="81"/>
      <c r="BI19" s="81"/>
      <c r="BK19" s="81"/>
      <c r="BM19" s="81"/>
      <c r="BO19" s="81"/>
      <c r="BQ19" s="81"/>
      <c r="BS19" s="81"/>
      <c r="BU19" s="251"/>
      <c r="BW19" s="251"/>
      <c r="BY19" s="251"/>
    </row>
    <row r="20" spans="1:77" x14ac:dyDescent="0.35">
      <c r="A20" s="80" t="s">
        <v>205</v>
      </c>
      <c r="B20" s="62"/>
      <c r="C20" s="114">
        <f>201-27</f>
        <v>174</v>
      </c>
      <c r="D20" s="81"/>
      <c r="E20" s="114">
        <v>61</v>
      </c>
      <c r="F20" s="81"/>
      <c r="G20" s="114">
        <v>212</v>
      </c>
      <c r="H20" s="81"/>
      <c r="I20" s="114">
        <f>186-G20-E20-C20</f>
        <v>-261</v>
      </c>
      <c r="J20" s="87"/>
      <c r="K20" s="114">
        <v>607</v>
      </c>
      <c r="L20" s="87"/>
      <c r="M20" s="114">
        <v>438</v>
      </c>
      <c r="N20" s="87"/>
      <c r="O20" s="114">
        <v>116</v>
      </c>
      <c r="P20" s="87"/>
      <c r="Q20" s="114">
        <f>448-O20-M20-K20</f>
        <v>-713</v>
      </c>
      <c r="S20" s="114">
        <v>-163</v>
      </c>
      <c r="U20" s="114">
        <f>125-S20</f>
        <v>288</v>
      </c>
      <c r="W20" s="114">
        <v>-256</v>
      </c>
      <c r="Y20" s="114">
        <f>797-W20-U20-S20</f>
        <v>928</v>
      </c>
      <c r="AA20" s="114">
        <v>217</v>
      </c>
      <c r="AC20" s="114">
        <v>0</v>
      </c>
      <c r="AE20" s="114">
        <v>0</v>
      </c>
      <c r="AG20" s="114">
        <f>217-AE20-AC20-AA20</f>
        <v>0</v>
      </c>
      <c r="AI20" s="114">
        <v>0</v>
      </c>
      <c r="AK20" s="114">
        <v>0</v>
      </c>
      <c r="AM20" s="114">
        <v>0</v>
      </c>
      <c r="AO20" s="114">
        <v>0</v>
      </c>
      <c r="AQ20" s="114">
        <v>0</v>
      </c>
      <c r="AS20" s="114">
        <v>0</v>
      </c>
      <c r="AU20" s="114">
        <v>0</v>
      </c>
      <c r="AW20" s="114">
        <v>0</v>
      </c>
      <c r="AY20" s="114">
        <v>0</v>
      </c>
      <c r="BA20" s="114">
        <v>0</v>
      </c>
      <c r="BC20" s="114">
        <v>0</v>
      </c>
      <c r="BE20" s="114">
        <v>0</v>
      </c>
      <c r="BG20" s="114">
        <v>0</v>
      </c>
      <c r="BI20" s="114">
        <v>0</v>
      </c>
      <c r="BK20" s="114">
        <v>0</v>
      </c>
      <c r="BM20" s="114">
        <v>0</v>
      </c>
      <c r="BO20" s="114">
        <v>0</v>
      </c>
      <c r="BQ20" s="114">
        <v>0</v>
      </c>
      <c r="BS20" s="114">
        <v>0</v>
      </c>
      <c r="BU20" s="250">
        <v>0</v>
      </c>
      <c r="BW20" s="250">
        <v>0</v>
      </c>
      <c r="BY20" s="250">
        <v>0</v>
      </c>
    </row>
    <row r="21" spans="1:77" x14ac:dyDescent="0.35">
      <c r="A21" s="88"/>
      <c r="B21" s="62"/>
      <c r="C21" s="81"/>
      <c r="D21" s="81"/>
      <c r="E21" s="81"/>
      <c r="F21" s="81"/>
      <c r="G21" s="81"/>
      <c r="H21" s="81"/>
      <c r="I21" s="81"/>
      <c r="J21" s="87"/>
      <c r="K21" s="81"/>
      <c r="L21" s="87"/>
      <c r="M21" s="81"/>
      <c r="N21" s="87"/>
      <c r="O21" s="81"/>
      <c r="P21" s="87"/>
      <c r="Q21" s="81"/>
      <c r="S21" s="81"/>
      <c r="U21" s="81"/>
      <c r="W21" s="81"/>
      <c r="Y21" s="81"/>
      <c r="AA21" s="81"/>
      <c r="AC21" s="81"/>
      <c r="AE21" s="81"/>
      <c r="AG21" s="81"/>
      <c r="AI21" s="81"/>
      <c r="AK21" s="81"/>
      <c r="AM21" s="81"/>
      <c r="AO21" s="81"/>
      <c r="AQ21" s="81"/>
      <c r="AS21" s="81"/>
      <c r="AU21" s="81"/>
      <c r="AW21" s="81"/>
      <c r="AY21" s="81"/>
      <c r="BA21" s="81"/>
      <c r="BC21" s="81"/>
      <c r="BE21" s="81"/>
      <c r="BG21" s="81"/>
      <c r="BI21" s="81"/>
      <c r="BK21" s="81"/>
      <c r="BM21" s="81"/>
      <c r="BO21" s="81"/>
      <c r="BQ21" s="81"/>
      <c r="BS21" s="81"/>
      <c r="BU21" s="251"/>
      <c r="BW21" s="251"/>
      <c r="BY21" s="251"/>
    </row>
    <row r="22" spans="1:77" s="95" customFormat="1" x14ac:dyDescent="0.35">
      <c r="A22" s="80" t="s">
        <v>58</v>
      </c>
      <c r="B22" s="115"/>
      <c r="C22" s="116">
        <f>SUM(C15:C20)</f>
        <v>3966</v>
      </c>
      <c r="D22" s="117"/>
      <c r="E22" s="116">
        <f>SUM(E15:E21)</f>
        <v>-908</v>
      </c>
      <c r="F22" s="117"/>
      <c r="G22" s="116">
        <f>SUM(G15:G21)</f>
        <v>-3981</v>
      </c>
      <c r="H22" s="117"/>
      <c r="I22" s="116">
        <f>SUM(I15:I21)</f>
        <v>-6604</v>
      </c>
      <c r="J22" s="118"/>
      <c r="K22" s="116">
        <f>SUM(K15:K20)</f>
        <v>2833</v>
      </c>
      <c r="L22" s="118"/>
      <c r="M22" s="116">
        <f>SUM(M15:M21)</f>
        <v>3322</v>
      </c>
      <c r="N22" s="118"/>
      <c r="O22" s="116">
        <f>SUM(O15:O21)</f>
        <v>3208</v>
      </c>
      <c r="P22" s="118"/>
      <c r="Q22" s="116">
        <f>SUM(Q15:Q21)</f>
        <v>5733</v>
      </c>
      <c r="S22" s="116">
        <f>SUM(S15:S21)</f>
        <v>927</v>
      </c>
      <c r="U22" s="116">
        <f>SUM(U15:U21)</f>
        <v>2075</v>
      </c>
      <c r="W22" s="116">
        <f>SUM(W15:W21)</f>
        <v>-738</v>
      </c>
      <c r="Y22" s="116">
        <f>SUM(Y15:Y21)</f>
        <v>5496</v>
      </c>
      <c r="AA22" s="116">
        <f>SUM(AA15:AA21)</f>
        <v>10776</v>
      </c>
      <c r="AC22" s="116">
        <f>SUM(AC15:AC21)</f>
        <v>-15047</v>
      </c>
      <c r="AE22" s="116">
        <f>SUM(AE15:AE21)</f>
        <v>-3014</v>
      </c>
      <c r="AG22" s="116">
        <f>SUM(AG15:AG21)</f>
        <v>2653</v>
      </c>
      <c r="AI22" s="116">
        <f>SUM(AI15:AI20)</f>
        <v>404</v>
      </c>
      <c r="AK22" s="116">
        <f>SUM(AK15:AK20)</f>
        <v>8795</v>
      </c>
      <c r="AM22" s="116">
        <f>SUM(AM15:AM20)</f>
        <v>7115</v>
      </c>
      <c r="AO22" s="116">
        <f>SUM(AO15:AO20)</f>
        <v>4178</v>
      </c>
      <c r="AQ22" s="116">
        <f>SUM(AQ15:AQ20)</f>
        <v>10552</v>
      </c>
      <c r="AR22" s="97"/>
      <c r="AS22" s="116">
        <f>SUM(AS15:AS20)</f>
        <v>19433</v>
      </c>
      <c r="AT22" s="97"/>
      <c r="AU22" s="116">
        <f>SUM(AU15:AU20)</f>
        <v>50494</v>
      </c>
      <c r="AV22" s="97"/>
      <c r="AW22" s="116">
        <f>SUM(AW15:AW20)</f>
        <v>23979</v>
      </c>
      <c r="AX22" s="97"/>
      <c r="AY22" s="116">
        <f>SUM(AY15:AY20)</f>
        <v>24055</v>
      </c>
      <c r="AZ22" s="97"/>
      <c r="BA22" s="116">
        <f>SUM(BA15:BA20)</f>
        <v>24289</v>
      </c>
      <c r="BB22" s="97"/>
      <c r="BC22" s="116">
        <f>SUM(BC15:BC20)</f>
        <v>20616</v>
      </c>
      <c r="BD22" s="97"/>
      <c r="BE22" s="116">
        <f>SUM(BE15:BE20)</f>
        <v>18438</v>
      </c>
      <c r="BF22" s="97"/>
      <c r="BG22" s="116">
        <f>SUM(BG15:BG20)</f>
        <v>13987</v>
      </c>
      <c r="BH22" s="97"/>
      <c r="BI22" s="116">
        <f>SUM(BI15:BI20)</f>
        <v>6588</v>
      </c>
      <c r="BJ22" s="97"/>
      <c r="BK22" s="116">
        <f>SUM(BK15:BK20)</f>
        <v>45057</v>
      </c>
      <c r="BL22" s="97"/>
      <c r="BM22" s="116">
        <f>SUM(BM15:BM20)</f>
        <v>45850</v>
      </c>
      <c r="BN22" s="97"/>
      <c r="BO22" s="116">
        <f>SUM(BO15:BO20)</f>
        <v>21645</v>
      </c>
      <c r="BP22" s="97"/>
      <c r="BQ22" s="116">
        <f>SUM(BQ15:BQ20)</f>
        <v>21538</v>
      </c>
      <c r="BR22" s="97"/>
      <c r="BS22" s="116">
        <f>SUM(BS15:BS20)</f>
        <v>23939</v>
      </c>
      <c r="BT22" s="252"/>
      <c r="BU22" s="253">
        <f>SUM(BU15:BU20)</f>
        <v>28540</v>
      </c>
      <c r="BV22" s="252"/>
      <c r="BW22" s="253">
        <f>SUM(BW15:BW20)</f>
        <v>72435</v>
      </c>
      <c r="BX22" s="252"/>
      <c r="BY22" s="253">
        <f>SUM(BY15:BY20)</f>
        <v>34620</v>
      </c>
    </row>
    <row r="23" spans="1:77" x14ac:dyDescent="0.35">
      <c r="A23" s="88"/>
      <c r="B23" s="62"/>
      <c r="C23" s="81"/>
      <c r="D23" s="81"/>
      <c r="E23" s="81"/>
      <c r="F23" s="81"/>
      <c r="G23" s="81"/>
      <c r="H23" s="81"/>
      <c r="I23" s="81"/>
      <c r="J23" s="87"/>
      <c r="K23" s="81"/>
      <c r="L23" s="87"/>
      <c r="M23" s="81"/>
      <c r="N23" s="87"/>
      <c r="O23" s="81"/>
      <c r="P23" s="87"/>
      <c r="Q23" s="81"/>
      <c r="S23" s="81"/>
      <c r="U23" s="81"/>
      <c r="W23" s="81"/>
      <c r="Y23" s="81"/>
      <c r="AA23" s="81"/>
      <c r="AC23" s="81"/>
      <c r="AE23" s="81"/>
      <c r="AG23" s="81"/>
      <c r="AI23" s="81"/>
      <c r="AK23" s="81"/>
      <c r="AM23" s="81"/>
      <c r="AO23" s="81"/>
      <c r="AQ23" s="81"/>
      <c r="AS23" s="81"/>
      <c r="AU23" s="81"/>
      <c r="AW23" s="81"/>
      <c r="AY23" s="81"/>
      <c r="BA23" s="81"/>
      <c r="BC23" s="81"/>
      <c r="BE23" s="81"/>
      <c r="BG23" s="81"/>
      <c r="BI23" s="81"/>
      <c r="BK23" s="81"/>
      <c r="BM23" s="81"/>
      <c r="BO23" s="81"/>
      <c r="BQ23" s="81"/>
      <c r="BS23" s="81"/>
      <c r="BU23" s="251"/>
      <c r="BW23" s="251"/>
      <c r="BY23" s="251"/>
    </row>
    <row r="24" spans="1:77" x14ac:dyDescent="0.35">
      <c r="A24" s="80" t="s">
        <v>59</v>
      </c>
      <c r="B24" s="62"/>
      <c r="C24" s="81"/>
      <c r="D24" s="81"/>
      <c r="E24" s="81"/>
      <c r="F24" s="81"/>
      <c r="G24" s="81"/>
      <c r="H24" s="81"/>
      <c r="I24" s="81"/>
      <c r="J24" s="87"/>
      <c r="K24" s="81"/>
      <c r="L24" s="87"/>
      <c r="M24" s="81"/>
      <c r="N24" s="87"/>
      <c r="O24" s="81"/>
      <c r="P24" s="87"/>
      <c r="Q24" s="81"/>
      <c r="S24" s="81"/>
      <c r="U24" s="81"/>
      <c r="W24" s="81"/>
      <c r="Y24" s="81"/>
      <c r="AA24" s="81"/>
      <c r="AC24" s="81"/>
      <c r="AE24" s="81"/>
      <c r="AG24" s="81"/>
      <c r="AI24" s="81"/>
      <c r="AK24" s="81"/>
      <c r="AM24" s="81"/>
      <c r="AO24" s="81"/>
      <c r="AQ24" s="81"/>
      <c r="AS24" s="81"/>
      <c r="AU24" s="81"/>
      <c r="AW24" s="81"/>
      <c r="AY24" s="81"/>
      <c r="BA24" s="81"/>
      <c r="BC24" s="81"/>
      <c r="BE24" s="81"/>
      <c r="BG24" s="81"/>
      <c r="BI24" s="81"/>
      <c r="BK24" s="81"/>
      <c r="BM24" s="81"/>
      <c r="BO24" s="81"/>
      <c r="BQ24" s="81"/>
      <c r="BS24" s="81"/>
      <c r="BU24" s="251"/>
      <c r="BW24" s="251"/>
      <c r="BY24" s="251"/>
    </row>
    <row r="25" spans="1:77" x14ac:dyDescent="0.35">
      <c r="A25" s="88" t="s">
        <v>206</v>
      </c>
      <c r="B25" s="62"/>
      <c r="C25" s="79">
        <v>544</v>
      </c>
      <c r="D25" s="89"/>
      <c r="E25" s="79">
        <v>555</v>
      </c>
      <c r="F25" s="81"/>
      <c r="G25" s="79">
        <v>776</v>
      </c>
      <c r="H25" s="81"/>
      <c r="I25" s="79">
        <f>2383-G25-E25-C25</f>
        <v>508</v>
      </c>
      <c r="J25" s="87"/>
      <c r="K25" s="79">
        <v>895</v>
      </c>
      <c r="L25" s="90"/>
      <c r="M25" s="79">
        <f>1644</f>
        <v>1644</v>
      </c>
      <c r="N25" s="90"/>
      <c r="O25" s="79">
        <v>2601</v>
      </c>
      <c r="P25" s="90"/>
      <c r="Q25" s="79">
        <f>6331-O25-M25-K25</f>
        <v>1191</v>
      </c>
      <c r="S25" s="79">
        <v>1566</v>
      </c>
      <c r="U25" s="79">
        <f>2259-S25</f>
        <v>693</v>
      </c>
      <c r="W25" s="79">
        <v>1089</v>
      </c>
      <c r="Y25" s="79">
        <f>4465-W25-U25-S25</f>
        <v>1117</v>
      </c>
      <c r="AA25" s="79">
        <v>1939</v>
      </c>
      <c r="AB25" s="91"/>
      <c r="AC25" s="79">
        <v>2932</v>
      </c>
      <c r="AE25" s="79">
        <v>-120</v>
      </c>
      <c r="AG25" s="79">
        <f>4900-AE25-AC25-AA25</f>
        <v>149</v>
      </c>
      <c r="AI25" s="79">
        <v>997</v>
      </c>
      <c r="AK25" s="79">
        <v>1126</v>
      </c>
      <c r="AM25" s="79">
        <v>853</v>
      </c>
      <c r="AO25" s="79">
        <f>4211-AM25-AK25-AI25</f>
        <v>1235</v>
      </c>
      <c r="AQ25" s="79">
        <v>2039</v>
      </c>
      <c r="AS25" s="79">
        <v>1808</v>
      </c>
      <c r="AU25" s="79">
        <v>2867</v>
      </c>
      <c r="AW25" s="79">
        <v>3051</v>
      </c>
      <c r="AY25" s="79">
        <v>4301</v>
      </c>
      <c r="BA25" s="79">
        <v>3404</v>
      </c>
      <c r="BC25" s="79">
        <v>2376</v>
      </c>
      <c r="BE25" s="79">
        <v>3962</v>
      </c>
      <c r="BG25" s="79">
        <v>4503</v>
      </c>
      <c r="BI25" s="79">
        <v>4554</v>
      </c>
      <c r="BK25" s="79">
        <v>6423</v>
      </c>
      <c r="BM25" s="79">
        <f>23376-BK25-BI25-BG25</f>
        <v>7896</v>
      </c>
      <c r="BO25" s="79">
        <v>7978</v>
      </c>
      <c r="BQ25" s="79">
        <v>13196</v>
      </c>
      <c r="BS25" s="79">
        <v>18987</v>
      </c>
      <c r="BU25" s="249">
        <v>14009</v>
      </c>
      <c r="BW25" s="249">
        <v>23011</v>
      </c>
      <c r="BY25" s="249">
        <v>13986</v>
      </c>
    </row>
    <row r="26" spans="1:77" x14ac:dyDescent="0.35">
      <c r="A26" s="88" t="s">
        <v>207</v>
      </c>
      <c r="B26" s="62"/>
      <c r="C26" s="114">
        <v>-1412</v>
      </c>
      <c r="D26" s="81"/>
      <c r="E26" s="114">
        <v>-1952</v>
      </c>
      <c r="F26" s="81"/>
      <c r="G26" s="114">
        <v>-3282</v>
      </c>
      <c r="H26" s="81"/>
      <c r="I26" s="114">
        <f>-8518-G26-E26-C26</f>
        <v>-1872</v>
      </c>
      <c r="J26" s="87"/>
      <c r="K26" s="114">
        <v>-3323</v>
      </c>
      <c r="L26" s="87"/>
      <c r="M26" s="114">
        <v>-4385</v>
      </c>
      <c r="N26" s="87"/>
      <c r="O26" s="114">
        <v>-4672</v>
      </c>
      <c r="P26" s="87"/>
      <c r="Q26" s="114">
        <f>-15462-O26-M26-K26</f>
        <v>-3082</v>
      </c>
      <c r="S26" s="114">
        <v>-4069</v>
      </c>
      <c r="U26" s="114">
        <v>-4656</v>
      </c>
      <c r="W26" s="114">
        <v>-4742</v>
      </c>
      <c r="Y26" s="114">
        <f>-18050-W26-U26-S26</f>
        <v>-4583</v>
      </c>
      <c r="AA26" s="114">
        <v>-4511</v>
      </c>
      <c r="AC26" s="114">
        <v>-3816</v>
      </c>
      <c r="AE26" s="114">
        <v>-1120</v>
      </c>
      <c r="AG26" s="114">
        <f>-11410-AE26-AC26-AA26</f>
        <v>-1963</v>
      </c>
      <c r="AI26" s="114">
        <v>-1858</v>
      </c>
      <c r="AK26" s="114">
        <v>-1682</v>
      </c>
      <c r="AM26" s="114">
        <v>-2211</v>
      </c>
      <c r="AO26" s="114">
        <f>-8524-AM26-AK26-AI26</f>
        <v>-2773</v>
      </c>
      <c r="AQ26" s="114">
        <v>-3462</v>
      </c>
      <c r="AS26" s="114">
        <v>-5610</v>
      </c>
      <c r="AU26" s="114">
        <v>-9335</v>
      </c>
      <c r="AW26" s="114">
        <v>-11636</v>
      </c>
      <c r="AY26" s="114">
        <v>-11808</v>
      </c>
      <c r="BA26" s="114">
        <v>-12665</v>
      </c>
      <c r="BC26" s="114">
        <v>-14799</v>
      </c>
      <c r="BE26" s="114">
        <v>-19759</v>
      </c>
      <c r="BG26" s="114">
        <v>-15792</v>
      </c>
      <c r="BI26" s="114">
        <v>-14869</v>
      </c>
      <c r="BK26" s="114">
        <v>-22078</v>
      </c>
      <c r="BM26" s="114">
        <f>-75456-BK26-BI26-BG26</f>
        <v>-22717</v>
      </c>
      <c r="BO26" s="114">
        <v>-23776</v>
      </c>
      <c r="BQ26" s="114">
        <v>-33992</v>
      </c>
      <c r="BS26" s="114">
        <v>-39564</v>
      </c>
      <c r="BU26" s="250">
        <v>-44819</v>
      </c>
      <c r="BW26" s="250">
        <v>-40169</v>
      </c>
      <c r="BY26" s="250">
        <v>-49291</v>
      </c>
    </row>
    <row r="27" spans="1:77" x14ac:dyDescent="0.35">
      <c r="A27" s="88"/>
      <c r="B27" s="62"/>
      <c r="C27" s="81"/>
      <c r="D27" s="81"/>
      <c r="E27" s="81"/>
      <c r="F27" s="81"/>
      <c r="G27" s="81"/>
      <c r="H27" s="81"/>
      <c r="I27" s="81"/>
      <c r="J27" s="87"/>
      <c r="K27" s="81"/>
      <c r="L27" s="87"/>
      <c r="M27" s="81"/>
      <c r="N27" s="87"/>
      <c r="O27" s="81"/>
      <c r="P27" s="87"/>
      <c r="Q27" s="81"/>
      <c r="S27" s="81"/>
      <c r="U27" s="81"/>
      <c r="W27" s="81"/>
      <c r="Y27" s="81"/>
      <c r="AA27" s="81"/>
      <c r="AC27" s="81"/>
      <c r="AE27" s="81"/>
      <c r="AG27" s="81"/>
      <c r="AI27" s="81"/>
      <c r="AK27" s="81"/>
      <c r="AM27" s="81"/>
      <c r="AO27" s="81"/>
      <c r="AQ27" s="81"/>
      <c r="AS27" s="81"/>
      <c r="AU27" s="81"/>
      <c r="AW27" s="81"/>
      <c r="AY27" s="81"/>
      <c r="BA27" s="81"/>
      <c r="BC27" s="81"/>
      <c r="BE27" s="81"/>
      <c r="BG27" s="81"/>
      <c r="BI27" s="81"/>
      <c r="BK27" s="81"/>
      <c r="BM27" s="81"/>
      <c r="BO27" s="81"/>
      <c r="BQ27" s="81"/>
      <c r="BS27" s="81"/>
      <c r="BU27" s="251"/>
      <c r="BW27" s="251"/>
      <c r="BY27" s="251"/>
    </row>
    <row r="28" spans="1:77" s="95" customFormat="1" x14ac:dyDescent="0.35">
      <c r="A28" s="80" t="s">
        <v>208</v>
      </c>
      <c r="B28" s="115"/>
      <c r="C28" s="116">
        <f>SUM(C22:C26)</f>
        <v>3098</v>
      </c>
      <c r="D28" s="117"/>
      <c r="E28" s="116">
        <f>SUM(E22:E27)</f>
        <v>-2305</v>
      </c>
      <c r="F28" s="117"/>
      <c r="G28" s="116">
        <f>SUM(G22:G27)</f>
        <v>-6487</v>
      </c>
      <c r="H28" s="117"/>
      <c r="I28" s="116">
        <f>SUM(I22:I27)</f>
        <v>-7968</v>
      </c>
      <c r="J28" s="118"/>
      <c r="K28" s="116">
        <f>SUM(K22:K26)</f>
        <v>405</v>
      </c>
      <c r="L28" s="120"/>
      <c r="M28" s="116">
        <f>SUM(M22:M27)</f>
        <v>581</v>
      </c>
      <c r="N28" s="120"/>
      <c r="O28" s="116">
        <f>SUM(O22:O27)</f>
        <v>1137</v>
      </c>
      <c r="P28" s="120"/>
      <c r="Q28" s="116">
        <f>SUM(Q22:Q27)</f>
        <v>3842</v>
      </c>
      <c r="S28" s="116">
        <f>SUM(S22:S27)</f>
        <v>-1576</v>
      </c>
      <c r="U28" s="116">
        <f>SUM(U22:U27)</f>
        <v>-1888</v>
      </c>
      <c r="W28" s="116">
        <f>SUM(W22:W27)</f>
        <v>-4391</v>
      </c>
      <c r="Y28" s="116">
        <f>SUM(Y22:Y27)</f>
        <v>2030</v>
      </c>
      <c r="AA28" s="116">
        <f>SUM(AA22:AA27)</f>
        <v>8204</v>
      </c>
      <c r="AC28" s="116">
        <f>SUM(AC22:AC27)</f>
        <v>-15931</v>
      </c>
      <c r="AE28" s="116">
        <f>SUM(AE22:AE27)</f>
        <v>-4254</v>
      </c>
      <c r="AG28" s="116">
        <f>SUM(AG22:AG27)</f>
        <v>839</v>
      </c>
      <c r="AI28" s="116">
        <f>SUM(AI22:AI26)</f>
        <v>-457</v>
      </c>
      <c r="AK28" s="116">
        <f>SUM(AK22:AK26)</f>
        <v>8239</v>
      </c>
      <c r="AM28" s="116">
        <f>SUM(AM22:AM26)</f>
        <v>5757</v>
      </c>
      <c r="AO28" s="116">
        <f>SUM(AO22:AO26)</f>
        <v>2640</v>
      </c>
      <c r="AQ28" s="116">
        <f>SUM(AQ22:AQ26)</f>
        <v>9129</v>
      </c>
      <c r="AR28" s="97"/>
      <c r="AS28" s="116">
        <f>SUM(AS22:AS26)</f>
        <v>15631</v>
      </c>
      <c r="AT28" s="97"/>
      <c r="AU28" s="116">
        <f>SUM(AU22:AU26)</f>
        <v>44026</v>
      </c>
      <c r="AV28" s="97"/>
      <c r="AW28" s="116">
        <f>SUM(AW22:AW26)</f>
        <v>15394</v>
      </c>
      <c r="AX28" s="97"/>
      <c r="AY28" s="116">
        <f>SUM(AY22:AY26)</f>
        <v>16548</v>
      </c>
      <c r="AZ28" s="97"/>
      <c r="BA28" s="116">
        <f>SUM(BA22:BA26)</f>
        <v>15028</v>
      </c>
      <c r="BB28" s="97"/>
      <c r="BC28" s="116">
        <f>SUM(BC22:BC26)</f>
        <v>8193</v>
      </c>
      <c r="BD28" s="97"/>
      <c r="BE28" s="116">
        <f>SUM(BE22:BE26)</f>
        <v>2641</v>
      </c>
      <c r="BF28" s="97"/>
      <c r="BG28" s="116">
        <f>SUM(BG22:BG26)</f>
        <v>2698</v>
      </c>
      <c r="BH28" s="97"/>
      <c r="BI28" s="116">
        <f>SUM(BI22:BI26)</f>
        <v>-3727</v>
      </c>
      <c r="BJ28" s="97"/>
      <c r="BK28" s="116">
        <f>SUM(BK22:BK26)</f>
        <v>29402</v>
      </c>
      <c r="BL28" s="97"/>
      <c r="BM28" s="116">
        <f>SUM(BM22:BM26)</f>
        <v>31029</v>
      </c>
      <c r="BN28" s="97"/>
      <c r="BO28" s="116">
        <f>SUM(BO22:BO26)</f>
        <v>5847</v>
      </c>
      <c r="BP28" s="97"/>
      <c r="BQ28" s="116">
        <f>SUM(BQ22:BQ26)</f>
        <v>742</v>
      </c>
      <c r="BR28" s="97"/>
      <c r="BS28" s="116">
        <f>SUM(BS22:BS26)</f>
        <v>3362</v>
      </c>
      <c r="BT28" s="252"/>
      <c r="BU28" s="253">
        <f>SUM(BU22:BU26)</f>
        <v>-2270</v>
      </c>
      <c r="BV28" s="252"/>
      <c r="BW28" s="253">
        <f>SUM(BW22:BW26)</f>
        <v>55277</v>
      </c>
      <c r="BX28" s="252"/>
      <c r="BY28" s="253">
        <f>SUM(BY22:BY26)</f>
        <v>-685</v>
      </c>
    </row>
    <row r="29" spans="1:77" x14ac:dyDescent="0.35">
      <c r="A29" s="80"/>
      <c r="B29" s="62"/>
      <c r="C29" s="81"/>
      <c r="D29" s="81"/>
      <c r="E29" s="81"/>
      <c r="F29" s="81"/>
      <c r="G29" s="81"/>
      <c r="H29" s="81"/>
      <c r="I29" s="81"/>
      <c r="J29" s="87"/>
      <c r="K29" s="81"/>
      <c r="L29" s="87"/>
      <c r="M29" s="81"/>
      <c r="N29" s="87"/>
      <c r="O29" s="81"/>
      <c r="P29" s="87"/>
      <c r="Q29" s="81"/>
      <c r="S29" s="81"/>
      <c r="U29" s="81"/>
      <c r="W29" s="81"/>
      <c r="Y29" s="81"/>
      <c r="AA29" s="81"/>
      <c r="AC29" s="81"/>
      <c r="AE29" s="81"/>
      <c r="AG29" s="81"/>
      <c r="AI29" s="81"/>
      <c r="AK29" s="81"/>
      <c r="AM29" s="81"/>
      <c r="AO29" s="81"/>
      <c r="AQ29" s="81"/>
      <c r="AS29" s="81"/>
      <c r="AU29" s="81"/>
      <c r="AW29" s="81"/>
      <c r="AY29" s="81"/>
      <c r="BA29" s="81"/>
      <c r="BC29" s="81"/>
      <c r="BE29" s="81"/>
      <c r="BG29" s="81"/>
      <c r="BI29" s="81"/>
      <c r="BK29" s="81"/>
      <c r="BM29" s="81"/>
      <c r="BO29" s="81"/>
      <c r="BQ29" s="81"/>
      <c r="BS29" s="81"/>
      <c r="BU29" s="251"/>
      <c r="BW29" s="251"/>
      <c r="BY29" s="251"/>
    </row>
    <row r="30" spans="1:77" x14ac:dyDescent="0.35">
      <c r="A30" s="88" t="s">
        <v>209</v>
      </c>
      <c r="B30" s="62"/>
      <c r="C30" s="79">
        <v>-799</v>
      </c>
      <c r="D30" s="81"/>
      <c r="E30" s="79">
        <v>-1053</v>
      </c>
      <c r="F30" s="81"/>
      <c r="G30" s="79">
        <v>751</v>
      </c>
      <c r="H30" s="81"/>
      <c r="I30" s="79">
        <f>-947-G30-E30-C30</f>
        <v>154</v>
      </c>
      <c r="J30" s="87"/>
      <c r="K30" s="79">
        <v>-1127</v>
      </c>
      <c r="L30" s="87"/>
      <c r="M30" s="79">
        <v>-795</v>
      </c>
      <c r="N30" s="87"/>
      <c r="O30" s="79">
        <v>-1001</v>
      </c>
      <c r="P30" s="87"/>
      <c r="Q30" s="79">
        <f>-4613-O30-M30-K30</f>
        <v>-1690</v>
      </c>
      <c r="S30" s="79">
        <v>-1379</v>
      </c>
      <c r="U30" s="79">
        <f>-2812-S30</f>
        <v>-1433</v>
      </c>
      <c r="W30" s="79">
        <v>-1623</v>
      </c>
      <c r="Y30" s="79">
        <f>-6207-W30-U30-S30</f>
        <v>-1772</v>
      </c>
      <c r="AA30" s="79">
        <v>-1586</v>
      </c>
      <c r="AC30" s="79">
        <v>-1262</v>
      </c>
      <c r="AE30" s="79">
        <v>-1110</v>
      </c>
      <c r="AG30" s="79">
        <f>-5390-AE30-AC30-AA30</f>
        <v>-1432</v>
      </c>
      <c r="AI30" s="79">
        <v>-1585</v>
      </c>
      <c r="AK30" s="79">
        <v>-3036</v>
      </c>
      <c r="AM30" s="79">
        <v>-3113</v>
      </c>
      <c r="AO30" s="79">
        <f>-7870-AM30-AK30-AI30</f>
        <v>-136</v>
      </c>
      <c r="AQ30" s="79">
        <v>-4118</v>
      </c>
      <c r="AS30" s="79">
        <v>-5001</v>
      </c>
      <c r="AU30" s="79">
        <v>-8629</v>
      </c>
      <c r="AW30" s="79">
        <v>-7343</v>
      </c>
      <c r="AY30" s="79">
        <v>-9646</v>
      </c>
      <c r="BA30" s="79">
        <v>-10201</v>
      </c>
      <c r="BC30" s="79">
        <v>-7978</v>
      </c>
      <c r="BE30" s="79">
        <v>-10473</v>
      </c>
      <c r="BG30" s="79">
        <v>-4513</v>
      </c>
      <c r="BI30" s="79">
        <v>-5168</v>
      </c>
      <c r="BK30" s="79">
        <v>-21212</v>
      </c>
      <c r="BM30" s="79">
        <f>-42123-BK30-BI30-BG30</f>
        <v>-11230</v>
      </c>
      <c r="BO30" s="79">
        <v>-11236</v>
      </c>
      <c r="BQ30" s="79">
        <v>-6853</v>
      </c>
      <c r="BS30" s="79">
        <v>-7041</v>
      </c>
      <c r="BU30" s="249">
        <v>-6779</v>
      </c>
      <c r="BW30" s="249">
        <v>-8274</v>
      </c>
      <c r="BY30" s="249">
        <v>-6003</v>
      </c>
    </row>
    <row r="31" spans="1:77" x14ac:dyDescent="0.35">
      <c r="A31" s="88" t="s">
        <v>210</v>
      </c>
      <c r="B31" s="62"/>
      <c r="C31" s="114">
        <v>-27</v>
      </c>
      <c r="D31" s="81"/>
      <c r="E31" s="114">
        <v>2005</v>
      </c>
      <c r="F31" s="81"/>
      <c r="G31" s="114">
        <v>1673</v>
      </c>
      <c r="H31" s="81"/>
      <c r="I31" s="114">
        <f>7221-G31-E31-C31</f>
        <v>3570</v>
      </c>
      <c r="J31" s="87"/>
      <c r="K31" s="114">
        <v>1442</v>
      </c>
      <c r="L31" s="87"/>
      <c r="M31" s="114">
        <v>372</v>
      </c>
      <c r="N31" s="87"/>
      <c r="O31" s="114">
        <v>-1328</v>
      </c>
      <c r="P31" s="87"/>
      <c r="Q31" s="114">
        <f>3788-O31-M31-K31</f>
        <v>3302</v>
      </c>
      <c r="S31" s="114">
        <v>2450</v>
      </c>
      <c r="U31" s="114">
        <v>1335</v>
      </c>
      <c r="W31" s="114">
        <v>3071</v>
      </c>
      <c r="Y31" s="114">
        <f>1234-W31-U31-S31</f>
        <v>-5622</v>
      </c>
      <c r="AA31" s="114">
        <v>-3348</v>
      </c>
      <c r="AB31" s="91"/>
      <c r="AC31" s="114">
        <v>-959</v>
      </c>
      <c r="AE31" s="114">
        <v>434</v>
      </c>
      <c r="AG31" s="114">
        <f>13436-AE31-AC31-AA31</f>
        <v>17309</v>
      </c>
      <c r="AI31" s="114">
        <v>1011</v>
      </c>
      <c r="AK31" s="114">
        <v>1001</v>
      </c>
      <c r="AM31" s="114">
        <v>1137</v>
      </c>
      <c r="AO31" s="114">
        <f>6190-AM31-AK31-AI31</f>
        <v>3041</v>
      </c>
      <c r="AQ31" s="114">
        <v>219</v>
      </c>
      <c r="AS31" s="114">
        <v>316</v>
      </c>
      <c r="AU31" s="114">
        <v>984</v>
      </c>
      <c r="AW31" s="114">
        <v>4326</v>
      </c>
      <c r="AY31" s="114">
        <v>1963</v>
      </c>
      <c r="BA31" s="114">
        <v>4122</v>
      </c>
      <c r="BC31" s="114">
        <v>2124</v>
      </c>
      <c r="BE31" s="114">
        <v>12758</v>
      </c>
      <c r="BG31" s="114">
        <v>4650</v>
      </c>
      <c r="BI31" s="114">
        <v>6199</v>
      </c>
      <c r="BK31" s="114">
        <v>12577</v>
      </c>
      <c r="BM31" s="114">
        <f>24976-BK31-BI31-BG31</f>
        <v>1550</v>
      </c>
      <c r="BO31" s="114">
        <v>9406</v>
      </c>
      <c r="BQ31" s="114">
        <v>6619</v>
      </c>
      <c r="BS31" s="114">
        <v>6739</v>
      </c>
      <c r="BU31" s="250">
        <v>9868</v>
      </c>
      <c r="BW31" s="250">
        <v>5712</v>
      </c>
      <c r="BY31" s="250">
        <v>5658</v>
      </c>
    </row>
    <row r="32" spans="1:77" x14ac:dyDescent="0.35">
      <c r="A32" s="80"/>
      <c r="B32" s="62"/>
      <c r="C32" s="87"/>
      <c r="D32" s="81"/>
      <c r="E32" s="87"/>
      <c r="F32" s="81"/>
      <c r="G32" s="87"/>
      <c r="H32" s="81"/>
      <c r="I32" s="87"/>
      <c r="J32" s="87"/>
      <c r="K32" s="87"/>
      <c r="L32" s="87"/>
      <c r="M32" s="87"/>
      <c r="N32" s="87"/>
      <c r="O32" s="87"/>
      <c r="P32" s="87"/>
      <c r="Q32" s="87"/>
      <c r="S32" s="87"/>
      <c r="U32" s="87"/>
      <c r="W32" s="87"/>
      <c r="Y32" s="87"/>
      <c r="AA32" s="87"/>
      <c r="AC32" s="87"/>
      <c r="AE32" s="87"/>
      <c r="AG32" s="87"/>
      <c r="AI32" s="87"/>
      <c r="AK32" s="87"/>
      <c r="AM32" s="87"/>
      <c r="AO32" s="87"/>
      <c r="AQ32" s="87"/>
      <c r="AS32" s="87"/>
      <c r="AU32" s="87"/>
      <c r="AW32" s="87"/>
      <c r="AY32" s="87"/>
      <c r="BA32" s="87"/>
      <c r="BC32" s="87"/>
      <c r="BE32" s="87"/>
      <c r="BG32" s="87"/>
      <c r="BI32" s="87"/>
      <c r="BK32" s="87"/>
      <c r="BM32" s="87"/>
      <c r="BO32" s="87"/>
      <c r="BQ32" s="87"/>
      <c r="BS32" s="87"/>
      <c r="BU32" s="254"/>
      <c r="BW32" s="254"/>
      <c r="BY32" s="254"/>
    </row>
    <row r="33" spans="1:77" s="95" customFormat="1" ht="14" thickBot="1" x14ac:dyDescent="0.4">
      <c r="A33" s="80" t="s">
        <v>211</v>
      </c>
      <c r="B33" s="115"/>
      <c r="C33" s="119">
        <f>SUM(C28:C31)</f>
        <v>2272</v>
      </c>
      <c r="D33" s="117"/>
      <c r="E33" s="119">
        <f>SUM(E28:E31)</f>
        <v>-1353</v>
      </c>
      <c r="F33" s="117"/>
      <c r="G33" s="119">
        <f>SUM(G28:G31)</f>
        <v>-4063</v>
      </c>
      <c r="H33" s="117"/>
      <c r="I33" s="119">
        <f>SUM(I28:I31)</f>
        <v>-4244</v>
      </c>
      <c r="J33" s="118"/>
      <c r="K33" s="119">
        <f>SUM(K28:K31)</f>
        <v>720</v>
      </c>
      <c r="L33" s="120"/>
      <c r="M33" s="119">
        <f>SUM(M28:M31)</f>
        <v>158</v>
      </c>
      <c r="N33" s="120"/>
      <c r="O33" s="119">
        <f>SUM(O28:O31)</f>
        <v>-1192</v>
      </c>
      <c r="P33" s="120"/>
      <c r="Q33" s="119">
        <f>SUM(Q28:Q31)</f>
        <v>5454</v>
      </c>
      <c r="S33" s="119">
        <f>SUM(S28:S31)</f>
        <v>-505</v>
      </c>
      <c r="U33" s="119">
        <f>SUM(U28:U31)</f>
        <v>-1986</v>
      </c>
      <c r="W33" s="119">
        <f>SUM(W28:W31)</f>
        <v>-2943</v>
      </c>
      <c r="Y33" s="119">
        <f>SUM(Y28:Y31)</f>
        <v>-5364</v>
      </c>
      <c r="AA33" s="119">
        <f>SUM(AA28:AA31)</f>
        <v>3270</v>
      </c>
      <c r="AC33" s="119">
        <f>SUM(AC28:AC31)</f>
        <v>-18152</v>
      </c>
      <c r="AE33" s="119">
        <f>SUM(AE28:AE31)</f>
        <v>-4930</v>
      </c>
      <c r="AG33" s="119">
        <f>SUM(AG28:AG31)</f>
        <v>16716</v>
      </c>
      <c r="AI33" s="119">
        <f>SUM(AI28:AI31)</f>
        <v>-1031</v>
      </c>
      <c r="AK33" s="119">
        <f>SUM(AK28:AK31)</f>
        <v>6204</v>
      </c>
      <c r="AM33" s="119">
        <f>SUM(AM28:AM31)</f>
        <v>3781</v>
      </c>
      <c r="AO33" s="119">
        <f>SUM(AO28:AO31)</f>
        <v>5545</v>
      </c>
      <c r="AQ33" s="119">
        <f>SUM(AQ28:AQ31)</f>
        <v>5230</v>
      </c>
      <c r="AR33" s="97"/>
      <c r="AS33" s="119">
        <f>SUM(AS28:AS31)</f>
        <v>10946</v>
      </c>
      <c r="AT33" s="97"/>
      <c r="AU33" s="119">
        <f>SUM(AU28:AU31)</f>
        <v>36381</v>
      </c>
      <c r="AV33" s="97"/>
      <c r="AW33" s="119">
        <f>SUM(AW28:AW31)</f>
        <v>12377</v>
      </c>
      <c r="AX33" s="97"/>
      <c r="AY33" s="119">
        <f>SUM(AY28:AY31)</f>
        <v>8865</v>
      </c>
      <c r="AZ33" s="97"/>
      <c r="BA33" s="119">
        <f>SUM(BA28:BA31)</f>
        <v>8949</v>
      </c>
      <c r="BB33" s="97"/>
      <c r="BC33" s="119">
        <f>SUM(BC28:BC31)</f>
        <v>2339</v>
      </c>
      <c r="BD33" s="97"/>
      <c r="BE33" s="119">
        <f>SUM(BE28:BE31)</f>
        <v>4926</v>
      </c>
      <c r="BF33" s="97"/>
      <c r="BG33" s="119">
        <f>SUM(BG28:BG31)</f>
        <v>2835</v>
      </c>
      <c r="BH33" s="97"/>
      <c r="BI33" s="119">
        <f>SUM(BI28:BI31)</f>
        <v>-2696</v>
      </c>
      <c r="BJ33" s="97"/>
      <c r="BK33" s="119">
        <f>SUM(BK28:BK31)</f>
        <v>20767</v>
      </c>
      <c r="BL33" s="97"/>
      <c r="BM33" s="119">
        <f>SUM(BM28:BM31)</f>
        <v>21349</v>
      </c>
      <c r="BN33" s="97"/>
      <c r="BO33" s="119">
        <f>SUM(BO28:BO31)</f>
        <v>4017</v>
      </c>
      <c r="BP33" s="97"/>
      <c r="BQ33" s="119">
        <f>SUM(BQ28:BQ31)</f>
        <v>508</v>
      </c>
      <c r="BR33" s="97"/>
      <c r="BS33" s="119">
        <f>SUM(BS28:BS31)</f>
        <v>3060</v>
      </c>
      <c r="BT33" s="252"/>
      <c r="BU33" s="255">
        <f>SUM(BU28:BU31)</f>
        <v>819</v>
      </c>
      <c r="BV33" s="252"/>
      <c r="BW33" s="255">
        <f>SUM(BW28:BW31)</f>
        <v>52715</v>
      </c>
      <c r="BX33" s="252"/>
      <c r="BY33" s="255">
        <f>SUM(BY28:BY31)</f>
        <v>-1030</v>
      </c>
    </row>
    <row r="34" spans="1:77" ht="14" thickTop="1" x14ac:dyDescent="0.35">
      <c r="A34" s="80"/>
      <c r="B34" s="62"/>
      <c r="C34" s="81"/>
      <c r="D34" s="81"/>
      <c r="E34" s="79"/>
      <c r="F34" s="81"/>
      <c r="G34" s="81"/>
      <c r="H34" s="81"/>
      <c r="I34" s="79"/>
      <c r="J34" s="87"/>
      <c r="K34" s="87"/>
      <c r="L34" s="87"/>
      <c r="M34" s="79"/>
      <c r="N34" s="87"/>
      <c r="O34" s="87"/>
      <c r="P34" s="87"/>
      <c r="Q34" s="79"/>
    </row>
    <row r="36" spans="1:77" x14ac:dyDescent="0.35">
      <c r="A36" s="66" t="s">
        <v>212</v>
      </c>
      <c r="C36" s="91">
        <f>C22-C42-C49</f>
        <v>6271</v>
      </c>
      <c r="E36" s="91">
        <f>E22-E42-E49</f>
        <v>1447.4</v>
      </c>
      <c r="G36" s="91">
        <f>G22-G42-G49</f>
        <v>-467</v>
      </c>
      <c r="I36" s="91">
        <f>I22-I42-I49</f>
        <v>-2574.6999999999998</v>
      </c>
      <c r="K36" s="91">
        <f>K22-K42-K49</f>
        <v>6924</v>
      </c>
      <c r="M36" s="91">
        <f>M22-M42-M49</f>
        <v>7418</v>
      </c>
      <c r="O36" s="91">
        <f>O22-O42-O49</f>
        <v>7260.661689999999</v>
      </c>
      <c r="Q36" s="91">
        <f>Q22-Q42-Q49</f>
        <v>8174.338310000001</v>
      </c>
      <c r="S36" s="91">
        <f>S22-S42-S49</f>
        <v>5625.2901700000002</v>
      </c>
      <c r="U36" s="91">
        <f>U22-U42-U49</f>
        <v>7044</v>
      </c>
      <c r="W36" s="91">
        <f>W22-W42-W49</f>
        <v>4289.4485859999986</v>
      </c>
      <c r="Y36" s="91">
        <f>Y22-Y42-Y49</f>
        <v>10506.261244000001</v>
      </c>
      <c r="AA36" s="91">
        <f>AA22-AA42-AA49</f>
        <v>15895</v>
      </c>
      <c r="AC36" s="91">
        <f>AC22-AC42-AC49</f>
        <v>-9787</v>
      </c>
      <c r="AE36" s="91">
        <f>AE22-AE42-AE49</f>
        <v>2805</v>
      </c>
      <c r="AG36" s="91">
        <f>AG22-AG42-AG49</f>
        <v>8098</v>
      </c>
      <c r="AI36" s="91">
        <f>AI22-AI42-AI49</f>
        <v>5312</v>
      </c>
      <c r="AK36" s="91">
        <f>AK22-AK42-AK49</f>
        <v>14237.102000000001</v>
      </c>
      <c r="AM36" s="91">
        <f>AM22-AM42-AM49</f>
        <v>12765.557219999999</v>
      </c>
      <c r="AO36" s="91">
        <f>AO22-AO42-AO49</f>
        <v>9087.5983300000007</v>
      </c>
      <c r="AQ36" s="91">
        <f>AQ22-AQ42-AQ49</f>
        <v>16497.354729999999</v>
      </c>
      <c r="AS36" s="91">
        <f>AS22-AS42-AS49</f>
        <v>25876</v>
      </c>
      <c r="AU36" s="91">
        <f>AU22-AU42-AU49</f>
        <v>57437</v>
      </c>
      <c r="AW36" s="91">
        <f>AW22-AW42-AW49</f>
        <v>30944.526989999998</v>
      </c>
      <c r="AY36" s="91">
        <f>AY22-AY42-AY49</f>
        <v>32780.836929999998</v>
      </c>
      <c r="BA36" s="91">
        <f>BA22-BA42-BA49</f>
        <v>33643.09883000001</v>
      </c>
      <c r="BC36" s="91">
        <f>BC22-BC42-BC49</f>
        <v>29615</v>
      </c>
      <c r="BE36" s="91">
        <f>BE22-BE42-BE49</f>
        <v>30420</v>
      </c>
      <c r="BG36" s="91">
        <f>BG22-BG42-BG49</f>
        <v>24805</v>
      </c>
      <c r="BI36" s="91">
        <f>BI22-BI42-BI49</f>
        <v>17692</v>
      </c>
      <c r="BK36" s="91">
        <f>BK22-BK42-BK49</f>
        <v>58131</v>
      </c>
      <c r="BM36" s="91">
        <f>BM22-BM42-BM49</f>
        <v>59986.332511764704</v>
      </c>
      <c r="BO36" s="91">
        <f>BO22-BO42-BO49</f>
        <v>40109</v>
      </c>
      <c r="BQ36" s="91">
        <f>BQ22-BQ42-BQ49</f>
        <v>40018</v>
      </c>
      <c r="BS36" s="91">
        <f>BS22-BS42-BS49</f>
        <v>42564</v>
      </c>
      <c r="BU36" s="256">
        <f>BU22-BU42-BU49</f>
        <v>61956.203289523117</v>
      </c>
      <c r="BW36" s="256">
        <f>BW22-BW42-BW49</f>
        <v>109271</v>
      </c>
      <c r="BY36" s="256">
        <f>BY22-BY42-BY49</f>
        <v>71042</v>
      </c>
    </row>
    <row r="37" spans="1:77" x14ac:dyDescent="0.35">
      <c r="A37" s="66" t="s">
        <v>213</v>
      </c>
      <c r="I37" s="91">
        <f>C36+E36+G36+I36</f>
        <v>4676.7</v>
      </c>
      <c r="K37" s="91">
        <f>E36+G36+I36+K36</f>
        <v>5329.7000000000007</v>
      </c>
      <c r="M37" s="91">
        <f>G36+I36+K36+M36</f>
        <v>11300.3</v>
      </c>
      <c r="O37" s="91">
        <f>I36+K36+M36+O36</f>
        <v>19027.961689999996</v>
      </c>
      <c r="Q37" s="91">
        <f>K36+M36+O36+Q36</f>
        <v>29777</v>
      </c>
      <c r="S37" s="91">
        <f>M36+O36+Q36+S36</f>
        <v>28478.29017</v>
      </c>
      <c r="U37" s="91">
        <f>O36+Q36+S36+U36</f>
        <v>28104.29017</v>
      </c>
      <c r="W37" s="91">
        <f>Q36+S36+U36+W36</f>
        <v>25133.077065999998</v>
      </c>
      <c r="Y37" s="91">
        <f>S36+U36+W36+Y36</f>
        <v>27465</v>
      </c>
      <c r="AA37" s="91">
        <f>U36+W36+Y36+AA36</f>
        <v>37734.70983</v>
      </c>
      <c r="AC37" s="91">
        <f>W36+Y36+AA36+AC36</f>
        <v>20903.70983</v>
      </c>
      <c r="AE37" s="91">
        <f>Y36+AA36+AC36+AE36</f>
        <v>19419.261244000001</v>
      </c>
      <c r="AG37" s="91">
        <f>AA36+AC36+AE36+AG36</f>
        <v>17011</v>
      </c>
      <c r="AI37" s="91">
        <f>AC36+AE36+AG36+AI36</f>
        <v>6428</v>
      </c>
      <c r="AK37" s="91">
        <f>AE36+AG36+AI36+AK36</f>
        <v>30452.101999999999</v>
      </c>
      <c r="AM37" s="91">
        <f>AG36+AI36+AK36+AM36</f>
        <v>40412.659220000001</v>
      </c>
      <c r="AO37" s="91">
        <f>AI36+AK36+AM36+AO36</f>
        <v>41402.257549999995</v>
      </c>
      <c r="AQ37" s="91">
        <f>AK36+AM36+AO36+AQ36</f>
        <v>52587.612280000001</v>
      </c>
      <c r="AS37" s="91">
        <f>AM36+AO36+AQ36+AS36</f>
        <v>64226.510280000002</v>
      </c>
      <c r="AU37" s="91">
        <f>AO36+AQ36+AS36+AU36</f>
        <v>108897.95306</v>
      </c>
      <c r="AW37" s="91">
        <f>AQ36+AS36+AU36+AW36</f>
        <v>130754.88171999999</v>
      </c>
      <c r="AY37" s="91">
        <f>AS36+AU36+AW36+AY36</f>
        <v>147038.36392</v>
      </c>
      <c r="BA37" s="91">
        <f>AU36+AW36+AY36+BA36</f>
        <v>154805.46275000001</v>
      </c>
      <c r="BC37" s="91">
        <f>AW36+AY36+BA36+BC36</f>
        <v>126983.46275000001</v>
      </c>
      <c r="BE37" s="91">
        <f>AY36+BA36+BC36+BE36</f>
        <v>126458.93576000001</v>
      </c>
      <c r="BG37" s="91">
        <f>BA36+BC36+BE36+BG36</f>
        <v>118483.09883</v>
      </c>
      <c r="BI37" s="91">
        <f>BC36+BE36+BG36+BI36</f>
        <v>102532</v>
      </c>
      <c r="BK37" s="91">
        <f>BE36+BG36+BI36+BK36</f>
        <v>131048</v>
      </c>
      <c r="BM37" s="91">
        <f>BG36+BI36+BK36+BM36</f>
        <v>160614.33251176472</v>
      </c>
      <c r="BO37" s="91">
        <f>BI36+BK36+BM36+BO36</f>
        <v>175918.33251176472</v>
      </c>
      <c r="BQ37" s="91">
        <f>BK36+BM36+BO36+BQ36</f>
        <v>198244.33251176472</v>
      </c>
      <c r="BS37" s="91">
        <f>BM36+BO36+BQ36+BS36</f>
        <v>182677.33251176472</v>
      </c>
      <c r="BU37" s="256">
        <f>BO36+BQ36+BS36+BU36</f>
        <v>184647.20328952311</v>
      </c>
      <c r="BW37" s="256">
        <f>BQ36+BS36+BU36+BW36</f>
        <v>253809.20328952311</v>
      </c>
      <c r="BY37" s="256">
        <f>BS36+BU36+BW36+BY36</f>
        <v>284833.20328952314</v>
      </c>
    </row>
    <row r="38" spans="1:77" x14ac:dyDescent="0.35">
      <c r="A38" s="66" t="s">
        <v>332</v>
      </c>
      <c r="I38" s="93">
        <f>-'BP Histórico_Consolidado'!B150/'DRE Histórico_Consolidado'!I37</f>
        <v>15.784634464472813</v>
      </c>
      <c r="J38" s="93"/>
      <c r="K38" s="93">
        <f>-'BP Histórico_Consolidado'!D150/'DRE Histórico_Consolidado'!K37</f>
        <v>14.765746664915472</v>
      </c>
      <c r="L38" s="93"/>
      <c r="M38" s="93">
        <f>-'BP Histórico_Consolidado'!F150/'DRE Histórico_Consolidado'!M37</f>
        <v>6.0046193463890347</v>
      </c>
      <c r="N38" s="93"/>
      <c r="O38" s="93">
        <f>-'BP Histórico_Consolidado'!H150/'DRE Histórico_Consolidado'!O37</f>
        <v>3.6839994289477684</v>
      </c>
      <c r="P38" s="93"/>
      <c r="Q38" s="93">
        <f>-'BP Histórico_Consolidado'!J150/'DRE Histórico_Consolidado'!Q37</f>
        <v>2.6010679383416733</v>
      </c>
      <c r="R38" s="93"/>
      <c r="S38" s="93">
        <f>-'BP Histórico_Consolidado'!L150/'DRE Histórico_Consolidado'!S37</f>
        <v>2.749743735756029</v>
      </c>
      <c r="T38" s="93"/>
      <c r="U38" s="93">
        <f>-'BP Histórico_Consolidado'!N150/'DRE Histórico_Consolidado'!U37</f>
        <v>2.6043354789344604</v>
      </c>
      <c r="V38" s="93"/>
      <c r="W38" s="93">
        <f>-'BP Histórico_Consolidado'!P150/'DRE Histórico_Consolidado'!W37</f>
        <v>2.7438741312456214</v>
      </c>
      <c r="X38" s="93"/>
      <c r="Y38" s="93">
        <f>-'BP Histórico_Consolidado'!R150/'DRE Histórico_Consolidado'!Y37</f>
        <v>1.8433642818132168</v>
      </c>
      <c r="AA38" s="93">
        <f>-'BP Histórico_Consolidado'!T150/'DRE Histórico_Consolidado'!AA37</f>
        <v>-1.9005578769015274</v>
      </c>
      <c r="AC38" s="93">
        <f>-'BP Histórico_Consolidado'!V150/'DRE Histórico_Consolidado'!AC37</f>
        <v>-3.6366750504209424</v>
      </c>
      <c r="AE38" s="93">
        <f>-'BP Histórico_Consolidado'!X150/'DRE Histórico_Consolidado'!AE37</f>
        <v>-3.5283525536364113</v>
      </c>
      <c r="AG38" s="93">
        <f>-'BP Histórico_Consolidado'!Z150/'DRE Histórico_Consolidado'!AG37</f>
        <v>-3.0778319910646053</v>
      </c>
      <c r="AI38" s="93">
        <f>-'BP Histórico_Consolidado'!AB150/'DRE Histórico_Consolidado'!AI37</f>
        <v>-4.192439327940261</v>
      </c>
      <c r="AK38" s="93">
        <f>-'BP Histórico_Consolidado'!AD150/'DRE Histórico_Consolidado'!AK37</f>
        <v>-0.70533718821774605</v>
      </c>
      <c r="AM38" s="93">
        <f>-'BP Histórico_Consolidado'!AF150/'DRE Histórico_Consolidado'!AM37</f>
        <v>-0.72232316713158873</v>
      </c>
      <c r="AO38" s="93">
        <f>-'BP Histórico_Consolidado'!AH150/'DRE Histórico_Consolidado'!AO37</f>
        <v>-0.38942522616136915</v>
      </c>
      <c r="AQ38" s="93">
        <f>-'BP Histórico_Consolidado'!AJ150/'DRE Histórico_Consolidado'!AQ37</f>
        <v>-2.7953351298268909E-3</v>
      </c>
      <c r="AS38" s="93">
        <f>-'BP Histórico_Consolidado'!AL150/'DRE Histórico_Consolidado'!AS37</f>
        <v>0.33405209011770082</v>
      </c>
      <c r="AU38" s="93">
        <f>-'BP Histórico_Consolidado'!AN150/'DRE Histórico_Consolidado'!AU37</f>
        <v>0.20263925427360094</v>
      </c>
      <c r="AW38" s="93">
        <f>-'BP Histórico_Consolidado'!AP150/'DRE Histórico_Consolidado'!AW37</f>
        <v>0.35798281015798089</v>
      </c>
      <c r="AY38" s="93">
        <f>-'BP Histórico_Consolidado'!AR150/'DRE Histórico_Consolidado'!AY37</f>
        <v>0.56324756201082193</v>
      </c>
      <c r="BA38" s="93">
        <f>-'BP Histórico_Consolidado'!AT150/'DRE Histórico_Consolidado'!BA37</f>
        <v>1.3276857053288966</v>
      </c>
      <c r="BC38" s="93">
        <f>-'BP Histórico_Consolidado'!AV150/'DRE Histórico_Consolidado'!BC37</f>
        <v>1.5015419793314779</v>
      </c>
      <c r="BE38" s="93">
        <f>-'BP Histórico_Consolidado'!AX150/'DRE Histórico_Consolidado'!BE37</f>
        <v>1.9404006409297649</v>
      </c>
      <c r="BG38" s="93">
        <f>-'BP Histórico_Consolidado'!AZ150/'DRE Histórico_Consolidado'!BG37</f>
        <v>1.4993530871005494</v>
      </c>
      <c r="BI38" s="93">
        <f>-'BP Histórico_Consolidado'!BB150/'DRE Histórico_Consolidado'!BI37</f>
        <v>2.2356727655756252</v>
      </c>
      <c r="BK38" s="93">
        <f>-'BP Histórico_Consolidado'!BD150/'DRE Histórico_Consolidado'!BK37</f>
        <v>2.8914367254746351</v>
      </c>
      <c r="BM38" s="93">
        <f>-'BP Histórico_Consolidado'!BF150/'DRE Histórico_Consolidado'!BM37</f>
        <v>2.369060058647809</v>
      </c>
      <c r="BO38" s="93">
        <f>-'BP Histórico_Consolidado'!BH150/'DRE Histórico_Consolidado'!BO37</f>
        <v>2.4914572218940783</v>
      </c>
      <c r="BQ38" s="93">
        <f>-'BP Histórico_Consolidado'!BJ150/'DRE Histórico_Consolidado'!BQ37</f>
        <v>2.3992332061335158</v>
      </c>
      <c r="BS38" s="93">
        <f>-'BP Histórico_Consolidado'!BL150/'DRE Histórico_Consolidado'!BS37</f>
        <v>1.7458104714741278</v>
      </c>
      <c r="BU38" s="93">
        <f>-'BP Histórico_Consolidado'!BN150/'DRE Histórico_Consolidado'!BU37</f>
        <v>3.4569979324253248</v>
      </c>
      <c r="BW38" s="93">
        <f>-'BP Histórico_Consolidado'!BP150/'DRE Histórico_Consolidado'!BW37</f>
        <v>2.4597059204660057</v>
      </c>
      <c r="BY38" s="93">
        <f>-'BP Histórico_Consolidado'!BR150/'DRE Histórico_Consolidado'!BY37</f>
        <v>2.6177882051275101</v>
      </c>
    </row>
    <row r="40" spans="1:77" x14ac:dyDescent="0.35">
      <c r="A40" s="94" t="s">
        <v>214</v>
      </c>
    </row>
    <row r="41" spans="1:77" x14ac:dyDescent="0.35">
      <c r="A41" s="66" t="s">
        <v>215</v>
      </c>
      <c r="C41" s="98">
        <v>-36343</v>
      </c>
      <c r="D41" s="92"/>
      <c r="E41" s="98">
        <v>-41184</v>
      </c>
      <c r="F41" s="92"/>
      <c r="G41" s="98">
        <v>-52981</v>
      </c>
      <c r="H41" s="92"/>
      <c r="I41" s="98">
        <v>-56866</v>
      </c>
      <c r="J41" s="92"/>
      <c r="K41" s="98">
        <f>-59650-128</f>
        <v>-59778</v>
      </c>
      <c r="L41" s="92"/>
      <c r="M41" s="98">
        <f>-130605-687-K41</f>
        <v>-71514</v>
      </c>
      <c r="N41" s="92"/>
      <c r="O41" s="98">
        <f>-196773.19459-855.09617-M41-K41</f>
        <v>-66336.290760000004</v>
      </c>
      <c r="P41" s="92"/>
      <c r="Q41" s="98">
        <f>-266123+907-O41-M41-K41</f>
        <v>-67587.709239999996</v>
      </c>
      <c r="R41" s="92"/>
      <c r="S41" s="98">
        <v>-64305.681230000031</v>
      </c>
      <c r="T41" s="92"/>
      <c r="U41" s="98">
        <f>-26067-25294-15975</f>
        <v>-67336</v>
      </c>
      <c r="V41" s="92"/>
      <c r="W41" s="98">
        <f>-200422-U41-S41</f>
        <v>-68780.318769999969</v>
      </c>
      <c r="X41" s="92"/>
      <c r="Y41" s="98">
        <f>-261087-6420-W41-U41-S41</f>
        <v>-67085.000000000015</v>
      </c>
      <c r="Z41" s="92"/>
      <c r="AA41" s="98">
        <f>-38543-17049</f>
        <v>-55592</v>
      </c>
      <c r="AB41" s="92"/>
      <c r="AC41" s="98">
        <f>-99592+2969-570-AA41</f>
        <v>-41601</v>
      </c>
      <c r="AD41" s="92"/>
      <c r="AE41" s="98">
        <f>-134271-1238-AC41-AA41</f>
        <v>-38316</v>
      </c>
      <c r="AF41" s="92"/>
      <c r="AG41" s="98">
        <f>-180970-2437-543-AE41-AC41-AA41</f>
        <v>-48441</v>
      </c>
      <c r="AH41" s="92"/>
      <c r="AI41" s="98">
        <v>-60103</v>
      </c>
      <c r="AJ41" s="121"/>
      <c r="AK41" s="98">
        <v>-81356</v>
      </c>
      <c r="AL41" s="92"/>
      <c r="AM41" s="98">
        <v>-92830.415599999993</v>
      </c>
      <c r="AN41" s="92"/>
      <c r="AO41" s="98">
        <v>-94715.785759999999</v>
      </c>
      <c r="AP41" s="92"/>
      <c r="AQ41" s="98">
        <f>-90434.65885</f>
        <v>-90434.658850000007</v>
      </c>
      <c r="AR41" s="122"/>
      <c r="AS41" s="98">
        <v>-117263</v>
      </c>
      <c r="AT41" s="122"/>
      <c r="AU41" s="98">
        <f>-123378-1</f>
        <v>-123379</v>
      </c>
      <c r="AV41" s="122"/>
      <c r="AW41" s="98">
        <v>-135194.948</v>
      </c>
      <c r="AX41" s="122"/>
      <c r="AY41" s="98">
        <v>-145141.60412</v>
      </c>
      <c r="AZ41" s="122"/>
      <c r="BA41" s="98">
        <v>-153604.94160999771</v>
      </c>
      <c r="BB41" s="122"/>
      <c r="BC41" s="98">
        <v>-176967</v>
      </c>
      <c r="BD41" s="122"/>
      <c r="BE41" s="98">
        <v>-181958.36896091697</v>
      </c>
      <c r="BF41" s="122"/>
      <c r="BG41" s="98">
        <v>-138293.24834000057</v>
      </c>
      <c r="BH41" s="122"/>
      <c r="BI41" s="98">
        <v>-125509</v>
      </c>
      <c r="BJ41" s="122"/>
      <c r="BK41" s="98">
        <v>-155852.65489999662</v>
      </c>
      <c r="BL41" s="122"/>
      <c r="BM41" s="98">
        <v>-178281</v>
      </c>
      <c r="BN41" s="122"/>
      <c r="BO41" s="98">
        <v>-166416.48801999915</v>
      </c>
      <c r="BP41" s="122"/>
      <c r="BQ41" s="98">
        <v>-177041</v>
      </c>
      <c r="BR41" s="122"/>
      <c r="BS41" s="98">
        <v>-175350.15466000277</v>
      </c>
      <c r="BT41" s="257"/>
      <c r="BU41" s="258">
        <v>-223506.82205999809</v>
      </c>
      <c r="BV41" s="257"/>
      <c r="BW41" s="258">
        <v>-211200</v>
      </c>
      <c r="BX41" s="257"/>
      <c r="BY41" s="258">
        <v>-235402.09625000024</v>
      </c>
    </row>
    <row r="42" spans="1:77" x14ac:dyDescent="0.35">
      <c r="A42" s="66" t="s">
        <v>216</v>
      </c>
      <c r="C42" s="98">
        <v>-1874</v>
      </c>
      <c r="D42" s="92"/>
      <c r="E42" s="98">
        <f>-1924+0.3</f>
        <v>-1923.7</v>
      </c>
      <c r="F42" s="92"/>
      <c r="G42" s="98">
        <v>-2834</v>
      </c>
      <c r="H42" s="92"/>
      <c r="I42" s="98">
        <f>-3255+19</f>
        <v>-3236</v>
      </c>
      <c r="J42" s="92"/>
      <c r="K42" s="98">
        <v>-3305</v>
      </c>
      <c r="L42" s="92"/>
      <c r="M42" s="98">
        <v>-3373</v>
      </c>
      <c r="N42" s="92"/>
      <c r="O42" s="98">
        <f>-10037.68703-M42-K42</f>
        <v>-3359.6870299999991</v>
      </c>
      <c r="P42" s="92"/>
      <c r="Q42" s="98">
        <f>-11785-O42-M42-K42</f>
        <v>-1747.3129700000009</v>
      </c>
      <c r="R42" s="92"/>
      <c r="S42" s="98">
        <f>-3902663.82/1000</f>
        <v>-3902.6638199999998</v>
      </c>
      <c r="T42" s="92"/>
      <c r="U42" s="98">
        <f>-1330-1400-1384</f>
        <v>-4114</v>
      </c>
      <c r="V42" s="92"/>
      <c r="W42" s="98">
        <f>-11732.479436-511.25932-U42-S42</f>
        <v>-4227.0749359999991</v>
      </c>
      <c r="X42" s="92"/>
      <c r="Y42" s="98">
        <f>-15741-678-W42-U42-S42</f>
        <v>-4175.2612440000012</v>
      </c>
      <c r="Z42" s="92"/>
      <c r="AA42" s="98">
        <f>-2894-1449</f>
        <v>-4343</v>
      </c>
      <c r="AB42" s="92"/>
      <c r="AC42" s="98">
        <f>-4396-1</f>
        <v>-4397</v>
      </c>
      <c r="AD42" s="92"/>
      <c r="AE42" s="98">
        <f>-13620-AC42-AA42</f>
        <v>-4880</v>
      </c>
      <c r="AF42" s="92"/>
      <c r="AG42" s="98">
        <f>-18103-AE42-AC42-AA42</f>
        <v>-4483</v>
      </c>
      <c r="AH42" s="92"/>
      <c r="AI42" s="98">
        <v>-3904</v>
      </c>
      <c r="AJ42" s="92"/>
      <c r="AK42" s="98">
        <v>-4422</v>
      </c>
      <c r="AL42" s="92"/>
      <c r="AM42" s="98">
        <v>-4561.5572199999997</v>
      </c>
      <c r="AN42" s="92"/>
      <c r="AO42" s="98">
        <v>-4142.1094300000004</v>
      </c>
      <c r="AP42" s="92"/>
      <c r="AQ42" s="98">
        <f>-4880.17073-8.40686</f>
        <v>-4888.5775899999999</v>
      </c>
      <c r="AR42" s="122"/>
      <c r="AS42" s="98">
        <v>-5217</v>
      </c>
      <c r="AT42" s="122"/>
      <c r="AU42" s="98">
        <v>-5605</v>
      </c>
      <c r="AV42" s="122"/>
      <c r="AW42" s="98">
        <v>-5499.4224100000001</v>
      </c>
      <c r="AX42" s="122"/>
      <c r="AY42" s="98">
        <v>-5497.9370899999994</v>
      </c>
      <c r="AZ42" s="122"/>
      <c r="BA42" s="98">
        <v>-6105.0251800000087</v>
      </c>
      <c r="BB42" s="122"/>
      <c r="BC42" s="98">
        <v>-6408</v>
      </c>
      <c r="BD42" s="122"/>
      <c r="BE42" s="98">
        <v>-7582</v>
      </c>
      <c r="BF42" s="122"/>
      <c r="BG42" s="98">
        <v>-7223</v>
      </c>
      <c r="BH42" s="122"/>
      <c r="BI42" s="98">
        <v>-7604</v>
      </c>
      <c r="BJ42" s="122"/>
      <c r="BK42" s="98">
        <v>-8420</v>
      </c>
      <c r="BL42" s="122"/>
      <c r="BM42" s="98">
        <v>-8537</v>
      </c>
      <c r="BN42" s="122"/>
      <c r="BO42" s="98">
        <v>-9018</v>
      </c>
      <c r="BP42" s="122"/>
      <c r="BQ42" s="98">
        <v>-8791</v>
      </c>
      <c r="BR42" s="122"/>
      <c r="BS42" s="98">
        <v>-8973</v>
      </c>
      <c r="BT42" s="257"/>
      <c r="BU42" s="258">
        <v>-20537.168395473127</v>
      </c>
      <c r="BV42" s="257"/>
      <c r="BW42" s="258">
        <v>-24659</v>
      </c>
      <c r="BX42" s="257"/>
      <c r="BY42" s="258">
        <v>-24632</v>
      </c>
    </row>
    <row r="43" spans="1:77" x14ac:dyDescent="0.35">
      <c r="A43" s="66" t="s">
        <v>217</v>
      </c>
      <c r="C43" s="98">
        <f>C44-C41-C42</f>
        <v>-1269</v>
      </c>
      <c r="D43" s="92"/>
      <c r="E43" s="98">
        <f>E44-E41-E42</f>
        <v>-1435.3</v>
      </c>
      <c r="F43" s="92"/>
      <c r="G43" s="98">
        <f>G44-G41-G42</f>
        <v>-1428</v>
      </c>
      <c r="H43" s="92"/>
      <c r="I43" s="98">
        <f>I44-I41-I42</f>
        <v>-1725</v>
      </c>
      <c r="J43" s="92"/>
      <c r="K43" s="98">
        <f>K44-K41-K42</f>
        <v>-2438</v>
      </c>
      <c r="L43" s="92"/>
      <c r="M43" s="98">
        <f>M44-M41-M42</f>
        <v>-2432</v>
      </c>
      <c r="N43" s="92"/>
      <c r="O43" s="98">
        <f>O44-O41-O42</f>
        <v>-1252.0222099999974</v>
      </c>
      <c r="P43" s="92"/>
      <c r="Q43" s="98">
        <f>Q44-Q41-Q42</f>
        <v>909.02220999999736</v>
      </c>
      <c r="R43" s="92"/>
      <c r="S43" s="98">
        <f>S44-S41-S42</f>
        <v>-4141.6549499999692</v>
      </c>
      <c r="T43" s="92"/>
      <c r="U43" s="98">
        <f>U44-U41-U42</f>
        <v>-8319</v>
      </c>
      <c r="V43" s="92"/>
      <c r="W43" s="98">
        <f>W44-W41-W42</f>
        <v>-1638.606294000032</v>
      </c>
      <c r="X43" s="92"/>
      <c r="Y43" s="98">
        <f>Y44-Y41-Y42</f>
        <v>-1559.7387559999843</v>
      </c>
      <c r="Z43" s="92"/>
      <c r="AA43" s="98">
        <f>AA44-AA41-AA42</f>
        <v>-1772</v>
      </c>
      <c r="AB43" s="92"/>
      <c r="AC43" s="98">
        <f>AC44-AC41-AC42</f>
        <v>-6437</v>
      </c>
      <c r="AD43" s="92"/>
      <c r="AE43" s="98">
        <f>AE44-AE41-AE42</f>
        <v>-2184</v>
      </c>
      <c r="AF43" s="92"/>
      <c r="AG43" s="98">
        <f>AG44-AG41-AG42</f>
        <v>-2618</v>
      </c>
      <c r="AH43" s="92"/>
      <c r="AI43" s="98">
        <f>AI44-AI41-AI42</f>
        <v>-3023</v>
      </c>
      <c r="AJ43" s="92"/>
      <c r="AK43" s="98">
        <f>AK44-AK41-AK42</f>
        <v>-4276</v>
      </c>
      <c r="AL43" s="92"/>
      <c r="AM43" s="98">
        <v>-5029.4670900000001</v>
      </c>
      <c r="AN43" s="92"/>
      <c r="AO43" s="98">
        <v>-4324.9368199999999</v>
      </c>
      <c r="AP43" s="92"/>
      <c r="AQ43" s="98">
        <v>-8441.7635600000012</v>
      </c>
      <c r="AR43" s="122"/>
      <c r="AS43" s="98">
        <v>-22057</v>
      </c>
      <c r="AT43" s="122"/>
      <c r="AU43" s="98">
        <v>-47384</v>
      </c>
      <c r="AV43" s="122"/>
      <c r="AW43" s="98">
        <v>-49547.164069999999</v>
      </c>
      <c r="AX43" s="122"/>
      <c r="AY43" s="98">
        <v>-41031.743990000003</v>
      </c>
      <c r="AZ43" s="122"/>
      <c r="BA43" s="98">
        <v>-39371.639679999324</v>
      </c>
      <c r="BB43" s="122"/>
      <c r="BC43" s="98">
        <v>-34070</v>
      </c>
      <c r="BD43" s="122"/>
      <c r="BE43" s="98">
        <v>-33100.386209999728</v>
      </c>
      <c r="BF43" s="122"/>
      <c r="BG43" s="98">
        <v>-27399.637800000088</v>
      </c>
      <c r="BH43" s="122"/>
      <c r="BI43" s="98">
        <v>-33158</v>
      </c>
      <c r="BJ43" s="122"/>
      <c r="BK43" s="98">
        <v>-139548.09415000229</v>
      </c>
      <c r="BL43" s="122"/>
      <c r="BM43" s="98">
        <v>-130635</v>
      </c>
      <c r="BN43" s="122"/>
      <c r="BO43" s="98">
        <v>-119570.06527999915</v>
      </c>
      <c r="BP43" s="122"/>
      <c r="BQ43" s="98">
        <v>-104259</v>
      </c>
      <c r="BR43" s="122"/>
      <c r="BS43" s="98">
        <v>-100741.7077899999</v>
      </c>
      <c r="BT43" s="257"/>
      <c r="BU43" s="258">
        <v>-139070.1221186505</v>
      </c>
      <c r="BV43" s="257"/>
      <c r="BW43" s="258">
        <v>-121317</v>
      </c>
      <c r="BX43" s="257"/>
      <c r="BY43" s="258">
        <v>-115137.10175000023</v>
      </c>
    </row>
    <row r="44" spans="1:77" x14ac:dyDescent="0.35">
      <c r="A44" s="66" t="s">
        <v>76</v>
      </c>
      <c r="C44" s="98">
        <f>C13</f>
        <v>-39486</v>
      </c>
      <c r="D44" s="92"/>
      <c r="E44" s="98">
        <f>E13</f>
        <v>-44543</v>
      </c>
      <c r="F44" s="92"/>
      <c r="G44" s="98">
        <f>G13</f>
        <v>-57243</v>
      </c>
      <c r="H44" s="92"/>
      <c r="I44" s="98">
        <f>I13</f>
        <v>-61827</v>
      </c>
      <c r="J44" s="92"/>
      <c r="K44" s="98">
        <f>K13</f>
        <v>-65521</v>
      </c>
      <c r="L44" s="92"/>
      <c r="M44" s="98">
        <f>M13</f>
        <v>-77319</v>
      </c>
      <c r="N44" s="92"/>
      <c r="O44" s="98">
        <f>O13</f>
        <v>-70948</v>
      </c>
      <c r="P44" s="92"/>
      <c r="Q44" s="98">
        <f>Q13</f>
        <v>-68426</v>
      </c>
      <c r="R44" s="92"/>
      <c r="S44" s="98">
        <f>S13</f>
        <v>-72350</v>
      </c>
      <c r="T44" s="92"/>
      <c r="U44" s="98">
        <f>U13</f>
        <v>-79769</v>
      </c>
      <c r="V44" s="92"/>
      <c r="W44" s="98">
        <f>W13</f>
        <v>-74646</v>
      </c>
      <c r="X44" s="92"/>
      <c r="Y44" s="98">
        <f>Y13</f>
        <v>-72820</v>
      </c>
      <c r="Z44" s="92"/>
      <c r="AA44" s="98">
        <f>AA13</f>
        <v>-61707</v>
      </c>
      <c r="AB44" s="92"/>
      <c r="AC44" s="98">
        <f>AC13</f>
        <v>-52435</v>
      </c>
      <c r="AD44" s="92"/>
      <c r="AE44" s="98">
        <f>AE13</f>
        <v>-45380</v>
      </c>
      <c r="AF44" s="92"/>
      <c r="AG44" s="98">
        <f>AG13</f>
        <v>-55542</v>
      </c>
      <c r="AH44" s="92"/>
      <c r="AI44" s="98">
        <f>AI13</f>
        <v>-67030</v>
      </c>
      <c r="AJ44" s="92"/>
      <c r="AK44" s="98">
        <f>AK13</f>
        <v>-90054</v>
      </c>
      <c r="AL44" s="92"/>
      <c r="AM44" s="98">
        <v>-102421.43991</v>
      </c>
      <c r="AN44" s="92"/>
      <c r="AO44" s="98">
        <f>SUM(AO41:AO43)</f>
        <v>-103182.83201</v>
      </c>
      <c r="AP44" s="92"/>
      <c r="AQ44" s="98">
        <f>SUM(AQ41:AQ43)</f>
        <v>-103765.00000000001</v>
      </c>
      <c r="AR44" s="122"/>
      <c r="AS44" s="98">
        <f>SUM(AS41:AS43)</f>
        <v>-144537</v>
      </c>
      <c r="AT44" s="122"/>
      <c r="AU44" s="98">
        <f>SUM(AU41:AU43)</f>
        <v>-176368</v>
      </c>
      <c r="AV44" s="122"/>
      <c r="AW44" s="98">
        <f>SUM(AW41:AW43)</f>
        <v>-190241.53448</v>
      </c>
      <c r="AX44" s="122"/>
      <c r="AY44" s="98">
        <f>SUM(AY41:AY43)</f>
        <v>-191671.28519999998</v>
      </c>
      <c r="AZ44" s="122"/>
      <c r="BA44" s="98">
        <f>SUM(BA41:BA43)</f>
        <v>-199081.60646999703</v>
      </c>
      <c r="BB44" s="122"/>
      <c r="BC44" s="98">
        <f>SUM(BC41:BC43)</f>
        <v>-217445</v>
      </c>
      <c r="BD44" s="122"/>
      <c r="BE44" s="98">
        <f>SUM(BE41:BE43)</f>
        <v>-222640.7551709167</v>
      </c>
      <c r="BF44" s="122"/>
      <c r="BG44" s="98">
        <f>SUM(BG41:BG43)</f>
        <v>-172915.88614000066</v>
      </c>
      <c r="BH44" s="122"/>
      <c r="BI44" s="98">
        <f>SUM(BI41:BI43)</f>
        <v>-166271</v>
      </c>
      <c r="BJ44" s="122"/>
      <c r="BK44" s="98">
        <f>SUM(BK41:BK43)</f>
        <v>-303820.74904999894</v>
      </c>
      <c r="BL44" s="122"/>
      <c r="BM44" s="98">
        <f>SUM(BM41:BM43)</f>
        <v>-317453</v>
      </c>
      <c r="BN44" s="122"/>
      <c r="BO44" s="98">
        <f>SUM(BO41:BO43)</f>
        <v>-295004.55329999828</v>
      </c>
      <c r="BP44" s="122"/>
      <c r="BQ44" s="98">
        <f>SUM(BQ41:BQ43)</f>
        <v>-290091</v>
      </c>
      <c r="BR44" s="122"/>
      <c r="BS44" s="98">
        <f>SUM(BS41:BS43)</f>
        <v>-285064.86245000269</v>
      </c>
      <c r="BT44" s="257"/>
      <c r="BU44" s="258">
        <f>SUM(BU41:BU43)</f>
        <v>-383114.11257412168</v>
      </c>
      <c r="BV44" s="257"/>
      <c r="BW44" s="258">
        <f>SUM(BW41:BW43)</f>
        <v>-357176</v>
      </c>
      <c r="BX44" s="257"/>
      <c r="BY44" s="258">
        <f>SUM(BY41:BY43)</f>
        <v>-375171.19800000044</v>
      </c>
    </row>
    <row r="45" spans="1:77" x14ac:dyDescent="0.35"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122"/>
      <c r="AS45" s="92"/>
      <c r="AT45" s="122"/>
      <c r="AU45" s="92"/>
      <c r="AV45" s="122"/>
      <c r="AW45" s="92"/>
      <c r="AX45" s="122"/>
      <c r="AY45" s="92"/>
      <c r="AZ45" s="122"/>
      <c r="BA45" s="92"/>
      <c r="BB45" s="122"/>
      <c r="BC45" s="92"/>
      <c r="BD45" s="122"/>
      <c r="BE45" s="92"/>
      <c r="BF45" s="122"/>
      <c r="BG45" s="92"/>
      <c r="BH45" s="122"/>
      <c r="BI45" s="92"/>
      <c r="BJ45" s="122"/>
      <c r="BK45" s="92"/>
      <c r="BL45" s="122"/>
      <c r="BN45" s="122"/>
      <c r="BP45" s="122"/>
      <c r="BR45" s="122"/>
      <c r="BT45" s="257"/>
      <c r="BV45" s="257"/>
      <c r="BX45" s="257"/>
    </row>
    <row r="46" spans="1:77" x14ac:dyDescent="0.35">
      <c r="A46" s="94" t="s">
        <v>218</v>
      </c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122"/>
      <c r="AS46" s="92"/>
      <c r="AT46" s="122"/>
      <c r="AU46" s="92"/>
      <c r="AV46" s="122"/>
      <c r="AW46" s="92"/>
      <c r="AX46" s="122"/>
      <c r="AY46" s="92"/>
      <c r="AZ46" s="122"/>
      <c r="BA46" s="92"/>
      <c r="BB46" s="122"/>
      <c r="BC46" s="92"/>
      <c r="BD46" s="122"/>
      <c r="BE46" s="92"/>
      <c r="BF46" s="122"/>
      <c r="BG46" s="92"/>
      <c r="BH46" s="122"/>
      <c r="BI46" s="92"/>
      <c r="BJ46" s="122"/>
      <c r="BK46" s="92"/>
      <c r="BL46" s="122"/>
      <c r="BM46" s="92"/>
      <c r="BN46" s="122"/>
      <c r="BO46" s="92"/>
      <c r="BP46" s="122"/>
      <c r="BQ46" s="92"/>
      <c r="BR46" s="122"/>
      <c r="BS46" s="92"/>
      <c r="BT46" s="257"/>
      <c r="BU46" s="259"/>
      <c r="BV46" s="257"/>
      <c r="BW46" s="259"/>
      <c r="BX46" s="257"/>
      <c r="BY46" s="259"/>
    </row>
    <row r="47" spans="1:77" x14ac:dyDescent="0.35">
      <c r="A47" s="66" t="s">
        <v>219</v>
      </c>
      <c r="C47" s="98">
        <f>C53-C52-C51-C50-C49-C48</f>
        <v>-7372.2929999999997</v>
      </c>
      <c r="D47" s="98"/>
      <c r="E47" s="98">
        <f>E53-E52-E51-E50-E49-E48</f>
        <v>-8273.52736</v>
      </c>
      <c r="F47" s="98"/>
      <c r="G47" s="98">
        <f t="shared" ref="G47:AE47" si="0">G53-G52-G51-G50-G49-G48</f>
        <v>-6493.8388300000006</v>
      </c>
      <c r="H47" s="98"/>
      <c r="I47" s="98">
        <f t="shared" si="0"/>
        <v>-10302.84762</v>
      </c>
      <c r="J47" s="98"/>
      <c r="K47" s="98">
        <f t="shared" si="0"/>
        <v>-8587</v>
      </c>
      <c r="L47" s="98"/>
      <c r="M47" s="98">
        <f t="shared" si="0"/>
        <v>-5574</v>
      </c>
      <c r="N47" s="98"/>
      <c r="O47" s="98">
        <f t="shared" si="0"/>
        <v>-12009.515740000001</v>
      </c>
      <c r="P47" s="98"/>
      <c r="Q47" s="98">
        <f t="shared" si="0"/>
        <v>-10988.484259999999</v>
      </c>
      <c r="R47" s="98"/>
      <c r="S47" s="98">
        <f t="shared" si="0"/>
        <v>-8832.1885999999995</v>
      </c>
      <c r="T47" s="98"/>
      <c r="U47" s="98">
        <f t="shared" si="0"/>
        <v>-10885.20095</v>
      </c>
      <c r="V47" s="98"/>
      <c r="W47" s="98">
        <f t="shared" si="0"/>
        <v>-10988.98228</v>
      </c>
      <c r="X47" s="98"/>
      <c r="Y47" s="98">
        <f t="shared" si="0"/>
        <v>-9509.62817</v>
      </c>
      <c r="Z47" s="98"/>
      <c r="AA47" s="98">
        <f t="shared" si="0"/>
        <v>-8447</v>
      </c>
      <c r="AB47" s="98"/>
      <c r="AC47" s="98">
        <f t="shared" si="0"/>
        <v>-9040.5874899999999</v>
      </c>
      <c r="AD47" s="98"/>
      <c r="AE47" s="98">
        <f t="shared" si="0"/>
        <v>-6588.4125100000001</v>
      </c>
      <c r="AF47" s="92"/>
      <c r="AG47" s="98">
        <f>AG53-AG52-AG51-AG50-AG49-AG48</f>
        <v>-9085</v>
      </c>
      <c r="AH47" s="92"/>
      <c r="AI47" s="98">
        <f>AI53-AI52-AI51-AI50-AI49-AI48</f>
        <v>-10005</v>
      </c>
      <c r="AJ47" s="92"/>
      <c r="AK47" s="98">
        <f>AK53-AK52-AK51-AK50-AK49-AK48</f>
        <v>-11471.438749999999</v>
      </c>
      <c r="AL47" s="92"/>
      <c r="AM47" s="98">
        <f>AM53-AM52-AM51-AM50-AM49-AM48</f>
        <v>-13749</v>
      </c>
      <c r="AN47" s="92"/>
      <c r="AO47" s="98">
        <f>AO53-AO52-AO51-AO50-AO49-AO48</f>
        <v>-11487.029549999999</v>
      </c>
      <c r="AP47" s="92"/>
      <c r="AQ47" s="98">
        <f>AQ53-AQ52-AQ50-AQ49-AQ48-AQ51</f>
        <v>-13096.83397</v>
      </c>
      <c r="AR47" s="122"/>
      <c r="AS47" s="98">
        <f>AS53-AS52-AS50-AS49-AS48-AS51</f>
        <v>-17196</v>
      </c>
      <c r="AT47" s="122"/>
      <c r="AU47" s="98">
        <f>AU53-AU52-AU50-AU49-AU48-AU51</f>
        <v>-25521</v>
      </c>
      <c r="AV47" s="122"/>
      <c r="AW47" s="98">
        <f>AW53-AW52-AW50-AW49-AW48-AW51</f>
        <v>-29728.742389999999</v>
      </c>
      <c r="AX47" s="122"/>
      <c r="AY47" s="98">
        <f>AY53-AY52-AY50-AY49-AY48-AY51</f>
        <v>-21142.796929999997</v>
      </c>
      <c r="AZ47" s="122"/>
      <c r="BA47" s="98">
        <f>BA53-BA52-BA50-BA49-BA48-BA51</f>
        <v>-27508.177890000003</v>
      </c>
      <c r="BB47" s="122"/>
      <c r="BC47" s="98">
        <f>BC53-BC52-BC50-BC49-BC48-BC51</f>
        <v>-28128</v>
      </c>
      <c r="BD47" s="122"/>
      <c r="BE47" s="98">
        <f>BE53-BE52-BE50-BE49-BE48-BE51</f>
        <v>-37030.710039999998</v>
      </c>
      <c r="BF47" s="122"/>
      <c r="BG47" s="98">
        <f>BG53-BG52-BG50-BG49-BG48-BG51</f>
        <v>-25956.542720000001</v>
      </c>
      <c r="BH47" s="122"/>
      <c r="BI47" s="98">
        <f>BI53-BI52-BI50-BI49-BI48-BI51</f>
        <v>-27693</v>
      </c>
      <c r="BJ47" s="122"/>
      <c r="BK47" s="98">
        <f>BK53-BK52-BK50-BK49-BK48-BK51</f>
        <v>-38096.734189999996</v>
      </c>
      <c r="BL47" s="122"/>
      <c r="BM47" s="98">
        <f>BM53-BM52-BM50-BM49-BM48-BM51</f>
        <v>-51596.134238235296</v>
      </c>
      <c r="BN47" s="122"/>
      <c r="BO47" s="98">
        <f>BO53-BO52-BO50-BO49-BO48-BO51</f>
        <v>-43549.353910000005</v>
      </c>
      <c r="BP47" s="122"/>
      <c r="BQ47" s="98">
        <f>BQ53-BQ52-BQ50-BQ49-BQ48-BQ51</f>
        <v>-35352</v>
      </c>
      <c r="BR47" s="122"/>
      <c r="BS47" s="98">
        <f>BS53-BS52-BS50-BS49-BS48-BS51</f>
        <v>-39157.042970000002</v>
      </c>
      <c r="BT47" s="257"/>
      <c r="BU47" s="258">
        <f>BU53-BU52-BU50-BU49-BU48-BU51</f>
        <v>-43984.572436075017</v>
      </c>
      <c r="BV47" s="257"/>
      <c r="BW47" s="258">
        <f>BW53-BW52-BW50-BW49-BW48-BW51</f>
        <v>24530.71372</v>
      </c>
      <c r="BX47" s="257"/>
      <c r="BY47" s="258">
        <f>BY53-BY52-BY50-BY49-BY48-BY51</f>
        <v>-39183.078159999997</v>
      </c>
    </row>
    <row r="48" spans="1:77" x14ac:dyDescent="0.35">
      <c r="A48" s="66" t="s">
        <v>220</v>
      </c>
      <c r="C48" s="98">
        <v>-107</v>
      </c>
      <c r="D48" s="92"/>
      <c r="E48" s="98">
        <v>-529</v>
      </c>
      <c r="F48" s="92"/>
      <c r="G48" s="98">
        <v>-1148</v>
      </c>
      <c r="H48" s="92"/>
      <c r="I48" s="98">
        <v>-345</v>
      </c>
      <c r="J48" s="92"/>
      <c r="K48" s="98">
        <v>-186</v>
      </c>
      <c r="L48" s="92"/>
      <c r="M48" s="98">
        <f>-338-K48</f>
        <v>-152</v>
      </c>
      <c r="N48" s="92"/>
      <c r="O48" s="98">
        <v>-46.918860000000024</v>
      </c>
      <c r="P48" s="92"/>
      <c r="Q48" s="98">
        <f>-438-O48-M48-K48</f>
        <v>-53.081140000000005</v>
      </c>
      <c r="R48" s="92"/>
      <c r="S48" s="98">
        <v>-75.92667999999999</v>
      </c>
      <c r="T48" s="92"/>
      <c r="U48" s="98">
        <f>-129.9841-S48</f>
        <v>-54.057420000000022</v>
      </c>
      <c r="V48" s="92"/>
      <c r="W48" s="98">
        <f>-501.91867-U48-S48</f>
        <v>-371.93457000000001</v>
      </c>
      <c r="X48" s="92"/>
      <c r="Y48" s="98">
        <f>-780-W48-U48-S48</f>
        <v>-278.08132999999998</v>
      </c>
      <c r="Z48" s="92"/>
      <c r="AA48" s="98">
        <v>-57</v>
      </c>
      <c r="AB48" s="92"/>
      <c r="AC48" s="98">
        <f>-282.49882-AA48</f>
        <v>-225.49882000000002</v>
      </c>
      <c r="AD48" s="92"/>
      <c r="AE48" s="98">
        <f>-649-AC48-AA48</f>
        <v>-366.50117999999998</v>
      </c>
      <c r="AF48" s="92"/>
      <c r="AG48" s="98">
        <f>-1058-AE48-AC48-AA48</f>
        <v>-409</v>
      </c>
      <c r="AH48" s="92"/>
      <c r="AI48" s="98">
        <v>-135</v>
      </c>
      <c r="AJ48" s="92"/>
      <c r="AK48" s="98">
        <v>-141.29400000000001</v>
      </c>
      <c r="AL48" s="92"/>
      <c r="AM48" s="98">
        <v>-216</v>
      </c>
      <c r="AN48" s="92"/>
      <c r="AO48" s="98">
        <f>-421049.59/1000</f>
        <v>-421.04959000000002</v>
      </c>
      <c r="AP48" s="92"/>
      <c r="AQ48" s="98">
        <v>-521.14057000000003</v>
      </c>
      <c r="AR48" s="122"/>
      <c r="AS48" s="98">
        <v>-1163</v>
      </c>
      <c r="AT48" s="122"/>
      <c r="AU48" s="98">
        <v>-351</v>
      </c>
      <c r="AV48" s="122"/>
      <c r="AW48" s="98">
        <v>-413.40134999999998</v>
      </c>
      <c r="AX48" s="122"/>
      <c r="AY48" s="98">
        <v>-913.80309</v>
      </c>
      <c r="AZ48" s="122"/>
      <c r="BA48" s="98">
        <v>-378.548</v>
      </c>
      <c r="BB48" s="122"/>
      <c r="BC48" s="98">
        <v>-657</v>
      </c>
      <c r="BD48" s="122"/>
      <c r="BE48" s="98">
        <v>-439.28995999999933</v>
      </c>
      <c r="BF48" s="122"/>
      <c r="BG48" s="98">
        <v>-379.45728000000037</v>
      </c>
      <c r="BH48" s="122"/>
      <c r="BI48" s="98">
        <v>-686</v>
      </c>
      <c r="BJ48" s="122"/>
      <c r="BK48" s="98">
        <v>-1112.2616299999993</v>
      </c>
      <c r="BL48" s="122"/>
      <c r="BM48" s="98">
        <v>2191.5723400000015</v>
      </c>
      <c r="BN48" s="122"/>
      <c r="BO48" s="98">
        <v>3815.2723799999999</v>
      </c>
      <c r="BP48" s="122"/>
      <c r="BQ48" s="98">
        <v>-4258</v>
      </c>
      <c r="BR48" s="122"/>
      <c r="BS48" s="98">
        <v>-429.16409000000004</v>
      </c>
      <c r="BT48" s="257"/>
      <c r="BU48" s="258">
        <v>-2827.0714698749957</v>
      </c>
      <c r="BV48" s="257"/>
      <c r="BW48" s="258">
        <v>-2605.7137200000002</v>
      </c>
      <c r="BX48" s="257"/>
      <c r="BY48" s="258">
        <v>-83.921840000000003</v>
      </c>
    </row>
    <row r="49" spans="1:77" x14ac:dyDescent="0.35">
      <c r="A49" s="92" t="s">
        <v>153</v>
      </c>
      <c r="C49" s="98">
        <v>-431</v>
      </c>
      <c r="D49" s="92"/>
      <c r="E49" s="98">
        <f>-432+0.3</f>
        <v>-431.7</v>
      </c>
      <c r="F49" s="92"/>
      <c r="G49" s="98">
        <v>-680</v>
      </c>
      <c r="H49" s="92"/>
      <c r="I49" s="98">
        <f>-2336-G49-E49-C49</f>
        <v>-793.3</v>
      </c>
      <c r="J49" s="92"/>
      <c r="K49" s="98">
        <v>-786</v>
      </c>
      <c r="L49" s="92"/>
      <c r="M49" s="98">
        <v>-723</v>
      </c>
      <c r="N49" s="92"/>
      <c r="O49" s="98">
        <f>-2201.97466-M49-K49</f>
        <v>-692.97465999999986</v>
      </c>
      <c r="P49" s="92"/>
      <c r="Q49" s="98">
        <f>-2896-O49-M49-K49</f>
        <v>-694.02534000000014</v>
      </c>
      <c r="R49" s="92"/>
      <c r="S49" s="98">
        <f>(-442289.95-353336.4)/1000</f>
        <v>-795.62635000000012</v>
      </c>
      <c r="T49" s="92"/>
      <c r="U49" s="98">
        <f>-273-310-272</f>
        <v>-855</v>
      </c>
      <c r="V49" s="92"/>
      <c r="W49" s="98">
        <f>-1935-516-U49-S49</f>
        <v>-800.37364999999988</v>
      </c>
      <c r="X49" s="92"/>
      <c r="Y49" s="98">
        <f>-2328-958-W49-U49-S49</f>
        <v>-834.99999999999989</v>
      </c>
      <c r="Z49" s="92"/>
      <c r="AA49" s="98">
        <f>-517-259</f>
        <v>-776</v>
      </c>
      <c r="AB49" s="92"/>
      <c r="AC49" s="98">
        <v>-863</v>
      </c>
      <c r="AD49" s="92"/>
      <c r="AE49" s="98">
        <f>-2578-AA49-AC49</f>
        <v>-939</v>
      </c>
      <c r="AF49" s="92"/>
      <c r="AG49" s="98">
        <f>-3540-AE49-AC49-AA49</f>
        <v>-962</v>
      </c>
      <c r="AH49" s="92"/>
      <c r="AI49" s="98">
        <v>-1004</v>
      </c>
      <c r="AJ49" s="92"/>
      <c r="AK49" s="98">
        <v>-1020.102</v>
      </c>
      <c r="AL49" s="92"/>
      <c r="AM49" s="98">
        <v>-1089</v>
      </c>
      <c r="AN49" s="92"/>
      <c r="AO49" s="98">
        <v>-767.48890000000006</v>
      </c>
      <c r="AP49" s="92"/>
      <c r="AQ49" s="98">
        <v>-1056.7771399999999</v>
      </c>
      <c r="AR49" s="122"/>
      <c r="AS49" s="98">
        <v>-1226</v>
      </c>
      <c r="AT49" s="122"/>
      <c r="AU49" s="98">
        <v>-1338</v>
      </c>
      <c r="AV49" s="122"/>
      <c r="AW49" s="98">
        <v>-1466.1045800000002</v>
      </c>
      <c r="AX49" s="122"/>
      <c r="AY49" s="98">
        <v>-3227.89984</v>
      </c>
      <c r="AZ49" s="122"/>
      <c r="BA49" s="98">
        <v>-3249.0736499999998</v>
      </c>
      <c r="BB49" s="122"/>
      <c r="BC49" s="98">
        <v>-2591</v>
      </c>
      <c r="BD49" s="122"/>
      <c r="BE49" s="98">
        <v>-4400</v>
      </c>
      <c r="BF49" s="122"/>
      <c r="BG49" s="98">
        <v>-3595</v>
      </c>
      <c r="BH49" s="122"/>
      <c r="BI49" s="98">
        <v>-3500</v>
      </c>
      <c r="BJ49" s="122"/>
      <c r="BK49" s="98">
        <v>-4654</v>
      </c>
      <c r="BL49" s="122"/>
      <c r="BM49" s="98">
        <v>-5599.3325117647064</v>
      </c>
      <c r="BN49" s="122"/>
      <c r="BO49" s="98">
        <v>-9446</v>
      </c>
      <c r="BP49" s="122"/>
      <c r="BQ49" s="98">
        <v>-9689</v>
      </c>
      <c r="BR49" s="122"/>
      <c r="BS49" s="98">
        <v>-9652</v>
      </c>
      <c r="BT49" s="257"/>
      <c r="BU49" s="258">
        <v>-12879.034894049988</v>
      </c>
      <c r="BV49" s="257"/>
      <c r="BW49" s="258">
        <v>-12177</v>
      </c>
      <c r="BX49" s="257"/>
      <c r="BY49" s="258">
        <v>-11790</v>
      </c>
    </row>
    <row r="50" spans="1:77" x14ac:dyDescent="0.35">
      <c r="A50" s="66" t="s">
        <v>221</v>
      </c>
      <c r="C50" s="98">
        <v>-934</v>
      </c>
      <c r="D50" s="92"/>
      <c r="E50" s="98">
        <v>-1033</v>
      </c>
      <c r="F50" s="92"/>
      <c r="G50" s="98">
        <v>322</v>
      </c>
      <c r="H50" s="92"/>
      <c r="I50" s="98">
        <v>3</v>
      </c>
      <c r="J50" s="92"/>
      <c r="K50" s="98">
        <v>20</v>
      </c>
      <c r="L50" s="92"/>
      <c r="M50" s="98">
        <f>-1878-K50</f>
        <v>-1898</v>
      </c>
      <c r="N50" s="92"/>
      <c r="O50" s="98">
        <f>4330.40926-M50-K50</f>
        <v>6208.4092600000004</v>
      </c>
      <c r="P50" s="92"/>
      <c r="Q50" s="98">
        <f>4007-O50-M50-K50</f>
        <v>-323.40926000000036</v>
      </c>
      <c r="R50" s="92"/>
      <c r="S50" s="98">
        <f>370741.63/1000</f>
        <v>370.74162999999999</v>
      </c>
      <c r="T50" s="92"/>
      <c r="U50" s="98">
        <f>1654-S50</f>
        <v>1283.25837</v>
      </c>
      <c r="V50" s="92"/>
      <c r="W50" s="98">
        <f>1938.2905-U50-S50</f>
        <v>284.29050000000007</v>
      </c>
      <c r="X50" s="92"/>
      <c r="Y50" s="98">
        <f>1798-W50-U50-S50</f>
        <v>-140.29050000000007</v>
      </c>
      <c r="Z50" s="92"/>
      <c r="AA50" s="98">
        <f>3232-568</f>
        <v>2664</v>
      </c>
      <c r="AB50" s="92"/>
      <c r="AC50" s="98">
        <f>1995.08631-AA50</f>
        <v>-668.91369000000009</v>
      </c>
      <c r="AD50" s="92"/>
      <c r="AE50" s="98">
        <f>3234-AC50-AA50</f>
        <v>1238.9136900000003</v>
      </c>
      <c r="AF50" s="92"/>
      <c r="AG50" s="98">
        <f>3807-AE50-AC50-AA50</f>
        <v>573</v>
      </c>
      <c r="AH50" s="92"/>
      <c r="AI50" s="98">
        <v>137</v>
      </c>
      <c r="AJ50" s="92"/>
      <c r="AK50" s="98">
        <v>-42.16525</v>
      </c>
      <c r="AL50" s="92"/>
      <c r="AM50" s="98">
        <v>1007</v>
      </c>
      <c r="AN50" s="92"/>
      <c r="AO50" s="98">
        <v>442.56804</v>
      </c>
      <c r="AP50" s="92"/>
      <c r="AQ50" s="123">
        <v>-296.24832000000004</v>
      </c>
      <c r="AR50" s="122"/>
      <c r="AS50" s="98">
        <v>-388</v>
      </c>
      <c r="AT50" s="122"/>
      <c r="AU50" s="98">
        <v>-367</v>
      </c>
      <c r="AV50" s="122"/>
      <c r="AW50" s="98">
        <v>5.2483200000000352</v>
      </c>
      <c r="AX50" s="122"/>
      <c r="AY50" s="98">
        <v>-251.50014000000002</v>
      </c>
      <c r="AZ50" s="122"/>
      <c r="BA50" s="98">
        <v>571.79953999999998</v>
      </c>
      <c r="BB50" s="122"/>
      <c r="BC50" s="98">
        <v>480</v>
      </c>
      <c r="BD50" s="122"/>
      <c r="BE50" s="98">
        <v>694</v>
      </c>
      <c r="BF50" s="122"/>
      <c r="BG50" s="98">
        <v>403</v>
      </c>
      <c r="BH50" s="122"/>
      <c r="BI50" s="98">
        <v>-522</v>
      </c>
      <c r="BJ50" s="122"/>
      <c r="BK50" s="98">
        <v>68.995820000000009</v>
      </c>
      <c r="BL50" s="122"/>
      <c r="BM50" s="98">
        <v>47.894410000000008</v>
      </c>
      <c r="BN50" s="122"/>
      <c r="BO50" s="98">
        <v>-1580.9184700000003</v>
      </c>
      <c r="BP50" s="122"/>
      <c r="BQ50" s="98">
        <v>-391</v>
      </c>
      <c r="BR50" s="122"/>
      <c r="BS50" s="98">
        <v>380.20706000000007</v>
      </c>
      <c r="BT50" s="257"/>
      <c r="BU50" s="258">
        <v>-605.32119999999998</v>
      </c>
      <c r="BV50" s="257"/>
      <c r="BW50" s="258">
        <v>-303</v>
      </c>
      <c r="BX50" s="257"/>
      <c r="BY50" s="258">
        <v>-598</v>
      </c>
    </row>
    <row r="51" spans="1:77" x14ac:dyDescent="0.35">
      <c r="A51" s="66" t="s">
        <v>222</v>
      </c>
      <c r="C51" s="98">
        <f>8636.39/1000</f>
        <v>8.6363899999999987</v>
      </c>
      <c r="D51" s="92"/>
      <c r="E51" s="98">
        <f>4188.72/1000-C51</f>
        <v>-4.4476699999999987</v>
      </c>
      <c r="F51" s="92"/>
      <c r="G51" s="98">
        <f>-162665.88/1000-E51-C51</f>
        <v>-166.85460000000003</v>
      </c>
      <c r="H51" s="92"/>
      <c r="I51" s="98">
        <f>(104223.4-1927642.5)/1000-G51-E51-C51</f>
        <v>-1660.7532199999998</v>
      </c>
      <c r="J51" s="92"/>
      <c r="K51" s="98">
        <v>1190</v>
      </c>
      <c r="L51" s="92"/>
      <c r="M51" s="98">
        <v>4224</v>
      </c>
      <c r="N51" s="92"/>
      <c r="O51" s="92">
        <v>697</v>
      </c>
      <c r="P51" s="92"/>
      <c r="Q51" s="92">
        <v>0</v>
      </c>
      <c r="R51" s="92"/>
      <c r="S51" s="123">
        <v>-107</v>
      </c>
      <c r="T51" s="92"/>
      <c r="U51" s="123">
        <v>-389</v>
      </c>
      <c r="V51" s="92"/>
      <c r="W51" s="123">
        <v>653</v>
      </c>
      <c r="X51" s="92"/>
      <c r="Y51" s="123">
        <v>263</v>
      </c>
      <c r="Z51" s="92"/>
      <c r="AA51" s="123">
        <v>7760</v>
      </c>
      <c r="AB51" s="92"/>
      <c r="AC51" s="123">
        <v>0</v>
      </c>
      <c r="AD51" s="92"/>
      <c r="AE51" s="123">
        <v>0</v>
      </c>
      <c r="AF51" s="92"/>
      <c r="AG51" s="123">
        <v>0</v>
      </c>
      <c r="AH51" s="92"/>
      <c r="AI51" s="123">
        <v>0</v>
      </c>
      <c r="AJ51" s="92"/>
      <c r="AK51" s="123">
        <v>0</v>
      </c>
      <c r="AL51" s="92"/>
      <c r="AM51" s="123">
        <v>0</v>
      </c>
      <c r="AN51" s="92"/>
      <c r="AO51" s="123">
        <v>0</v>
      </c>
      <c r="AP51" s="92"/>
      <c r="AQ51" s="123">
        <v>0</v>
      </c>
      <c r="AR51" s="122"/>
      <c r="AS51" s="123">
        <v>0</v>
      </c>
      <c r="AT51" s="122"/>
      <c r="AU51" s="123">
        <v>0</v>
      </c>
      <c r="AV51" s="122"/>
      <c r="AW51" s="123">
        <v>0</v>
      </c>
      <c r="AX51" s="122"/>
      <c r="AY51" s="123">
        <v>0</v>
      </c>
      <c r="AZ51" s="122"/>
      <c r="BA51" s="123">
        <v>0</v>
      </c>
      <c r="BB51" s="122"/>
      <c r="BC51" s="123">
        <v>0</v>
      </c>
      <c r="BD51" s="122"/>
      <c r="BE51" s="123">
        <v>0</v>
      </c>
      <c r="BF51" s="122"/>
      <c r="BG51" s="123">
        <v>0</v>
      </c>
      <c r="BH51" s="122"/>
      <c r="BI51" s="123">
        <v>0</v>
      </c>
      <c r="BJ51" s="122"/>
      <c r="BK51" s="123">
        <v>0</v>
      </c>
      <c r="BL51" s="122"/>
      <c r="BM51" s="123">
        <v>0</v>
      </c>
      <c r="BN51" s="122"/>
      <c r="BO51" s="123">
        <v>0</v>
      </c>
      <c r="BP51" s="122"/>
      <c r="BQ51" s="123">
        <v>0</v>
      </c>
      <c r="BR51" s="122"/>
      <c r="BS51" s="123">
        <v>0</v>
      </c>
      <c r="BT51" s="257"/>
      <c r="BU51" s="260">
        <v>0</v>
      </c>
      <c r="BV51" s="257"/>
      <c r="BW51" s="260">
        <v>0</v>
      </c>
      <c r="BX51" s="257"/>
      <c r="BY51" s="260">
        <v>0</v>
      </c>
    </row>
    <row r="52" spans="1:77" ht="14.5" x14ac:dyDescent="0.35">
      <c r="A52" s="61" t="s">
        <v>223</v>
      </c>
      <c r="C52" s="98">
        <v>-178.34339</v>
      </c>
      <c r="D52" s="92"/>
      <c r="E52" s="98">
        <v>-180.32497000000001</v>
      </c>
      <c r="F52" s="92"/>
      <c r="G52" s="98">
        <v>-182.30656999999999</v>
      </c>
      <c r="H52" s="92"/>
      <c r="I52" s="98">
        <v>-202.09915999999998</v>
      </c>
      <c r="J52" s="92"/>
      <c r="K52" s="98">
        <v>0</v>
      </c>
      <c r="L52" s="92"/>
      <c r="M52" s="98">
        <v>0</v>
      </c>
      <c r="N52" s="92"/>
      <c r="O52" s="92">
        <v>0</v>
      </c>
      <c r="P52" s="92"/>
      <c r="Q52" s="92">
        <v>0</v>
      </c>
      <c r="R52" s="92"/>
      <c r="S52" s="92">
        <v>0</v>
      </c>
      <c r="T52" s="92"/>
      <c r="U52" s="92">
        <v>0</v>
      </c>
      <c r="V52" s="92"/>
      <c r="W52" s="92">
        <v>0</v>
      </c>
      <c r="X52" s="92"/>
      <c r="Y52" s="92">
        <v>0</v>
      </c>
      <c r="Z52" s="92"/>
      <c r="AA52" s="92">
        <v>0</v>
      </c>
      <c r="AB52" s="92"/>
      <c r="AC52" s="92">
        <v>0</v>
      </c>
      <c r="AD52" s="92"/>
      <c r="AE52" s="123">
        <f>-6659+853</f>
        <v>-5806</v>
      </c>
      <c r="AF52" s="92"/>
      <c r="AG52" s="123">
        <f>-6659+853-AE52</f>
        <v>0</v>
      </c>
      <c r="AH52" s="92"/>
      <c r="AI52" s="123">
        <v>0</v>
      </c>
      <c r="AJ52" s="92"/>
      <c r="AK52" s="123">
        <v>0</v>
      </c>
      <c r="AL52" s="92"/>
      <c r="AM52" s="123">
        <v>0</v>
      </c>
      <c r="AN52" s="92"/>
      <c r="AO52" s="123">
        <v>0</v>
      </c>
      <c r="AP52" s="92"/>
      <c r="AQ52" s="123">
        <v>0</v>
      </c>
      <c r="AR52" s="122"/>
      <c r="AS52" s="123">
        <v>0</v>
      </c>
      <c r="AT52" s="122"/>
      <c r="AU52" s="123">
        <v>0</v>
      </c>
      <c r="AV52" s="122"/>
      <c r="AW52" s="123">
        <v>0</v>
      </c>
      <c r="AX52" s="122"/>
      <c r="AY52" s="123">
        <v>0</v>
      </c>
      <c r="AZ52" s="122"/>
      <c r="BA52" s="123">
        <v>0</v>
      </c>
      <c r="BB52" s="122"/>
      <c r="BC52" s="123">
        <v>0</v>
      </c>
      <c r="BD52" s="122"/>
      <c r="BE52" s="123">
        <v>0</v>
      </c>
      <c r="BF52" s="122"/>
      <c r="BG52" s="123">
        <v>0</v>
      </c>
      <c r="BH52" s="122"/>
      <c r="BI52" s="123">
        <v>0</v>
      </c>
      <c r="BJ52" s="122"/>
      <c r="BK52" s="123">
        <v>0</v>
      </c>
      <c r="BL52" s="122"/>
      <c r="BM52" s="123">
        <v>-1434</v>
      </c>
      <c r="BN52" s="122"/>
      <c r="BO52" s="123">
        <v>-1434</v>
      </c>
      <c r="BP52" s="122"/>
      <c r="BQ52" s="123">
        <v>-575</v>
      </c>
      <c r="BR52" s="122"/>
      <c r="BS52" s="123">
        <v>-1272</v>
      </c>
      <c r="BT52" s="257"/>
      <c r="BU52" s="260">
        <v>-1800</v>
      </c>
      <c r="BV52" s="257"/>
      <c r="BW52" s="260">
        <v>-1031</v>
      </c>
      <c r="BX52" s="257"/>
      <c r="BY52" s="260">
        <v>-1172</v>
      </c>
    </row>
    <row r="53" spans="1:77" x14ac:dyDescent="0.35">
      <c r="A53" s="66" t="s">
        <v>76</v>
      </c>
      <c r="C53" s="98">
        <f>C18</f>
        <v>-9014</v>
      </c>
      <c r="D53" s="92"/>
      <c r="E53" s="98">
        <f>E18</f>
        <v>-10452</v>
      </c>
      <c r="F53" s="92"/>
      <c r="G53" s="98">
        <f>G18</f>
        <v>-8349</v>
      </c>
      <c r="H53" s="92"/>
      <c r="I53" s="98">
        <f>I18</f>
        <v>-13301</v>
      </c>
      <c r="J53" s="92"/>
      <c r="K53" s="98">
        <f>K18</f>
        <v>-8349</v>
      </c>
      <c r="L53" s="92"/>
      <c r="M53" s="98">
        <f>M18</f>
        <v>-4123</v>
      </c>
      <c r="N53" s="92"/>
      <c r="O53" s="98">
        <f>O18</f>
        <v>-5844</v>
      </c>
      <c r="P53" s="92"/>
      <c r="Q53" s="98">
        <f>Q18</f>
        <v>-12059</v>
      </c>
      <c r="R53" s="92"/>
      <c r="S53" s="98">
        <f>S18</f>
        <v>-9440</v>
      </c>
      <c r="T53" s="92"/>
      <c r="U53" s="98">
        <f>U18</f>
        <v>-10900</v>
      </c>
      <c r="V53" s="92"/>
      <c r="W53" s="98">
        <f>W18</f>
        <v>-11224</v>
      </c>
      <c r="X53" s="92"/>
      <c r="Y53" s="98">
        <f>Y18</f>
        <v>-10500</v>
      </c>
      <c r="Z53" s="92"/>
      <c r="AA53" s="98">
        <f>AA18</f>
        <v>1144</v>
      </c>
      <c r="AB53" s="92"/>
      <c r="AC53" s="98">
        <f>AC18</f>
        <v>-10798</v>
      </c>
      <c r="AD53" s="92"/>
      <c r="AE53" s="98">
        <f>AE18</f>
        <v>-12461</v>
      </c>
      <c r="AF53" s="92"/>
      <c r="AG53" s="98">
        <f>AG18</f>
        <v>-9883</v>
      </c>
      <c r="AH53" s="92"/>
      <c r="AI53" s="98">
        <f>AI18</f>
        <v>-11007</v>
      </c>
      <c r="AJ53" s="92"/>
      <c r="AK53" s="98">
        <f>AK18</f>
        <v>-12675</v>
      </c>
      <c r="AL53" s="92"/>
      <c r="AM53" s="98">
        <f>AM18</f>
        <v>-14047</v>
      </c>
      <c r="AN53" s="92"/>
      <c r="AO53" s="98">
        <f>AO18</f>
        <v>-12233</v>
      </c>
      <c r="AP53" s="92"/>
      <c r="AQ53" s="98">
        <f>AQ18</f>
        <v>-14971</v>
      </c>
      <c r="AR53" s="122"/>
      <c r="AS53" s="98">
        <f>AS18</f>
        <v>-19973</v>
      </c>
      <c r="AT53" s="122"/>
      <c r="AU53" s="98">
        <f>AU18</f>
        <v>-27577</v>
      </c>
      <c r="AV53" s="122"/>
      <c r="AW53" s="98">
        <f>AW18</f>
        <v>-31603</v>
      </c>
      <c r="AX53" s="122"/>
      <c r="AY53" s="98">
        <f>AY18</f>
        <v>-25536</v>
      </c>
      <c r="AZ53" s="122"/>
      <c r="BA53" s="98">
        <f>BA18</f>
        <v>-30564</v>
      </c>
      <c r="BB53" s="122"/>
      <c r="BC53" s="98">
        <f>BC18</f>
        <v>-30896</v>
      </c>
      <c r="BD53" s="122"/>
      <c r="BE53" s="98">
        <f>BE18</f>
        <v>-41176</v>
      </c>
      <c r="BF53" s="122"/>
      <c r="BG53" s="98">
        <f>BG18</f>
        <v>-29528</v>
      </c>
      <c r="BH53" s="122"/>
      <c r="BI53" s="98">
        <f>BI18</f>
        <v>-32401</v>
      </c>
      <c r="BJ53" s="122"/>
      <c r="BK53" s="98">
        <f>BK18</f>
        <v>-43794</v>
      </c>
      <c r="BL53" s="122"/>
      <c r="BM53" s="98">
        <f>BM18</f>
        <v>-56390</v>
      </c>
      <c r="BN53" s="122"/>
      <c r="BO53" s="98">
        <f>BO18</f>
        <v>-52195</v>
      </c>
      <c r="BP53" s="122"/>
      <c r="BQ53" s="98">
        <f>BQ18</f>
        <v>-50265</v>
      </c>
      <c r="BR53" s="122"/>
      <c r="BS53" s="98">
        <f>BS18</f>
        <v>-50130</v>
      </c>
      <c r="BT53" s="257"/>
      <c r="BU53" s="258">
        <f>BU18</f>
        <v>-62096</v>
      </c>
      <c r="BV53" s="257"/>
      <c r="BW53" s="258">
        <f>BW18</f>
        <v>8414</v>
      </c>
      <c r="BX53" s="257"/>
      <c r="BY53" s="258">
        <f>BY18</f>
        <v>-52827</v>
      </c>
    </row>
    <row r="54" spans="1:77" x14ac:dyDescent="0.35"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122"/>
      <c r="AS54" s="92"/>
      <c r="AT54" s="122"/>
      <c r="AU54" s="92"/>
      <c r="AV54" s="122"/>
      <c r="AW54" s="92"/>
      <c r="AX54" s="122"/>
      <c r="AY54" s="92"/>
      <c r="AZ54" s="122"/>
      <c r="BA54" s="92"/>
      <c r="BB54" s="122"/>
      <c r="BC54" s="92"/>
      <c r="BD54" s="122"/>
      <c r="BE54" s="92"/>
      <c r="BF54" s="122"/>
      <c r="BG54" s="92"/>
      <c r="BH54" s="122"/>
      <c r="BI54" s="92"/>
      <c r="BJ54" s="122"/>
      <c r="BK54" s="92"/>
      <c r="BL54" s="122"/>
      <c r="BM54" s="92"/>
      <c r="BN54" s="122"/>
      <c r="BO54" s="92"/>
      <c r="BP54" s="122"/>
      <c r="BQ54" s="92"/>
      <c r="BR54" s="122"/>
      <c r="BS54" s="92"/>
      <c r="BT54" s="257"/>
      <c r="BU54" s="259"/>
      <c r="BV54" s="257"/>
      <c r="BW54" s="259"/>
      <c r="BX54" s="257"/>
      <c r="BY54" s="259"/>
    </row>
    <row r="55" spans="1:77" x14ac:dyDescent="0.35"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122"/>
      <c r="AS55" s="92"/>
      <c r="AT55" s="122"/>
      <c r="AU55" s="92"/>
      <c r="AV55" s="122"/>
      <c r="AW55" s="92"/>
      <c r="AX55" s="122"/>
      <c r="AY55" s="92"/>
      <c r="AZ55" s="122"/>
      <c r="BA55" s="92"/>
      <c r="BB55" s="122"/>
      <c r="BC55" s="92"/>
      <c r="BD55" s="122"/>
      <c r="BE55" s="92"/>
      <c r="BF55" s="122"/>
      <c r="BG55" s="92"/>
      <c r="BH55" s="122"/>
      <c r="BI55" s="92"/>
      <c r="BJ55" s="122"/>
      <c r="BK55" s="92"/>
      <c r="BL55" s="122"/>
      <c r="BM55" s="92"/>
      <c r="BN55" s="122"/>
      <c r="BO55" s="92"/>
      <c r="BP55" s="122"/>
      <c r="BQ55" s="92"/>
      <c r="BR55" s="122"/>
      <c r="BS55" s="92"/>
      <c r="BT55" s="257"/>
      <c r="BU55" s="259"/>
      <c r="BV55" s="257"/>
      <c r="BW55" s="259"/>
      <c r="BX55" s="257"/>
      <c r="BY55" s="259"/>
    </row>
    <row r="56" spans="1:77" x14ac:dyDescent="0.35">
      <c r="C56" s="92"/>
      <c r="D56" s="92"/>
      <c r="E56" s="92"/>
      <c r="F56" s="92"/>
      <c r="G56" s="92"/>
      <c r="H56" s="92"/>
      <c r="I56" s="124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122"/>
      <c r="AS56" s="92"/>
      <c r="AT56" s="122"/>
      <c r="AU56" s="92"/>
      <c r="AV56" s="122"/>
      <c r="AW56" s="92"/>
      <c r="AX56" s="122"/>
      <c r="AY56" s="92"/>
      <c r="AZ56" s="122"/>
      <c r="BA56" s="92"/>
      <c r="BB56" s="122"/>
      <c r="BC56" s="92"/>
      <c r="BD56" s="122"/>
      <c r="BE56" s="92"/>
      <c r="BF56" s="122"/>
      <c r="BG56" s="92"/>
      <c r="BH56" s="122"/>
      <c r="BI56" s="92"/>
      <c r="BJ56" s="122"/>
      <c r="BK56" s="92"/>
      <c r="BL56" s="122"/>
      <c r="BM56" s="92"/>
      <c r="BN56" s="122"/>
      <c r="BO56" s="92"/>
      <c r="BP56" s="122"/>
      <c r="BQ56" s="92"/>
      <c r="BR56" s="122"/>
      <c r="BS56" s="92"/>
      <c r="BT56" s="257"/>
      <c r="BU56" s="259"/>
      <c r="BV56" s="257"/>
      <c r="BW56" s="259"/>
      <c r="BX56" s="257"/>
      <c r="BY56" s="259"/>
    </row>
    <row r="57" spans="1:77" x14ac:dyDescent="0.35"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122"/>
      <c r="AS57" s="92"/>
      <c r="AT57" s="122"/>
      <c r="AU57" s="92"/>
      <c r="AV57" s="122"/>
      <c r="AW57" s="92"/>
      <c r="AX57" s="122"/>
      <c r="AY57" s="92"/>
      <c r="AZ57" s="122"/>
      <c r="BA57" s="92"/>
      <c r="BB57" s="122"/>
      <c r="BC57" s="92"/>
      <c r="BD57" s="122"/>
      <c r="BE57" s="92"/>
      <c r="BF57" s="122"/>
      <c r="BG57" s="92"/>
      <c r="BH57" s="122"/>
      <c r="BI57" s="92"/>
      <c r="BJ57" s="122"/>
      <c r="BK57" s="92"/>
      <c r="BL57" s="122"/>
      <c r="BM57" s="92"/>
      <c r="BN57" s="122"/>
      <c r="BO57" s="92"/>
      <c r="BP57" s="122"/>
      <c r="BQ57" s="92"/>
      <c r="BR57" s="122"/>
      <c r="BS57" s="92"/>
      <c r="BT57" s="257"/>
      <c r="BU57" s="259"/>
      <c r="BV57" s="257"/>
      <c r="BW57" s="259"/>
      <c r="BX57" s="257"/>
      <c r="BY57" s="259"/>
    </row>
    <row r="58" spans="1:77" x14ac:dyDescent="0.35"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122"/>
      <c r="AS58" s="92"/>
      <c r="AT58" s="122"/>
      <c r="AU58" s="92"/>
      <c r="AV58" s="122"/>
      <c r="AW58" s="92"/>
      <c r="AX58" s="122"/>
      <c r="AY58" s="92"/>
      <c r="AZ58" s="122"/>
      <c r="BA58" s="92"/>
      <c r="BB58" s="122"/>
      <c r="BC58" s="92"/>
      <c r="BD58" s="122"/>
      <c r="BE58" s="92"/>
      <c r="BF58" s="122"/>
      <c r="BG58" s="92"/>
      <c r="BH58" s="122"/>
      <c r="BI58" s="92"/>
      <c r="BJ58" s="122"/>
      <c r="BK58" s="92"/>
      <c r="BL58" s="122"/>
      <c r="BM58" s="92"/>
      <c r="BN58" s="122"/>
      <c r="BO58" s="92"/>
      <c r="BP58" s="122"/>
      <c r="BQ58" s="92"/>
      <c r="BR58" s="122"/>
      <c r="BS58" s="92"/>
      <c r="BT58" s="257"/>
      <c r="BU58" s="259"/>
      <c r="BV58" s="257"/>
      <c r="BW58" s="259"/>
      <c r="BX58" s="257"/>
      <c r="BY58" s="259"/>
    </row>
    <row r="59" spans="1:77" x14ac:dyDescent="0.35">
      <c r="A59" s="94" t="s">
        <v>224</v>
      </c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122"/>
      <c r="AS59" s="92"/>
      <c r="AT59" s="122"/>
      <c r="AU59" s="92"/>
      <c r="AV59" s="122"/>
      <c r="AW59" s="92"/>
      <c r="AX59" s="122"/>
      <c r="AY59" s="92"/>
      <c r="AZ59" s="122"/>
      <c r="BA59" s="92"/>
      <c r="BB59" s="122"/>
      <c r="BC59" s="92"/>
      <c r="BD59" s="122"/>
      <c r="BE59" s="92"/>
      <c r="BF59" s="122"/>
      <c r="BG59" s="92"/>
      <c r="BH59" s="122"/>
      <c r="BI59" s="92"/>
      <c r="BJ59" s="122"/>
      <c r="BK59" s="92"/>
      <c r="BL59" s="122"/>
      <c r="BM59" s="92"/>
      <c r="BN59" s="122"/>
      <c r="BO59" s="92"/>
      <c r="BP59" s="122"/>
      <c r="BQ59" s="92"/>
      <c r="BR59" s="122"/>
      <c r="BS59" s="92"/>
      <c r="BT59" s="257"/>
      <c r="BU59" s="259"/>
      <c r="BV59" s="257"/>
      <c r="BW59" s="259"/>
      <c r="BX59" s="257"/>
      <c r="BY59" s="259"/>
    </row>
    <row r="60" spans="1:77" x14ac:dyDescent="0.35">
      <c r="A60" s="66" t="s">
        <v>225</v>
      </c>
      <c r="C60" s="123">
        <v>376</v>
      </c>
      <c r="D60" s="92"/>
      <c r="E60" s="123">
        <v>444</v>
      </c>
      <c r="F60" s="92"/>
      <c r="G60" s="123">
        <v>261</v>
      </c>
      <c r="H60" s="92"/>
      <c r="I60" s="123">
        <v>94</v>
      </c>
      <c r="J60" s="92"/>
      <c r="K60" s="123">
        <v>85</v>
      </c>
      <c r="L60" s="92"/>
      <c r="M60" s="123">
        <v>85</v>
      </c>
      <c r="N60" s="92"/>
      <c r="O60" s="123">
        <v>32</v>
      </c>
      <c r="P60" s="92"/>
      <c r="Q60" s="123">
        <f>215-O60-M60-K60</f>
        <v>13</v>
      </c>
      <c r="R60" s="92"/>
      <c r="S60" s="123">
        <v>41</v>
      </c>
      <c r="T60" s="92"/>
      <c r="U60" s="123">
        <v>149</v>
      </c>
      <c r="V60" s="92"/>
      <c r="W60" s="123">
        <v>246</v>
      </c>
      <c r="X60" s="92"/>
      <c r="Y60" s="123">
        <f>674-W60-U60-S60</f>
        <v>238</v>
      </c>
      <c r="Z60" s="92"/>
      <c r="AA60" s="123">
        <v>856</v>
      </c>
      <c r="AB60" s="92"/>
      <c r="AC60" s="123">
        <v>1046</v>
      </c>
      <c r="AD60" s="92"/>
      <c r="AE60" s="123">
        <v>665</v>
      </c>
      <c r="AF60" s="92"/>
      <c r="AG60" s="123">
        <f>2435-AE60-AC60-AA60</f>
        <v>-132</v>
      </c>
      <c r="AH60" s="92"/>
      <c r="AI60" s="123">
        <v>601</v>
      </c>
      <c r="AJ60" s="92"/>
      <c r="AK60" s="123">
        <f>524173.4/1000</f>
        <v>524.17340000000002</v>
      </c>
      <c r="AL60" s="92"/>
      <c r="AM60" s="123">
        <v>927</v>
      </c>
      <c r="AN60" s="92"/>
      <c r="AO60" s="123">
        <v>1341.54089</v>
      </c>
      <c r="AP60" s="92"/>
      <c r="AQ60" s="123">
        <v>1425.20082</v>
      </c>
      <c r="AR60" s="122"/>
      <c r="AS60" s="123">
        <v>1054.2340800000002</v>
      </c>
      <c r="AT60" s="122"/>
      <c r="AU60" s="123">
        <v>1814</v>
      </c>
      <c r="AV60" s="122"/>
      <c r="AW60" s="123">
        <v>2608.5650999999998</v>
      </c>
      <c r="AX60" s="122"/>
      <c r="AY60" s="123">
        <v>3386</v>
      </c>
      <c r="AZ60" s="122"/>
      <c r="BA60" s="123">
        <v>2621</v>
      </c>
      <c r="BB60" s="122"/>
      <c r="BC60" s="123">
        <v>1601</v>
      </c>
      <c r="BD60" s="122"/>
      <c r="BE60" s="123">
        <v>1696</v>
      </c>
      <c r="BF60" s="122"/>
      <c r="BG60" s="123">
        <v>3245</v>
      </c>
      <c r="BH60" s="122"/>
      <c r="BI60" s="123">
        <v>3237</v>
      </c>
      <c r="BJ60" s="122"/>
      <c r="BK60" s="123">
        <v>4821</v>
      </c>
      <c r="BL60" s="122"/>
      <c r="BM60" s="123">
        <v>4062</v>
      </c>
      <c r="BN60" s="122"/>
      <c r="BO60" s="123">
        <v>5428</v>
      </c>
      <c r="BP60" s="122"/>
      <c r="BQ60" s="123">
        <v>9532</v>
      </c>
      <c r="BR60" s="122"/>
      <c r="BS60" s="123">
        <v>14558</v>
      </c>
      <c r="BT60" s="257"/>
      <c r="BU60" s="260">
        <v>12274.919664282872</v>
      </c>
      <c r="BV60" s="257"/>
      <c r="BW60" s="260"/>
      <c r="BX60" s="257"/>
      <c r="BY60" s="260"/>
    </row>
    <row r="61" spans="1:77" x14ac:dyDescent="0.35">
      <c r="A61" s="66" t="s">
        <v>226</v>
      </c>
      <c r="C61" s="123">
        <f>-458-10</f>
        <v>-468</v>
      </c>
      <c r="D61" s="92"/>
      <c r="E61" s="123">
        <f>-659-402</f>
        <v>-1061</v>
      </c>
      <c r="F61" s="92"/>
      <c r="G61" s="123">
        <f>-1325-62</f>
        <v>-1387</v>
      </c>
      <c r="H61" s="92"/>
      <c r="I61" s="123">
        <v>-1335</v>
      </c>
      <c r="J61" s="92"/>
      <c r="K61" s="123">
        <f>-1632-197</f>
        <v>-1829</v>
      </c>
      <c r="L61" s="92"/>
      <c r="M61" s="123">
        <f>-1574-173</f>
        <v>-1747</v>
      </c>
      <c r="N61" s="92"/>
      <c r="O61" s="123">
        <f>-1409-197</f>
        <v>-1606</v>
      </c>
      <c r="P61" s="92"/>
      <c r="Q61" s="123">
        <f>-6084-867-O61-M61-K61</f>
        <v>-1769</v>
      </c>
      <c r="R61" s="92"/>
      <c r="S61" s="123">
        <v>-1793</v>
      </c>
      <c r="T61" s="92"/>
      <c r="U61" s="123">
        <f>-1398-220</f>
        <v>-1618</v>
      </c>
      <c r="V61" s="92"/>
      <c r="W61" s="123">
        <f>-424-148</f>
        <v>-572</v>
      </c>
      <c r="X61" s="92"/>
      <c r="Y61" s="123">
        <f>-3772-722-W61-U61-S61</f>
        <v>-511</v>
      </c>
      <c r="Z61" s="92"/>
      <c r="AA61" s="123">
        <f>-269-176</f>
        <v>-445</v>
      </c>
      <c r="AB61" s="92"/>
      <c r="AC61" s="123">
        <f>-89-144</f>
        <v>-233</v>
      </c>
      <c r="AD61" s="92"/>
      <c r="AE61" s="123">
        <f>-83-123</f>
        <v>-206</v>
      </c>
      <c r="AF61" s="92"/>
      <c r="AG61" s="123">
        <f>-538-586-AE61-AC61-AA61</f>
        <v>-240</v>
      </c>
      <c r="AH61" s="92"/>
      <c r="AI61" s="123">
        <f>-81-190</f>
        <v>-271</v>
      </c>
      <c r="AJ61" s="92"/>
      <c r="AK61" s="123">
        <f>-243159/1000</f>
        <v>-243.15899999999999</v>
      </c>
      <c r="AL61" s="92"/>
      <c r="AM61" s="123">
        <v>-222</v>
      </c>
      <c r="AN61" s="92"/>
      <c r="AO61" s="123">
        <v>-535.26015000000007</v>
      </c>
      <c r="AP61" s="92"/>
      <c r="AQ61" s="123">
        <v>-1070.2920900000001</v>
      </c>
      <c r="AR61" s="122"/>
      <c r="AS61" s="123">
        <f>-1366.02641-250</f>
        <v>-1616.0264099999999</v>
      </c>
      <c r="AT61" s="122"/>
      <c r="AU61" s="123">
        <v>-4160</v>
      </c>
      <c r="AV61" s="122"/>
      <c r="AW61" s="123">
        <v>-4679.6814999999997</v>
      </c>
      <c r="AX61" s="122"/>
      <c r="AY61" s="123">
        <v>-6403</v>
      </c>
      <c r="AZ61" s="122"/>
      <c r="BA61" s="123">
        <v>-9120.1189799999993</v>
      </c>
      <c r="BB61" s="122"/>
      <c r="BC61" s="123">
        <v>-9595</v>
      </c>
      <c r="BD61" s="122"/>
      <c r="BE61" s="123">
        <v>-11691</v>
      </c>
      <c r="BF61" s="122"/>
      <c r="BG61" s="123">
        <v>-11348</v>
      </c>
      <c r="BH61" s="122"/>
      <c r="BI61" s="123">
        <v>-11431</v>
      </c>
      <c r="BJ61" s="122"/>
      <c r="BK61" s="123">
        <v>-13911</v>
      </c>
      <c r="BL61" s="122"/>
      <c r="BM61" s="123">
        <v>-14611</v>
      </c>
      <c r="BN61" s="122"/>
      <c r="BO61" s="123">
        <v>-16374</v>
      </c>
      <c r="BP61" s="122"/>
      <c r="BQ61" s="123">
        <v>-18038</v>
      </c>
      <c r="BR61" s="122"/>
      <c r="BS61" s="123">
        <v>-20938</v>
      </c>
      <c r="BT61" s="257"/>
      <c r="BU61" s="260">
        <v>-26218.80546800415</v>
      </c>
      <c r="BV61" s="257"/>
      <c r="BW61" s="260"/>
      <c r="BX61" s="257"/>
      <c r="BY61" s="260"/>
    </row>
    <row r="62" spans="1:77" x14ac:dyDescent="0.35">
      <c r="A62" s="66" t="s">
        <v>227</v>
      </c>
      <c r="C62" s="123">
        <v>0</v>
      </c>
      <c r="D62" s="92"/>
      <c r="E62" s="123">
        <v>0</v>
      </c>
      <c r="F62" s="92"/>
      <c r="G62" s="123">
        <v>0</v>
      </c>
      <c r="H62" s="92"/>
      <c r="I62" s="123">
        <v>0</v>
      </c>
      <c r="J62" s="92"/>
      <c r="K62" s="123">
        <v>0</v>
      </c>
      <c r="L62" s="92"/>
      <c r="M62" s="123">
        <v>0</v>
      </c>
      <c r="N62" s="92"/>
      <c r="O62" s="123">
        <v>0</v>
      </c>
      <c r="P62" s="92"/>
      <c r="Q62" s="123">
        <v>0</v>
      </c>
      <c r="R62" s="92"/>
      <c r="S62" s="123">
        <v>0</v>
      </c>
      <c r="T62" s="92"/>
      <c r="U62" s="123">
        <f>-1006-106</f>
        <v>-1112</v>
      </c>
      <c r="V62" s="92"/>
      <c r="W62" s="123">
        <f>-1800-157</f>
        <v>-1957</v>
      </c>
      <c r="X62" s="92"/>
      <c r="Y62" s="123">
        <f>-4382-528-W62-U62-S62</f>
        <v>-1841</v>
      </c>
      <c r="Z62" s="92"/>
      <c r="AA62" s="123">
        <f>-1402-157</f>
        <v>-1559</v>
      </c>
      <c r="AB62" s="92"/>
      <c r="AC62" s="123">
        <f>-1235-184</f>
        <v>-1419</v>
      </c>
      <c r="AD62" s="92"/>
      <c r="AE62" s="123">
        <f>-1058-163</f>
        <v>-1221</v>
      </c>
      <c r="AF62" s="92"/>
      <c r="AG62" s="123">
        <f>-4554-667-AE62-AC62-AA62</f>
        <v>-1022</v>
      </c>
      <c r="AH62" s="92"/>
      <c r="AI62" s="123">
        <f>-863-163</f>
        <v>-1026</v>
      </c>
      <c r="AJ62" s="92"/>
      <c r="AK62" s="123">
        <f>-1013179.7/1000</f>
        <v>-1013.1796999999999</v>
      </c>
      <c r="AL62" s="92"/>
      <c r="AM62" s="123">
        <v>-1092</v>
      </c>
      <c r="AN62" s="92"/>
      <c r="AO62" s="123">
        <v>-1131.9273799999999</v>
      </c>
      <c r="AP62" s="92"/>
      <c r="AQ62" s="123">
        <v>-1101.3163400000001</v>
      </c>
      <c r="AR62" s="122"/>
      <c r="AS62" s="123">
        <v>-982.47474</v>
      </c>
      <c r="AT62" s="122"/>
      <c r="AU62" s="123">
        <v>-802</v>
      </c>
      <c r="AV62" s="122"/>
      <c r="AW62" s="123">
        <v>-522.20891999999981</v>
      </c>
      <c r="AX62" s="122"/>
      <c r="AY62" s="123">
        <v>-340</v>
      </c>
      <c r="AZ62" s="122"/>
      <c r="BA62" s="123">
        <v>-80.101150000000004</v>
      </c>
      <c r="BB62" s="122"/>
      <c r="BC62" s="123">
        <v>0</v>
      </c>
      <c r="BD62" s="122"/>
      <c r="BE62" s="123">
        <v>0</v>
      </c>
      <c r="BF62" s="122"/>
      <c r="BG62" s="123">
        <v>0</v>
      </c>
      <c r="BH62" s="122"/>
      <c r="BI62" s="123">
        <v>0</v>
      </c>
      <c r="BJ62" s="122"/>
      <c r="BK62" s="123">
        <v>0</v>
      </c>
      <c r="BL62" s="122"/>
      <c r="BM62" s="123">
        <v>0</v>
      </c>
      <c r="BN62" s="122"/>
      <c r="BO62" s="123">
        <v>-122</v>
      </c>
      <c r="BP62" s="122"/>
      <c r="BQ62" s="123">
        <v>-7832</v>
      </c>
      <c r="BR62" s="122"/>
      <c r="BS62" s="123">
        <v>-8910</v>
      </c>
      <c r="BT62" s="257"/>
      <c r="BU62" s="260">
        <v>-8472.2523500000061</v>
      </c>
      <c r="BV62" s="257"/>
      <c r="BW62" s="260"/>
      <c r="BX62" s="257"/>
      <c r="BY62" s="260"/>
    </row>
    <row r="63" spans="1:77" x14ac:dyDescent="0.35">
      <c r="A63" s="66" t="s">
        <v>228</v>
      </c>
      <c r="C63" s="123">
        <f>-90-116</f>
        <v>-206</v>
      </c>
      <c r="D63" s="92"/>
      <c r="E63" s="123">
        <f>-105+41</f>
        <v>-64</v>
      </c>
      <c r="F63" s="92"/>
      <c r="G63" s="123">
        <f>-1105+204</f>
        <v>-901</v>
      </c>
      <c r="H63" s="92"/>
      <c r="I63" s="123">
        <f>1233-1152</f>
        <v>81</v>
      </c>
      <c r="J63" s="92"/>
      <c r="K63" s="123">
        <v>-515</v>
      </c>
      <c r="L63" s="92"/>
      <c r="M63" s="123">
        <f>1859-1762</f>
        <v>97</v>
      </c>
      <c r="N63" s="92"/>
      <c r="O63" s="123">
        <f>1062-1758</f>
        <v>-696</v>
      </c>
      <c r="P63" s="92"/>
      <c r="Q63" s="123">
        <f>1663-4187+578-O63-M63-K63</f>
        <v>-832</v>
      </c>
      <c r="R63" s="92"/>
      <c r="S63" s="123">
        <v>-966</v>
      </c>
      <c r="T63" s="92"/>
      <c r="U63" s="123">
        <f>265-24</f>
        <v>241</v>
      </c>
      <c r="V63" s="92"/>
      <c r="W63" s="123">
        <v>-289</v>
      </c>
      <c r="X63" s="92"/>
      <c r="Y63" s="123">
        <f>-1085-715+438-W63-U63-S63</f>
        <v>-348</v>
      </c>
      <c r="Z63" s="92"/>
      <c r="AA63" s="123">
        <f>-621-6</f>
        <v>-627</v>
      </c>
      <c r="AB63" s="92"/>
      <c r="AC63" s="123">
        <f>621+1170-2195-AC64</f>
        <v>-375</v>
      </c>
      <c r="AD63" s="92"/>
      <c r="AE63" s="123">
        <f>-1170-671+1776-AE64</f>
        <v>-46</v>
      </c>
      <c r="AF63" s="92"/>
      <c r="AG63" s="123">
        <f>-670-574-AE63-AC63-AA63-SUM(AA64:AG64)</f>
        <v>-58</v>
      </c>
      <c r="AH63" s="92"/>
      <c r="AI63" s="123">
        <f>-22-AI64</f>
        <v>-1</v>
      </c>
      <c r="AJ63" s="92"/>
      <c r="AK63" s="123">
        <f>-29169.64/1000</f>
        <v>-29.169640000000001</v>
      </c>
      <c r="AL63" s="92"/>
      <c r="AM63" s="123">
        <f>-364-116-AM64</f>
        <v>-425</v>
      </c>
      <c r="AN63" s="92"/>
      <c r="AO63" s="123">
        <v>35.131050000000002</v>
      </c>
      <c r="AP63" s="92"/>
      <c r="AQ63" s="123">
        <v>-38.831980000000001</v>
      </c>
      <c r="AR63" s="122"/>
      <c r="AS63" s="123">
        <f>-4.26577</f>
        <v>-4.2657699999999998</v>
      </c>
      <c r="AT63" s="122"/>
      <c r="AU63" s="123">
        <f>-1+17</f>
        <v>16</v>
      </c>
      <c r="AV63" s="122"/>
      <c r="AW63" s="123">
        <v>288.09775000000002</v>
      </c>
      <c r="AX63" s="122"/>
      <c r="AY63" s="123">
        <v>183</v>
      </c>
      <c r="AZ63" s="122"/>
      <c r="BA63" s="123">
        <v>-307.00457999999998</v>
      </c>
      <c r="BB63" s="122"/>
      <c r="BC63" s="123">
        <v>196</v>
      </c>
      <c r="BD63" s="122"/>
      <c r="BE63" s="123">
        <v>-2493</v>
      </c>
      <c r="BF63" s="122"/>
      <c r="BG63" s="123">
        <v>-610</v>
      </c>
      <c r="BH63" s="122"/>
      <c r="BI63" s="123">
        <v>693</v>
      </c>
      <c r="BJ63" s="122"/>
      <c r="BK63" s="123">
        <v>1043</v>
      </c>
      <c r="BL63" s="122"/>
      <c r="BM63" s="123">
        <v>3331</v>
      </c>
      <c r="BN63" s="122"/>
      <c r="BO63" s="123">
        <v>1605</v>
      </c>
      <c r="BP63" s="122"/>
      <c r="BQ63" s="123">
        <v>1188</v>
      </c>
      <c r="BR63" s="122"/>
      <c r="BS63" s="123">
        <v>7</v>
      </c>
      <c r="BT63" s="257"/>
      <c r="BU63" s="260">
        <v>1486.55825</v>
      </c>
      <c r="BV63" s="257"/>
      <c r="BW63" s="260"/>
      <c r="BX63" s="257"/>
      <c r="BY63" s="260"/>
    </row>
    <row r="64" spans="1:77" x14ac:dyDescent="0.35">
      <c r="A64" s="66" t="s">
        <v>229</v>
      </c>
      <c r="C64" s="123">
        <v>-673</v>
      </c>
      <c r="D64" s="92"/>
      <c r="E64" s="123">
        <v>-600</v>
      </c>
      <c r="F64" s="92"/>
      <c r="G64" s="123">
        <v>-207</v>
      </c>
      <c r="H64" s="92"/>
      <c r="I64" s="123">
        <v>-179</v>
      </c>
      <c r="J64" s="92"/>
      <c r="K64" s="123">
        <v>-212</v>
      </c>
      <c r="L64" s="92"/>
      <c r="M64" s="123">
        <v>-149</v>
      </c>
      <c r="N64" s="92"/>
      <c r="O64" s="123">
        <v>-140</v>
      </c>
      <c r="P64" s="92"/>
      <c r="Q64" s="123">
        <f>-578-O64-M64-K64</f>
        <v>-77</v>
      </c>
      <c r="R64" s="92"/>
      <c r="S64" s="123">
        <v>-129</v>
      </c>
      <c r="T64" s="92"/>
      <c r="U64" s="123">
        <v>-130</v>
      </c>
      <c r="V64" s="92"/>
      <c r="W64" s="123">
        <f>-387-U64-S64</f>
        <v>-128</v>
      </c>
      <c r="X64" s="92"/>
      <c r="Y64" s="123">
        <f>-438-W64-U64-S64</f>
        <v>-51</v>
      </c>
      <c r="Z64" s="92"/>
      <c r="AA64" s="123">
        <v>-69</v>
      </c>
      <c r="AB64" s="92"/>
      <c r="AC64" s="123">
        <f>-98-AA64</f>
        <v>-29</v>
      </c>
      <c r="AD64" s="92"/>
      <c r="AE64" s="123">
        <f>-117-AC64-AA64</f>
        <v>-19</v>
      </c>
      <c r="AF64" s="92"/>
      <c r="AG64" s="123">
        <f>-138-AE64-AC64-AA64</f>
        <v>-21</v>
      </c>
      <c r="AH64" s="92"/>
      <c r="AI64" s="123">
        <v>-21</v>
      </c>
      <c r="AJ64" s="92"/>
      <c r="AK64" s="123">
        <f>-35.89094</f>
        <v>-35.890940000000001</v>
      </c>
      <c r="AL64" s="92"/>
      <c r="AM64" s="123">
        <v>-55</v>
      </c>
      <c r="AN64" s="92"/>
      <c r="AO64" s="123">
        <v>-65.465599999999995</v>
      </c>
      <c r="AP64" s="92"/>
      <c r="AQ64" s="123">
        <v>-151.86498</v>
      </c>
      <c r="AR64" s="122"/>
      <c r="AS64" s="123">
        <v>-378.07309999999995</v>
      </c>
      <c r="AT64" s="122"/>
      <c r="AU64" s="123">
        <f>-501+5</f>
        <v>-496</v>
      </c>
      <c r="AV64" s="122"/>
      <c r="AW64" s="123">
        <v>-387.06192000000004</v>
      </c>
      <c r="AX64" s="122"/>
      <c r="AY64" s="123">
        <v>-665</v>
      </c>
      <c r="AZ64" s="122"/>
      <c r="BA64" s="123">
        <v>-853</v>
      </c>
      <c r="BB64" s="122"/>
      <c r="BC64" s="123">
        <v>-1044</v>
      </c>
      <c r="BD64" s="122"/>
      <c r="BE64" s="123">
        <v>-411</v>
      </c>
      <c r="BF64" s="122"/>
      <c r="BG64" s="123">
        <v>-794</v>
      </c>
      <c r="BH64" s="122"/>
      <c r="BI64" s="123">
        <v>-585</v>
      </c>
      <c r="BJ64" s="122"/>
      <c r="BK64" s="123">
        <v>-5566</v>
      </c>
      <c r="BL64" s="122"/>
      <c r="BM64" s="123">
        <v>-4099</v>
      </c>
      <c r="BN64" s="122"/>
      <c r="BO64" s="123">
        <v>-4416</v>
      </c>
      <c r="BP64" s="122"/>
      <c r="BQ64" s="123">
        <v>-4639</v>
      </c>
      <c r="BR64" s="122"/>
      <c r="BS64" s="123">
        <v>-4588</v>
      </c>
      <c r="BT64" s="257"/>
      <c r="BU64" s="260">
        <v>-25.887409999999999</v>
      </c>
      <c r="BV64" s="257"/>
      <c r="BW64" s="260"/>
      <c r="BX64" s="257"/>
      <c r="BY64" s="260"/>
    </row>
    <row r="65" spans="1:77" x14ac:dyDescent="0.35">
      <c r="A65" s="66" t="s">
        <v>230</v>
      </c>
      <c r="C65" s="123">
        <v>66</v>
      </c>
      <c r="D65" s="92"/>
      <c r="E65" s="123">
        <v>31</v>
      </c>
      <c r="F65" s="92"/>
      <c r="G65" s="123">
        <v>381</v>
      </c>
      <c r="H65" s="92"/>
      <c r="I65" s="123">
        <v>333</v>
      </c>
      <c r="J65" s="92"/>
      <c r="K65" s="123">
        <v>149</v>
      </c>
      <c r="L65" s="92"/>
      <c r="M65" s="123">
        <v>181</v>
      </c>
      <c r="N65" s="92"/>
      <c r="O65" s="123">
        <f>449</f>
        <v>449</v>
      </c>
      <c r="P65" s="92"/>
      <c r="Q65" s="123">
        <f>1253-O65-M65-K65</f>
        <v>474</v>
      </c>
      <c r="R65" s="92"/>
      <c r="S65" s="123">
        <v>70</v>
      </c>
      <c r="T65" s="92"/>
      <c r="U65" s="123">
        <v>93</v>
      </c>
      <c r="V65" s="92"/>
      <c r="W65" s="123">
        <v>56</v>
      </c>
      <c r="X65" s="92"/>
      <c r="Y65" s="123">
        <f>434-W65-U65-S65</f>
        <v>215</v>
      </c>
      <c r="Z65" s="92"/>
      <c r="AA65" s="123">
        <v>50</v>
      </c>
      <c r="AB65" s="92"/>
      <c r="AC65" s="123">
        <v>121</v>
      </c>
      <c r="AD65" s="92"/>
      <c r="AE65" s="123">
        <v>206</v>
      </c>
      <c r="AF65" s="92"/>
      <c r="AG65" s="123">
        <f>502-AE65-AC65-AA65</f>
        <v>125</v>
      </c>
      <c r="AH65" s="92"/>
      <c r="AI65" s="123">
        <v>90</v>
      </c>
      <c r="AJ65" s="92"/>
      <c r="AK65" s="123">
        <f>-(-302525.79+90203.66)/1000</f>
        <v>212.32212999999999</v>
      </c>
      <c r="AL65" s="92"/>
      <c r="AM65" s="123">
        <v>105</v>
      </c>
      <c r="AN65" s="92"/>
      <c r="AO65" s="123">
        <v>41.79278</v>
      </c>
      <c r="AP65" s="92"/>
      <c r="AQ65" s="123">
        <v>41.4711</v>
      </c>
      <c r="AR65" s="122"/>
      <c r="AS65" s="123">
        <v>144.22516000000002</v>
      </c>
      <c r="AT65" s="122"/>
      <c r="AU65" s="123">
        <v>644.37874999999997</v>
      </c>
      <c r="AV65" s="122"/>
      <c r="AW65" s="123">
        <v>31.924990000000015</v>
      </c>
      <c r="AX65" s="122"/>
      <c r="AY65" s="123">
        <v>7</v>
      </c>
      <c r="AZ65" s="122"/>
      <c r="BA65" s="123">
        <v>7.7959900000000291</v>
      </c>
      <c r="BB65" s="122"/>
      <c r="BC65" s="123">
        <v>71</v>
      </c>
      <c r="BD65" s="122"/>
      <c r="BE65" s="123">
        <v>173</v>
      </c>
      <c r="BF65" s="122"/>
      <c r="BG65" s="123">
        <v>205</v>
      </c>
      <c r="BH65" s="122"/>
      <c r="BI65" s="123">
        <v>41</v>
      </c>
      <c r="BJ65" s="122"/>
      <c r="BK65" s="123">
        <v>354</v>
      </c>
      <c r="BL65" s="122"/>
      <c r="BM65" s="123">
        <v>0</v>
      </c>
      <c r="BN65" s="122"/>
      <c r="BO65" s="123">
        <v>0</v>
      </c>
      <c r="BP65" s="122"/>
      <c r="BQ65" s="123">
        <v>0</v>
      </c>
      <c r="BR65" s="122"/>
      <c r="BS65" s="123">
        <v>0</v>
      </c>
      <c r="BT65" s="257"/>
      <c r="BU65" s="260">
        <v>43.891320000000128</v>
      </c>
      <c r="BV65" s="257"/>
      <c r="BW65" s="260"/>
      <c r="BX65" s="257"/>
      <c r="BY65" s="260"/>
    </row>
    <row r="66" spans="1:77" x14ac:dyDescent="0.35">
      <c r="A66" s="66" t="s">
        <v>231</v>
      </c>
      <c r="C66" s="123">
        <v>0</v>
      </c>
      <c r="D66" s="92"/>
      <c r="E66" s="123">
        <v>0</v>
      </c>
      <c r="F66" s="92"/>
      <c r="G66" s="123">
        <v>0</v>
      </c>
      <c r="H66" s="92"/>
      <c r="I66" s="123">
        <v>0</v>
      </c>
      <c r="J66" s="92"/>
      <c r="K66" s="123">
        <v>0</v>
      </c>
      <c r="L66" s="92"/>
      <c r="M66" s="123">
        <v>-21</v>
      </c>
      <c r="N66" s="92"/>
      <c r="O66" s="123">
        <f>-25-4-439</f>
        <v>-468</v>
      </c>
      <c r="P66" s="92"/>
      <c r="Q66" s="123">
        <f>-782-O66-M66-K66</f>
        <v>-293</v>
      </c>
      <c r="R66" s="92"/>
      <c r="S66" s="123">
        <v>-372</v>
      </c>
      <c r="T66" s="92"/>
      <c r="U66" s="123">
        <v>-737</v>
      </c>
      <c r="V66" s="92"/>
      <c r="W66" s="123">
        <v>-1077</v>
      </c>
      <c r="X66" s="92"/>
      <c r="Y66" s="123">
        <f>-3242-W66-U66-S66</f>
        <v>-1056</v>
      </c>
      <c r="Z66" s="92"/>
      <c r="AA66" s="123">
        <v>-384</v>
      </c>
      <c r="AB66" s="92"/>
      <c r="AC66" s="123">
        <v>-71</v>
      </c>
      <c r="AD66" s="92"/>
      <c r="AE66" s="123">
        <v>-58</v>
      </c>
      <c r="AF66" s="92"/>
      <c r="AG66" s="123">
        <f>-590-AE66-AC66-AA66</f>
        <v>-77</v>
      </c>
      <c r="AH66" s="92"/>
      <c r="AI66" s="123">
        <v>-116</v>
      </c>
      <c r="AJ66" s="92"/>
      <c r="AK66" s="123">
        <f>-58.7344</f>
        <v>-58.734400000000001</v>
      </c>
      <c r="AL66" s="92"/>
      <c r="AM66" s="123">
        <v>-128</v>
      </c>
      <c r="AN66" s="92"/>
      <c r="AO66" s="123">
        <v>-552.52049</v>
      </c>
      <c r="AP66" s="92"/>
      <c r="AQ66" s="123">
        <v>-587.94156999999996</v>
      </c>
      <c r="AR66" s="122"/>
      <c r="AS66" s="123">
        <v>-1904.3729699999999</v>
      </c>
      <c r="AT66" s="122"/>
      <c r="AU66" s="123">
        <v>-2946</v>
      </c>
      <c r="AV66" s="122"/>
      <c r="AW66" s="123">
        <v>-4654.6854599999997</v>
      </c>
      <c r="AX66" s="122"/>
      <c r="AY66" s="123">
        <v>-2975</v>
      </c>
      <c r="AZ66" s="122"/>
      <c r="BA66" s="123">
        <v>-561.73075999999992</v>
      </c>
      <c r="BB66" s="122"/>
      <c r="BC66" s="123">
        <v>-2910</v>
      </c>
      <c r="BD66" s="122"/>
      <c r="BE66" s="123">
        <v>-1943</v>
      </c>
      <c r="BF66" s="122"/>
      <c r="BG66" s="123">
        <v>-296</v>
      </c>
      <c r="BH66" s="122"/>
      <c r="BI66" s="123">
        <v>-697</v>
      </c>
      <c r="BJ66" s="122"/>
      <c r="BK66" s="123">
        <v>-594</v>
      </c>
      <c r="BL66" s="122"/>
      <c r="BM66" s="123">
        <v>-1147</v>
      </c>
      <c r="BN66" s="122"/>
      <c r="BO66" s="123">
        <v>-226</v>
      </c>
      <c r="BP66" s="122"/>
      <c r="BQ66" s="123">
        <v>-523</v>
      </c>
      <c r="BR66" s="122"/>
      <c r="BS66" s="123">
        <v>-353</v>
      </c>
      <c r="BT66" s="257"/>
      <c r="BU66" s="260">
        <v>-859.48187000000075</v>
      </c>
      <c r="BV66" s="257"/>
      <c r="BW66" s="260"/>
      <c r="BX66" s="257"/>
      <c r="BY66" s="260"/>
    </row>
    <row r="67" spans="1:77" x14ac:dyDescent="0.35">
      <c r="A67" s="66" t="s">
        <v>232</v>
      </c>
      <c r="C67" s="123">
        <v>-1</v>
      </c>
      <c r="D67" s="92"/>
      <c r="E67" s="123">
        <v>-26</v>
      </c>
      <c r="F67" s="92"/>
      <c r="G67" s="123">
        <v>-277</v>
      </c>
      <c r="H67" s="92"/>
      <c r="I67" s="123">
        <v>-187</v>
      </c>
      <c r="J67" s="92"/>
      <c r="K67" s="123">
        <v>-435</v>
      </c>
      <c r="L67" s="92"/>
      <c r="M67" s="123">
        <v>-636</v>
      </c>
      <c r="N67" s="92"/>
      <c r="O67" s="123">
        <v>-343</v>
      </c>
      <c r="P67" s="92"/>
      <c r="Q67" s="123">
        <f>-1740-O67-M67-K67</f>
        <v>-326</v>
      </c>
      <c r="R67" s="92"/>
      <c r="S67" s="123">
        <v>-141</v>
      </c>
      <c r="T67" s="92"/>
      <c r="U67" s="123">
        <v>-664</v>
      </c>
      <c r="V67" s="92"/>
      <c r="W67" s="123">
        <v>-169</v>
      </c>
      <c r="X67" s="92"/>
      <c r="Y67" s="123">
        <f>-1085-W67-U67-S67</f>
        <v>-111</v>
      </c>
      <c r="Z67" s="92"/>
      <c r="AA67" s="123">
        <v>-274</v>
      </c>
      <c r="AB67" s="92"/>
      <c r="AC67" s="123">
        <v>-66</v>
      </c>
      <c r="AD67" s="92"/>
      <c r="AE67" s="123">
        <v>-103</v>
      </c>
      <c r="AF67" s="92"/>
      <c r="AG67" s="123">
        <f>-602-AE67-AC67-AA67</f>
        <v>-159</v>
      </c>
      <c r="AH67" s="92"/>
      <c r="AI67" s="123">
        <v>-116</v>
      </c>
      <c r="AJ67" s="92"/>
      <c r="AK67" s="123">
        <f>-25957/1000</f>
        <v>-25.957000000000001</v>
      </c>
      <c r="AL67" s="92"/>
      <c r="AM67" s="123">
        <v>-413</v>
      </c>
      <c r="AN67" s="92"/>
      <c r="AO67" s="123">
        <v>-258.26841999999999</v>
      </c>
      <c r="AP67" s="92"/>
      <c r="AQ67" s="123">
        <v>-129.89242999999999</v>
      </c>
      <c r="AR67" s="122"/>
      <c r="AS67" s="123">
        <f>-54.50935+36</f>
        <v>-18.509349999999998</v>
      </c>
      <c r="AT67" s="122"/>
      <c r="AU67" s="123">
        <v>-134</v>
      </c>
      <c r="AV67" s="122"/>
      <c r="AW67" s="123">
        <v>-138.59822000000003</v>
      </c>
      <c r="AX67" s="122"/>
      <c r="AY67" s="123">
        <v>-126</v>
      </c>
      <c r="AZ67" s="122"/>
      <c r="BA67" s="123">
        <v>-128.65295999999975</v>
      </c>
      <c r="BB67" s="122"/>
      <c r="BC67" s="123">
        <v>-104</v>
      </c>
      <c r="BD67" s="122"/>
      <c r="BE67" s="123">
        <v>-200</v>
      </c>
      <c r="BF67" s="122"/>
      <c r="BG67" s="123">
        <v>-136</v>
      </c>
      <c r="BH67" s="122"/>
      <c r="BI67" s="123">
        <v>-201</v>
      </c>
      <c r="BJ67" s="122"/>
      <c r="BK67" s="123">
        <v>-217</v>
      </c>
      <c r="BL67" s="122"/>
      <c r="BM67" s="123">
        <v>-516</v>
      </c>
      <c r="BN67" s="122"/>
      <c r="BO67" s="123">
        <v>-378</v>
      </c>
      <c r="BP67" s="122"/>
      <c r="BQ67" s="123">
        <v>-351</v>
      </c>
      <c r="BR67" s="122"/>
      <c r="BS67" s="123">
        <v>-260</v>
      </c>
      <c r="BT67" s="257"/>
      <c r="BU67" s="260">
        <v>-126.50426322624904</v>
      </c>
      <c r="BV67" s="257"/>
      <c r="BW67" s="260"/>
      <c r="BX67" s="257"/>
      <c r="BY67" s="260"/>
    </row>
    <row r="68" spans="1:77" x14ac:dyDescent="0.35">
      <c r="A68" s="66" t="s">
        <v>233</v>
      </c>
      <c r="C68" s="123">
        <v>38</v>
      </c>
      <c r="D68" s="92"/>
      <c r="E68" s="123">
        <v>-121</v>
      </c>
      <c r="F68" s="92"/>
      <c r="G68" s="123">
        <v>-376</v>
      </c>
      <c r="H68" s="92"/>
      <c r="I68" s="123">
        <v>-171</v>
      </c>
      <c r="J68" s="92"/>
      <c r="K68" s="123">
        <v>329</v>
      </c>
      <c r="L68" s="92"/>
      <c r="M68" s="123">
        <v>-551</v>
      </c>
      <c r="N68" s="92"/>
      <c r="O68" s="123">
        <v>701</v>
      </c>
      <c r="P68" s="92"/>
      <c r="Q68" s="123">
        <f>1398-O68-M68-K68</f>
        <v>919</v>
      </c>
      <c r="R68" s="92"/>
      <c r="S68" s="123">
        <v>787</v>
      </c>
      <c r="T68" s="92"/>
      <c r="U68" s="123">
        <v>-185</v>
      </c>
      <c r="V68" s="92"/>
      <c r="W68" s="123">
        <v>237</v>
      </c>
      <c r="X68" s="92"/>
      <c r="Y68" s="123">
        <f>2915+45+27+370-388-2-1035-711-383-W68-U68-S68</f>
        <v>-1</v>
      </c>
      <c r="Z68" s="92"/>
      <c r="AA68" s="123">
        <f>1033-731-105-185-41-91</f>
        <v>-120</v>
      </c>
      <c r="AB68" s="92"/>
      <c r="AC68" s="123">
        <f>552+43-173-177-103</f>
        <v>142</v>
      </c>
      <c r="AD68" s="92"/>
      <c r="AE68" s="123">
        <f>155+24-177-195-176-89</f>
        <v>-458</v>
      </c>
      <c r="AF68" s="92"/>
      <c r="AG68" s="123">
        <f>81+1882-731-726-589-316-199-41-27-AE68-AC68-AA68</f>
        <v>-230</v>
      </c>
      <c r="AH68" s="92"/>
      <c r="AI68" s="123">
        <f>288-23-0-167-0-87-30+18</f>
        <v>-1</v>
      </c>
      <c r="AJ68" s="92"/>
      <c r="AK68" s="123">
        <f>SUM(AK25:AK26)-SUM(AK60:AK67)</f>
        <v>113.59514999999988</v>
      </c>
      <c r="AL68" s="92"/>
      <c r="AM68" s="123">
        <f>SUM(AM25:AM26)-SUM(AM60:AM67)</f>
        <v>-55</v>
      </c>
      <c r="AN68" s="92"/>
      <c r="AO68" s="123">
        <v>-413.10568999999998</v>
      </c>
      <c r="AP68" s="92"/>
      <c r="AQ68" s="123">
        <v>190.15362999999999</v>
      </c>
      <c r="AR68" s="122"/>
      <c r="AS68" s="123">
        <f>-310.96403+250-36</f>
        <v>-96.96402999999998</v>
      </c>
      <c r="AT68" s="122"/>
      <c r="AU68" s="123">
        <f>328+63-140-1-35-408-133-68-10</f>
        <v>-404</v>
      </c>
      <c r="AV68" s="122"/>
      <c r="AW68" s="123">
        <v>-1131.1895999999999</v>
      </c>
      <c r="AX68" s="122"/>
      <c r="AY68" s="123">
        <v>-574</v>
      </c>
      <c r="AZ68" s="122"/>
      <c r="BA68" s="123">
        <v>-839.23784999999498</v>
      </c>
      <c r="BB68" s="122"/>
      <c r="BC68" s="123">
        <v>-638</v>
      </c>
      <c r="BD68" s="122"/>
      <c r="BE68" s="123">
        <v>-928</v>
      </c>
      <c r="BF68" s="122"/>
      <c r="BG68" s="123">
        <v>-1555</v>
      </c>
      <c r="BH68" s="122"/>
      <c r="BI68" s="123">
        <v>-1372</v>
      </c>
      <c r="BJ68" s="122"/>
      <c r="BK68" s="123">
        <v>-1585</v>
      </c>
      <c r="BL68" s="122"/>
      <c r="BM68" s="123">
        <v>-1841</v>
      </c>
      <c r="BN68" s="122"/>
      <c r="BO68" s="123">
        <v>-1315</v>
      </c>
      <c r="BP68" s="122"/>
      <c r="BQ68" s="123">
        <v>-133</v>
      </c>
      <c r="BR68" s="122"/>
      <c r="BS68" s="123">
        <v>-93</v>
      </c>
      <c r="BT68" s="257"/>
      <c r="BU68" s="260">
        <v>-8911.5417019776178</v>
      </c>
      <c r="BV68" s="257"/>
      <c r="BW68" s="260"/>
      <c r="BX68" s="257"/>
      <c r="BY68" s="260"/>
    </row>
    <row r="69" spans="1:77" s="95" customFormat="1" x14ac:dyDescent="0.35">
      <c r="A69" s="95" t="s">
        <v>76</v>
      </c>
      <c r="C69" s="96">
        <f>SUM(C60:C68)</f>
        <v>-868</v>
      </c>
      <c r="D69" s="96"/>
      <c r="E69" s="96">
        <f t="shared" ref="E69:W69" si="1">SUM(E60:E68)</f>
        <v>-1397</v>
      </c>
      <c r="F69" s="96"/>
      <c r="G69" s="96">
        <f t="shared" si="1"/>
        <v>-2506</v>
      </c>
      <c r="H69" s="96"/>
      <c r="I69" s="96">
        <f t="shared" si="1"/>
        <v>-1364</v>
      </c>
      <c r="J69" s="96"/>
      <c r="K69" s="96">
        <f t="shared" si="1"/>
        <v>-2428</v>
      </c>
      <c r="L69" s="96"/>
      <c r="M69" s="96">
        <f t="shared" si="1"/>
        <v>-2741</v>
      </c>
      <c r="N69" s="96"/>
      <c r="O69" s="96">
        <f>SUM(O60:O68)</f>
        <v>-2071</v>
      </c>
      <c r="P69" s="96"/>
      <c r="Q69" s="96">
        <f t="shared" si="1"/>
        <v>-1891</v>
      </c>
      <c r="R69" s="96"/>
      <c r="S69" s="96">
        <f t="shared" si="1"/>
        <v>-2503</v>
      </c>
      <c r="T69" s="96"/>
      <c r="U69" s="96">
        <f t="shared" si="1"/>
        <v>-3963</v>
      </c>
      <c r="V69" s="96"/>
      <c r="W69" s="96">
        <f t="shared" si="1"/>
        <v>-3653</v>
      </c>
      <c r="X69" s="96"/>
      <c r="Y69" s="96">
        <f>SUM(Y60:Y68)</f>
        <v>-3466</v>
      </c>
      <c r="AA69" s="96">
        <f>SUM(AA60:AA68)</f>
        <v>-2572</v>
      </c>
      <c r="AC69" s="96">
        <f>SUM(AC60:AC68)</f>
        <v>-884</v>
      </c>
      <c r="AE69" s="96">
        <f>SUM(AE60:AE68)</f>
        <v>-1240</v>
      </c>
      <c r="AF69" s="66"/>
      <c r="AG69" s="96">
        <f>SUM(AG60:AG68)</f>
        <v>-1814</v>
      </c>
      <c r="AI69" s="96">
        <f>SUM(AI60:AI68)</f>
        <v>-861</v>
      </c>
      <c r="AK69" s="96">
        <f>SUM(AK60:AK68)</f>
        <v>-556</v>
      </c>
      <c r="AM69" s="96">
        <f>SUM(AM60:AM68)</f>
        <v>-1358</v>
      </c>
      <c r="AO69" s="96">
        <f>SUM(AO60:AO68)</f>
        <v>-1538.0830099999998</v>
      </c>
      <c r="AQ69" s="96">
        <f>SUM(AQ60:AQ68)</f>
        <v>-1423.31384</v>
      </c>
      <c r="AR69" s="97"/>
      <c r="AS69" s="96">
        <f>SUM(AS60:AS68)</f>
        <v>-3802.2271299999998</v>
      </c>
      <c r="AT69" s="97"/>
      <c r="AU69" s="96">
        <f>SUM(AU60:AU68)</f>
        <v>-6467.6212500000001</v>
      </c>
      <c r="AV69" s="97"/>
      <c r="AW69" s="96">
        <f>SUM(AW60:AW68)</f>
        <v>-8584.8377799999998</v>
      </c>
      <c r="AX69" s="97"/>
      <c r="AY69" s="96">
        <f>SUM(AY60:AY68)</f>
        <v>-7507</v>
      </c>
      <c r="AZ69" s="97"/>
      <c r="BA69" s="96">
        <f>SUM(BA60:BA68)</f>
        <v>-9261.0502899999956</v>
      </c>
      <c r="BB69" s="97"/>
      <c r="BC69" s="96">
        <f>SUM(BC60:BC68)</f>
        <v>-12423</v>
      </c>
      <c r="BD69" s="97"/>
      <c r="BE69" s="96">
        <f>SUM(BE60:BE68)</f>
        <v>-15797</v>
      </c>
      <c r="BF69" s="97"/>
      <c r="BG69" s="96">
        <f>SUM(BG60:BG68)</f>
        <v>-11289</v>
      </c>
      <c r="BH69" s="97"/>
      <c r="BI69" s="96">
        <f>SUM(BI60:BI68)</f>
        <v>-10315</v>
      </c>
      <c r="BJ69" s="97"/>
      <c r="BK69" s="96">
        <f>SUM(BK60:BK68)</f>
        <v>-15655</v>
      </c>
      <c r="BL69" s="97"/>
      <c r="BM69" s="96">
        <f>SUM(BM60:BM68)</f>
        <v>-14821</v>
      </c>
      <c r="BN69" s="97"/>
      <c r="BO69" s="96">
        <f>SUM(BO60:BO68)</f>
        <v>-15798</v>
      </c>
      <c r="BP69" s="97"/>
      <c r="BQ69" s="96">
        <f>SUM(BQ60:BQ68)</f>
        <v>-20796</v>
      </c>
      <c r="BR69" s="97"/>
      <c r="BS69" s="96">
        <f>SUM(BS60:BS68)</f>
        <v>-20577</v>
      </c>
      <c r="BT69" s="252"/>
      <c r="BU69" s="261">
        <f>SUM(BU60:BU68)</f>
        <v>-30809.103828925152</v>
      </c>
      <c r="BV69" s="252"/>
      <c r="BW69" s="261"/>
      <c r="BX69" s="252"/>
      <c r="BY69" s="261"/>
    </row>
    <row r="70" spans="1:77" x14ac:dyDescent="0.35">
      <c r="A70" s="66" t="s">
        <v>166</v>
      </c>
      <c r="C70" s="91">
        <f>C25+C26</f>
        <v>-868</v>
      </c>
      <c r="D70" s="91"/>
      <c r="E70" s="91">
        <f>E25+E26</f>
        <v>-1397</v>
      </c>
      <c r="F70" s="91"/>
      <c r="G70" s="91">
        <f>G25+G26</f>
        <v>-2506</v>
      </c>
      <c r="H70" s="91"/>
      <c r="I70" s="91">
        <f>I25+I26</f>
        <v>-1364</v>
      </c>
      <c r="J70" s="91"/>
      <c r="K70" s="91">
        <f>K25+K26</f>
        <v>-2428</v>
      </c>
      <c r="L70" s="91"/>
      <c r="M70" s="91">
        <f>M25+M26</f>
        <v>-2741</v>
      </c>
      <c r="N70" s="91"/>
      <c r="O70" s="91">
        <f>O25+O26</f>
        <v>-2071</v>
      </c>
      <c r="P70" s="91"/>
      <c r="Q70" s="91">
        <f>Q25+Q26</f>
        <v>-1891</v>
      </c>
      <c r="R70" s="91"/>
      <c r="S70" s="91">
        <f>S25+S26</f>
        <v>-2503</v>
      </c>
      <c r="T70" s="91"/>
      <c r="U70" s="91">
        <f>U25+U26</f>
        <v>-3963</v>
      </c>
      <c r="V70" s="91"/>
      <c r="W70" s="91">
        <f>W25+W26</f>
        <v>-3653</v>
      </c>
      <c r="X70" s="91"/>
      <c r="Y70" s="91">
        <f>Y25+Y26</f>
        <v>-3466</v>
      </c>
      <c r="AA70" s="91">
        <f>AA25+AA26</f>
        <v>-2572</v>
      </c>
      <c r="AC70" s="91">
        <f>AC25+AC26</f>
        <v>-884</v>
      </c>
      <c r="AE70" s="91">
        <f>AE25+AE26</f>
        <v>-1240</v>
      </c>
      <c r="AG70" s="91">
        <f>AG25+AG26</f>
        <v>-1814</v>
      </c>
      <c r="AI70" s="91">
        <f>AI25+AI26</f>
        <v>-861</v>
      </c>
      <c r="AK70" s="98">
        <f>AK25+AK26</f>
        <v>-556</v>
      </c>
      <c r="AM70" s="98">
        <f>AM25+AM26</f>
        <v>-1358</v>
      </c>
      <c r="AO70" s="98">
        <f>AO25+AO26</f>
        <v>-1538</v>
      </c>
      <c r="AQ70" s="98">
        <f>AQ25+AQ26</f>
        <v>-1423</v>
      </c>
      <c r="AS70" s="98">
        <f>AS25+AS26</f>
        <v>-3802</v>
      </c>
      <c r="AU70" s="98">
        <f>AU25+AU26</f>
        <v>-6468</v>
      </c>
      <c r="AW70" s="98">
        <f>AW25+AW26</f>
        <v>-8585</v>
      </c>
      <c r="AY70" s="98">
        <f>AY25+AY26</f>
        <v>-7507</v>
      </c>
      <c r="BA70" s="98">
        <f>BA25+BA26</f>
        <v>-9261</v>
      </c>
      <c r="BC70" s="98">
        <f>BC25+BC26</f>
        <v>-12423</v>
      </c>
      <c r="BE70" s="98">
        <f>BE25+BE26</f>
        <v>-15797</v>
      </c>
      <c r="BG70" s="98">
        <f>BG25+BG26</f>
        <v>-11289</v>
      </c>
      <c r="BI70" s="98">
        <f>BI25+BI26</f>
        <v>-10315</v>
      </c>
      <c r="BK70" s="98">
        <f>BK25+BK26</f>
        <v>-15655</v>
      </c>
      <c r="BM70" s="98">
        <f>BM25+BM26</f>
        <v>-14821</v>
      </c>
      <c r="BO70" s="98">
        <f>BO25+BO26</f>
        <v>-15798</v>
      </c>
      <c r="BQ70" s="98">
        <f>BQ25+BQ26</f>
        <v>-20796</v>
      </c>
      <c r="BS70" s="98">
        <f>BS25+BS26</f>
        <v>-20577</v>
      </c>
      <c r="BU70" s="258">
        <f>BU25+BU26</f>
        <v>-30810</v>
      </c>
      <c r="BW70" s="258"/>
      <c r="BY70" s="258"/>
    </row>
    <row r="71" spans="1:77" x14ac:dyDescent="0.35">
      <c r="C71" s="91"/>
      <c r="K71" s="91"/>
      <c r="M71" s="91"/>
      <c r="O71" s="91"/>
    </row>
    <row r="72" spans="1:77" x14ac:dyDescent="0.35">
      <c r="C72" s="91">
        <f>C70-C69</f>
        <v>0</v>
      </c>
      <c r="E72" s="91">
        <f>E70-E69</f>
        <v>0</v>
      </c>
      <c r="G72" s="91">
        <f>G70-G69</f>
        <v>0</v>
      </c>
      <c r="I72" s="91">
        <f>I70-I69</f>
        <v>0</v>
      </c>
      <c r="K72" s="91">
        <f>K70-K69</f>
        <v>0</v>
      </c>
      <c r="M72" s="91">
        <f>M70-M69</f>
        <v>0</v>
      </c>
      <c r="O72" s="91">
        <f>O70-O69</f>
        <v>0</v>
      </c>
      <c r="Q72" s="91">
        <f>Q70-Q69</f>
        <v>0</v>
      </c>
      <c r="S72" s="91">
        <f>S70-S69</f>
        <v>0</v>
      </c>
      <c r="U72" s="91">
        <f>U70-U69</f>
        <v>0</v>
      </c>
      <c r="W72" s="91">
        <f>W70-W69</f>
        <v>0</v>
      </c>
      <c r="Y72" s="91">
        <f>Y70-Y69</f>
        <v>0</v>
      </c>
      <c r="AA72" s="91">
        <f>AA70-AA69</f>
        <v>0</v>
      </c>
      <c r="AC72" s="91">
        <f>AC70-AC69</f>
        <v>0</v>
      </c>
      <c r="AE72" s="91">
        <f>AE70-AE69</f>
        <v>0</v>
      </c>
      <c r="AG72" s="91">
        <f>AG70-AG69</f>
        <v>0</v>
      </c>
      <c r="AI72" s="91">
        <f>AI70-AI69</f>
        <v>0</v>
      </c>
      <c r="AK72" s="91">
        <f>AK70-AK69</f>
        <v>0</v>
      </c>
      <c r="AM72" s="91">
        <f>AM70-AM69</f>
        <v>0</v>
      </c>
      <c r="AO72" s="91">
        <f>AO70-AO69</f>
        <v>8.3009999999831052E-2</v>
      </c>
      <c r="AQ72" s="91">
        <f>AQ70-AQ69</f>
        <v>0.31384000000002743</v>
      </c>
      <c r="AS72" s="91">
        <f>AS70-AS69</f>
        <v>0.22712999999976091</v>
      </c>
      <c r="AU72" s="91">
        <f>AU70-AU69</f>
        <v>-0.37874999999985448</v>
      </c>
      <c r="AW72" s="91">
        <f>AW70-AW69</f>
        <v>-0.16222000000016124</v>
      </c>
      <c r="AY72" s="91">
        <f>AY70-AY69</f>
        <v>0</v>
      </c>
      <c r="BA72" s="91">
        <f>BA70-BA69</f>
        <v>5.0289999995584367E-2</v>
      </c>
      <c r="BC72" s="91">
        <f>BC70-BC69</f>
        <v>0</v>
      </c>
      <c r="BE72" s="91">
        <f>BE70-BE69</f>
        <v>0</v>
      </c>
      <c r="BG72" s="91">
        <f>BG70-BG69</f>
        <v>0</v>
      </c>
      <c r="BI72" s="91">
        <f>BI70-BI69</f>
        <v>0</v>
      </c>
      <c r="BK72" s="91">
        <f>BK70-BK69</f>
        <v>0</v>
      </c>
      <c r="BM72" s="91">
        <f>BM70-BM69</f>
        <v>0</v>
      </c>
      <c r="BO72" s="91">
        <f>BO70-BO69</f>
        <v>0</v>
      </c>
      <c r="BQ72" s="91">
        <f>BQ70-BQ69</f>
        <v>0</v>
      </c>
      <c r="BS72" s="91">
        <f>BS70-BS69</f>
        <v>0</v>
      </c>
      <c r="BU72" s="256">
        <f t="shared" ref="BU72" si="2">BU70-BU69</f>
        <v>-0.89617107484809821</v>
      </c>
      <c r="BW72" s="256"/>
      <c r="BY72" s="256"/>
    </row>
  </sheetData>
  <mergeCells count="6">
    <mergeCell ref="C7:I7"/>
    <mergeCell ref="K7:Q7"/>
    <mergeCell ref="C8:E8"/>
    <mergeCell ref="G8:I8"/>
    <mergeCell ref="K8:M8"/>
    <mergeCell ref="O8:Q8"/>
  </mergeCells>
  <phoneticPr fontId="61" type="noConversion"/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772D8-C311-404A-AC4F-E52A3A04D7CA}">
  <sheetPr>
    <tabColor rgb="FFFF0000"/>
  </sheetPr>
  <dimension ref="A1:BQ95"/>
  <sheetViews>
    <sheetView showGridLines="0" topLeftCell="B1" zoomScaleNormal="100" workbookViewId="0">
      <pane xSplit="1" ySplit="4" topLeftCell="BE5" activePane="bottomRight" state="frozen"/>
      <selection pane="topRight"/>
      <selection pane="bottomLeft"/>
      <selection pane="bottomRight" activeCell="BQ16" sqref="BQ16"/>
    </sheetView>
  </sheetViews>
  <sheetFormatPr defaultColWidth="9.1796875" defaultRowHeight="14.5" x14ac:dyDescent="0.35"/>
  <cols>
    <col min="1" max="1" width="3.54296875" style="127" hidden="1" customWidth="1"/>
    <col min="2" max="2" width="84.26953125" style="127" bestFit="1" customWidth="1"/>
    <col min="3" max="3" width="11.54296875" style="127" bestFit="1" customWidth="1"/>
    <col min="4" max="4" width="2.7265625" style="127" customWidth="1"/>
    <col min="5" max="5" width="11.54296875" style="127" bestFit="1" customWidth="1"/>
    <col min="6" max="6" width="2.7265625" style="127" customWidth="1"/>
    <col min="7" max="7" width="11.54296875" style="127" bestFit="1" customWidth="1"/>
    <col min="8" max="8" width="2.7265625" style="127" customWidth="1"/>
    <col min="9" max="9" width="11.81640625" style="127" bestFit="1" customWidth="1"/>
    <col min="10" max="10" width="2.7265625" style="127" customWidth="1"/>
    <col min="11" max="11" width="11.81640625" style="127" bestFit="1" customWidth="1"/>
    <col min="12" max="12" width="2.7265625" style="127" customWidth="1"/>
    <col min="13" max="13" width="11.81640625" style="127" bestFit="1" customWidth="1"/>
    <col min="14" max="14" width="2.7265625" style="127" customWidth="1"/>
    <col min="15" max="15" width="12.26953125" style="127" bestFit="1" customWidth="1"/>
    <col min="16" max="16" width="2.7265625" style="127" customWidth="1"/>
    <col min="17" max="17" width="12.26953125" style="127" bestFit="1" customWidth="1"/>
    <col min="18" max="18" width="2.7265625" style="127" customWidth="1"/>
    <col min="19" max="19" width="12.26953125" style="127" bestFit="1" customWidth="1"/>
    <col min="20" max="20" width="2.7265625" style="127" customWidth="1"/>
    <col min="21" max="21" width="12.26953125" style="127" bestFit="1" customWidth="1"/>
    <col min="22" max="22" width="2.81640625" style="127" customWidth="1"/>
    <col min="23" max="23" width="12.26953125" style="127" bestFit="1" customWidth="1"/>
    <col min="24" max="24" width="2.81640625" style="127" customWidth="1"/>
    <col min="25" max="25" width="12.26953125" style="127" bestFit="1" customWidth="1"/>
    <col min="26" max="26" width="2.81640625" style="127" customWidth="1"/>
    <col min="27" max="27" width="12.26953125" style="127" bestFit="1" customWidth="1"/>
    <col min="28" max="28" width="2.81640625" style="127" customWidth="1"/>
    <col min="29" max="29" width="12.26953125" style="127" bestFit="1" customWidth="1"/>
    <col min="30" max="30" width="2.81640625" style="127" customWidth="1"/>
    <col min="31" max="31" width="11.54296875" style="100" bestFit="1" customWidth="1"/>
    <col min="32" max="32" width="2.81640625" style="127" customWidth="1"/>
    <col min="33" max="33" width="11.54296875" style="100" bestFit="1" customWidth="1"/>
    <col min="34" max="34" width="2.81640625" style="127" customWidth="1"/>
    <col min="35" max="35" width="11.54296875" style="100" bestFit="1" customWidth="1"/>
    <col min="36" max="36" width="2.81640625" style="127" customWidth="1"/>
    <col min="37" max="37" width="11.54296875" style="100" bestFit="1" customWidth="1"/>
    <col min="38" max="38" width="2.81640625" style="127" customWidth="1"/>
    <col min="39" max="39" width="11.54296875" style="100" bestFit="1" customWidth="1"/>
    <col min="40" max="40" width="2.81640625" style="127" customWidth="1"/>
    <col min="41" max="41" width="11.54296875" style="100" bestFit="1" customWidth="1"/>
    <col min="42" max="42" width="2.81640625" style="127" customWidth="1"/>
    <col min="43" max="43" width="11.54296875" style="100" bestFit="1" customWidth="1"/>
    <col min="44" max="44" width="2.81640625" style="127" customWidth="1"/>
    <col min="45" max="45" width="11.54296875" style="100" bestFit="1" customWidth="1"/>
    <col min="46" max="46" width="2.81640625" style="127" customWidth="1"/>
    <col min="47" max="47" width="11.54296875" style="100" bestFit="1" customWidth="1"/>
    <col min="48" max="48" width="2.81640625" style="127" customWidth="1"/>
    <col min="49" max="49" width="11.54296875" style="100" bestFit="1" customWidth="1"/>
    <col min="50" max="50" width="2.81640625" style="127" customWidth="1"/>
    <col min="51" max="51" width="11.54296875" style="100" bestFit="1" customWidth="1"/>
    <col min="52" max="52" width="2.81640625" style="127" customWidth="1"/>
    <col min="53" max="53" width="11.54296875" style="100" bestFit="1" customWidth="1"/>
    <col min="54" max="54" width="2.81640625" style="127" customWidth="1"/>
    <col min="55" max="55" width="11.54296875" style="100" bestFit="1" customWidth="1"/>
    <col min="56" max="56" width="2.81640625" style="127" customWidth="1"/>
    <col min="57" max="57" width="11.54296875" style="100" bestFit="1" customWidth="1"/>
    <col min="58" max="58" width="2.81640625" style="127" customWidth="1"/>
    <col min="59" max="59" width="11.54296875" style="100" bestFit="1" customWidth="1"/>
    <col min="60" max="60" width="2.81640625" style="127" customWidth="1"/>
    <col min="61" max="61" width="11.54296875" style="100" bestFit="1" customWidth="1"/>
    <col min="62" max="62" width="2.81640625" style="127" customWidth="1"/>
    <col min="63" max="63" width="11.54296875" style="100" bestFit="1" customWidth="1"/>
    <col min="64" max="64" width="2.81640625" style="127" customWidth="1"/>
    <col min="65" max="65" width="11.54296875" style="100" bestFit="1" customWidth="1"/>
    <col min="66" max="66" width="2.81640625" style="127" customWidth="1"/>
    <col min="67" max="67" width="11.54296875" style="100" bestFit="1" customWidth="1"/>
    <col min="68" max="68" width="2.81640625" style="127" customWidth="1"/>
    <col min="69" max="69" width="11.54296875" style="100" bestFit="1" customWidth="1"/>
    <col min="70" max="16384" width="9.1796875" style="127"/>
  </cols>
  <sheetData>
    <row r="1" spans="2:69" s="66" customFormat="1" ht="32.25" customHeight="1" x14ac:dyDescent="0.35"/>
    <row r="2" spans="2:69" ht="15" customHeight="1" x14ac:dyDescent="0.4">
      <c r="B2" s="99" t="s">
        <v>175</v>
      </c>
      <c r="BC2" s="211" t="s">
        <v>415</v>
      </c>
      <c r="BE2" s="211" t="s">
        <v>415</v>
      </c>
      <c r="BG2" s="211" t="s">
        <v>415</v>
      </c>
      <c r="BI2" s="211" t="s">
        <v>415</v>
      </c>
      <c r="BK2" s="211" t="s">
        <v>415</v>
      </c>
      <c r="BM2" s="211" t="s">
        <v>415</v>
      </c>
      <c r="BO2" s="211" t="s">
        <v>415</v>
      </c>
      <c r="BQ2" s="211" t="s">
        <v>415</v>
      </c>
    </row>
    <row r="3" spans="2:69" ht="15" customHeight="1" x14ac:dyDescent="0.35">
      <c r="B3" s="101" t="s">
        <v>339</v>
      </c>
    </row>
    <row r="4" spans="2:69" ht="14.15" customHeight="1" x14ac:dyDescent="0.35">
      <c r="B4" s="102" t="s">
        <v>234</v>
      </c>
      <c r="C4" s="153" t="s">
        <v>183</v>
      </c>
      <c r="D4" s="154"/>
      <c r="E4" s="153" t="s">
        <v>184</v>
      </c>
      <c r="F4" s="155"/>
      <c r="G4" s="153" t="s">
        <v>185</v>
      </c>
      <c r="H4" s="154"/>
      <c r="I4" s="153" t="s">
        <v>186</v>
      </c>
      <c r="J4" s="95"/>
      <c r="K4" s="153" t="s">
        <v>187</v>
      </c>
      <c r="L4" s="154"/>
      <c r="M4" s="153" t="s">
        <v>188</v>
      </c>
      <c r="N4" s="153"/>
      <c r="O4" s="153" t="s">
        <v>189</v>
      </c>
      <c r="P4" s="154"/>
      <c r="Q4" s="153" t="s">
        <v>190</v>
      </c>
      <c r="R4" s="155"/>
      <c r="S4" s="153" t="s">
        <v>191</v>
      </c>
      <c r="T4" s="155"/>
      <c r="U4" s="152" t="s">
        <v>192</v>
      </c>
      <c r="V4" s="155"/>
      <c r="W4" s="152" t="s">
        <v>193</v>
      </c>
      <c r="X4" s="155"/>
      <c r="Y4" s="152" t="s">
        <v>194</v>
      </c>
      <c r="Z4" s="155"/>
      <c r="AA4" s="152" t="s">
        <v>195</v>
      </c>
      <c r="AB4" s="155"/>
      <c r="AC4" s="152" t="s">
        <v>196</v>
      </c>
      <c r="AD4" s="155"/>
      <c r="AE4" s="152" t="s">
        <v>197</v>
      </c>
      <c r="AF4" s="155"/>
      <c r="AG4" s="152" t="s">
        <v>198</v>
      </c>
      <c r="AH4" s="155"/>
      <c r="AI4" s="152" t="s">
        <v>199</v>
      </c>
      <c r="AJ4" s="155"/>
      <c r="AK4" s="152" t="s">
        <v>200</v>
      </c>
      <c r="AL4" s="155"/>
      <c r="AM4" s="152" t="s">
        <v>201</v>
      </c>
      <c r="AN4" s="155"/>
      <c r="AO4" s="152" t="s">
        <v>297</v>
      </c>
      <c r="AP4" s="155"/>
      <c r="AQ4" s="152" t="s">
        <v>317</v>
      </c>
      <c r="AR4" s="155"/>
      <c r="AS4" s="152" t="s">
        <v>383</v>
      </c>
      <c r="AT4" s="155"/>
      <c r="AU4" s="152" t="s">
        <v>388</v>
      </c>
      <c r="AV4" s="155"/>
      <c r="AW4" s="152" t="s">
        <v>391</v>
      </c>
      <c r="AX4" s="155"/>
      <c r="AY4" s="152" t="s">
        <v>402</v>
      </c>
      <c r="AZ4" s="155"/>
      <c r="BA4" s="152" t="s">
        <v>406</v>
      </c>
      <c r="BB4" s="155"/>
      <c r="BC4" s="152" t="s">
        <v>416</v>
      </c>
      <c r="BD4" s="155"/>
      <c r="BE4" s="152" t="s">
        <v>439</v>
      </c>
      <c r="BF4" s="155"/>
      <c r="BG4" s="152" t="s">
        <v>451</v>
      </c>
      <c r="BH4" s="155"/>
      <c r="BI4" s="152" t="s">
        <v>463</v>
      </c>
      <c r="BK4" s="152" t="s">
        <v>472</v>
      </c>
      <c r="BM4" s="152" t="s">
        <v>474</v>
      </c>
      <c r="BO4" s="152" t="s">
        <v>506</v>
      </c>
      <c r="BQ4" s="152" t="s">
        <v>523</v>
      </c>
    </row>
    <row r="5" spans="2:69" ht="14.15" customHeight="1" x14ac:dyDescent="0.35">
      <c r="B5" s="102"/>
      <c r="C5" s="153"/>
      <c r="D5" s="154"/>
      <c r="E5" s="153"/>
      <c r="F5" s="155"/>
      <c r="G5" s="153"/>
      <c r="H5" s="154"/>
      <c r="I5" s="153"/>
      <c r="J5" s="95"/>
      <c r="K5" s="153"/>
      <c r="L5" s="154"/>
      <c r="M5" s="153"/>
      <c r="N5" s="153"/>
      <c r="O5" s="153"/>
      <c r="P5" s="154"/>
      <c r="Q5" s="153"/>
      <c r="R5" s="155"/>
      <c r="S5" s="153"/>
      <c r="T5" s="155"/>
      <c r="U5" s="152"/>
      <c r="V5" s="155"/>
      <c r="W5" s="152"/>
      <c r="X5" s="155"/>
      <c r="Y5" s="152"/>
      <c r="Z5" s="155"/>
      <c r="AA5" s="152"/>
      <c r="AB5" s="155"/>
      <c r="AC5" s="152"/>
      <c r="AD5" s="155"/>
      <c r="AE5" s="152"/>
      <c r="AF5" s="155"/>
      <c r="AG5" s="152"/>
      <c r="AH5" s="155"/>
      <c r="AI5" s="152"/>
      <c r="AJ5" s="155"/>
      <c r="AK5" s="152"/>
      <c r="AL5" s="155"/>
      <c r="AM5" s="152"/>
      <c r="AN5" s="155"/>
      <c r="AO5" s="152"/>
      <c r="AP5" s="155"/>
      <c r="AQ5" s="152"/>
      <c r="AR5" s="155"/>
      <c r="AS5" s="152"/>
      <c r="AT5" s="155"/>
      <c r="AU5" s="152"/>
      <c r="AV5" s="155"/>
      <c r="AW5" s="152"/>
      <c r="AX5" s="155"/>
      <c r="AY5" s="152"/>
      <c r="AZ5" s="155"/>
      <c r="BA5" s="152"/>
      <c r="BB5" s="155"/>
      <c r="BC5" s="152"/>
      <c r="BD5" s="155"/>
      <c r="BE5" s="152"/>
      <c r="BF5" s="155"/>
      <c r="BG5" s="152"/>
      <c r="BH5" s="155"/>
      <c r="BI5" s="152"/>
      <c r="BK5" s="152"/>
      <c r="BM5" s="152"/>
      <c r="BO5" s="152"/>
      <c r="BQ5" s="152"/>
    </row>
    <row r="6" spans="2:69" ht="14.15" customHeight="1" x14ac:dyDescent="0.35">
      <c r="B6" s="104" t="s">
        <v>340</v>
      </c>
      <c r="C6" s="153"/>
      <c r="D6" s="154"/>
      <c r="E6" s="153"/>
      <c r="F6" s="155"/>
      <c r="G6" s="153"/>
      <c r="H6" s="154"/>
      <c r="I6" s="153"/>
      <c r="J6" s="95"/>
      <c r="K6" s="153"/>
      <c r="L6" s="154"/>
      <c r="M6" s="153"/>
      <c r="N6" s="153"/>
      <c r="O6" s="153"/>
      <c r="P6" s="154"/>
      <c r="Q6" s="153"/>
      <c r="R6" s="155"/>
      <c r="S6" s="153"/>
      <c r="T6" s="155"/>
      <c r="U6" s="152"/>
      <c r="V6" s="155"/>
      <c r="W6" s="152"/>
      <c r="X6" s="155"/>
      <c r="Y6" s="152"/>
      <c r="Z6" s="155"/>
      <c r="AA6" s="152"/>
      <c r="AB6" s="155"/>
      <c r="AC6" s="152"/>
      <c r="AD6" s="155"/>
      <c r="AE6" s="152"/>
      <c r="AF6" s="155"/>
      <c r="AG6" s="152"/>
      <c r="AH6" s="155"/>
      <c r="AI6" s="152"/>
      <c r="AJ6" s="155"/>
      <c r="AK6" s="152"/>
      <c r="AL6" s="155"/>
      <c r="AM6" s="152"/>
      <c r="AN6" s="155"/>
      <c r="AO6" s="152"/>
      <c r="AP6" s="155"/>
      <c r="AQ6" s="152"/>
      <c r="AR6" s="155"/>
      <c r="AS6" s="152"/>
      <c r="AT6" s="155"/>
      <c r="AU6" s="152"/>
      <c r="AV6" s="155"/>
      <c r="AW6" s="152"/>
      <c r="AX6" s="155"/>
      <c r="AY6" s="152"/>
      <c r="AZ6" s="155"/>
      <c r="BA6" s="152"/>
      <c r="BB6" s="155"/>
      <c r="BC6" s="152"/>
      <c r="BD6" s="155"/>
      <c r="BE6" s="152"/>
      <c r="BF6" s="155"/>
      <c r="BG6" s="152"/>
      <c r="BH6" s="155"/>
      <c r="BI6" s="152"/>
      <c r="BK6" s="152"/>
      <c r="BM6" s="152"/>
      <c r="BO6" s="152"/>
      <c r="BQ6" s="152"/>
    </row>
    <row r="7" spans="2:69" ht="14.15" customHeight="1" x14ac:dyDescent="0.35">
      <c r="B7" s="102"/>
      <c r="C7" s="153"/>
      <c r="D7" s="154"/>
      <c r="E7" s="153"/>
      <c r="F7" s="155"/>
      <c r="G7" s="153"/>
      <c r="H7" s="154"/>
      <c r="I7" s="153"/>
      <c r="J7" s="95"/>
      <c r="K7" s="153"/>
      <c r="L7" s="154"/>
      <c r="M7" s="153"/>
      <c r="N7" s="153"/>
      <c r="O7" s="153"/>
      <c r="P7" s="154"/>
      <c r="Q7" s="153"/>
      <c r="R7" s="155"/>
      <c r="S7" s="153"/>
      <c r="T7" s="155"/>
      <c r="U7" s="152"/>
      <c r="V7" s="155"/>
      <c r="W7" s="152"/>
      <c r="X7" s="155"/>
      <c r="Y7" s="152"/>
      <c r="Z7" s="155"/>
      <c r="AA7" s="152"/>
      <c r="AB7" s="155"/>
      <c r="AC7" s="152"/>
      <c r="AD7" s="155"/>
      <c r="AE7" s="152"/>
      <c r="AF7" s="155"/>
      <c r="AG7" s="152"/>
      <c r="AH7" s="155"/>
      <c r="AI7" s="152"/>
      <c r="AJ7" s="155"/>
      <c r="AK7" s="152"/>
      <c r="AL7" s="155"/>
      <c r="AM7" s="152"/>
      <c r="AN7" s="155"/>
      <c r="AO7" s="152"/>
      <c r="AP7" s="155"/>
      <c r="AQ7" s="152"/>
      <c r="AR7" s="155"/>
      <c r="AS7" s="152"/>
      <c r="AT7" s="155"/>
      <c r="AU7" s="152"/>
      <c r="AV7" s="155"/>
      <c r="AW7" s="152"/>
      <c r="AX7" s="155"/>
      <c r="AY7" s="152"/>
      <c r="AZ7" s="155"/>
      <c r="BA7" s="152"/>
      <c r="BB7" s="155"/>
      <c r="BC7" s="152"/>
      <c r="BD7" s="155"/>
      <c r="BE7" s="152"/>
      <c r="BF7" s="155"/>
      <c r="BG7" s="152"/>
      <c r="BH7" s="155"/>
      <c r="BI7" s="152"/>
      <c r="BK7" s="152"/>
      <c r="BM7" s="152"/>
      <c r="BO7" s="152"/>
      <c r="BQ7" s="152"/>
    </row>
    <row r="8" spans="2:69" ht="14.15" customHeight="1" x14ac:dyDescent="0.35">
      <c r="B8" s="104" t="s">
        <v>341</v>
      </c>
      <c r="C8" s="189">
        <v>405</v>
      </c>
      <c r="D8" s="190"/>
      <c r="E8" s="189">
        <v>581</v>
      </c>
      <c r="F8" s="191"/>
      <c r="G8" s="105">
        <v>1137</v>
      </c>
      <c r="H8" s="192"/>
      <c r="I8" s="105">
        <v>3842</v>
      </c>
      <c r="J8" s="193"/>
      <c r="K8" s="105">
        <v>-1576</v>
      </c>
      <c r="L8" s="105"/>
      <c r="M8" s="105">
        <v>-1888</v>
      </c>
      <c r="N8" s="105"/>
      <c r="O8" s="105">
        <v>-4391</v>
      </c>
      <c r="P8" s="105"/>
      <c r="Q8" s="105">
        <v>2030</v>
      </c>
      <c r="R8" s="105"/>
      <c r="S8" s="105">
        <v>8204</v>
      </c>
      <c r="T8" s="105"/>
      <c r="U8" s="105">
        <v>-15931</v>
      </c>
      <c r="V8" s="105"/>
      <c r="W8" s="105">
        <v>-4254</v>
      </c>
      <c r="X8" s="105"/>
      <c r="Y8" s="105">
        <v>839</v>
      </c>
      <c r="Z8" s="105"/>
      <c r="AA8" s="105">
        <v>-457</v>
      </c>
      <c r="AB8" s="105"/>
      <c r="AC8" s="105">
        <v>8239</v>
      </c>
      <c r="AD8" s="105"/>
      <c r="AE8" s="105">
        <v>5757</v>
      </c>
      <c r="AF8" s="105"/>
      <c r="AG8" s="105">
        <v>2640</v>
      </c>
      <c r="AH8" s="105"/>
      <c r="AI8" s="105">
        <v>9129</v>
      </c>
      <c r="AJ8" s="105"/>
      <c r="AK8" s="105">
        <v>15631</v>
      </c>
      <c r="AL8" s="105"/>
      <c r="AM8" s="105">
        <v>44026</v>
      </c>
      <c r="AN8" s="105"/>
      <c r="AO8" s="105">
        <v>15394</v>
      </c>
      <c r="AP8" s="105"/>
      <c r="AQ8" s="105">
        <v>16548</v>
      </c>
      <c r="AR8" s="105"/>
      <c r="AS8" s="105">
        <f>'DRE Histórico_Consolidado'!BA28</f>
        <v>15028</v>
      </c>
      <c r="AT8" s="105"/>
      <c r="AU8" s="105">
        <f>'DRE Histórico_Consolidado'!BC28</f>
        <v>8193</v>
      </c>
      <c r="AV8" s="105"/>
      <c r="AW8" s="105">
        <v>2642</v>
      </c>
      <c r="AX8" s="105"/>
      <c r="AY8" s="105">
        <v>2698</v>
      </c>
      <c r="AZ8" s="105"/>
      <c r="BA8" s="105">
        <v>-3728</v>
      </c>
      <c r="BB8" s="105"/>
      <c r="BC8" s="105">
        <v>7878</v>
      </c>
      <c r="BD8" s="105"/>
      <c r="BE8" s="105">
        <v>31030</v>
      </c>
      <c r="BF8" s="105"/>
      <c r="BG8" s="105">
        <v>5847</v>
      </c>
      <c r="BH8" s="105"/>
      <c r="BI8" s="105">
        <v>743</v>
      </c>
      <c r="BK8" s="105">
        <v>3361</v>
      </c>
      <c r="BM8" s="105">
        <v>-2270</v>
      </c>
      <c r="BO8" s="105">
        <v>55277</v>
      </c>
      <c r="BQ8" s="105"/>
    </row>
    <row r="9" spans="2:69" s="195" customFormat="1" ht="14.15" customHeight="1" x14ac:dyDescent="0.35">
      <c r="B9" s="104" t="s">
        <v>342</v>
      </c>
      <c r="C9" s="189"/>
      <c r="D9" s="190"/>
      <c r="E9" s="194"/>
      <c r="F9" s="191"/>
      <c r="G9" s="194"/>
      <c r="H9" s="192"/>
      <c r="I9" s="194"/>
      <c r="J9" s="193"/>
      <c r="K9" s="105"/>
      <c r="L9" s="192"/>
      <c r="M9" s="105"/>
      <c r="N9" s="194"/>
      <c r="O9" s="105"/>
      <c r="P9" s="192"/>
      <c r="Q9" s="194"/>
      <c r="R9" s="191"/>
      <c r="S9" s="194"/>
      <c r="T9" s="191"/>
      <c r="U9" s="105"/>
      <c r="V9" s="191"/>
      <c r="W9" s="105"/>
      <c r="X9" s="191"/>
      <c r="Y9" s="194"/>
      <c r="Z9" s="191"/>
      <c r="AA9" s="105"/>
      <c r="AB9" s="191"/>
      <c r="AC9" s="194"/>
      <c r="AD9" s="191"/>
      <c r="AE9" s="194"/>
      <c r="AF9" s="191"/>
      <c r="AG9" s="194"/>
      <c r="AH9" s="191"/>
      <c r="AI9" s="194"/>
      <c r="AJ9" s="191"/>
      <c r="AK9" s="194"/>
      <c r="AL9" s="191"/>
      <c r="AM9" s="194"/>
      <c r="AN9" s="191"/>
      <c r="AO9" s="194"/>
      <c r="AP9" s="191"/>
      <c r="AQ9" s="194"/>
      <c r="AR9" s="191"/>
      <c r="AS9" s="194"/>
      <c r="AT9" s="191"/>
      <c r="AU9" s="194"/>
      <c r="AV9" s="191"/>
      <c r="AW9" s="194"/>
      <c r="AX9" s="191"/>
      <c r="AY9" s="194"/>
      <c r="AZ9" s="191"/>
      <c r="BA9" s="194"/>
      <c r="BB9" s="191"/>
      <c r="BC9" s="194"/>
      <c r="BD9" s="191"/>
      <c r="BE9" s="194"/>
      <c r="BF9" s="191"/>
      <c r="BG9" s="194"/>
      <c r="BH9" s="191"/>
      <c r="BI9" s="194"/>
      <c r="BK9" s="194"/>
      <c r="BM9" s="194"/>
      <c r="BO9" s="194"/>
      <c r="BQ9" s="194"/>
    </row>
    <row r="10" spans="2:69" ht="14.15" customHeight="1" x14ac:dyDescent="0.35">
      <c r="B10" s="92" t="s">
        <v>78</v>
      </c>
      <c r="C10" s="106">
        <v>4091</v>
      </c>
      <c r="D10" s="106"/>
      <c r="E10" s="106">
        <v>4096</v>
      </c>
      <c r="F10" s="106"/>
      <c r="G10" s="106">
        <v>4052.661689999999</v>
      </c>
      <c r="H10" s="106"/>
      <c r="I10" s="106">
        <v>2441.338310000001</v>
      </c>
      <c r="J10" s="106"/>
      <c r="K10" s="106">
        <v>4698.2901700000002</v>
      </c>
      <c r="L10" s="106"/>
      <c r="M10" s="106">
        <v>4969</v>
      </c>
      <c r="N10" s="106"/>
      <c r="O10" s="106">
        <v>5027.4485859999986</v>
      </c>
      <c r="P10" s="106"/>
      <c r="Q10" s="106">
        <v>5010.2612440000012</v>
      </c>
      <c r="R10" s="106"/>
      <c r="S10" s="106">
        <v>5119</v>
      </c>
      <c r="T10" s="106"/>
      <c r="U10" s="106">
        <v>5260</v>
      </c>
      <c r="V10" s="106"/>
      <c r="W10" s="106">
        <v>5819</v>
      </c>
      <c r="X10" s="106"/>
      <c r="Y10" s="106">
        <v>5445</v>
      </c>
      <c r="Z10" s="106"/>
      <c r="AA10" s="106">
        <v>4908</v>
      </c>
      <c r="AB10" s="106"/>
      <c r="AC10" s="106">
        <v>5442.1019999999999</v>
      </c>
      <c r="AD10" s="106"/>
      <c r="AE10" s="106">
        <v>5650.5572199999997</v>
      </c>
      <c r="AF10" s="106"/>
      <c r="AG10" s="106">
        <v>4909.5983300000007</v>
      </c>
      <c r="AH10" s="106"/>
      <c r="AI10" s="106">
        <v>5945.35473</v>
      </c>
      <c r="AJ10" s="106"/>
      <c r="AK10" s="106">
        <v>6443</v>
      </c>
      <c r="AL10" s="106"/>
      <c r="AM10" s="106">
        <v>6943</v>
      </c>
      <c r="AN10" s="106"/>
      <c r="AO10" s="106">
        <v>6965.5269900000003</v>
      </c>
      <c r="AP10" s="106"/>
      <c r="AQ10" s="106">
        <v>8725.8369299999995</v>
      </c>
      <c r="AR10" s="106"/>
      <c r="AS10" s="106">
        <v>9352</v>
      </c>
      <c r="AT10" s="106"/>
      <c r="AU10" s="106">
        <v>9000</v>
      </c>
      <c r="AV10" s="106"/>
      <c r="AW10" s="106">
        <v>11983.163070000002</v>
      </c>
      <c r="AX10" s="106"/>
      <c r="AY10" s="106">
        <v>10818</v>
      </c>
      <c r="AZ10" s="106"/>
      <c r="BA10" s="106">
        <v>11104</v>
      </c>
      <c r="BB10" s="106"/>
      <c r="BC10" s="106">
        <v>12678</v>
      </c>
      <c r="BD10" s="106"/>
      <c r="BE10" s="106">
        <v>14136</v>
      </c>
      <c r="BF10" s="106"/>
      <c r="BG10" s="106">
        <v>18464</v>
      </c>
      <c r="BH10" s="106"/>
      <c r="BI10" s="106">
        <v>18480</v>
      </c>
      <c r="BK10" s="106">
        <v>18627</v>
      </c>
      <c r="BM10" s="106">
        <v>33416</v>
      </c>
      <c r="BO10" s="106">
        <v>36836</v>
      </c>
      <c r="BQ10" s="106"/>
    </row>
    <row r="11" spans="2:69" ht="14.15" customHeight="1" x14ac:dyDescent="0.35">
      <c r="B11" s="92" t="s">
        <v>343</v>
      </c>
      <c r="C11" s="106">
        <v>-53</v>
      </c>
      <c r="D11" s="196"/>
      <c r="E11" s="106">
        <v>-267</v>
      </c>
      <c r="F11" s="106"/>
      <c r="G11" s="106">
        <v>5</v>
      </c>
      <c r="H11" s="106"/>
      <c r="I11" s="106">
        <v>416</v>
      </c>
      <c r="J11" s="106"/>
      <c r="K11" s="106">
        <v>-2</v>
      </c>
      <c r="L11" s="106"/>
      <c r="M11" s="106">
        <v>-75</v>
      </c>
      <c r="N11" s="106"/>
      <c r="O11" s="106">
        <v>-37</v>
      </c>
      <c r="P11" s="106"/>
      <c r="Q11" s="106">
        <v>-92</v>
      </c>
      <c r="R11" s="106"/>
      <c r="S11" s="106">
        <v>-175</v>
      </c>
      <c r="T11" s="106"/>
      <c r="U11" s="106">
        <v>376</v>
      </c>
      <c r="V11" s="106"/>
      <c r="W11" s="106">
        <v>-390</v>
      </c>
      <c r="X11" s="106"/>
      <c r="Y11" s="106">
        <v>426</v>
      </c>
      <c r="Z11" s="106"/>
      <c r="AA11" s="106">
        <v>-91</v>
      </c>
      <c r="AB11" s="106"/>
      <c r="AC11" s="106">
        <v>-96</v>
      </c>
      <c r="AD11" s="106"/>
      <c r="AE11" s="106">
        <v>-1</v>
      </c>
      <c r="AF11" s="106"/>
      <c r="AG11" s="106">
        <v>-84</v>
      </c>
      <c r="AH11" s="106"/>
      <c r="AI11" s="106">
        <v>-409</v>
      </c>
      <c r="AJ11" s="106"/>
      <c r="AK11" s="106">
        <v>24</v>
      </c>
      <c r="AL11" s="106"/>
      <c r="AM11" s="106">
        <v>-365</v>
      </c>
      <c r="AN11" s="106"/>
      <c r="AO11" s="106">
        <v>116</v>
      </c>
      <c r="AP11" s="106"/>
      <c r="AQ11" s="106">
        <v>-14</v>
      </c>
      <c r="AR11" s="106"/>
      <c r="AS11" s="106">
        <v>-240</v>
      </c>
      <c r="AT11" s="106"/>
      <c r="AU11" s="106">
        <v>-465</v>
      </c>
      <c r="AV11" s="106"/>
      <c r="AW11" s="106">
        <v>-670</v>
      </c>
      <c r="AX11" s="106"/>
      <c r="AY11" s="106">
        <v>-551</v>
      </c>
      <c r="AZ11" s="106"/>
      <c r="BA11" s="106">
        <v>-48</v>
      </c>
      <c r="BB11" s="106"/>
      <c r="BC11" s="106">
        <v>-1010</v>
      </c>
      <c r="BD11" s="106"/>
      <c r="BE11" s="106">
        <v>-540</v>
      </c>
      <c r="BF11" s="106"/>
      <c r="BG11" s="106">
        <v>-2889</v>
      </c>
      <c r="BH11" s="106"/>
      <c r="BI11" s="106">
        <v>-2442</v>
      </c>
      <c r="BK11" s="106">
        <v>22</v>
      </c>
      <c r="BM11" s="106">
        <v>-580</v>
      </c>
      <c r="BO11" s="106">
        <v>-2063</v>
      </c>
      <c r="BQ11" s="106"/>
    </row>
    <row r="12" spans="2:69" ht="14.15" customHeight="1" x14ac:dyDescent="0.35">
      <c r="B12" s="92" t="s">
        <v>344</v>
      </c>
      <c r="C12" s="106">
        <v>0</v>
      </c>
      <c r="D12" s="196"/>
      <c r="E12" s="106">
        <v>0</v>
      </c>
      <c r="F12" s="106"/>
      <c r="G12" s="106">
        <v>0</v>
      </c>
      <c r="H12" s="106"/>
      <c r="I12" s="106">
        <v>0</v>
      </c>
      <c r="J12" s="106"/>
      <c r="K12" s="106">
        <v>0</v>
      </c>
      <c r="L12" s="106"/>
      <c r="M12" s="106">
        <v>0</v>
      </c>
      <c r="N12" s="106"/>
      <c r="O12" s="106">
        <v>0</v>
      </c>
      <c r="P12" s="106"/>
      <c r="Q12" s="106">
        <v>0</v>
      </c>
      <c r="R12" s="106"/>
      <c r="S12" s="106">
        <v>0</v>
      </c>
      <c r="T12" s="106"/>
      <c r="U12" s="106">
        <v>0</v>
      </c>
      <c r="V12" s="106"/>
      <c r="W12" s="106">
        <v>0</v>
      </c>
      <c r="X12" s="106"/>
      <c r="Y12" s="106">
        <v>0</v>
      </c>
      <c r="Z12" s="106"/>
      <c r="AA12" s="106">
        <v>0</v>
      </c>
      <c r="AB12" s="106"/>
      <c r="AC12" s="106">
        <v>0</v>
      </c>
      <c r="AD12" s="106"/>
      <c r="AE12" s="106">
        <v>0</v>
      </c>
      <c r="AF12" s="106"/>
      <c r="AG12" s="106">
        <v>0</v>
      </c>
      <c r="AH12" s="106"/>
      <c r="AI12" s="106">
        <v>0</v>
      </c>
      <c r="AJ12" s="106"/>
      <c r="AK12" s="106">
        <v>0</v>
      </c>
      <c r="AL12" s="106"/>
      <c r="AM12" s="106">
        <v>0</v>
      </c>
      <c r="AN12" s="106"/>
      <c r="AO12" s="106">
        <v>0</v>
      </c>
      <c r="AP12" s="106"/>
      <c r="AQ12" s="106">
        <v>458</v>
      </c>
      <c r="AR12" s="106"/>
      <c r="AS12" s="106">
        <v>497</v>
      </c>
      <c r="AT12" s="106"/>
      <c r="AU12" s="106">
        <v>491</v>
      </c>
      <c r="AV12" s="106"/>
      <c r="AW12" s="106">
        <v>555</v>
      </c>
      <c r="AX12" s="106"/>
      <c r="AY12" s="106">
        <v>543</v>
      </c>
      <c r="AZ12" s="106"/>
      <c r="BA12" s="106">
        <v>506</v>
      </c>
      <c r="BB12" s="106"/>
      <c r="BC12" s="106">
        <v>582</v>
      </c>
      <c r="BD12" s="106"/>
      <c r="BE12" s="106">
        <v>584</v>
      </c>
      <c r="BF12" s="106"/>
      <c r="BG12" s="106">
        <v>569</v>
      </c>
      <c r="BH12" s="106"/>
      <c r="BI12" s="106">
        <v>607</v>
      </c>
      <c r="BK12" s="106">
        <v>586</v>
      </c>
      <c r="BM12" s="106">
        <v>696</v>
      </c>
      <c r="BO12" s="106">
        <v>668</v>
      </c>
      <c r="BQ12" s="106"/>
    </row>
    <row r="13" spans="2:69" ht="14.15" customHeight="1" x14ac:dyDescent="0.35">
      <c r="B13" s="92" t="s">
        <v>309</v>
      </c>
      <c r="C13" s="106">
        <v>0</v>
      </c>
      <c r="D13" s="196"/>
      <c r="E13" s="106">
        <v>0</v>
      </c>
      <c r="F13" s="106"/>
      <c r="G13" s="106">
        <v>0</v>
      </c>
      <c r="H13" s="106"/>
      <c r="I13" s="106">
        <v>0</v>
      </c>
      <c r="J13" s="106"/>
      <c r="K13" s="106">
        <v>0</v>
      </c>
      <c r="L13" s="106"/>
      <c r="M13" s="106">
        <v>0</v>
      </c>
      <c r="N13" s="106"/>
      <c r="O13" s="106">
        <v>0</v>
      </c>
      <c r="P13" s="106"/>
      <c r="Q13" s="106">
        <v>0</v>
      </c>
      <c r="R13" s="106"/>
      <c r="S13" s="106">
        <v>0</v>
      </c>
      <c r="T13" s="106"/>
      <c r="U13" s="106">
        <v>0</v>
      </c>
      <c r="V13" s="106"/>
      <c r="W13" s="106">
        <v>0</v>
      </c>
      <c r="X13" s="106"/>
      <c r="Y13" s="106">
        <v>0</v>
      </c>
      <c r="Z13" s="106"/>
      <c r="AA13" s="106">
        <v>0</v>
      </c>
      <c r="AB13" s="106"/>
      <c r="AC13" s="106">
        <v>0</v>
      </c>
      <c r="AD13" s="106"/>
      <c r="AE13" s="106">
        <v>0</v>
      </c>
      <c r="AF13" s="106"/>
      <c r="AG13" s="106">
        <v>0</v>
      </c>
      <c r="AH13" s="106"/>
      <c r="AI13" s="106">
        <v>0</v>
      </c>
      <c r="AJ13" s="106"/>
      <c r="AK13" s="106">
        <v>0</v>
      </c>
      <c r="AL13" s="106"/>
      <c r="AM13" s="106">
        <v>0</v>
      </c>
      <c r="AN13" s="106"/>
      <c r="AO13" s="106">
        <v>0</v>
      </c>
      <c r="AP13" s="106"/>
      <c r="AQ13" s="106">
        <v>-55</v>
      </c>
      <c r="AR13" s="106"/>
      <c r="AS13" s="106" t="e">
        <f>#REF!-AQ13</f>
        <v>#REF!</v>
      </c>
      <c r="AT13" s="106"/>
      <c r="AU13" s="106">
        <v>0</v>
      </c>
      <c r="AV13" s="106"/>
      <c r="AW13" s="106">
        <v>0</v>
      </c>
      <c r="AX13" s="106"/>
      <c r="AY13" s="106">
        <v>0</v>
      </c>
      <c r="AZ13" s="106"/>
      <c r="BA13" s="106">
        <v>0</v>
      </c>
      <c r="BB13" s="106"/>
      <c r="BC13" s="106">
        <v>0</v>
      </c>
      <c r="BD13" s="106"/>
      <c r="BE13" s="106">
        <v>0</v>
      </c>
      <c r="BF13" s="106"/>
      <c r="BG13" s="106">
        <v>0</v>
      </c>
      <c r="BH13" s="106"/>
      <c r="BI13" s="106">
        <v>0</v>
      </c>
      <c r="BK13" s="106">
        <v>-764</v>
      </c>
      <c r="BM13" s="106">
        <v>-993</v>
      </c>
      <c r="BO13" s="106">
        <v>0</v>
      </c>
      <c r="BQ13" s="106"/>
    </row>
    <row r="14" spans="2:69" ht="14.15" customHeight="1" x14ac:dyDescent="0.35">
      <c r="B14" s="92" t="s">
        <v>345</v>
      </c>
      <c r="C14" s="106">
        <v>0</v>
      </c>
      <c r="D14" s="196"/>
      <c r="E14" s="106">
        <v>0</v>
      </c>
      <c r="F14" s="106"/>
      <c r="G14" s="106">
        <v>0</v>
      </c>
      <c r="H14" s="106"/>
      <c r="I14" s="106">
        <v>0</v>
      </c>
      <c r="J14" s="106"/>
      <c r="K14" s="106">
        <v>0</v>
      </c>
      <c r="L14" s="106"/>
      <c r="M14" s="106">
        <v>0</v>
      </c>
      <c r="N14" s="106"/>
      <c r="O14" s="106">
        <v>0</v>
      </c>
      <c r="P14" s="106"/>
      <c r="Q14" s="106">
        <v>0</v>
      </c>
      <c r="R14" s="106"/>
      <c r="S14" s="106">
        <v>0</v>
      </c>
      <c r="T14" s="106"/>
      <c r="U14" s="106">
        <v>0</v>
      </c>
      <c r="V14" s="106"/>
      <c r="W14" s="106">
        <v>0</v>
      </c>
      <c r="X14" s="106"/>
      <c r="Y14" s="106">
        <v>0</v>
      </c>
      <c r="Z14" s="106"/>
      <c r="AA14" s="106">
        <v>0</v>
      </c>
      <c r="AB14" s="106"/>
      <c r="AC14" s="106">
        <v>0</v>
      </c>
      <c r="AD14" s="106"/>
      <c r="AE14" s="106">
        <v>0</v>
      </c>
      <c r="AF14" s="106"/>
      <c r="AG14" s="106">
        <v>0</v>
      </c>
      <c r="AH14" s="106"/>
      <c r="AI14" s="106">
        <v>0</v>
      </c>
      <c r="AJ14" s="106"/>
      <c r="AK14" s="106">
        <v>0</v>
      </c>
      <c r="AL14" s="106"/>
      <c r="AM14" s="106">
        <v>0</v>
      </c>
      <c r="AN14" s="106"/>
      <c r="AO14" s="106">
        <v>0</v>
      </c>
      <c r="AP14" s="106"/>
      <c r="AQ14" s="106">
        <v>8</v>
      </c>
      <c r="AR14" s="106"/>
      <c r="AS14" s="106" t="e">
        <f>#REF!-AQ14</f>
        <v>#REF!</v>
      </c>
      <c r="AT14" s="106"/>
      <c r="AU14" s="106">
        <v>0</v>
      </c>
      <c r="AV14" s="106"/>
      <c r="AW14" s="106">
        <v>0</v>
      </c>
      <c r="AX14" s="106"/>
      <c r="AY14" s="106">
        <v>0</v>
      </c>
      <c r="AZ14" s="106"/>
      <c r="BA14" s="106">
        <v>0</v>
      </c>
      <c r="BB14" s="106"/>
      <c r="BC14" s="106">
        <v>0</v>
      </c>
      <c r="BD14" s="106"/>
      <c r="BE14" s="106">
        <v>0</v>
      </c>
      <c r="BF14" s="106"/>
      <c r="BG14" s="106">
        <v>0</v>
      </c>
      <c r="BH14" s="106"/>
      <c r="BI14" s="106">
        <v>0</v>
      </c>
      <c r="BK14" s="106">
        <v>0</v>
      </c>
      <c r="BM14" s="106">
        <v>101</v>
      </c>
      <c r="BO14" s="106">
        <v>0</v>
      </c>
      <c r="BQ14" s="106"/>
    </row>
    <row r="15" spans="2:69" ht="14.15" customHeight="1" x14ac:dyDescent="0.35">
      <c r="B15" s="92" t="s">
        <v>346</v>
      </c>
      <c r="C15" s="106">
        <v>-607</v>
      </c>
      <c r="D15" s="196"/>
      <c r="E15" s="106">
        <v>-438</v>
      </c>
      <c r="F15" s="106"/>
      <c r="G15" s="106">
        <v>-116</v>
      </c>
      <c r="H15" s="106"/>
      <c r="I15" s="106">
        <v>713</v>
      </c>
      <c r="J15" s="106"/>
      <c r="K15" s="106">
        <v>163</v>
      </c>
      <c r="L15" s="106"/>
      <c r="M15" s="106">
        <v>-288</v>
      </c>
      <c r="N15" s="106"/>
      <c r="O15" s="106">
        <v>256</v>
      </c>
      <c r="P15" s="106"/>
      <c r="Q15" s="106">
        <v>-928</v>
      </c>
      <c r="R15" s="106"/>
      <c r="S15" s="106">
        <v>-217</v>
      </c>
      <c r="T15" s="106"/>
      <c r="U15" s="106">
        <v>0</v>
      </c>
      <c r="V15" s="106"/>
      <c r="W15" s="106">
        <v>0</v>
      </c>
      <c r="X15" s="106"/>
      <c r="Y15" s="106">
        <v>0</v>
      </c>
      <c r="Z15" s="106"/>
      <c r="AA15" s="106">
        <v>0</v>
      </c>
      <c r="AB15" s="106"/>
      <c r="AC15" s="106">
        <v>0</v>
      </c>
      <c r="AD15" s="106"/>
      <c r="AE15" s="106">
        <v>0</v>
      </c>
      <c r="AF15" s="106"/>
      <c r="AG15" s="106">
        <v>0</v>
      </c>
      <c r="AH15" s="106"/>
      <c r="AI15" s="106">
        <v>0</v>
      </c>
      <c r="AJ15" s="106"/>
      <c r="AK15" s="106">
        <v>0</v>
      </c>
      <c r="AL15" s="106"/>
      <c r="AM15" s="106">
        <v>0</v>
      </c>
      <c r="AN15" s="106"/>
      <c r="AO15" s="106">
        <v>0</v>
      </c>
      <c r="AP15" s="106"/>
      <c r="AQ15" s="106">
        <v>0</v>
      </c>
      <c r="AR15" s="106"/>
      <c r="AS15" s="106" t="e">
        <f>#REF!-AQ15</f>
        <v>#REF!</v>
      </c>
      <c r="AT15" s="106"/>
      <c r="AU15" s="106">
        <v>0</v>
      </c>
      <c r="AV15" s="106"/>
      <c r="AW15" s="106">
        <v>0</v>
      </c>
      <c r="AX15" s="106"/>
      <c r="AY15" s="106">
        <v>0</v>
      </c>
      <c r="AZ15" s="106"/>
      <c r="BA15" s="106">
        <v>0</v>
      </c>
      <c r="BB15" s="106"/>
      <c r="BC15" s="106">
        <v>0</v>
      </c>
      <c r="BD15" s="106"/>
      <c r="BE15" s="106">
        <v>0</v>
      </c>
      <c r="BF15" s="106"/>
      <c r="BG15" s="106">
        <v>0</v>
      </c>
      <c r="BH15" s="106"/>
      <c r="BI15" s="106">
        <v>0</v>
      </c>
      <c r="BK15" s="106">
        <v>0</v>
      </c>
      <c r="BM15" s="106">
        <v>0</v>
      </c>
      <c r="BO15" s="106">
        <v>0</v>
      </c>
      <c r="BQ15" s="106"/>
    </row>
    <row r="16" spans="2:69" ht="14.15" customHeight="1" x14ac:dyDescent="0.35">
      <c r="B16" s="92" t="s">
        <v>347</v>
      </c>
      <c r="C16" s="106">
        <v>597</v>
      </c>
      <c r="D16" s="196"/>
      <c r="E16" s="106">
        <v>-2389</v>
      </c>
      <c r="F16" s="106"/>
      <c r="G16" s="106">
        <v>1125</v>
      </c>
      <c r="H16" s="106"/>
      <c r="I16" s="106">
        <v>2179</v>
      </c>
      <c r="J16" s="106"/>
      <c r="K16" s="106">
        <v>2252</v>
      </c>
      <c r="L16" s="106"/>
      <c r="M16" s="106">
        <v>2960</v>
      </c>
      <c r="N16" s="106"/>
      <c r="O16" s="106">
        <v>1647</v>
      </c>
      <c r="P16" s="106"/>
      <c r="Q16" s="106">
        <v>2005</v>
      </c>
      <c r="R16" s="106"/>
      <c r="S16" s="106">
        <v>-4990</v>
      </c>
      <c r="T16" s="106"/>
      <c r="U16" s="106">
        <v>1783</v>
      </c>
      <c r="V16" s="106"/>
      <c r="W16" s="106">
        <v>1581</v>
      </c>
      <c r="X16" s="106"/>
      <c r="Y16" s="106">
        <v>1495</v>
      </c>
      <c r="Z16" s="106"/>
      <c r="AA16" s="106">
        <v>1133</v>
      </c>
      <c r="AB16" s="106"/>
      <c r="AC16" s="106">
        <v>1109</v>
      </c>
      <c r="AD16" s="106"/>
      <c r="AE16" s="106">
        <v>1643</v>
      </c>
      <c r="AF16" s="106"/>
      <c r="AG16" s="106">
        <v>1728</v>
      </c>
      <c r="AH16" s="106"/>
      <c r="AI16" s="106">
        <v>2029</v>
      </c>
      <c r="AJ16" s="106"/>
      <c r="AK16" s="106">
        <v>2606</v>
      </c>
      <c r="AL16" s="106"/>
      <c r="AM16" s="106">
        <v>5367</v>
      </c>
      <c r="AN16" s="106"/>
      <c r="AO16" s="106">
        <v>5588</v>
      </c>
      <c r="AP16" s="106"/>
      <c r="AQ16" s="106">
        <f>5856-17-348+660</f>
        <v>6151</v>
      </c>
      <c r="AR16" s="106"/>
      <c r="AS16" s="106">
        <v>9543</v>
      </c>
      <c r="AT16" s="106"/>
      <c r="AU16" s="106">
        <v>10094</v>
      </c>
      <c r="AV16" s="106"/>
      <c r="AW16" s="106">
        <v>10467</v>
      </c>
      <c r="AX16" s="106"/>
      <c r="AY16" s="106">
        <f>11180+596+794</f>
        <v>12570</v>
      </c>
      <c r="AZ16" s="106"/>
      <c r="BA16" s="106">
        <v>11219</v>
      </c>
      <c r="BB16" s="106"/>
      <c r="BC16" s="106">
        <v>17755</v>
      </c>
      <c r="BD16" s="106"/>
      <c r="BE16" s="106">
        <v>15307</v>
      </c>
      <c r="BF16" s="106"/>
      <c r="BG16" s="106">
        <f>16432-1636+4416</f>
        <v>19212</v>
      </c>
      <c r="BH16" s="106"/>
      <c r="BI16" s="106">
        <v>28494</v>
      </c>
      <c r="BK16" s="106">
        <v>31702</v>
      </c>
      <c r="BM16" s="106">
        <v>44073</v>
      </c>
      <c r="BO16" s="106">
        <f>32502-6434+6350-5182</f>
        <v>27236</v>
      </c>
      <c r="BQ16" s="106"/>
    </row>
    <row r="17" spans="2:69" ht="14.15" customHeight="1" x14ac:dyDescent="0.35">
      <c r="B17" s="92" t="s">
        <v>348</v>
      </c>
      <c r="C17" s="106">
        <v>0</v>
      </c>
      <c r="D17" s="196"/>
      <c r="E17" s="106">
        <v>-700</v>
      </c>
      <c r="F17" s="106"/>
      <c r="G17" s="106">
        <v>0</v>
      </c>
      <c r="H17" s="106"/>
      <c r="I17" s="106">
        <v>0</v>
      </c>
      <c r="J17" s="106"/>
      <c r="K17" s="106">
        <v>0</v>
      </c>
      <c r="L17" s="106"/>
      <c r="M17" s="106">
        <v>0</v>
      </c>
      <c r="N17" s="106"/>
      <c r="O17" s="106">
        <v>0</v>
      </c>
      <c r="P17" s="106"/>
      <c r="Q17" s="106">
        <v>0</v>
      </c>
      <c r="R17" s="106"/>
      <c r="S17" s="106">
        <v>0</v>
      </c>
      <c r="T17" s="106"/>
      <c r="U17" s="106">
        <v>0</v>
      </c>
      <c r="V17" s="106"/>
      <c r="W17" s="106">
        <v>0</v>
      </c>
      <c r="X17" s="106"/>
      <c r="Y17" s="106">
        <v>0</v>
      </c>
      <c r="Z17" s="106"/>
      <c r="AA17" s="106">
        <v>0</v>
      </c>
      <c r="AB17" s="106"/>
      <c r="AC17" s="106">
        <v>0</v>
      </c>
      <c r="AD17" s="106"/>
      <c r="AE17" s="106">
        <v>0</v>
      </c>
      <c r="AF17" s="106"/>
      <c r="AG17" s="106">
        <v>0</v>
      </c>
      <c r="AH17" s="106"/>
      <c r="AI17" s="106">
        <v>0</v>
      </c>
      <c r="AJ17" s="106"/>
      <c r="AK17" s="106">
        <v>0</v>
      </c>
      <c r="AL17" s="106"/>
      <c r="AM17" s="106">
        <v>0</v>
      </c>
      <c r="AN17" s="106"/>
      <c r="AO17" s="106">
        <v>0</v>
      </c>
      <c r="AP17" s="106"/>
      <c r="AQ17" s="106">
        <v>0</v>
      </c>
      <c r="AR17" s="106"/>
      <c r="AS17" s="106">
        <v>0</v>
      </c>
      <c r="AT17" s="106"/>
      <c r="AU17" s="106">
        <v>0</v>
      </c>
      <c r="AV17" s="106"/>
      <c r="AW17" s="106">
        <v>0</v>
      </c>
      <c r="AX17" s="106"/>
      <c r="AY17" s="106">
        <v>0</v>
      </c>
      <c r="AZ17" s="106"/>
      <c r="BA17" s="106">
        <v>0</v>
      </c>
      <c r="BB17" s="106"/>
      <c r="BC17" s="106">
        <v>0</v>
      </c>
      <c r="BD17" s="106"/>
      <c r="BE17" s="106">
        <v>0</v>
      </c>
      <c r="BF17" s="106"/>
      <c r="BG17" s="106">
        <v>0</v>
      </c>
      <c r="BH17" s="106"/>
      <c r="BI17" s="106">
        <v>0</v>
      </c>
      <c r="BK17" s="106">
        <v>0</v>
      </c>
      <c r="BM17" s="106">
        <v>0</v>
      </c>
      <c r="BO17" s="106">
        <v>0</v>
      </c>
      <c r="BQ17" s="106"/>
    </row>
    <row r="18" spans="2:69" ht="14.15" customHeight="1" x14ac:dyDescent="0.35">
      <c r="B18" s="92" t="s">
        <v>81</v>
      </c>
      <c r="C18" s="106">
        <v>27</v>
      </c>
      <c r="D18" s="103"/>
      <c r="E18" s="106">
        <v>-248</v>
      </c>
      <c r="F18" s="106"/>
      <c r="G18" s="106">
        <v>-193</v>
      </c>
      <c r="H18" s="106"/>
      <c r="I18" s="106">
        <v>-281</v>
      </c>
      <c r="J18" s="106"/>
      <c r="K18" s="106">
        <v>257</v>
      </c>
      <c r="L18" s="106"/>
      <c r="M18" s="106">
        <v>448</v>
      </c>
      <c r="N18" s="106"/>
      <c r="O18" s="106">
        <v>-172</v>
      </c>
      <c r="P18" s="106"/>
      <c r="Q18" s="106">
        <v>-68</v>
      </c>
      <c r="R18" s="106"/>
      <c r="S18" s="106">
        <v>-162</v>
      </c>
      <c r="T18" s="106"/>
      <c r="U18" s="106">
        <v>-260</v>
      </c>
      <c r="V18" s="106"/>
      <c r="W18" s="106">
        <v>-15</v>
      </c>
      <c r="X18" s="106"/>
      <c r="Y18" s="106">
        <v>-728</v>
      </c>
      <c r="Z18" s="106"/>
      <c r="AA18" s="106">
        <v>15</v>
      </c>
      <c r="AB18" s="106"/>
      <c r="AC18" s="106">
        <v>59</v>
      </c>
      <c r="AD18" s="106"/>
      <c r="AE18" s="106">
        <v>-250</v>
      </c>
      <c r="AF18" s="106"/>
      <c r="AG18" s="106">
        <v>648</v>
      </c>
      <c r="AH18" s="106"/>
      <c r="AI18" s="106">
        <v>58</v>
      </c>
      <c r="AJ18" s="106"/>
      <c r="AK18" s="106">
        <v>147</v>
      </c>
      <c r="AL18" s="106"/>
      <c r="AM18" s="106">
        <v>911</v>
      </c>
      <c r="AN18" s="106"/>
      <c r="AO18" s="106">
        <v>269</v>
      </c>
      <c r="AP18" s="106"/>
      <c r="AQ18" s="106">
        <v>675</v>
      </c>
      <c r="AR18" s="106"/>
      <c r="AS18" s="106">
        <v>32</v>
      </c>
      <c r="AT18" s="106"/>
      <c r="AU18" s="106">
        <v>498</v>
      </c>
      <c r="AV18" s="106"/>
      <c r="AW18" s="106">
        <v>1866</v>
      </c>
      <c r="AX18" s="106"/>
      <c r="AY18" s="106">
        <v>623</v>
      </c>
      <c r="AZ18" s="106"/>
      <c r="BA18" s="106">
        <v>-1225</v>
      </c>
      <c r="BB18" s="106"/>
      <c r="BC18" s="106">
        <v>-789</v>
      </c>
      <c r="BD18" s="106"/>
      <c r="BE18" s="106">
        <v>-128</v>
      </c>
      <c r="BF18" s="106"/>
      <c r="BG18" s="106">
        <v>-120</v>
      </c>
      <c r="BH18" s="106"/>
      <c r="BI18" s="106">
        <v>400</v>
      </c>
      <c r="BK18" s="106">
        <v>-244</v>
      </c>
      <c r="BM18" s="106">
        <v>81</v>
      </c>
      <c r="BO18" s="106">
        <v>920</v>
      </c>
      <c r="BQ18" s="106"/>
    </row>
    <row r="19" spans="2:69" ht="14.15" customHeight="1" x14ac:dyDescent="0.35">
      <c r="B19" s="92" t="s">
        <v>349</v>
      </c>
      <c r="C19" s="106">
        <v>-164</v>
      </c>
      <c r="D19" s="103"/>
      <c r="E19" s="106">
        <v>-1333</v>
      </c>
      <c r="F19" s="106"/>
      <c r="G19" s="106">
        <v>-2833</v>
      </c>
      <c r="H19" s="106"/>
      <c r="I19" s="106">
        <v>323</v>
      </c>
      <c r="J19" s="106"/>
      <c r="K19" s="106">
        <v>-371</v>
      </c>
      <c r="L19" s="106"/>
      <c r="M19" s="106">
        <v>-1283</v>
      </c>
      <c r="N19" s="106"/>
      <c r="O19" s="106">
        <v>-284</v>
      </c>
      <c r="P19" s="106"/>
      <c r="Q19" s="106">
        <v>140</v>
      </c>
      <c r="R19" s="106"/>
      <c r="S19" s="106">
        <v>-2664</v>
      </c>
      <c r="T19" s="106"/>
      <c r="U19" s="106">
        <v>669</v>
      </c>
      <c r="V19" s="106"/>
      <c r="W19" s="106">
        <v>-1239</v>
      </c>
      <c r="X19" s="106"/>
      <c r="Y19" s="106">
        <v>-573</v>
      </c>
      <c r="Z19" s="106"/>
      <c r="AA19" s="106">
        <v>-137</v>
      </c>
      <c r="AB19" s="106"/>
      <c r="AC19" s="106">
        <v>42</v>
      </c>
      <c r="AD19" s="106"/>
      <c r="AE19" s="106">
        <v>-1006</v>
      </c>
      <c r="AF19" s="106"/>
      <c r="AG19" s="106">
        <v>-460</v>
      </c>
      <c r="AH19" s="106"/>
      <c r="AI19" s="106">
        <v>296</v>
      </c>
      <c r="AJ19" s="106"/>
      <c r="AK19" s="106">
        <v>388</v>
      </c>
      <c r="AL19" s="106"/>
      <c r="AM19" s="106">
        <v>367</v>
      </c>
      <c r="AN19" s="106"/>
      <c r="AO19" s="106">
        <v>-5</v>
      </c>
      <c r="AP19" s="106"/>
      <c r="AQ19" s="106">
        <v>252</v>
      </c>
      <c r="AR19" s="106"/>
      <c r="AS19" s="106">
        <v>-572</v>
      </c>
      <c r="AT19" s="106"/>
      <c r="AU19" s="106">
        <v>-480</v>
      </c>
      <c r="AV19" s="106"/>
      <c r="AW19" s="106">
        <v>-694</v>
      </c>
      <c r="AX19" s="106"/>
      <c r="AY19" s="106">
        <v>-403</v>
      </c>
      <c r="AZ19" s="106"/>
      <c r="BA19" s="106">
        <v>521</v>
      </c>
      <c r="BB19" s="106"/>
      <c r="BC19" s="106">
        <v>-69</v>
      </c>
      <c r="BD19" s="106"/>
      <c r="BE19" s="106">
        <v>-48</v>
      </c>
      <c r="BF19" s="106"/>
      <c r="BG19" s="106">
        <v>1581</v>
      </c>
      <c r="BH19" s="106"/>
      <c r="BI19" s="106">
        <v>391</v>
      </c>
      <c r="BK19" s="106">
        <v>-380</v>
      </c>
      <c r="BM19" s="106">
        <v>605</v>
      </c>
      <c r="BO19" s="106">
        <v>303</v>
      </c>
      <c r="BQ19" s="106"/>
    </row>
    <row r="20" spans="2:69" ht="14.15" customHeight="1" x14ac:dyDescent="0.35">
      <c r="B20" s="92" t="s">
        <v>350</v>
      </c>
      <c r="C20" s="106">
        <v>0</v>
      </c>
      <c r="D20" s="103"/>
      <c r="E20" s="106">
        <v>0</v>
      </c>
      <c r="F20" s="106"/>
      <c r="G20" s="106">
        <v>0</v>
      </c>
      <c r="H20" s="106"/>
      <c r="I20" s="106">
        <v>0</v>
      </c>
      <c r="J20" s="106"/>
      <c r="K20" s="106">
        <v>0</v>
      </c>
      <c r="L20" s="106"/>
      <c r="M20" s="106">
        <v>0</v>
      </c>
      <c r="N20" s="106"/>
      <c r="O20" s="106">
        <v>0</v>
      </c>
      <c r="P20" s="106"/>
      <c r="Q20" s="106">
        <v>0</v>
      </c>
      <c r="R20" s="106"/>
      <c r="S20" s="106">
        <v>0</v>
      </c>
      <c r="T20" s="106"/>
      <c r="U20" s="106">
        <v>0</v>
      </c>
      <c r="V20" s="106"/>
      <c r="W20" s="106">
        <v>5806</v>
      </c>
      <c r="X20" s="106"/>
      <c r="Y20" s="106">
        <v>0</v>
      </c>
      <c r="Z20" s="106"/>
      <c r="AA20" s="106">
        <v>0</v>
      </c>
      <c r="AB20" s="106"/>
      <c r="AC20" s="106">
        <v>0</v>
      </c>
      <c r="AD20" s="106"/>
      <c r="AE20" s="106">
        <v>0</v>
      </c>
      <c r="AF20" s="106"/>
      <c r="AG20" s="106">
        <v>0</v>
      </c>
      <c r="AH20" s="106"/>
      <c r="AI20" s="106">
        <v>0</v>
      </c>
      <c r="AJ20" s="106"/>
      <c r="AK20" s="106">
        <v>0</v>
      </c>
      <c r="AL20" s="106"/>
      <c r="AM20" s="106">
        <v>0</v>
      </c>
      <c r="AN20" s="106"/>
      <c r="AO20" s="106">
        <v>0</v>
      </c>
      <c r="AP20" s="106"/>
      <c r="AQ20" s="106">
        <v>0</v>
      </c>
      <c r="AR20" s="106"/>
      <c r="AS20" s="106">
        <v>0</v>
      </c>
      <c r="AT20" s="106"/>
      <c r="AU20" s="106">
        <v>0</v>
      </c>
      <c r="AV20" s="106"/>
      <c r="AW20" s="106">
        <v>0</v>
      </c>
      <c r="AX20" s="106"/>
      <c r="AY20" s="106">
        <v>0</v>
      </c>
      <c r="AZ20" s="106"/>
      <c r="BA20" s="106">
        <v>0</v>
      </c>
      <c r="BB20" s="106"/>
      <c r="BC20" s="106">
        <v>0</v>
      </c>
      <c r="BD20" s="106"/>
      <c r="BE20" s="106">
        <v>1434</v>
      </c>
      <c r="BF20" s="106"/>
      <c r="BG20" s="106">
        <v>0</v>
      </c>
      <c r="BH20" s="106"/>
      <c r="BI20" s="106">
        <v>0</v>
      </c>
      <c r="BK20" s="106">
        <v>3281</v>
      </c>
      <c r="BM20" s="106">
        <v>1800</v>
      </c>
      <c r="BO20" s="106">
        <v>1031</v>
      </c>
      <c r="BQ20" s="106"/>
    </row>
    <row r="21" spans="2:69" ht="14.15" customHeight="1" x14ac:dyDescent="0.35">
      <c r="B21" s="92" t="s">
        <v>386</v>
      </c>
      <c r="C21" s="106">
        <v>0</v>
      </c>
      <c r="D21" s="103"/>
      <c r="E21" s="106">
        <v>0</v>
      </c>
      <c r="F21" s="106"/>
      <c r="G21" s="106">
        <v>0</v>
      </c>
      <c r="H21" s="106"/>
      <c r="I21" s="106">
        <v>0</v>
      </c>
      <c r="J21" s="106"/>
      <c r="K21" s="106">
        <v>0</v>
      </c>
      <c r="L21" s="106"/>
      <c r="M21" s="106">
        <v>0</v>
      </c>
      <c r="N21" s="106"/>
      <c r="O21" s="106">
        <v>0</v>
      </c>
      <c r="P21" s="106"/>
      <c r="Q21" s="106">
        <v>0</v>
      </c>
      <c r="R21" s="106"/>
      <c r="S21" s="106">
        <v>0</v>
      </c>
      <c r="T21" s="106"/>
      <c r="U21" s="106">
        <v>0</v>
      </c>
      <c r="V21" s="106"/>
      <c r="W21" s="106">
        <v>-650</v>
      </c>
      <c r="X21" s="106"/>
      <c r="Y21" s="106">
        <v>0</v>
      </c>
      <c r="Z21" s="106"/>
      <c r="AA21" s="106">
        <v>0</v>
      </c>
      <c r="AB21" s="106"/>
      <c r="AC21" s="106">
        <v>0</v>
      </c>
      <c r="AD21" s="106"/>
      <c r="AE21" s="106">
        <v>0</v>
      </c>
      <c r="AF21" s="106"/>
      <c r="AG21" s="106">
        <v>0</v>
      </c>
      <c r="AH21" s="106"/>
      <c r="AI21" s="106">
        <v>0</v>
      </c>
      <c r="AJ21" s="106"/>
      <c r="AK21" s="106">
        <v>0</v>
      </c>
      <c r="AL21" s="106"/>
      <c r="AM21" s="106">
        <v>0</v>
      </c>
      <c r="AN21" s="106"/>
      <c r="AO21" s="106">
        <v>0</v>
      </c>
      <c r="AP21" s="106"/>
      <c r="AQ21" s="106">
        <v>0</v>
      </c>
      <c r="AR21" s="106"/>
      <c r="AS21" s="106" t="e">
        <f>#REF!-AQ21</f>
        <v>#REF!</v>
      </c>
      <c r="AT21" s="106"/>
      <c r="AU21" s="106">
        <v>0</v>
      </c>
      <c r="AV21" s="106"/>
      <c r="AW21" s="106">
        <v>0</v>
      </c>
      <c r="AX21" s="106"/>
      <c r="AY21" s="106">
        <v>0</v>
      </c>
      <c r="AZ21" s="106"/>
      <c r="BA21" s="106">
        <v>-1023</v>
      </c>
      <c r="BB21" s="106"/>
      <c r="BC21" s="106">
        <v>0</v>
      </c>
      <c r="BD21" s="106"/>
      <c r="BE21" s="106">
        <v>686</v>
      </c>
      <c r="BF21" s="106"/>
      <c r="BG21" s="106">
        <v>0</v>
      </c>
      <c r="BH21" s="106"/>
      <c r="BI21" s="106">
        <v>0</v>
      </c>
      <c r="BK21" s="106">
        <v>0</v>
      </c>
      <c r="BM21" s="106">
        <v>0</v>
      </c>
      <c r="BO21" s="106">
        <v>-54571</v>
      </c>
      <c r="BQ21" s="106"/>
    </row>
    <row r="22" spans="2:69" ht="14.15" customHeight="1" x14ac:dyDescent="0.35">
      <c r="B22" s="92" t="s">
        <v>351</v>
      </c>
      <c r="C22" s="106">
        <v>0</v>
      </c>
      <c r="D22" s="103"/>
      <c r="E22" s="106">
        <v>0</v>
      </c>
      <c r="F22" s="106"/>
      <c r="G22" s="106">
        <v>0</v>
      </c>
      <c r="H22" s="106"/>
      <c r="I22" s="106">
        <v>0</v>
      </c>
      <c r="J22" s="106"/>
      <c r="K22" s="106">
        <v>0</v>
      </c>
      <c r="L22" s="106"/>
      <c r="M22" s="106">
        <v>-2410</v>
      </c>
      <c r="N22" s="106"/>
      <c r="O22" s="106">
        <v>157</v>
      </c>
      <c r="P22" s="106"/>
      <c r="Q22" s="106">
        <v>157</v>
      </c>
      <c r="R22" s="106"/>
      <c r="S22" s="106">
        <v>157</v>
      </c>
      <c r="T22" s="106"/>
      <c r="U22" s="106">
        <v>93</v>
      </c>
      <c r="V22" s="106"/>
      <c r="W22" s="106">
        <v>162</v>
      </c>
      <c r="X22" s="106"/>
      <c r="Y22" s="106">
        <v>164</v>
      </c>
      <c r="Z22" s="106"/>
      <c r="AA22" s="106">
        <v>163</v>
      </c>
      <c r="AB22" s="106"/>
      <c r="AC22" s="106">
        <v>163</v>
      </c>
      <c r="AD22" s="106"/>
      <c r="AE22" s="106">
        <v>163</v>
      </c>
      <c r="AF22" s="106"/>
      <c r="AG22" s="106">
        <v>162</v>
      </c>
      <c r="AH22" s="106"/>
      <c r="AI22" s="106">
        <v>163</v>
      </c>
      <c r="AJ22" s="106"/>
      <c r="AK22" s="106">
        <v>163</v>
      </c>
      <c r="AL22" s="106"/>
      <c r="AM22" s="106">
        <v>163</v>
      </c>
      <c r="AN22" s="106"/>
      <c r="AO22" s="106">
        <v>162</v>
      </c>
      <c r="AP22" s="106"/>
      <c r="AQ22" s="106">
        <v>163</v>
      </c>
      <c r="AR22" s="106"/>
      <c r="AS22" s="106" t="e">
        <f>#REF!-AQ22</f>
        <v>#REF!</v>
      </c>
      <c r="AT22" s="106"/>
      <c r="AU22" s="106">
        <v>0</v>
      </c>
      <c r="AV22" s="106"/>
      <c r="AW22" s="106">
        <v>0</v>
      </c>
      <c r="AX22" s="106"/>
      <c r="AY22" s="106">
        <v>0</v>
      </c>
      <c r="AZ22" s="106"/>
      <c r="BA22" s="106">
        <v>0</v>
      </c>
      <c r="BB22" s="106"/>
      <c r="BC22" s="106">
        <v>0</v>
      </c>
      <c r="BD22" s="106"/>
      <c r="BE22" s="106">
        <v>0</v>
      </c>
      <c r="BF22" s="106"/>
      <c r="BG22" s="106">
        <v>0</v>
      </c>
      <c r="BH22" s="106"/>
      <c r="BI22" s="106">
        <v>0</v>
      </c>
      <c r="BK22" s="106">
        <v>189</v>
      </c>
      <c r="BM22" s="106">
        <v>-5200</v>
      </c>
      <c r="BO22" s="106">
        <v>95</v>
      </c>
      <c r="BQ22" s="106"/>
    </row>
    <row r="23" spans="2:69" ht="14.15" customHeight="1" x14ac:dyDescent="0.35">
      <c r="B23" s="92" t="s">
        <v>279</v>
      </c>
      <c r="C23" s="106">
        <v>0</v>
      </c>
      <c r="D23" s="103"/>
      <c r="E23" s="106">
        <v>0</v>
      </c>
      <c r="F23" s="106"/>
      <c r="G23" s="106">
        <v>0</v>
      </c>
      <c r="H23" s="106"/>
      <c r="I23" s="106">
        <v>0</v>
      </c>
      <c r="J23" s="106"/>
      <c r="K23" s="106">
        <v>0</v>
      </c>
      <c r="L23" s="106"/>
      <c r="M23" s="106">
        <v>0</v>
      </c>
      <c r="N23" s="106"/>
      <c r="O23" s="106">
        <v>0</v>
      </c>
      <c r="P23" s="106"/>
      <c r="Q23" s="106">
        <v>0</v>
      </c>
      <c r="R23" s="106"/>
      <c r="S23" s="106">
        <v>0</v>
      </c>
      <c r="T23" s="106"/>
      <c r="U23" s="106">
        <v>0</v>
      </c>
      <c r="V23" s="106"/>
      <c r="W23" s="106">
        <v>0</v>
      </c>
      <c r="X23" s="106"/>
      <c r="Y23" s="106">
        <v>0</v>
      </c>
      <c r="Z23" s="106"/>
      <c r="AA23" s="106">
        <v>0</v>
      </c>
      <c r="AB23" s="106"/>
      <c r="AC23" s="106">
        <v>0</v>
      </c>
      <c r="AD23" s="106"/>
      <c r="AE23" s="106">
        <v>0</v>
      </c>
      <c r="AF23" s="106"/>
      <c r="AG23" s="106">
        <v>0</v>
      </c>
      <c r="AH23" s="106"/>
      <c r="AI23" s="106">
        <v>0</v>
      </c>
      <c r="AJ23" s="106"/>
      <c r="AK23" s="106">
        <v>0</v>
      </c>
      <c r="AL23" s="106"/>
      <c r="AM23" s="106">
        <v>0</v>
      </c>
      <c r="AN23" s="106"/>
      <c r="AO23" s="106">
        <v>0</v>
      </c>
      <c r="AP23" s="106"/>
      <c r="AQ23" s="106">
        <v>0</v>
      </c>
      <c r="AR23" s="106"/>
      <c r="AS23" s="106">
        <v>2392</v>
      </c>
      <c r="AT23" s="106"/>
      <c r="AU23" s="106">
        <v>0</v>
      </c>
      <c r="AV23" s="106"/>
      <c r="AW23" s="106">
        <v>1415</v>
      </c>
      <c r="AX23" s="106"/>
      <c r="AY23" s="106">
        <v>2</v>
      </c>
      <c r="AZ23" s="106"/>
      <c r="BA23" s="106">
        <v>357</v>
      </c>
      <c r="BB23" s="106"/>
      <c r="BC23" s="106">
        <v>-50</v>
      </c>
      <c r="BD23" s="106"/>
      <c r="BE23" s="106">
        <v>17</v>
      </c>
      <c r="BF23" s="106"/>
      <c r="BG23" s="106">
        <v>-403</v>
      </c>
      <c r="BH23" s="106"/>
      <c r="BI23" s="106">
        <v>-741</v>
      </c>
      <c r="BK23" s="106">
        <v>-2018</v>
      </c>
      <c r="BM23" s="106">
        <v>-3166</v>
      </c>
      <c r="BO23" s="106">
        <f>57-3</f>
        <v>54</v>
      </c>
      <c r="BQ23" s="106"/>
    </row>
    <row r="24" spans="2:69" ht="14.15" customHeight="1" x14ac:dyDescent="0.35">
      <c r="B24" s="92"/>
      <c r="C24" s="106"/>
      <c r="D24" s="103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K24" s="106"/>
      <c r="BM24" s="106"/>
      <c r="BO24" s="106"/>
      <c r="BQ24" s="106"/>
    </row>
    <row r="25" spans="2:69" ht="14.15" customHeight="1" x14ac:dyDescent="0.35">
      <c r="B25" s="104" t="s">
        <v>352</v>
      </c>
      <c r="C25" s="106"/>
      <c r="D25" s="103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K25" s="106"/>
      <c r="BM25" s="106"/>
      <c r="BO25" s="106"/>
      <c r="BQ25" s="106"/>
    </row>
    <row r="26" spans="2:69" ht="14.15" customHeight="1" x14ac:dyDescent="0.35">
      <c r="B26" s="92" t="s">
        <v>353</v>
      </c>
      <c r="C26" s="106">
        <v>-9155</v>
      </c>
      <c r="D26" s="103"/>
      <c r="E26" s="106">
        <v>8043</v>
      </c>
      <c r="F26" s="106"/>
      <c r="G26" s="106">
        <v>6876</v>
      </c>
      <c r="H26" s="106"/>
      <c r="I26" s="106">
        <v>-3582</v>
      </c>
      <c r="J26" s="106"/>
      <c r="K26" s="106">
        <v>-1342</v>
      </c>
      <c r="L26" s="106"/>
      <c r="M26" s="106">
        <v>7302</v>
      </c>
      <c r="N26" s="106"/>
      <c r="O26" s="106">
        <v>4943</v>
      </c>
      <c r="P26" s="106"/>
      <c r="Q26" s="106">
        <v>7106</v>
      </c>
      <c r="R26" s="106"/>
      <c r="S26" s="106">
        <v>-17475</v>
      </c>
      <c r="T26" s="106"/>
      <c r="U26" s="106">
        <v>17967</v>
      </c>
      <c r="V26" s="106"/>
      <c r="W26" s="106">
        <v>-1863</v>
      </c>
      <c r="X26" s="106"/>
      <c r="Y26" s="106">
        <v>-7804</v>
      </c>
      <c r="Z26" s="106"/>
      <c r="AA26" s="106">
        <v>-15926</v>
      </c>
      <c r="AB26" s="106"/>
      <c r="AC26" s="106">
        <v>-24204</v>
      </c>
      <c r="AD26" s="106"/>
      <c r="AE26" s="106">
        <v>-1539</v>
      </c>
      <c r="AF26" s="106"/>
      <c r="AG26" s="106">
        <v>-2503</v>
      </c>
      <c r="AH26" s="106"/>
      <c r="AI26" s="106">
        <v>-6320</v>
      </c>
      <c r="AJ26" s="106"/>
      <c r="AK26" s="106">
        <v>-17486</v>
      </c>
      <c r="AL26" s="106"/>
      <c r="AM26" s="106">
        <v>-46424</v>
      </c>
      <c r="AN26" s="106"/>
      <c r="AO26" s="106">
        <v>-129</v>
      </c>
      <c r="AP26" s="106"/>
      <c r="AQ26" s="106">
        <v>-19495</v>
      </c>
      <c r="AR26" s="106"/>
      <c r="AS26" s="106">
        <v>-44893</v>
      </c>
      <c r="AT26" s="106"/>
      <c r="AU26" s="106">
        <v>41419</v>
      </c>
      <c r="AV26" s="106"/>
      <c r="AW26" s="106">
        <v>-43316</v>
      </c>
      <c r="AX26" s="106"/>
      <c r="AY26" s="106">
        <f>38011-126</f>
        <v>37885</v>
      </c>
      <c r="AZ26" s="106"/>
      <c r="BA26" s="106">
        <v>27609</v>
      </c>
      <c r="BB26" s="106"/>
      <c r="BC26" s="106">
        <v>-41263</v>
      </c>
      <c r="BD26" s="106"/>
      <c r="BE26" s="106">
        <v>31909</v>
      </c>
      <c r="BF26" s="106"/>
      <c r="BG26" s="106">
        <v>-62311</v>
      </c>
      <c r="BH26" s="106"/>
      <c r="BI26" s="106">
        <v>3647</v>
      </c>
      <c r="BK26" s="106">
        <v>-11812</v>
      </c>
      <c r="BM26" s="106">
        <v>5160</v>
      </c>
      <c r="BO26" s="106">
        <v>12592</v>
      </c>
      <c r="BQ26" s="106"/>
    </row>
    <row r="27" spans="2:69" ht="14.15" customHeight="1" x14ac:dyDescent="0.35">
      <c r="B27" s="92" t="s">
        <v>12</v>
      </c>
      <c r="C27" s="106">
        <v>1595</v>
      </c>
      <c r="D27" s="103"/>
      <c r="E27" s="106">
        <v>-1402</v>
      </c>
      <c r="F27" s="106"/>
      <c r="G27" s="106">
        <v>-60</v>
      </c>
      <c r="H27" s="106"/>
      <c r="I27" s="106">
        <v>477</v>
      </c>
      <c r="J27" s="106"/>
      <c r="K27" s="106">
        <v>-284</v>
      </c>
      <c r="L27" s="106"/>
      <c r="M27" s="106">
        <v>652</v>
      </c>
      <c r="N27" s="106"/>
      <c r="O27" s="106">
        <v>-758</v>
      </c>
      <c r="P27" s="106"/>
      <c r="Q27" s="106">
        <v>750</v>
      </c>
      <c r="R27" s="106"/>
      <c r="S27" s="106">
        <v>-232</v>
      </c>
      <c r="T27" s="106"/>
      <c r="U27" s="106">
        <v>722</v>
      </c>
      <c r="V27" s="106"/>
      <c r="W27" s="106">
        <v>-533</v>
      </c>
      <c r="X27" s="106"/>
      <c r="Y27" s="106">
        <v>123</v>
      </c>
      <c r="Z27" s="106"/>
      <c r="AA27" s="106">
        <v>-1337</v>
      </c>
      <c r="AB27" s="106"/>
      <c r="AC27" s="106">
        <v>-335</v>
      </c>
      <c r="AD27" s="106"/>
      <c r="AE27" s="106">
        <v>-529</v>
      </c>
      <c r="AF27" s="106"/>
      <c r="AG27" s="106">
        <v>-145</v>
      </c>
      <c r="AH27" s="106"/>
      <c r="AI27" s="106">
        <v>99</v>
      </c>
      <c r="AJ27" s="106"/>
      <c r="AK27" s="106">
        <v>-628</v>
      </c>
      <c r="AL27" s="106"/>
      <c r="AM27" s="106">
        <v>-1352</v>
      </c>
      <c r="AN27" s="106"/>
      <c r="AO27" s="106">
        <v>299</v>
      </c>
      <c r="AP27" s="106"/>
      <c r="AQ27" s="106">
        <v>624</v>
      </c>
      <c r="AR27" s="106"/>
      <c r="AS27" s="106">
        <v>-200</v>
      </c>
      <c r="AT27" s="106"/>
      <c r="AU27" s="106">
        <v>-1192</v>
      </c>
      <c r="AV27" s="106"/>
      <c r="AW27" s="106">
        <v>1238</v>
      </c>
      <c r="AX27" s="106"/>
      <c r="AY27" s="106">
        <v>178</v>
      </c>
      <c r="AZ27" s="106"/>
      <c r="BA27" s="106">
        <v>-1261</v>
      </c>
      <c r="BB27" s="106"/>
      <c r="BC27" s="106">
        <v>-40</v>
      </c>
      <c r="BD27" s="106"/>
      <c r="BE27" s="106">
        <v>8</v>
      </c>
      <c r="BF27" s="106"/>
      <c r="BG27" s="106">
        <v>-1003</v>
      </c>
      <c r="BH27" s="106"/>
      <c r="BI27" s="106">
        <v>817</v>
      </c>
      <c r="BK27" s="106">
        <v>86</v>
      </c>
      <c r="BM27" s="106">
        <v>2465</v>
      </c>
      <c r="BO27" s="106">
        <v>-674</v>
      </c>
      <c r="BQ27" s="106"/>
    </row>
    <row r="28" spans="2:69" ht="14.15" customHeight="1" x14ac:dyDescent="0.35">
      <c r="B28" s="92" t="s">
        <v>14</v>
      </c>
      <c r="C28" s="106">
        <v>-813</v>
      </c>
      <c r="D28" s="103"/>
      <c r="E28" s="106">
        <v>-1701</v>
      </c>
      <c r="F28" s="106"/>
      <c r="G28" s="106">
        <v>-4134</v>
      </c>
      <c r="H28" s="106"/>
      <c r="I28" s="106">
        <v>-4490</v>
      </c>
      <c r="J28" s="106"/>
      <c r="K28" s="106">
        <v>-1599</v>
      </c>
      <c r="L28" s="106"/>
      <c r="M28" s="106">
        <v>-913</v>
      </c>
      <c r="N28" s="106"/>
      <c r="O28" s="106">
        <v>-806</v>
      </c>
      <c r="P28" s="106"/>
      <c r="Q28" s="106">
        <v>473</v>
      </c>
      <c r="R28" s="106"/>
      <c r="S28" s="106">
        <v>-555</v>
      </c>
      <c r="T28" s="106"/>
      <c r="U28" s="106">
        <v>-1596</v>
      </c>
      <c r="V28" s="106"/>
      <c r="W28" s="106">
        <v>92</v>
      </c>
      <c r="X28" s="106"/>
      <c r="Y28" s="106">
        <v>4930</v>
      </c>
      <c r="Z28" s="106"/>
      <c r="AA28" s="106">
        <v>2544</v>
      </c>
      <c r="AB28" s="106"/>
      <c r="AC28" s="106">
        <v>2640</v>
      </c>
      <c r="AD28" s="106"/>
      <c r="AE28" s="106">
        <v>4693</v>
      </c>
      <c r="AF28" s="106"/>
      <c r="AG28" s="106">
        <v>219</v>
      </c>
      <c r="AH28" s="106"/>
      <c r="AI28" s="106">
        <v>830</v>
      </c>
      <c r="AJ28" s="106"/>
      <c r="AK28" s="106">
        <v>-2291</v>
      </c>
      <c r="AL28" s="106"/>
      <c r="AM28" s="106">
        <v>-1658</v>
      </c>
      <c r="AN28" s="106"/>
      <c r="AO28" s="106">
        <v>4059</v>
      </c>
      <c r="AP28" s="106"/>
      <c r="AQ28" s="106">
        <v>-1179</v>
      </c>
      <c r="AR28" s="106"/>
      <c r="AS28" s="106">
        <v>-4300</v>
      </c>
      <c r="AT28" s="106"/>
      <c r="AU28" s="106">
        <v>-1933</v>
      </c>
      <c r="AV28" s="106"/>
      <c r="AW28" s="106">
        <v>4126</v>
      </c>
      <c r="AX28" s="106"/>
      <c r="AY28" s="106">
        <v>-6130</v>
      </c>
      <c r="AZ28" s="106"/>
      <c r="BA28" s="106">
        <v>-5344</v>
      </c>
      <c r="BB28" s="106"/>
      <c r="BC28" s="106">
        <v>1143</v>
      </c>
      <c r="BD28" s="106"/>
      <c r="BE28" s="106">
        <v>5935</v>
      </c>
      <c r="BF28" s="106"/>
      <c r="BG28" s="106">
        <v>-7257</v>
      </c>
      <c r="BH28" s="106"/>
      <c r="BI28" s="106">
        <v>-6630</v>
      </c>
      <c r="BK28" s="106">
        <v>14039</v>
      </c>
      <c r="BM28" s="106">
        <v>-8286</v>
      </c>
      <c r="BO28" s="106">
        <v>-8972</v>
      </c>
      <c r="BQ28" s="106"/>
    </row>
    <row r="29" spans="2:69" ht="14.15" customHeight="1" x14ac:dyDescent="0.35">
      <c r="B29" s="92" t="s">
        <v>82</v>
      </c>
      <c r="C29" s="106">
        <v>-376</v>
      </c>
      <c r="D29" s="103"/>
      <c r="E29" s="106">
        <v>-536</v>
      </c>
      <c r="F29" s="106"/>
      <c r="G29" s="106">
        <v>-241</v>
      </c>
      <c r="H29" s="106"/>
      <c r="I29" s="106">
        <v>-759</v>
      </c>
      <c r="J29" s="106"/>
      <c r="K29" s="106">
        <v>-55</v>
      </c>
      <c r="L29" s="106"/>
      <c r="M29" s="106">
        <v>-69</v>
      </c>
      <c r="N29" s="106"/>
      <c r="O29" s="106">
        <v>612</v>
      </c>
      <c r="P29" s="106"/>
      <c r="Q29" s="106">
        <v>146</v>
      </c>
      <c r="R29" s="106"/>
      <c r="S29" s="106">
        <v>-1856</v>
      </c>
      <c r="T29" s="106"/>
      <c r="U29" s="106">
        <v>2678</v>
      </c>
      <c r="V29" s="106"/>
      <c r="W29" s="106">
        <v>-2317</v>
      </c>
      <c r="X29" s="106"/>
      <c r="Y29" s="106">
        <v>-3819</v>
      </c>
      <c r="Z29" s="106"/>
      <c r="AA29" s="106">
        <v>-638</v>
      </c>
      <c r="AB29" s="106"/>
      <c r="AC29" s="106">
        <v>-285</v>
      </c>
      <c r="AD29" s="106"/>
      <c r="AE29" s="106">
        <v>-107</v>
      </c>
      <c r="AF29" s="106"/>
      <c r="AG29" s="106">
        <v>-2126</v>
      </c>
      <c r="AH29" s="106"/>
      <c r="AI29" s="106">
        <v>2143</v>
      </c>
      <c r="AJ29" s="106"/>
      <c r="AK29" s="106">
        <v>-3103</v>
      </c>
      <c r="AL29" s="106"/>
      <c r="AM29" s="106">
        <v>162</v>
      </c>
      <c r="AN29" s="106"/>
      <c r="AO29" s="106">
        <v>-3408</v>
      </c>
      <c r="AP29" s="106"/>
      <c r="AQ29" s="106">
        <v>-290</v>
      </c>
      <c r="AR29" s="106"/>
      <c r="AS29" s="106">
        <v>-4618</v>
      </c>
      <c r="AT29" s="106"/>
      <c r="AU29" s="106">
        <v>4466</v>
      </c>
      <c r="AV29" s="106"/>
      <c r="AW29" s="106">
        <v>3893</v>
      </c>
      <c r="AX29" s="106"/>
      <c r="AY29" s="106">
        <v>-1927</v>
      </c>
      <c r="AZ29" s="106"/>
      <c r="BA29" s="106">
        <v>-2262</v>
      </c>
      <c r="BB29" s="106"/>
      <c r="BC29" s="106">
        <v>-3506</v>
      </c>
      <c r="BD29" s="106"/>
      <c r="BE29" s="106">
        <v>8904</v>
      </c>
      <c r="BF29" s="106"/>
      <c r="BG29" s="106">
        <v>1372</v>
      </c>
      <c r="BH29" s="106"/>
      <c r="BI29" s="106">
        <v>-4348</v>
      </c>
      <c r="BK29" s="106">
        <v>-2108</v>
      </c>
      <c r="BM29" s="106">
        <v>7927</v>
      </c>
      <c r="BO29" s="106">
        <v>-13511</v>
      </c>
      <c r="BQ29" s="106"/>
    </row>
    <row r="30" spans="2:69" ht="14.15" customHeight="1" x14ac:dyDescent="0.35">
      <c r="B30" s="92" t="s">
        <v>354</v>
      </c>
      <c r="C30" s="106">
        <v>-1483</v>
      </c>
      <c r="D30" s="103"/>
      <c r="E30" s="106">
        <v>899</v>
      </c>
      <c r="F30" s="106"/>
      <c r="G30" s="106">
        <v>162</v>
      </c>
      <c r="H30" s="106"/>
      <c r="I30" s="106">
        <v>3612</v>
      </c>
      <c r="J30" s="106"/>
      <c r="K30" s="106">
        <v>-2017</v>
      </c>
      <c r="L30" s="106"/>
      <c r="M30" s="106">
        <v>-2494</v>
      </c>
      <c r="N30" s="106"/>
      <c r="O30" s="106">
        <v>238</v>
      </c>
      <c r="P30" s="106"/>
      <c r="Q30" s="106">
        <v>-337</v>
      </c>
      <c r="R30" s="106"/>
      <c r="S30" s="106">
        <v>-1650</v>
      </c>
      <c r="T30" s="106"/>
      <c r="U30" s="106">
        <v>-2240</v>
      </c>
      <c r="V30" s="106"/>
      <c r="W30" s="106">
        <v>-428</v>
      </c>
      <c r="X30" s="106"/>
      <c r="Y30" s="106">
        <v>3726</v>
      </c>
      <c r="Z30" s="106"/>
      <c r="AA30" s="106">
        <v>-2286</v>
      </c>
      <c r="AB30" s="106"/>
      <c r="AC30" s="106">
        <v>1940</v>
      </c>
      <c r="AD30" s="106"/>
      <c r="AE30" s="106">
        <v>507</v>
      </c>
      <c r="AF30" s="106"/>
      <c r="AG30" s="106">
        <v>3257</v>
      </c>
      <c r="AH30" s="106"/>
      <c r="AI30" s="106">
        <v>-3485</v>
      </c>
      <c r="AJ30" s="106"/>
      <c r="AK30" s="106">
        <v>3909</v>
      </c>
      <c r="AL30" s="106"/>
      <c r="AM30" s="106">
        <v>-4545</v>
      </c>
      <c r="AN30" s="106"/>
      <c r="AO30" s="106">
        <v>7778</v>
      </c>
      <c r="AP30" s="106"/>
      <c r="AQ30" s="106">
        <v>-8250</v>
      </c>
      <c r="AR30" s="106"/>
      <c r="AS30" s="106">
        <v>-4341</v>
      </c>
      <c r="AT30" s="106"/>
      <c r="AU30" s="106">
        <v>3506</v>
      </c>
      <c r="AV30" s="106"/>
      <c r="AW30" s="106">
        <v>3809</v>
      </c>
      <c r="AX30" s="106"/>
      <c r="AY30" s="106">
        <v>-21503</v>
      </c>
      <c r="AZ30" s="106"/>
      <c r="BA30" s="106">
        <v>470</v>
      </c>
      <c r="BB30" s="106"/>
      <c r="BC30" s="106">
        <v>1213</v>
      </c>
      <c r="BD30" s="106"/>
      <c r="BE30" s="106">
        <v>-15411</v>
      </c>
      <c r="BF30" s="106"/>
      <c r="BG30" s="106">
        <v>-9192</v>
      </c>
      <c r="BH30" s="106"/>
      <c r="BI30" s="106">
        <v>-150</v>
      </c>
      <c r="BK30" s="106">
        <v>-4433</v>
      </c>
      <c r="BM30" s="106">
        <v>-3336</v>
      </c>
      <c r="BO30" s="106">
        <v>-15722</v>
      </c>
      <c r="BQ30" s="106"/>
    </row>
    <row r="31" spans="2:69" ht="14.15" customHeight="1" x14ac:dyDescent="0.35">
      <c r="B31" s="92" t="s">
        <v>31</v>
      </c>
      <c r="C31" s="106">
        <v>0</v>
      </c>
      <c r="D31" s="103"/>
      <c r="E31" s="106">
        <v>0</v>
      </c>
      <c r="F31" s="106"/>
      <c r="G31" s="106">
        <v>0</v>
      </c>
      <c r="H31" s="106"/>
      <c r="I31" s="106">
        <v>0</v>
      </c>
      <c r="J31" s="106"/>
      <c r="K31" s="106">
        <v>0</v>
      </c>
      <c r="L31" s="106"/>
      <c r="M31" s="106">
        <v>2505</v>
      </c>
      <c r="N31" s="106"/>
      <c r="O31" s="106">
        <v>5440</v>
      </c>
      <c r="P31" s="106"/>
      <c r="Q31" s="106">
        <v>-2598</v>
      </c>
      <c r="R31" s="106"/>
      <c r="S31" s="106">
        <v>-5347</v>
      </c>
      <c r="T31" s="106"/>
      <c r="U31" s="106">
        <v>0</v>
      </c>
      <c r="V31" s="106"/>
      <c r="W31" s="106">
        <v>0</v>
      </c>
      <c r="X31" s="106"/>
      <c r="Y31" s="106">
        <v>0</v>
      </c>
      <c r="Z31" s="106"/>
      <c r="AA31" s="106">
        <v>0</v>
      </c>
      <c r="AB31" s="106"/>
      <c r="AC31" s="106">
        <v>0</v>
      </c>
      <c r="AD31" s="106"/>
      <c r="AE31" s="106">
        <v>0</v>
      </c>
      <c r="AF31" s="106"/>
      <c r="AG31" s="106">
        <v>0</v>
      </c>
      <c r="AH31" s="106"/>
      <c r="AI31" s="106">
        <v>0</v>
      </c>
      <c r="AJ31" s="106"/>
      <c r="AK31" s="106">
        <v>2939</v>
      </c>
      <c r="AL31" s="106"/>
      <c r="AM31" s="106">
        <v>4002</v>
      </c>
      <c r="AN31" s="106"/>
      <c r="AO31" s="106">
        <v>12849</v>
      </c>
      <c r="AP31" s="106"/>
      <c r="AQ31" s="106">
        <v>5946</v>
      </c>
      <c r="AR31" s="106"/>
      <c r="AS31" s="106">
        <v>-5946</v>
      </c>
      <c r="AT31" s="106"/>
      <c r="AU31" s="106">
        <v>0</v>
      </c>
      <c r="AV31" s="106"/>
      <c r="AW31" s="106">
        <v>0</v>
      </c>
      <c r="AX31" s="106"/>
      <c r="AY31" s="106">
        <v>0</v>
      </c>
      <c r="AZ31" s="106"/>
      <c r="BA31" s="106">
        <v>0</v>
      </c>
      <c r="BB31" s="106"/>
      <c r="BC31" s="106">
        <v>0</v>
      </c>
      <c r="BD31" s="106"/>
      <c r="BE31" s="106">
        <v>0</v>
      </c>
      <c r="BF31" s="106"/>
      <c r="BG31" s="106">
        <v>0</v>
      </c>
      <c r="BH31" s="106"/>
      <c r="BI31" s="106">
        <v>0</v>
      </c>
      <c r="BK31" s="106">
        <v>0</v>
      </c>
      <c r="BM31" s="106">
        <v>0</v>
      </c>
      <c r="BO31" s="106">
        <v>0</v>
      </c>
      <c r="BQ31" s="106"/>
    </row>
    <row r="32" spans="2:69" ht="14.15" customHeight="1" x14ac:dyDescent="0.35">
      <c r="B32" s="92" t="s">
        <v>83</v>
      </c>
      <c r="C32" s="106">
        <v>5072</v>
      </c>
      <c r="D32" s="103"/>
      <c r="E32" s="106">
        <v>10060</v>
      </c>
      <c r="F32" s="106"/>
      <c r="G32" s="106">
        <v>-1728</v>
      </c>
      <c r="H32" s="106"/>
      <c r="I32" s="106">
        <v>-6529</v>
      </c>
      <c r="J32" s="106"/>
      <c r="K32" s="106">
        <v>3403</v>
      </c>
      <c r="L32" s="106"/>
      <c r="M32" s="106">
        <v>3589</v>
      </c>
      <c r="N32" s="106"/>
      <c r="O32" s="106">
        <v>-566</v>
      </c>
      <c r="P32" s="106"/>
      <c r="Q32" s="106">
        <v>-9844</v>
      </c>
      <c r="R32" s="106"/>
      <c r="S32" s="106">
        <v>-3446</v>
      </c>
      <c r="T32" s="106"/>
      <c r="U32" s="106">
        <v>38</v>
      </c>
      <c r="V32" s="106"/>
      <c r="W32" s="106">
        <v>-22</v>
      </c>
      <c r="X32" s="106"/>
      <c r="Y32" s="106">
        <v>-4381</v>
      </c>
      <c r="Z32" s="106"/>
      <c r="AA32" s="106">
        <v>5366</v>
      </c>
      <c r="AB32" s="106"/>
      <c r="AC32" s="106">
        <v>10159</v>
      </c>
      <c r="AD32" s="106"/>
      <c r="AE32" s="106">
        <v>8003</v>
      </c>
      <c r="AF32" s="106"/>
      <c r="AG32" s="106">
        <v>-8324</v>
      </c>
      <c r="AH32" s="106"/>
      <c r="AI32" s="106">
        <v>5097</v>
      </c>
      <c r="AJ32" s="106"/>
      <c r="AK32" s="106">
        <v>11719</v>
      </c>
      <c r="AL32" s="106"/>
      <c r="AM32" s="106">
        <v>15554</v>
      </c>
      <c r="AN32" s="106"/>
      <c r="AO32" s="106">
        <v>-1953</v>
      </c>
      <c r="AP32" s="106"/>
      <c r="AQ32" s="106">
        <v>5120</v>
      </c>
      <c r="AR32" s="106"/>
      <c r="AS32" s="106">
        <v>8012</v>
      </c>
      <c r="AT32" s="106"/>
      <c r="AU32" s="106">
        <v>14083</v>
      </c>
      <c r="AV32" s="106"/>
      <c r="AW32" s="106">
        <v>-18795</v>
      </c>
      <c r="AX32" s="106"/>
      <c r="AY32" s="106">
        <v>-3359</v>
      </c>
      <c r="AZ32" s="106"/>
      <c r="BA32" s="106">
        <v>-1242</v>
      </c>
      <c r="BB32" s="106"/>
      <c r="BC32" s="106">
        <v>19148</v>
      </c>
      <c r="BD32" s="106"/>
      <c r="BE32" s="106">
        <v>-19572</v>
      </c>
      <c r="BF32" s="106"/>
      <c r="BG32" s="106">
        <v>9823</v>
      </c>
      <c r="BH32" s="106"/>
      <c r="BI32" s="106">
        <v>192</v>
      </c>
      <c r="BK32" s="106">
        <v>7615</v>
      </c>
      <c r="BM32" s="106">
        <v>-8854</v>
      </c>
      <c r="BO32" s="106">
        <v>5287</v>
      </c>
      <c r="BQ32" s="106"/>
    </row>
    <row r="33" spans="2:69" ht="14.15" hidden="1" customHeight="1" x14ac:dyDescent="0.35">
      <c r="B33" s="92" t="s">
        <v>84</v>
      </c>
      <c r="C33" s="106">
        <v>-363</v>
      </c>
      <c r="D33" s="103"/>
      <c r="E33" s="106">
        <v>-2149</v>
      </c>
      <c r="F33" s="106"/>
      <c r="G33" s="106">
        <v>-3</v>
      </c>
      <c r="H33" s="106"/>
      <c r="I33" s="106">
        <v>-4</v>
      </c>
      <c r="J33" s="106"/>
      <c r="K33" s="106">
        <v>-1</v>
      </c>
      <c r="L33" s="106"/>
      <c r="M33" s="106">
        <v>-22</v>
      </c>
      <c r="N33" s="106"/>
      <c r="O33" s="106">
        <v>0</v>
      </c>
      <c r="P33" s="106"/>
      <c r="Q33" s="106">
        <v>-106</v>
      </c>
      <c r="R33" s="106"/>
      <c r="S33" s="106">
        <v>-40</v>
      </c>
      <c r="T33" s="106"/>
      <c r="U33" s="106">
        <v>7</v>
      </c>
      <c r="V33" s="106"/>
      <c r="W33" s="106">
        <v>-3</v>
      </c>
      <c r="X33" s="106"/>
      <c r="Y33" s="106">
        <v>42</v>
      </c>
      <c r="Z33" s="106"/>
      <c r="AA33" s="106">
        <v>0</v>
      </c>
      <c r="AB33" s="106"/>
      <c r="AC33" s="106">
        <v>-1179</v>
      </c>
      <c r="AD33" s="106"/>
      <c r="AE33" s="106">
        <v>-1178</v>
      </c>
      <c r="AF33" s="106"/>
      <c r="AG33" s="106">
        <v>742</v>
      </c>
      <c r="AH33" s="106"/>
      <c r="AI33" s="106">
        <v>-1076</v>
      </c>
      <c r="AJ33" s="106"/>
      <c r="AK33" s="106">
        <v>-1563</v>
      </c>
      <c r="AL33" s="106"/>
      <c r="AM33" s="106">
        <v>-785</v>
      </c>
      <c r="AN33" s="106"/>
      <c r="AO33" s="106">
        <v>-1646</v>
      </c>
      <c r="AP33" s="106"/>
      <c r="AQ33" s="106">
        <v>-1947</v>
      </c>
      <c r="AR33" s="106"/>
      <c r="AS33" s="106">
        <v>-2858</v>
      </c>
      <c r="AT33" s="106"/>
      <c r="AU33" s="106">
        <v>-2672</v>
      </c>
      <c r="AV33" s="106"/>
      <c r="AW33" s="106">
        <v>-1750</v>
      </c>
      <c r="AX33" s="106"/>
      <c r="AY33" s="106">
        <v>0</v>
      </c>
      <c r="AZ33" s="106"/>
      <c r="BA33" s="106">
        <v>0</v>
      </c>
      <c r="BB33" s="106"/>
      <c r="BC33" s="106">
        <v>0</v>
      </c>
      <c r="BD33" s="106"/>
      <c r="BE33" s="106"/>
      <c r="BF33" s="106"/>
      <c r="BG33" s="106">
        <v>0</v>
      </c>
      <c r="BH33" s="106"/>
      <c r="BI33" s="106">
        <v>0</v>
      </c>
      <c r="BK33" s="106">
        <v>0</v>
      </c>
      <c r="BM33" s="106">
        <v>0</v>
      </c>
      <c r="BO33" s="106">
        <v>0</v>
      </c>
      <c r="BQ33" s="106"/>
    </row>
    <row r="34" spans="2:69" ht="14.15" customHeight="1" x14ac:dyDescent="0.35">
      <c r="B34" s="92" t="s">
        <v>85</v>
      </c>
      <c r="C34" s="106">
        <v>414</v>
      </c>
      <c r="D34" s="103"/>
      <c r="E34" s="106">
        <v>-658</v>
      </c>
      <c r="F34" s="106"/>
      <c r="G34" s="106">
        <v>-458</v>
      </c>
      <c r="H34" s="106"/>
      <c r="I34" s="106">
        <v>95</v>
      </c>
      <c r="J34" s="106"/>
      <c r="K34" s="106">
        <v>411</v>
      </c>
      <c r="L34" s="106"/>
      <c r="M34" s="106">
        <v>135</v>
      </c>
      <c r="N34" s="106"/>
      <c r="O34" s="106">
        <v>-298</v>
      </c>
      <c r="P34" s="106"/>
      <c r="Q34" s="106">
        <v>104</v>
      </c>
      <c r="R34" s="106"/>
      <c r="S34" s="106">
        <v>91</v>
      </c>
      <c r="T34" s="106"/>
      <c r="U34" s="106">
        <v>729</v>
      </c>
      <c r="V34" s="106"/>
      <c r="W34" s="106">
        <v>-915</v>
      </c>
      <c r="X34" s="106"/>
      <c r="Y34" s="106">
        <v>-285</v>
      </c>
      <c r="Z34" s="106"/>
      <c r="AA34" s="106">
        <v>933</v>
      </c>
      <c r="AB34" s="106"/>
      <c r="AC34" s="106">
        <v>163</v>
      </c>
      <c r="AD34" s="106"/>
      <c r="AE34" s="106">
        <v>-957</v>
      </c>
      <c r="AF34" s="106"/>
      <c r="AG34" s="106">
        <v>-441</v>
      </c>
      <c r="AH34" s="106"/>
      <c r="AI34" s="106">
        <v>412</v>
      </c>
      <c r="AJ34" s="106"/>
      <c r="AK34" s="106">
        <v>2056</v>
      </c>
      <c r="AL34" s="106"/>
      <c r="AM34" s="106">
        <v>2275</v>
      </c>
      <c r="AN34" s="106"/>
      <c r="AO34" s="106">
        <v>-2871</v>
      </c>
      <c r="AP34" s="106"/>
      <c r="AQ34" s="106">
        <v>491</v>
      </c>
      <c r="AR34" s="106"/>
      <c r="AS34" s="106">
        <v>-26</v>
      </c>
      <c r="AT34" s="106"/>
      <c r="AU34" s="106">
        <v>-235</v>
      </c>
      <c r="AV34" s="106"/>
      <c r="AW34" s="106">
        <v>668</v>
      </c>
      <c r="AX34" s="106"/>
      <c r="AY34" s="106">
        <v>-5936</v>
      </c>
      <c r="AZ34" s="106"/>
      <c r="BA34" s="106">
        <v>-2101</v>
      </c>
      <c r="BB34" s="106"/>
      <c r="BC34" s="106">
        <v>1073</v>
      </c>
      <c r="BD34" s="106"/>
      <c r="BE34" s="106">
        <v>-14999</v>
      </c>
      <c r="BF34" s="106"/>
      <c r="BG34" s="106">
        <v>-272</v>
      </c>
      <c r="BH34" s="106"/>
      <c r="BI34" s="106">
        <v>-2308</v>
      </c>
      <c r="BK34" s="106">
        <v>1336</v>
      </c>
      <c r="BM34" s="106">
        <v>3750</v>
      </c>
      <c r="BO34" s="106">
        <v>-284</v>
      </c>
      <c r="BQ34" s="106"/>
    </row>
    <row r="35" spans="2:69" ht="14.15" customHeight="1" x14ac:dyDescent="0.35">
      <c r="B35" s="92" t="s">
        <v>86</v>
      </c>
      <c r="C35" s="106">
        <v>1526</v>
      </c>
      <c r="D35" s="103"/>
      <c r="E35" s="106">
        <v>1455</v>
      </c>
      <c r="F35" s="106"/>
      <c r="G35" s="106">
        <v>-811</v>
      </c>
      <c r="H35" s="106"/>
      <c r="I35" s="106">
        <v>1331</v>
      </c>
      <c r="J35" s="106"/>
      <c r="K35" s="106">
        <v>1663</v>
      </c>
      <c r="L35" s="106"/>
      <c r="M35" s="106">
        <v>-491</v>
      </c>
      <c r="N35" s="106"/>
      <c r="O35" s="106">
        <v>3095</v>
      </c>
      <c r="P35" s="106"/>
      <c r="Q35" s="106">
        <v>1223</v>
      </c>
      <c r="R35" s="106"/>
      <c r="S35" s="106">
        <v>-2028</v>
      </c>
      <c r="T35" s="106"/>
      <c r="U35" s="106">
        <v>-2525</v>
      </c>
      <c r="V35" s="106"/>
      <c r="W35" s="106">
        <v>-1040</v>
      </c>
      <c r="X35" s="106"/>
      <c r="Y35" s="106">
        <v>545</v>
      </c>
      <c r="Z35" s="106"/>
      <c r="AA35" s="106">
        <v>1528</v>
      </c>
      <c r="AB35" s="106"/>
      <c r="AC35" s="106">
        <v>2540</v>
      </c>
      <c r="AD35" s="106"/>
      <c r="AE35" s="106">
        <v>2342</v>
      </c>
      <c r="AF35" s="106"/>
      <c r="AG35" s="106">
        <v>444</v>
      </c>
      <c r="AH35" s="106"/>
      <c r="AI35" s="106">
        <v>2769</v>
      </c>
      <c r="AJ35" s="106"/>
      <c r="AK35" s="106">
        <v>1720</v>
      </c>
      <c r="AL35" s="106"/>
      <c r="AM35" s="106">
        <v>6216</v>
      </c>
      <c r="AN35" s="106"/>
      <c r="AO35" s="106">
        <v>-5260</v>
      </c>
      <c r="AP35" s="106"/>
      <c r="AQ35" s="106">
        <v>449</v>
      </c>
      <c r="AR35" s="106"/>
      <c r="AS35" s="106">
        <v>-5672</v>
      </c>
      <c r="AT35" s="106"/>
      <c r="AU35" s="106">
        <v>-3618</v>
      </c>
      <c r="AV35" s="106"/>
      <c r="AW35" s="106">
        <v>7506</v>
      </c>
      <c r="AX35" s="106"/>
      <c r="AY35" s="106">
        <v>-3977</v>
      </c>
      <c r="AZ35" s="106"/>
      <c r="BA35" s="106">
        <v>-5860</v>
      </c>
      <c r="BB35" s="106"/>
      <c r="BC35" s="106">
        <v>2869</v>
      </c>
      <c r="BD35" s="106"/>
      <c r="BE35" s="106">
        <v>6125</v>
      </c>
      <c r="BF35" s="106"/>
      <c r="BG35" s="106">
        <v>807</v>
      </c>
      <c r="BH35" s="106"/>
      <c r="BI35" s="106">
        <v>-15494</v>
      </c>
      <c r="BK35" s="106">
        <v>-849</v>
      </c>
      <c r="BM35" s="106">
        <v>18550</v>
      </c>
      <c r="BO35" s="106">
        <v>-7560</v>
      </c>
      <c r="BQ35" s="106"/>
    </row>
    <row r="36" spans="2:69" ht="14.15" customHeight="1" x14ac:dyDescent="0.35">
      <c r="B36" s="92" t="s">
        <v>87</v>
      </c>
      <c r="C36" s="106">
        <v>-847</v>
      </c>
      <c r="D36" s="103"/>
      <c r="E36" s="106">
        <v>-901</v>
      </c>
      <c r="F36" s="106"/>
      <c r="G36" s="106">
        <v>-1009</v>
      </c>
      <c r="H36" s="106"/>
      <c r="I36" s="106">
        <v>-1000</v>
      </c>
      <c r="J36" s="106"/>
      <c r="K36" s="106">
        <v>-1327</v>
      </c>
      <c r="L36" s="106"/>
      <c r="M36" s="106">
        <v>-1736</v>
      </c>
      <c r="N36" s="106"/>
      <c r="O36" s="106">
        <v>-1411</v>
      </c>
      <c r="P36" s="106"/>
      <c r="Q36" s="106">
        <v>-1622</v>
      </c>
      <c r="R36" s="106"/>
      <c r="S36" s="106">
        <v>-1667</v>
      </c>
      <c r="T36" s="106"/>
      <c r="U36" s="106">
        <v>-57</v>
      </c>
      <c r="V36" s="106"/>
      <c r="W36" s="106">
        <v>-2759</v>
      </c>
      <c r="X36" s="106"/>
      <c r="Y36" s="106">
        <v>-1164</v>
      </c>
      <c r="Z36" s="106"/>
      <c r="AA36" s="106">
        <v>-1417</v>
      </c>
      <c r="AB36" s="106"/>
      <c r="AC36" s="106">
        <v>-1584</v>
      </c>
      <c r="AD36" s="106"/>
      <c r="AE36" s="106">
        <v>-1859</v>
      </c>
      <c r="AF36" s="106"/>
      <c r="AG36" s="106">
        <v>-1559</v>
      </c>
      <c r="AH36" s="106"/>
      <c r="AI36" s="106">
        <v>-2267</v>
      </c>
      <c r="AJ36" s="106"/>
      <c r="AK36" s="106">
        <v>-3913</v>
      </c>
      <c r="AL36" s="106"/>
      <c r="AM36" s="106">
        <v>-4824</v>
      </c>
      <c r="AN36" s="106"/>
      <c r="AO36" s="106">
        <v>-6044</v>
      </c>
      <c r="AP36" s="106"/>
      <c r="AQ36" s="106">
        <v>-9999</v>
      </c>
      <c r="AR36" s="106"/>
      <c r="AS36" s="106">
        <v>-6990</v>
      </c>
      <c r="AT36" s="106"/>
      <c r="AU36" s="106">
        <v>-6948</v>
      </c>
      <c r="AV36" s="106"/>
      <c r="AW36" s="106">
        <v>-5018</v>
      </c>
      <c r="AX36" s="106"/>
      <c r="AY36" s="106">
        <v>-8234</v>
      </c>
      <c r="AZ36" s="106"/>
      <c r="BA36" s="106">
        <v>-3562</v>
      </c>
      <c r="BB36" s="106"/>
      <c r="BC36" s="106">
        <v>-5502</v>
      </c>
      <c r="BD36" s="106"/>
      <c r="BE36" s="106">
        <v>-7163</v>
      </c>
      <c r="BF36" s="106"/>
      <c r="BG36" s="106">
        <v>-12756</v>
      </c>
      <c r="BH36" s="106"/>
      <c r="BI36" s="106">
        <v>-5579</v>
      </c>
      <c r="BK36" s="106">
        <v>-8327</v>
      </c>
      <c r="BM36" s="106">
        <v>-13421</v>
      </c>
      <c r="BO36" s="106">
        <v>-6913</v>
      </c>
      <c r="BQ36" s="106"/>
    </row>
    <row r="37" spans="2:69" ht="14.15" customHeight="1" x14ac:dyDescent="0.35">
      <c r="B37" s="92" t="s">
        <v>355</v>
      </c>
      <c r="C37" s="106">
        <v>0</v>
      </c>
      <c r="D37" s="103"/>
      <c r="E37" s="106">
        <v>0</v>
      </c>
      <c r="F37" s="106"/>
      <c r="G37" s="106">
        <v>0</v>
      </c>
      <c r="H37" s="106"/>
      <c r="I37" s="106">
        <v>0</v>
      </c>
      <c r="J37" s="106"/>
      <c r="K37" s="106">
        <v>0</v>
      </c>
      <c r="L37" s="106"/>
      <c r="M37" s="106">
        <v>0</v>
      </c>
      <c r="N37" s="106"/>
      <c r="O37" s="106">
        <v>0</v>
      </c>
      <c r="P37" s="106"/>
      <c r="Q37" s="106">
        <v>0</v>
      </c>
      <c r="R37" s="106"/>
      <c r="S37" s="106">
        <v>0</v>
      </c>
      <c r="T37" s="106"/>
      <c r="U37" s="106">
        <v>0</v>
      </c>
      <c r="V37" s="106"/>
      <c r="W37" s="106">
        <v>0</v>
      </c>
      <c r="X37" s="106"/>
      <c r="Y37" s="106">
        <v>0</v>
      </c>
      <c r="Z37" s="106"/>
      <c r="AA37" s="106">
        <v>0</v>
      </c>
      <c r="AB37" s="106"/>
      <c r="AC37" s="106">
        <v>0</v>
      </c>
      <c r="AD37" s="106"/>
      <c r="AE37" s="106">
        <v>0</v>
      </c>
      <c r="AF37" s="106"/>
      <c r="AG37" s="106">
        <v>0</v>
      </c>
      <c r="AH37" s="106"/>
      <c r="AI37" s="106">
        <v>0</v>
      </c>
      <c r="AJ37" s="106"/>
      <c r="AK37" s="106">
        <v>0</v>
      </c>
      <c r="AL37" s="106"/>
      <c r="AM37" s="106">
        <v>0</v>
      </c>
      <c r="AN37" s="106"/>
      <c r="AO37" s="106">
        <v>933</v>
      </c>
      <c r="AP37" s="106"/>
      <c r="AQ37" s="106">
        <v>0</v>
      </c>
      <c r="AR37" s="106"/>
      <c r="AS37" s="106">
        <v>669</v>
      </c>
      <c r="AT37" s="106"/>
      <c r="AU37" s="106">
        <v>0</v>
      </c>
      <c r="AV37" s="106"/>
      <c r="AW37" s="106">
        <v>0</v>
      </c>
      <c r="AX37" s="106"/>
      <c r="AY37" s="106">
        <v>0</v>
      </c>
      <c r="AZ37" s="106"/>
      <c r="BA37" s="106">
        <v>0</v>
      </c>
      <c r="BB37" s="106"/>
      <c r="BC37" s="106">
        <v>0</v>
      </c>
      <c r="BD37" s="106"/>
      <c r="BE37" s="106">
        <v>0</v>
      </c>
      <c r="BF37" s="106"/>
      <c r="BG37" s="106">
        <v>0</v>
      </c>
      <c r="BH37" s="106"/>
      <c r="BI37" s="106">
        <v>0</v>
      </c>
      <c r="BK37" s="106">
        <v>0</v>
      </c>
      <c r="BM37" s="106">
        <v>0</v>
      </c>
      <c r="BO37" s="106">
        <v>0</v>
      </c>
      <c r="BQ37" s="106"/>
    </row>
    <row r="38" spans="2:69" ht="14.15" customHeight="1" x14ac:dyDescent="0.35">
      <c r="B38" s="104" t="s">
        <v>356</v>
      </c>
      <c r="C38" s="197">
        <f>SUM(C8:C37)</f>
        <v>-134</v>
      </c>
      <c r="D38" s="103"/>
      <c r="E38" s="197">
        <f>SUM(E8:E37)</f>
        <v>12412</v>
      </c>
      <c r="F38" s="103"/>
      <c r="G38" s="197">
        <f>SUM(G8:G37)</f>
        <v>1771.661689999999</v>
      </c>
      <c r="H38" s="103"/>
      <c r="I38" s="197">
        <f>SUM(I8:I37)</f>
        <v>-1215.661689999999</v>
      </c>
      <c r="J38" s="103"/>
      <c r="K38" s="197">
        <f>SUM(K8:K37)</f>
        <v>4273.2901700000002</v>
      </c>
      <c r="L38" s="103"/>
      <c r="M38" s="197">
        <f>SUM(M8:M37)</f>
        <v>10891</v>
      </c>
      <c r="N38" s="103"/>
      <c r="O38" s="197">
        <f>SUM(O8:O37)</f>
        <v>12692.448585999999</v>
      </c>
      <c r="P38" s="103"/>
      <c r="Q38" s="197">
        <f>SUM(Q8:Q37)</f>
        <v>3549.2612440000012</v>
      </c>
      <c r="R38" s="103"/>
      <c r="S38" s="197">
        <f>SUM(S8:S37)</f>
        <v>-28933</v>
      </c>
      <c r="T38" s="103"/>
      <c r="U38" s="197">
        <f>SUM(U8:U37)</f>
        <v>7713</v>
      </c>
      <c r="V38" s="103"/>
      <c r="W38" s="197">
        <f>SUM(W8:W37)</f>
        <v>-2968</v>
      </c>
      <c r="X38" s="103"/>
      <c r="Y38" s="197">
        <f>SUM(Y8:Y37)</f>
        <v>-1019</v>
      </c>
      <c r="Z38" s="103"/>
      <c r="AA38" s="197">
        <f>SUM(AA8:AA37)</f>
        <v>-5699</v>
      </c>
      <c r="AB38" s="103"/>
      <c r="AC38" s="197">
        <f>SUM(AC8:AC37)</f>
        <v>4813.101999999999</v>
      </c>
      <c r="AD38" s="103"/>
      <c r="AE38" s="197">
        <f>SUM(AE8:AE37)</f>
        <v>21332.557219999999</v>
      </c>
      <c r="AF38" s="103"/>
      <c r="AG38" s="197">
        <f>SUM(AG8:AG37)</f>
        <v>-892.40166999999929</v>
      </c>
      <c r="AH38" s="103"/>
      <c r="AI38" s="197">
        <f>SUM(AI8:AI37)</f>
        <v>15413.354729999999</v>
      </c>
      <c r="AJ38" s="103"/>
      <c r="AK38" s="197">
        <f>SUM(AK8:AK37)</f>
        <v>18761</v>
      </c>
      <c r="AL38" s="103"/>
      <c r="AM38" s="197">
        <f>SUM(AM8:AM37)</f>
        <v>26033</v>
      </c>
      <c r="AN38" s="103"/>
      <c r="AO38" s="197">
        <f>SUM(AO8:AO37)</f>
        <v>33096.526989999998</v>
      </c>
      <c r="AP38" s="103"/>
      <c r="AQ38" s="197">
        <f>SUM(AQ8:AQ37)</f>
        <v>4381.8369299999977</v>
      </c>
      <c r="AR38" s="103"/>
      <c r="AS38" s="197" t="e">
        <f>SUM(AS8:AS37)</f>
        <v>#REF!</v>
      </c>
      <c r="AT38" s="103"/>
      <c r="AU38" s="197">
        <f>SUM(AU8:AU37)</f>
        <v>74207</v>
      </c>
      <c r="AV38" s="103"/>
      <c r="AW38" s="197">
        <f>SUM(AW8:AW37)</f>
        <v>-20074.836929999998</v>
      </c>
      <c r="AX38" s="103"/>
      <c r="AY38" s="197">
        <f>SUM(AY8:AY37)</f>
        <v>13297</v>
      </c>
      <c r="AZ38" s="103"/>
      <c r="BA38" s="197">
        <f>SUM(BA8:BA37)</f>
        <v>24130</v>
      </c>
      <c r="BB38" s="103"/>
      <c r="BC38" s="197">
        <f>SUM(BC8:BC37)</f>
        <v>12110</v>
      </c>
      <c r="BD38" s="103"/>
      <c r="BE38" s="197">
        <f>SUM(BE8:BE37)</f>
        <v>58214</v>
      </c>
      <c r="BF38" s="103"/>
      <c r="BG38" s="197">
        <f>SUM(BG8:BG37)</f>
        <v>-38528</v>
      </c>
      <c r="BH38" s="103"/>
      <c r="BI38" s="197">
        <f>SUM(BI8:BI37)</f>
        <v>16079</v>
      </c>
      <c r="BK38" s="197">
        <f>SUM(BK8:BK37)</f>
        <v>49909</v>
      </c>
      <c r="BM38" s="197">
        <f>SUM(BM8:BM37)</f>
        <v>72518</v>
      </c>
      <c r="BO38" s="197">
        <f>SUM(BO8:BO37)</f>
        <v>30029</v>
      </c>
      <c r="BQ38" s="197"/>
    </row>
    <row r="39" spans="2:69" ht="14.15" customHeight="1" x14ac:dyDescent="0.35">
      <c r="B39" s="92"/>
      <c r="C39" s="105"/>
      <c r="D39" s="103"/>
      <c r="E39" s="105"/>
      <c r="F39" s="103"/>
      <c r="G39" s="105"/>
      <c r="H39" s="103"/>
      <c r="I39" s="105"/>
      <c r="J39" s="103"/>
      <c r="K39" s="105"/>
      <c r="L39" s="103"/>
      <c r="M39" s="105"/>
      <c r="N39" s="103"/>
      <c r="O39" s="105"/>
      <c r="P39" s="103"/>
      <c r="Q39" s="105"/>
      <c r="R39" s="103"/>
      <c r="S39" s="105"/>
      <c r="T39" s="103"/>
      <c r="U39" s="105"/>
      <c r="V39" s="103"/>
      <c r="W39" s="105"/>
      <c r="X39" s="103"/>
      <c r="Y39" s="105"/>
      <c r="Z39" s="103"/>
      <c r="AA39" s="105"/>
      <c r="AB39" s="103"/>
      <c r="AC39" s="105"/>
      <c r="AD39" s="103"/>
      <c r="AE39" s="105"/>
      <c r="AF39" s="103"/>
      <c r="AG39" s="105"/>
      <c r="AH39" s="103"/>
      <c r="AI39" s="105"/>
      <c r="AJ39" s="103"/>
      <c r="AK39" s="105"/>
      <c r="AL39" s="103"/>
      <c r="AM39" s="105"/>
      <c r="AN39" s="103"/>
      <c r="AO39" s="105"/>
      <c r="AP39" s="103"/>
      <c r="AQ39" s="105"/>
      <c r="AR39" s="103"/>
      <c r="AS39" s="105"/>
      <c r="AT39" s="103"/>
      <c r="AU39" s="105"/>
      <c r="AV39" s="103"/>
      <c r="AW39" s="105"/>
      <c r="AX39" s="103"/>
      <c r="AY39" s="105"/>
      <c r="AZ39" s="103"/>
      <c r="BA39" s="105"/>
      <c r="BB39" s="103"/>
      <c r="BC39" s="105"/>
      <c r="BD39" s="103"/>
      <c r="BE39" s="105"/>
      <c r="BF39" s="103"/>
      <c r="BG39" s="105"/>
      <c r="BH39" s="103"/>
      <c r="BI39" s="105"/>
      <c r="BK39" s="105"/>
      <c r="BM39" s="105"/>
      <c r="BO39" s="105"/>
      <c r="BQ39" s="105"/>
    </row>
    <row r="40" spans="2:69" ht="14.15" customHeight="1" x14ac:dyDescent="0.35">
      <c r="B40" s="104" t="s">
        <v>357</v>
      </c>
      <c r="C40" s="109"/>
      <c r="D40" s="103"/>
      <c r="E40" s="109"/>
      <c r="F40" s="103"/>
      <c r="G40" s="109"/>
      <c r="H40" s="103"/>
      <c r="I40" s="109"/>
      <c r="J40" s="103"/>
      <c r="K40" s="109"/>
      <c r="L40" s="103"/>
      <c r="M40" s="109"/>
      <c r="N40" s="103"/>
      <c r="O40" s="109"/>
      <c r="P40" s="103"/>
      <c r="Q40" s="109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K40" s="103"/>
      <c r="BM40" s="103"/>
      <c r="BO40" s="103"/>
      <c r="BQ40" s="103"/>
    </row>
    <row r="41" spans="2:69" ht="14.15" customHeight="1" x14ac:dyDescent="0.35">
      <c r="B41" s="92" t="s">
        <v>358</v>
      </c>
      <c r="C41" s="107">
        <v>1823</v>
      </c>
      <c r="D41" s="103"/>
      <c r="E41" s="107">
        <v>-501</v>
      </c>
      <c r="F41" s="103"/>
      <c r="G41" s="107">
        <v>520</v>
      </c>
      <c r="H41" s="103"/>
      <c r="I41" s="107">
        <v>-52</v>
      </c>
      <c r="J41" s="103"/>
      <c r="K41" s="107">
        <v>-465</v>
      </c>
      <c r="L41" s="103"/>
      <c r="M41" s="107">
        <v>420</v>
      </c>
      <c r="N41" s="103"/>
      <c r="O41" s="107">
        <v>-3591</v>
      </c>
      <c r="P41" s="103"/>
      <c r="Q41" s="107">
        <v>94</v>
      </c>
      <c r="R41" s="103"/>
      <c r="S41" s="107">
        <v>-134708</v>
      </c>
      <c r="T41" s="103"/>
      <c r="U41" s="107">
        <v>17993</v>
      </c>
      <c r="V41" s="103"/>
      <c r="W41" s="107">
        <v>33198</v>
      </c>
      <c r="X41" s="103"/>
      <c r="Y41" s="107">
        <v>29339</v>
      </c>
      <c r="Z41" s="103"/>
      <c r="AA41" s="106">
        <v>22597</v>
      </c>
      <c r="AB41" s="106"/>
      <c r="AC41" s="106">
        <v>14775</v>
      </c>
      <c r="AD41" s="106"/>
      <c r="AE41" s="106">
        <v>-1377</v>
      </c>
      <c r="AF41" s="106"/>
      <c r="AG41" s="106">
        <v>9871</v>
      </c>
      <c r="AH41" s="106"/>
      <c r="AI41" s="106">
        <v>-2073</v>
      </c>
      <c r="AJ41" s="106"/>
      <c r="AK41" s="106">
        <v>-108</v>
      </c>
      <c r="AL41" s="106"/>
      <c r="AM41" s="106">
        <v>310</v>
      </c>
      <c r="AN41" s="106"/>
      <c r="AO41" s="106">
        <v>1634</v>
      </c>
      <c r="AP41" s="106"/>
      <c r="AQ41" s="106">
        <v>-9</v>
      </c>
      <c r="AR41" s="106"/>
      <c r="AS41" s="106">
        <v>-181</v>
      </c>
      <c r="AT41" s="106"/>
      <c r="AU41" s="106">
        <v>180</v>
      </c>
      <c r="AV41" s="106"/>
      <c r="AW41" s="106">
        <v>-153</v>
      </c>
      <c r="AX41" s="106"/>
      <c r="AY41" s="106">
        <v>105</v>
      </c>
      <c r="AZ41" s="106"/>
      <c r="BA41" s="106">
        <v>-160</v>
      </c>
      <c r="BB41" s="106"/>
      <c r="BC41" s="106">
        <v>43</v>
      </c>
      <c r="BD41" s="106"/>
      <c r="BE41" s="106">
        <v>-1641</v>
      </c>
      <c r="BF41" s="106"/>
      <c r="BG41" s="106">
        <v>-5</v>
      </c>
      <c r="BH41" s="106"/>
      <c r="BI41" s="106">
        <v>-222</v>
      </c>
      <c r="BK41" s="106">
        <v>159</v>
      </c>
      <c r="BM41" s="106">
        <v>-180</v>
      </c>
      <c r="BO41" s="106">
        <v>42</v>
      </c>
      <c r="BQ41" s="106"/>
    </row>
    <row r="42" spans="2:69" ht="14.15" customHeight="1" x14ac:dyDescent="0.35">
      <c r="B42" s="92" t="s">
        <v>465</v>
      </c>
      <c r="C42" s="107">
        <v>0</v>
      </c>
      <c r="D42" s="103"/>
      <c r="E42" s="107">
        <v>0</v>
      </c>
      <c r="F42" s="103"/>
      <c r="G42" s="107">
        <v>0</v>
      </c>
      <c r="H42" s="103"/>
      <c r="I42" s="107">
        <v>0</v>
      </c>
      <c r="J42" s="103"/>
      <c r="K42" s="107">
        <v>0</v>
      </c>
      <c r="L42" s="103"/>
      <c r="M42" s="107">
        <v>0</v>
      </c>
      <c r="N42" s="103"/>
      <c r="O42" s="107">
        <v>0</v>
      </c>
      <c r="P42" s="103"/>
      <c r="Q42" s="107">
        <v>0</v>
      </c>
      <c r="R42" s="103"/>
      <c r="S42" s="107">
        <v>0</v>
      </c>
      <c r="T42" s="103"/>
      <c r="U42" s="107">
        <v>0</v>
      </c>
      <c r="V42" s="103"/>
      <c r="W42" s="107">
        <v>0</v>
      </c>
      <c r="X42" s="103"/>
      <c r="Y42" s="107">
        <v>0</v>
      </c>
      <c r="Z42" s="103"/>
      <c r="AA42" s="107">
        <v>0</v>
      </c>
      <c r="AB42" s="106"/>
      <c r="AC42" s="107">
        <v>0</v>
      </c>
      <c r="AD42" s="106"/>
      <c r="AE42" s="107">
        <v>0</v>
      </c>
      <c r="AF42" s="106"/>
      <c r="AG42" s="107">
        <v>0</v>
      </c>
      <c r="AH42" s="106"/>
      <c r="AI42" s="107">
        <v>0</v>
      </c>
      <c r="AJ42" s="106"/>
      <c r="AK42" s="107">
        <v>0</v>
      </c>
      <c r="AL42" s="106"/>
      <c r="AM42" s="107">
        <v>0</v>
      </c>
      <c r="AN42" s="106"/>
      <c r="AO42" s="107">
        <v>0</v>
      </c>
      <c r="AP42" s="106"/>
      <c r="AQ42" s="107">
        <v>0</v>
      </c>
      <c r="AR42" s="106"/>
      <c r="AS42" s="107">
        <v>0</v>
      </c>
      <c r="AT42" s="106"/>
      <c r="AU42" s="107">
        <v>0</v>
      </c>
      <c r="AV42" s="106"/>
      <c r="AW42" s="107">
        <v>0</v>
      </c>
      <c r="AX42" s="106"/>
      <c r="AY42" s="107">
        <v>0</v>
      </c>
      <c r="AZ42" s="106"/>
      <c r="BA42" s="107">
        <v>0</v>
      </c>
      <c r="BB42" s="106"/>
      <c r="BC42" s="107">
        <v>0</v>
      </c>
      <c r="BD42" s="106"/>
      <c r="BE42" s="107">
        <v>0</v>
      </c>
      <c r="BF42" s="106"/>
      <c r="BG42" s="106">
        <v>0</v>
      </c>
      <c r="BH42" s="106"/>
      <c r="BI42" s="106">
        <v>-57</v>
      </c>
      <c r="BK42" s="106">
        <v>-167</v>
      </c>
      <c r="BM42" s="106">
        <v>0</v>
      </c>
      <c r="BO42" s="106">
        <v>0</v>
      </c>
      <c r="BQ42" s="106"/>
    </row>
    <row r="43" spans="2:69" ht="14.15" customHeight="1" x14ac:dyDescent="0.35">
      <c r="B43" s="92" t="s">
        <v>359</v>
      </c>
      <c r="C43" s="107">
        <v>-1788</v>
      </c>
      <c r="D43" s="103"/>
      <c r="E43" s="107">
        <v>-6918</v>
      </c>
      <c r="F43" s="103"/>
      <c r="G43" s="107">
        <v>-2237</v>
      </c>
      <c r="H43" s="103"/>
      <c r="I43" s="107">
        <v>-3966</v>
      </c>
      <c r="J43" s="103"/>
      <c r="K43" s="107">
        <v>-2653</v>
      </c>
      <c r="L43" s="103"/>
      <c r="M43" s="107">
        <v>-5197</v>
      </c>
      <c r="N43" s="103"/>
      <c r="O43" s="107">
        <v>-4913</v>
      </c>
      <c r="P43" s="103"/>
      <c r="Q43" s="107">
        <v>-3718</v>
      </c>
      <c r="R43" s="103"/>
      <c r="S43" s="107">
        <v>-1436</v>
      </c>
      <c r="T43" s="103"/>
      <c r="U43" s="107">
        <v>-1491</v>
      </c>
      <c r="V43" s="103"/>
      <c r="W43" s="107">
        <v>-4989</v>
      </c>
      <c r="X43" s="103"/>
      <c r="Y43" s="107">
        <v>-7786</v>
      </c>
      <c r="Z43" s="103"/>
      <c r="AA43" s="106">
        <v>-18165</v>
      </c>
      <c r="AB43" s="106"/>
      <c r="AC43" s="106">
        <v>-6402</v>
      </c>
      <c r="AD43" s="106"/>
      <c r="AE43" s="106">
        <v>-9779</v>
      </c>
      <c r="AF43" s="106"/>
      <c r="AG43" s="106">
        <v>-8368</v>
      </c>
      <c r="AH43" s="106"/>
      <c r="AI43" s="106">
        <v>-6803</v>
      </c>
      <c r="AJ43" s="106"/>
      <c r="AK43" s="106">
        <v>-13535</v>
      </c>
      <c r="AL43" s="106"/>
      <c r="AM43" s="106">
        <v>-18057</v>
      </c>
      <c r="AN43" s="106"/>
      <c r="AO43" s="106">
        <v>-33692</v>
      </c>
      <c r="AP43" s="106"/>
      <c r="AQ43" s="106">
        <v>-14933</v>
      </c>
      <c r="AR43" s="106"/>
      <c r="AS43" s="106">
        <v>-23974</v>
      </c>
      <c r="AT43" s="106"/>
      <c r="AU43" s="106">
        <v>-33378</v>
      </c>
      <c r="AV43" s="106"/>
      <c r="AW43" s="106">
        <v>-20815</v>
      </c>
      <c r="AX43" s="106"/>
      <c r="AY43" s="106">
        <v>-15836</v>
      </c>
      <c r="AZ43" s="106"/>
      <c r="BA43" s="106">
        <v>-14524</v>
      </c>
      <c r="BB43" s="106"/>
      <c r="BC43" s="106">
        <v>-18408</v>
      </c>
      <c r="BD43" s="106"/>
      <c r="BE43" s="106">
        <v>-20018</v>
      </c>
      <c r="BF43" s="106"/>
      <c r="BG43" s="106">
        <v>-3219</v>
      </c>
      <c r="BH43" s="106"/>
      <c r="BI43" s="106">
        <v>-11176</v>
      </c>
      <c r="BK43" s="106">
        <v>-12736</v>
      </c>
      <c r="BM43" s="106">
        <v>-14187</v>
      </c>
      <c r="BO43" s="106">
        <v>-49322</v>
      </c>
      <c r="BQ43" s="106"/>
    </row>
    <row r="44" spans="2:69" ht="14.15" customHeight="1" x14ac:dyDescent="0.35">
      <c r="B44" s="92" t="s">
        <v>360</v>
      </c>
      <c r="C44" s="107">
        <v>60</v>
      </c>
      <c r="D44" s="103"/>
      <c r="E44" s="107">
        <v>271</v>
      </c>
      <c r="F44" s="103"/>
      <c r="G44" s="107">
        <v>41</v>
      </c>
      <c r="H44" s="103"/>
      <c r="I44" s="107">
        <v>8</v>
      </c>
      <c r="J44" s="103"/>
      <c r="K44" s="107">
        <v>5</v>
      </c>
      <c r="L44" s="103"/>
      <c r="M44" s="107">
        <v>91</v>
      </c>
      <c r="N44" s="103"/>
      <c r="O44" s="107">
        <v>132</v>
      </c>
      <c r="P44" s="103"/>
      <c r="Q44" s="107">
        <v>222</v>
      </c>
      <c r="R44" s="103"/>
      <c r="S44" s="107">
        <v>277</v>
      </c>
      <c r="T44" s="103"/>
      <c r="U44" s="107">
        <v>64</v>
      </c>
      <c r="V44" s="103"/>
      <c r="W44" s="107">
        <v>409</v>
      </c>
      <c r="X44" s="103"/>
      <c r="Y44" s="107">
        <v>-123</v>
      </c>
      <c r="Z44" s="103"/>
      <c r="AA44" s="106">
        <v>188</v>
      </c>
      <c r="AB44" s="106"/>
      <c r="AC44" s="106">
        <v>103</v>
      </c>
      <c r="AD44" s="106"/>
      <c r="AE44" s="106">
        <v>251</v>
      </c>
      <c r="AF44" s="106"/>
      <c r="AG44" s="106">
        <v>228</v>
      </c>
      <c r="AH44" s="106"/>
      <c r="AI44" s="106">
        <v>425</v>
      </c>
      <c r="AJ44" s="106"/>
      <c r="AK44" s="106">
        <v>159</v>
      </c>
      <c r="AL44" s="106"/>
      <c r="AM44" s="106">
        <v>395</v>
      </c>
      <c r="AN44" s="106"/>
      <c r="AO44" s="106">
        <v>188</v>
      </c>
      <c r="AP44" s="106"/>
      <c r="AQ44" s="106">
        <v>607</v>
      </c>
      <c r="AR44" s="106"/>
      <c r="AS44" s="106">
        <v>384</v>
      </c>
      <c r="AT44" s="106"/>
      <c r="AU44" s="106">
        <v>953</v>
      </c>
      <c r="AV44" s="106"/>
      <c r="AW44" s="106">
        <v>116</v>
      </c>
      <c r="AX44" s="106"/>
      <c r="AY44" s="106">
        <v>657</v>
      </c>
      <c r="AZ44" s="106"/>
      <c r="BA44" s="106">
        <v>153</v>
      </c>
      <c r="BB44" s="106"/>
      <c r="BC44" s="106">
        <v>1137</v>
      </c>
      <c r="BD44" s="106"/>
      <c r="BE44" s="106">
        <v>1517</v>
      </c>
      <c r="BF44" s="106"/>
      <c r="BG44" s="106">
        <v>3256</v>
      </c>
      <c r="BH44" s="106"/>
      <c r="BI44" s="106">
        <v>2870</v>
      </c>
      <c r="BK44" s="106">
        <v>923</v>
      </c>
      <c r="BM44" s="106">
        <v>4562</v>
      </c>
      <c r="BO44" s="106">
        <v>12790</v>
      </c>
      <c r="BQ44" s="106"/>
    </row>
    <row r="45" spans="2:69" ht="14.15" customHeight="1" x14ac:dyDescent="0.35">
      <c r="B45" s="92" t="s">
        <v>393</v>
      </c>
      <c r="C45" s="107">
        <v>0</v>
      </c>
      <c r="D45" s="103"/>
      <c r="E45" s="107">
        <v>0</v>
      </c>
      <c r="F45" s="103"/>
      <c r="G45" s="107">
        <v>0</v>
      </c>
      <c r="H45" s="103"/>
      <c r="I45" s="107">
        <v>0</v>
      </c>
      <c r="J45" s="103"/>
      <c r="K45" s="107">
        <v>0</v>
      </c>
      <c r="L45" s="103"/>
      <c r="M45" s="107">
        <v>0</v>
      </c>
      <c r="N45" s="103"/>
      <c r="O45" s="107">
        <v>0</v>
      </c>
      <c r="P45" s="103"/>
      <c r="Q45" s="107">
        <v>0</v>
      </c>
      <c r="R45" s="103"/>
      <c r="S45" s="107">
        <v>0</v>
      </c>
      <c r="T45" s="103"/>
      <c r="U45" s="107">
        <v>0</v>
      </c>
      <c r="V45" s="103"/>
      <c r="W45" s="107">
        <v>0</v>
      </c>
      <c r="X45" s="103"/>
      <c r="Y45" s="107">
        <v>-6261</v>
      </c>
      <c r="Z45" s="103"/>
      <c r="AA45" s="106">
        <v>0</v>
      </c>
      <c r="AB45" s="106"/>
      <c r="AC45" s="106">
        <v>0</v>
      </c>
      <c r="AD45" s="106"/>
      <c r="AE45" s="106">
        <v>0</v>
      </c>
      <c r="AF45" s="106"/>
      <c r="AG45" s="106">
        <v>0</v>
      </c>
      <c r="AH45" s="106"/>
      <c r="AI45" s="106">
        <v>-8894</v>
      </c>
      <c r="AJ45" s="106"/>
      <c r="AK45" s="106">
        <v>-2047</v>
      </c>
      <c r="AL45" s="106"/>
      <c r="AM45" s="106">
        <v>0</v>
      </c>
      <c r="AN45" s="106"/>
      <c r="AO45" s="106">
        <v>0</v>
      </c>
      <c r="AP45" s="106"/>
      <c r="AQ45" s="106">
        <v>10414</v>
      </c>
      <c r="AR45" s="106"/>
      <c r="AS45" s="106">
        <v>647</v>
      </c>
      <c r="AT45" s="106"/>
      <c r="AU45" s="106">
        <v>-2267</v>
      </c>
      <c r="AV45" s="106"/>
      <c r="AW45" s="106">
        <v>0</v>
      </c>
      <c r="AX45" s="106"/>
      <c r="AY45" s="106">
        <v>0</v>
      </c>
      <c r="AZ45" s="106"/>
      <c r="BA45" s="106">
        <v>-9245</v>
      </c>
      <c r="BB45" s="106"/>
      <c r="BC45" s="106">
        <v>-14758</v>
      </c>
      <c r="BD45" s="106"/>
      <c r="BE45" s="106">
        <v>-2621</v>
      </c>
      <c r="BF45" s="106"/>
      <c r="BG45" s="106">
        <v>0</v>
      </c>
      <c r="BH45" s="106"/>
      <c r="BI45" s="106">
        <v>0</v>
      </c>
      <c r="BK45" s="106">
        <v>0</v>
      </c>
      <c r="BM45" s="106">
        <v>-95597</v>
      </c>
      <c r="BO45" s="106">
        <v>0</v>
      </c>
      <c r="BQ45" s="106"/>
    </row>
    <row r="46" spans="2:69" ht="14.15" customHeight="1" x14ac:dyDescent="0.35">
      <c r="B46" s="92" t="s">
        <v>361</v>
      </c>
      <c r="C46" s="107">
        <v>0</v>
      </c>
      <c r="D46" s="103"/>
      <c r="E46" s="107">
        <v>0</v>
      </c>
      <c r="F46" s="103"/>
      <c r="G46" s="107">
        <v>0</v>
      </c>
      <c r="H46" s="103"/>
      <c r="I46" s="107">
        <v>0</v>
      </c>
      <c r="J46" s="103"/>
      <c r="K46" s="107">
        <v>0</v>
      </c>
      <c r="L46" s="103"/>
      <c r="M46" s="107">
        <v>0</v>
      </c>
      <c r="N46" s="103"/>
      <c r="O46" s="107">
        <v>0</v>
      </c>
      <c r="P46" s="103"/>
      <c r="Q46" s="107">
        <v>0</v>
      </c>
      <c r="R46" s="103"/>
      <c r="S46" s="107">
        <v>0</v>
      </c>
      <c r="T46" s="103"/>
      <c r="U46" s="107">
        <v>287</v>
      </c>
      <c r="V46" s="103"/>
      <c r="W46" s="107">
        <v>0</v>
      </c>
      <c r="X46" s="103"/>
      <c r="Y46" s="107">
        <v>-287</v>
      </c>
      <c r="Z46" s="103"/>
      <c r="AA46" s="106">
        <v>0</v>
      </c>
      <c r="AB46" s="106"/>
      <c r="AC46" s="106">
        <v>0</v>
      </c>
      <c r="AD46" s="106"/>
      <c r="AE46" s="106">
        <v>0</v>
      </c>
      <c r="AF46" s="106"/>
      <c r="AG46" s="106">
        <v>0</v>
      </c>
      <c r="AH46" s="106"/>
      <c r="AI46" s="106">
        <v>0</v>
      </c>
      <c r="AJ46" s="106"/>
      <c r="AK46" s="106">
        <v>0</v>
      </c>
      <c r="AL46" s="106"/>
      <c r="AM46" s="106">
        <v>0</v>
      </c>
      <c r="AN46" s="106"/>
      <c r="AO46" s="106">
        <v>0</v>
      </c>
      <c r="AP46" s="106"/>
      <c r="AQ46" s="106">
        <v>0</v>
      </c>
      <c r="AR46" s="106"/>
      <c r="AS46" s="106">
        <v>0</v>
      </c>
      <c r="AT46" s="106"/>
      <c r="AU46" s="106">
        <v>0</v>
      </c>
      <c r="AV46" s="106"/>
      <c r="AW46" s="106">
        <v>0</v>
      </c>
      <c r="AX46" s="106"/>
      <c r="AY46" s="106">
        <v>0</v>
      </c>
      <c r="AZ46" s="106"/>
      <c r="BA46" s="106">
        <v>0</v>
      </c>
      <c r="BB46" s="106"/>
      <c r="BC46" s="106">
        <v>0</v>
      </c>
      <c r="BD46" s="106"/>
      <c r="BE46" s="106">
        <v>0</v>
      </c>
      <c r="BF46" s="106"/>
      <c r="BG46" s="106">
        <v>0</v>
      </c>
      <c r="BH46" s="106"/>
      <c r="BI46" s="106">
        <v>0</v>
      </c>
      <c r="BK46" s="106">
        <v>0</v>
      </c>
      <c r="BM46" s="106">
        <v>0</v>
      </c>
      <c r="BO46" s="106">
        <v>0</v>
      </c>
      <c r="BQ46" s="106"/>
    </row>
    <row r="47" spans="2:69" ht="14.15" customHeight="1" x14ac:dyDescent="0.35">
      <c r="B47" s="92" t="s">
        <v>400</v>
      </c>
      <c r="C47" s="107">
        <v>0</v>
      </c>
      <c r="D47" s="103"/>
      <c r="E47" s="107">
        <v>0</v>
      </c>
      <c r="F47" s="103"/>
      <c r="G47" s="107">
        <v>0</v>
      </c>
      <c r="H47" s="103"/>
      <c r="I47" s="107">
        <v>0</v>
      </c>
      <c r="J47" s="103"/>
      <c r="K47" s="107">
        <v>0</v>
      </c>
      <c r="L47" s="103"/>
      <c r="M47" s="107">
        <v>0</v>
      </c>
      <c r="N47" s="103"/>
      <c r="O47" s="107">
        <v>0</v>
      </c>
      <c r="P47" s="103"/>
      <c r="Q47" s="107">
        <v>0</v>
      </c>
      <c r="R47" s="103"/>
      <c r="S47" s="107">
        <v>0</v>
      </c>
      <c r="T47" s="103"/>
      <c r="U47" s="107">
        <v>0</v>
      </c>
      <c r="V47" s="103"/>
      <c r="W47" s="107">
        <v>0</v>
      </c>
      <c r="X47" s="103"/>
      <c r="Y47" s="107">
        <v>0</v>
      </c>
      <c r="Z47" s="103"/>
      <c r="AA47" s="106">
        <v>0</v>
      </c>
      <c r="AB47" s="106"/>
      <c r="AC47" s="106">
        <v>0</v>
      </c>
      <c r="AD47" s="106"/>
      <c r="AE47" s="106">
        <v>0</v>
      </c>
      <c r="AF47" s="106"/>
      <c r="AG47" s="106">
        <v>0</v>
      </c>
      <c r="AH47" s="106"/>
      <c r="AI47" s="106">
        <v>0</v>
      </c>
      <c r="AJ47" s="106"/>
      <c r="AK47" s="106">
        <v>0</v>
      </c>
      <c r="AL47" s="106"/>
      <c r="AM47" s="106">
        <v>0</v>
      </c>
      <c r="AN47" s="106"/>
      <c r="AO47" s="106">
        <v>783</v>
      </c>
      <c r="AP47" s="106"/>
      <c r="AQ47" s="106">
        <v>0</v>
      </c>
      <c r="AR47" s="106"/>
      <c r="AS47" s="106">
        <v>0</v>
      </c>
      <c r="AT47" s="106"/>
      <c r="AU47" s="106">
        <v>0</v>
      </c>
      <c r="AV47" s="106"/>
      <c r="AW47" s="106">
        <v>419</v>
      </c>
      <c r="AX47" s="106"/>
      <c r="AY47" s="106">
        <v>0</v>
      </c>
      <c r="AZ47" s="106"/>
      <c r="BA47" s="106">
        <v>0</v>
      </c>
      <c r="BB47" s="106"/>
      <c r="BC47" s="106">
        <v>0</v>
      </c>
      <c r="BD47" s="106"/>
      <c r="BE47" s="106">
        <v>0</v>
      </c>
      <c r="BF47" s="106"/>
      <c r="BG47" s="106">
        <v>0</v>
      </c>
      <c r="BH47" s="106"/>
      <c r="BI47" s="106">
        <v>862</v>
      </c>
      <c r="BK47" s="106">
        <v>0</v>
      </c>
      <c r="BM47" s="106">
        <v>0</v>
      </c>
      <c r="BO47" s="106">
        <v>0</v>
      </c>
      <c r="BQ47" s="106"/>
    </row>
    <row r="48" spans="2:69" ht="14.15" customHeight="1" x14ac:dyDescent="0.35">
      <c r="B48" s="92" t="s">
        <v>362</v>
      </c>
      <c r="C48" s="107">
        <v>0</v>
      </c>
      <c r="D48" s="103"/>
      <c r="E48" s="107">
        <v>0</v>
      </c>
      <c r="F48" s="103"/>
      <c r="G48" s="107">
        <v>0</v>
      </c>
      <c r="H48" s="103"/>
      <c r="I48" s="107">
        <v>0</v>
      </c>
      <c r="J48" s="103"/>
      <c r="K48" s="107">
        <v>0</v>
      </c>
      <c r="L48" s="103"/>
      <c r="M48" s="107">
        <v>0</v>
      </c>
      <c r="N48" s="103"/>
      <c r="O48" s="107">
        <v>0</v>
      </c>
      <c r="P48" s="103"/>
      <c r="Q48" s="107">
        <v>0</v>
      </c>
      <c r="R48" s="103"/>
      <c r="S48" s="107">
        <v>0</v>
      </c>
      <c r="T48" s="103"/>
      <c r="U48" s="107">
        <v>0</v>
      </c>
      <c r="V48" s="103"/>
      <c r="W48" s="107">
        <v>0</v>
      </c>
      <c r="X48" s="103"/>
      <c r="Y48" s="107">
        <v>0</v>
      </c>
      <c r="Z48" s="103"/>
      <c r="AA48" s="106">
        <v>0</v>
      </c>
      <c r="AB48" s="106"/>
      <c r="AC48" s="106">
        <v>0</v>
      </c>
      <c r="AD48" s="106"/>
      <c r="AE48" s="106">
        <v>0</v>
      </c>
      <c r="AF48" s="106"/>
      <c r="AG48" s="106">
        <v>596</v>
      </c>
      <c r="AH48" s="106"/>
      <c r="AI48" s="106">
        <v>0</v>
      </c>
      <c r="AJ48" s="106"/>
      <c r="AK48" s="106">
        <v>0</v>
      </c>
      <c r="AL48" s="106"/>
      <c r="AM48" s="106">
        <v>0</v>
      </c>
      <c r="AN48" s="106"/>
      <c r="AO48" s="106">
        <v>0</v>
      </c>
      <c r="AP48" s="106"/>
      <c r="AQ48" s="106">
        <v>0</v>
      </c>
      <c r="AR48" s="106"/>
      <c r="AS48" s="106">
        <v>0</v>
      </c>
      <c r="AT48" s="106"/>
      <c r="AU48" s="106">
        <v>0</v>
      </c>
      <c r="AV48" s="106"/>
      <c r="AW48" s="106">
        <v>0</v>
      </c>
      <c r="AX48" s="106"/>
      <c r="AY48" s="106">
        <v>0</v>
      </c>
      <c r="AZ48" s="106"/>
      <c r="BA48" s="106">
        <v>0</v>
      </c>
      <c r="BB48" s="106"/>
      <c r="BC48" s="106">
        <v>0</v>
      </c>
      <c r="BD48" s="106"/>
      <c r="BE48" s="106">
        <v>0</v>
      </c>
      <c r="BF48" s="106"/>
      <c r="BG48" s="106">
        <v>0</v>
      </c>
      <c r="BH48" s="106"/>
      <c r="BI48" s="106">
        <v>0</v>
      </c>
      <c r="BK48" s="106">
        <v>0</v>
      </c>
      <c r="BM48" s="106">
        <v>0</v>
      </c>
      <c r="BO48" s="106">
        <v>0</v>
      </c>
      <c r="BQ48" s="106"/>
    </row>
    <row r="49" spans="2:69" ht="14.15" customHeight="1" x14ac:dyDescent="0.35">
      <c r="B49" s="104" t="s">
        <v>363</v>
      </c>
      <c r="C49" s="198">
        <f>SUM(C41:C48)</f>
        <v>95</v>
      </c>
      <c r="D49" s="103"/>
      <c r="E49" s="198">
        <f>SUM(E41:E48)</f>
        <v>-7148</v>
      </c>
      <c r="F49" s="103"/>
      <c r="G49" s="198">
        <f>SUM(G41:G48)</f>
        <v>-1676</v>
      </c>
      <c r="H49" s="103"/>
      <c r="I49" s="198">
        <f>SUM(I41:I48)</f>
        <v>-4010</v>
      </c>
      <c r="J49" s="103"/>
      <c r="K49" s="198">
        <f>SUM(K41:K48)</f>
        <v>-3113</v>
      </c>
      <c r="L49" s="103"/>
      <c r="M49" s="198">
        <f>SUM(M41:M48)</f>
        <v>-4686</v>
      </c>
      <c r="N49" s="103"/>
      <c r="O49" s="198">
        <f>SUM(O41:O48)</f>
        <v>-8372</v>
      </c>
      <c r="P49" s="103"/>
      <c r="Q49" s="198">
        <f>SUM(Q41:Q48)</f>
        <v>-3402</v>
      </c>
      <c r="R49" s="103"/>
      <c r="S49" s="198">
        <f>SUM(S41:S48)</f>
        <v>-135867</v>
      </c>
      <c r="T49" s="103"/>
      <c r="U49" s="198">
        <f>SUM(U41:U48)</f>
        <v>16853</v>
      </c>
      <c r="V49" s="103"/>
      <c r="W49" s="198">
        <f>SUM(W41:W48)</f>
        <v>28618</v>
      </c>
      <c r="X49" s="103"/>
      <c r="Y49" s="198">
        <f>SUM(Y41:Y48)</f>
        <v>14882</v>
      </c>
      <c r="Z49" s="103"/>
      <c r="AA49" s="198">
        <f>SUM(AA41:AA48)</f>
        <v>4620</v>
      </c>
      <c r="AB49" s="103"/>
      <c r="AC49" s="198">
        <f>SUM(AC41:AC48)</f>
        <v>8476</v>
      </c>
      <c r="AD49" s="103"/>
      <c r="AE49" s="198">
        <f>SUM(AE41:AE48)</f>
        <v>-10905</v>
      </c>
      <c r="AF49" s="103"/>
      <c r="AG49" s="198">
        <f>SUM(AG41:AG48)</f>
        <v>2327</v>
      </c>
      <c r="AH49" s="103"/>
      <c r="AI49" s="198">
        <f>SUM(AI41:AI48)</f>
        <v>-17345</v>
      </c>
      <c r="AJ49" s="103"/>
      <c r="AK49" s="198">
        <f>SUM(AK41:AK48)</f>
        <v>-15531</v>
      </c>
      <c r="AL49" s="103"/>
      <c r="AM49" s="198">
        <f>SUM(AM41:AM48)</f>
        <v>-17352</v>
      </c>
      <c r="AN49" s="103"/>
      <c r="AO49" s="198">
        <f>SUM(AO41:AO48)</f>
        <v>-31087</v>
      </c>
      <c r="AP49" s="103"/>
      <c r="AQ49" s="198">
        <f>SUM(AQ41:AQ48)</f>
        <v>-3921</v>
      </c>
      <c r="AR49" s="103"/>
      <c r="AS49" s="198">
        <f>SUM(AS41:AS48)</f>
        <v>-23124</v>
      </c>
      <c r="AT49" s="103"/>
      <c r="AU49" s="198">
        <f>SUM(AU41:AU48)</f>
        <v>-34512</v>
      </c>
      <c r="AV49" s="103"/>
      <c r="AW49" s="198">
        <f>SUM(AW41:AW48)</f>
        <v>-20433</v>
      </c>
      <c r="AX49" s="103"/>
      <c r="AY49" s="198">
        <f>SUM(AY41:AY48)</f>
        <v>-15074</v>
      </c>
      <c r="AZ49" s="103"/>
      <c r="BA49" s="198">
        <f>SUM(BA41:BA48)</f>
        <v>-23776</v>
      </c>
      <c r="BB49" s="103"/>
      <c r="BC49" s="198">
        <f>SUM(BC41:BC48)</f>
        <v>-31986</v>
      </c>
      <c r="BD49" s="103"/>
      <c r="BE49" s="198">
        <f>SUM(BE41:BE48)</f>
        <v>-22763</v>
      </c>
      <c r="BF49" s="103"/>
      <c r="BG49" s="198">
        <f>SUM(BG41:BG48)</f>
        <v>32</v>
      </c>
      <c r="BH49" s="103"/>
      <c r="BI49" s="198">
        <f>SUM(BI41:BI48)</f>
        <v>-7723</v>
      </c>
      <c r="BK49" s="198">
        <f>SUM(BK41:BK48)</f>
        <v>-11821</v>
      </c>
      <c r="BM49" s="198">
        <f>SUM(BM41:BM48)</f>
        <v>-105402</v>
      </c>
      <c r="BO49" s="198">
        <f>SUM(BO41:BO48)</f>
        <v>-36490</v>
      </c>
      <c r="BQ49" s="198"/>
    </row>
    <row r="50" spans="2:69" ht="14.15" customHeight="1" x14ac:dyDescent="0.35">
      <c r="B50" s="104"/>
      <c r="C50" s="109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K50" s="103"/>
      <c r="BM50" s="103"/>
      <c r="BO50" s="103"/>
      <c r="BQ50" s="103"/>
    </row>
    <row r="51" spans="2:69" ht="14.15" customHeight="1" x14ac:dyDescent="0.35">
      <c r="B51" s="104" t="s">
        <v>364</v>
      </c>
      <c r="C51" s="109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06"/>
      <c r="AT51" s="106"/>
      <c r="AU51" s="106"/>
      <c r="AV51" s="106"/>
      <c r="AW51" s="10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06"/>
      <c r="BK51" s="106"/>
      <c r="BM51" s="106"/>
      <c r="BO51" s="106"/>
      <c r="BQ51" s="106"/>
    </row>
    <row r="52" spans="2:69" ht="14.15" customHeight="1" x14ac:dyDescent="0.35">
      <c r="B52" s="92" t="s">
        <v>469</v>
      </c>
      <c r="C52" s="109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>
        <v>0</v>
      </c>
      <c r="BH52" s="106"/>
      <c r="BI52" s="106">
        <v>0</v>
      </c>
      <c r="BK52" s="106">
        <v>150033</v>
      </c>
      <c r="BM52" s="106">
        <v>-98</v>
      </c>
      <c r="BO52" s="106">
        <v>0</v>
      </c>
      <c r="BQ52" s="106"/>
    </row>
    <row r="53" spans="2:69" ht="14.15" customHeight="1" x14ac:dyDescent="0.35">
      <c r="B53" s="92" t="s">
        <v>365</v>
      </c>
      <c r="C53" s="127">
        <v>0</v>
      </c>
      <c r="D53" s="103"/>
      <c r="E53" s="107">
        <v>11500</v>
      </c>
      <c r="F53" s="103"/>
      <c r="G53" s="107">
        <v>0</v>
      </c>
      <c r="H53" s="103"/>
      <c r="I53" s="107">
        <v>0</v>
      </c>
      <c r="J53" s="103"/>
      <c r="K53" s="107">
        <v>0</v>
      </c>
      <c r="L53" s="103"/>
      <c r="M53" s="107">
        <v>0</v>
      </c>
      <c r="N53" s="103"/>
      <c r="O53" s="107">
        <v>0</v>
      </c>
      <c r="P53" s="103"/>
      <c r="Q53" s="107">
        <v>20000</v>
      </c>
      <c r="R53" s="103"/>
      <c r="S53" s="107">
        <v>157512</v>
      </c>
      <c r="T53" s="103"/>
      <c r="U53" s="107">
        <v>-105</v>
      </c>
      <c r="V53" s="103"/>
      <c r="W53" s="107">
        <v>2275</v>
      </c>
      <c r="X53" s="103"/>
      <c r="Y53" s="107">
        <v>97</v>
      </c>
      <c r="Z53" s="103"/>
      <c r="AA53" s="106">
        <v>0</v>
      </c>
      <c r="AB53" s="106"/>
      <c r="AC53" s="106">
        <v>305</v>
      </c>
      <c r="AD53" s="106"/>
      <c r="AE53" s="106">
        <v>0</v>
      </c>
      <c r="AF53" s="106"/>
      <c r="AG53" s="106">
        <v>0</v>
      </c>
      <c r="AH53" s="106"/>
      <c r="AI53" s="106">
        <v>230</v>
      </c>
      <c r="AJ53" s="106"/>
      <c r="AK53" s="106">
        <v>0</v>
      </c>
      <c r="AL53" s="106"/>
      <c r="AM53" s="106">
        <v>0</v>
      </c>
      <c r="AN53" s="106"/>
      <c r="AO53" s="106">
        <v>0</v>
      </c>
      <c r="AP53" s="106"/>
      <c r="AQ53" s="106">
        <v>0</v>
      </c>
      <c r="AR53" s="106"/>
      <c r="AS53" s="106">
        <v>0</v>
      </c>
      <c r="AT53" s="106"/>
      <c r="AU53" s="106">
        <v>0</v>
      </c>
      <c r="AV53" s="106"/>
      <c r="AW53" s="106">
        <v>0</v>
      </c>
      <c r="AX53" s="106"/>
      <c r="AY53" s="106">
        <v>84716</v>
      </c>
      <c r="AZ53" s="106"/>
      <c r="BA53" s="106">
        <v>-19</v>
      </c>
      <c r="BB53" s="106"/>
      <c r="BC53" s="106">
        <v>0</v>
      </c>
      <c r="BD53" s="106"/>
      <c r="BE53" s="106">
        <v>-94</v>
      </c>
      <c r="BF53" s="106"/>
      <c r="BG53" s="106">
        <v>0</v>
      </c>
      <c r="BH53" s="106"/>
      <c r="BI53" s="106">
        <v>0</v>
      </c>
      <c r="BK53" s="106">
        <v>0</v>
      </c>
      <c r="BM53" s="106">
        <v>0</v>
      </c>
      <c r="BO53" s="106">
        <v>45</v>
      </c>
      <c r="BQ53" s="106"/>
    </row>
    <row r="54" spans="2:69" ht="14.15" customHeight="1" x14ac:dyDescent="0.35">
      <c r="B54" s="92" t="s">
        <v>387</v>
      </c>
      <c r="C54" s="127">
        <v>0</v>
      </c>
      <c r="D54" s="103"/>
      <c r="E54" s="107">
        <v>0</v>
      </c>
      <c r="F54" s="103"/>
      <c r="G54" s="107">
        <v>0</v>
      </c>
      <c r="H54" s="103"/>
      <c r="I54" s="107">
        <v>0</v>
      </c>
      <c r="J54" s="103"/>
      <c r="K54" s="107">
        <v>0</v>
      </c>
      <c r="L54" s="103"/>
      <c r="M54" s="107">
        <v>0</v>
      </c>
      <c r="N54" s="103"/>
      <c r="O54" s="107">
        <v>0</v>
      </c>
      <c r="P54" s="103"/>
      <c r="Q54" s="107">
        <v>0</v>
      </c>
      <c r="R54" s="103"/>
      <c r="S54" s="107">
        <v>0</v>
      </c>
      <c r="T54" s="103"/>
      <c r="U54" s="107">
        <v>0</v>
      </c>
      <c r="V54" s="103"/>
      <c r="W54" s="107">
        <v>0</v>
      </c>
      <c r="X54" s="103"/>
      <c r="Y54" s="107">
        <v>0</v>
      </c>
      <c r="Z54" s="103"/>
      <c r="AA54" s="106">
        <v>0</v>
      </c>
      <c r="AB54" s="106"/>
      <c r="AC54" s="106">
        <v>0</v>
      </c>
      <c r="AD54" s="106"/>
      <c r="AE54" s="106">
        <v>0</v>
      </c>
      <c r="AF54" s="106"/>
      <c r="AG54" s="106">
        <v>0</v>
      </c>
      <c r="AH54" s="106"/>
      <c r="AI54" s="106">
        <v>0</v>
      </c>
      <c r="AJ54" s="106"/>
      <c r="AK54" s="106">
        <v>0</v>
      </c>
      <c r="AL54" s="106"/>
      <c r="AM54" s="106">
        <v>0</v>
      </c>
      <c r="AN54" s="106"/>
      <c r="AO54" s="106">
        <v>0</v>
      </c>
      <c r="AP54" s="106"/>
      <c r="AQ54" s="106">
        <v>0</v>
      </c>
      <c r="AR54" s="106"/>
      <c r="AS54" s="106">
        <v>0</v>
      </c>
      <c r="AT54" s="106"/>
      <c r="AU54" s="106">
        <v>296</v>
      </c>
      <c r="AV54" s="106"/>
      <c r="AW54" s="106">
        <v>1898</v>
      </c>
      <c r="AX54" s="106"/>
      <c r="AY54" s="106">
        <v>344</v>
      </c>
      <c r="AZ54" s="106"/>
      <c r="BA54" s="106">
        <v>0</v>
      </c>
      <c r="BB54" s="106"/>
      <c r="BC54" s="106">
        <v>-725</v>
      </c>
      <c r="BD54" s="106"/>
      <c r="BE54" s="106">
        <v>0</v>
      </c>
      <c r="BF54" s="106"/>
      <c r="BG54" s="106">
        <v>0</v>
      </c>
      <c r="BH54" s="106"/>
      <c r="BI54" s="106">
        <v>0</v>
      </c>
      <c r="BK54" s="106">
        <v>0</v>
      </c>
      <c r="BM54" s="106">
        <v>0</v>
      </c>
      <c r="BO54" s="106">
        <v>0</v>
      </c>
      <c r="BQ54" s="106"/>
    </row>
    <row r="55" spans="2:69" ht="14.15" customHeight="1" x14ac:dyDescent="0.35">
      <c r="B55" s="92" t="s">
        <v>366</v>
      </c>
      <c r="C55" s="127">
        <v>0</v>
      </c>
      <c r="D55" s="103"/>
      <c r="E55" s="107">
        <v>0</v>
      </c>
      <c r="F55" s="103"/>
      <c r="G55" s="107">
        <v>0</v>
      </c>
      <c r="H55" s="103"/>
      <c r="I55" s="107">
        <v>0</v>
      </c>
      <c r="J55" s="103"/>
      <c r="K55" s="107">
        <v>0</v>
      </c>
      <c r="L55" s="103"/>
      <c r="M55" s="107">
        <v>67500</v>
      </c>
      <c r="N55" s="103"/>
      <c r="O55" s="107">
        <v>0</v>
      </c>
      <c r="P55" s="103"/>
      <c r="Q55" s="107">
        <v>0</v>
      </c>
      <c r="R55" s="103"/>
      <c r="S55" s="107">
        <v>0</v>
      </c>
      <c r="T55" s="103"/>
      <c r="U55" s="107">
        <v>0</v>
      </c>
      <c r="V55" s="103"/>
      <c r="W55" s="107">
        <v>0</v>
      </c>
      <c r="X55" s="103"/>
      <c r="Y55" s="107"/>
      <c r="Z55" s="103"/>
      <c r="AA55" s="106">
        <v>0</v>
      </c>
      <c r="AB55" s="106"/>
      <c r="AC55" s="106">
        <v>0</v>
      </c>
      <c r="AD55" s="106"/>
      <c r="AE55" s="106">
        <v>0</v>
      </c>
      <c r="AF55" s="106"/>
      <c r="AG55" s="106">
        <v>0</v>
      </c>
      <c r="AH55" s="106"/>
      <c r="AI55" s="106">
        <v>0</v>
      </c>
      <c r="AJ55" s="106"/>
      <c r="AK55" s="106">
        <v>0</v>
      </c>
      <c r="AL55" s="106"/>
      <c r="AM55" s="106">
        <v>0</v>
      </c>
      <c r="AN55" s="106"/>
      <c r="AO55" s="106">
        <v>0</v>
      </c>
      <c r="AP55" s="106"/>
      <c r="AQ55" s="106">
        <v>0</v>
      </c>
      <c r="AR55" s="106"/>
      <c r="AS55" s="106">
        <v>0</v>
      </c>
      <c r="AT55" s="106"/>
      <c r="AU55" s="106">
        <v>0</v>
      </c>
      <c r="AV55" s="106"/>
      <c r="AW55" s="106">
        <v>0</v>
      </c>
      <c r="AX55" s="106"/>
      <c r="AY55" s="106">
        <v>0</v>
      </c>
      <c r="AZ55" s="106"/>
      <c r="BA55" s="106">
        <v>0</v>
      </c>
      <c r="BB55" s="106"/>
      <c r="BC55" s="106">
        <v>0</v>
      </c>
      <c r="BD55" s="106"/>
      <c r="BE55" s="106"/>
      <c r="BF55" s="106"/>
      <c r="BG55" s="106">
        <v>200000</v>
      </c>
      <c r="BH55" s="106"/>
      <c r="BI55" s="106">
        <v>0</v>
      </c>
      <c r="BK55" s="106">
        <v>0</v>
      </c>
      <c r="BM55" s="106">
        <v>0</v>
      </c>
      <c r="BO55" s="106">
        <v>0</v>
      </c>
      <c r="BQ55" s="106"/>
    </row>
    <row r="56" spans="2:69" ht="14.15" customHeight="1" x14ac:dyDescent="0.35">
      <c r="B56" s="92" t="s">
        <v>92</v>
      </c>
      <c r="C56" s="127">
        <v>0</v>
      </c>
      <c r="D56" s="103"/>
      <c r="E56" s="107">
        <v>0</v>
      </c>
      <c r="F56" s="103"/>
      <c r="G56" s="107">
        <v>0</v>
      </c>
      <c r="H56" s="103"/>
      <c r="I56" s="107">
        <v>0</v>
      </c>
      <c r="J56" s="103"/>
      <c r="K56" s="107">
        <v>0</v>
      </c>
      <c r="L56" s="103"/>
      <c r="M56" s="107">
        <v>-14637</v>
      </c>
      <c r="N56" s="103"/>
      <c r="O56" s="107">
        <v>4837</v>
      </c>
      <c r="P56" s="103"/>
      <c r="Q56" s="107">
        <v>3045</v>
      </c>
      <c r="R56" s="103"/>
      <c r="S56" s="107">
        <v>5357</v>
      </c>
      <c r="T56" s="103"/>
      <c r="U56" s="107">
        <v>268</v>
      </c>
      <c r="V56" s="103"/>
      <c r="W56" s="107">
        <v>267</v>
      </c>
      <c r="X56" s="103"/>
      <c r="Y56" s="107">
        <v>270</v>
      </c>
      <c r="Z56" s="103"/>
      <c r="AA56" s="106">
        <v>593</v>
      </c>
      <c r="AB56" s="106"/>
      <c r="AC56" s="106">
        <v>0</v>
      </c>
      <c r="AD56" s="106"/>
      <c r="AE56" s="106">
        <v>0</v>
      </c>
      <c r="AF56" s="106"/>
      <c r="AG56" s="106">
        <v>0</v>
      </c>
      <c r="AH56" s="106"/>
      <c r="AI56" s="106">
        <v>0</v>
      </c>
      <c r="AJ56" s="106"/>
      <c r="AK56" s="106">
        <v>0</v>
      </c>
      <c r="AL56" s="106"/>
      <c r="AM56" s="106">
        <v>0</v>
      </c>
      <c r="AN56" s="106"/>
      <c r="AO56" s="106">
        <v>0</v>
      </c>
      <c r="AP56" s="106"/>
      <c r="AQ56" s="106">
        <v>0</v>
      </c>
      <c r="AR56" s="106"/>
      <c r="AS56" s="106">
        <v>0</v>
      </c>
      <c r="AT56" s="106"/>
      <c r="AU56" s="106">
        <v>0</v>
      </c>
      <c r="AV56" s="106"/>
      <c r="AW56" s="106">
        <v>0</v>
      </c>
      <c r="AX56" s="106"/>
      <c r="AY56" s="106">
        <v>0</v>
      </c>
      <c r="AZ56" s="106"/>
      <c r="BA56" s="106">
        <v>0</v>
      </c>
      <c r="BB56" s="106"/>
      <c r="BC56" s="106">
        <v>0</v>
      </c>
      <c r="BD56" s="106"/>
      <c r="BE56" s="106"/>
      <c r="BF56" s="106"/>
      <c r="BG56" s="106">
        <v>0</v>
      </c>
      <c r="BH56" s="106"/>
      <c r="BI56" s="106">
        <v>0</v>
      </c>
      <c r="BK56" s="106">
        <v>0</v>
      </c>
      <c r="BM56" s="106">
        <v>0</v>
      </c>
      <c r="BO56" s="106">
        <v>0</v>
      </c>
      <c r="BQ56" s="106"/>
    </row>
    <row r="57" spans="2:69" ht="14.15" customHeight="1" x14ac:dyDescent="0.35">
      <c r="B57" s="92" t="s">
        <v>367</v>
      </c>
      <c r="C57" s="127">
        <v>0</v>
      </c>
      <c r="D57" s="103"/>
      <c r="E57" s="107">
        <v>-5285</v>
      </c>
      <c r="F57" s="103"/>
      <c r="G57" s="107">
        <v>0</v>
      </c>
      <c r="H57" s="103"/>
      <c r="I57" s="107">
        <v>0</v>
      </c>
      <c r="J57" s="103"/>
      <c r="K57" s="107">
        <v>0</v>
      </c>
      <c r="L57" s="103"/>
      <c r="M57" s="107">
        <v>0</v>
      </c>
      <c r="N57" s="103"/>
      <c r="O57" s="107">
        <v>0</v>
      </c>
      <c r="P57" s="103"/>
      <c r="Q57" s="107">
        <v>0</v>
      </c>
      <c r="R57" s="103"/>
      <c r="S57" s="107">
        <v>0</v>
      </c>
      <c r="T57" s="103"/>
      <c r="U57" s="107">
        <v>0</v>
      </c>
      <c r="V57" s="103"/>
      <c r="W57" s="107">
        <v>0</v>
      </c>
      <c r="X57" s="103"/>
      <c r="Y57" s="107"/>
      <c r="Z57" s="103"/>
      <c r="AA57" s="106">
        <v>0</v>
      </c>
      <c r="AB57" s="106"/>
      <c r="AC57" s="106">
        <v>0</v>
      </c>
      <c r="AD57" s="106"/>
      <c r="AE57" s="106">
        <v>0</v>
      </c>
      <c r="AF57" s="106"/>
      <c r="AG57" s="106">
        <v>0</v>
      </c>
      <c r="AH57" s="106"/>
      <c r="AI57" s="106">
        <v>0</v>
      </c>
      <c r="AJ57" s="106"/>
      <c r="AK57" s="106">
        <v>0</v>
      </c>
      <c r="AL57" s="106"/>
      <c r="AM57" s="106">
        <v>0</v>
      </c>
      <c r="AN57" s="106"/>
      <c r="AO57" s="106">
        <v>0</v>
      </c>
      <c r="AP57" s="106"/>
      <c r="AQ57" s="106">
        <v>0</v>
      </c>
      <c r="AR57" s="106"/>
      <c r="AS57" s="106">
        <v>0</v>
      </c>
      <c r="AT57" s="106"/>
      <c r="AU57" s="106">
        <v>0</v>
      </c>
      <c r="AV57" s="106"/>
      <c r="AW57" s="106">
        <v>0</v>
      </c>
      <c r="AX57" s="106"/>
      <c r="AY57" s="106">
        <v>0</v>
      </c>
      <c r="AZ57" s="106"/>
      <c r="BA57" s="106">
        <v>0</v>
      </c>
      <c r="BB57" s="106"/>
      <c r="BC57" s="106">
        <v>0</v>
      </c>
      <c r="BD57" s="106"/>
      <c r="BE57" s="106"/>
      <c r="BF57" s="106"/>
      <c r="BG57" s="106">
        <v>0</v>
      </c>
      <c r="BH57" s="106"/>
      <c r="BI57" s="106">
        <v>0</v>
      </c>
      <c r="BK57" s="106">
        <v>0</v>
      </c>
      <c r="BM57" s="106">
        <v>0</v>
      </c>
      <c r="BO57" s="106">
        <v>0</v>
      </c>
      <c r="BQ57" s="106"/>
    </row>
    <row r="58" spans="2:69" ht="14.15" customHeight="1" x14ac:dyDescent="0.35">
      <c r="B58" s="92" t="s">
        <v>368</v>
      </c>
      <c r="C58" s="107">
        <v>765</v>
      </c>
      <c r="D58" s="103"/>
      <c r="E58" s="107">
        <v>0</v>
      </c>
      <c r="F58" s="103"/>
      <c r="G58" s="107">
        <v>0</v>
      </c>
      <c r="H58" s="103"/>
      <c r="I58" s="107">
        <v>0</v>
      </c>
      <c r="J58" s="103"/>
      <c r="K58" s="107">
        <v>0</v>
      </c>
      <c r="L58" s="103"/>
      <c r="M58" s="107">
        <v>0</v>
      </c>
      <c r="N58" s="103"/>
      <c r="O58" s="107">
        <v>0</v>
      </c>
      <c r="P58" s="103"/>
      <c r="Q58" s="107">
        <v>765</v>
      </c>
      <c r="R58" s="103"/>
      <c r="S58" s="107">
        <v>0</v>
      </c>
      <c r="T58" s="103"/>
      <c r="U58" s="107">
        <v>0</v>
      </c>
      <c r="V58" s="103"/>
      <c r="W58" s="107">
        <v>0</v>
      </c>
      <c r="X58" s="103"/>
      <c r="Y58" s="107"/>
      <c r="Z58" s="103"/>
      <c r="AA58" s="106">
        <v>0</v>
      </c>
      <c r="AB58" s="106"/>
      <c r="AC58" s="106">
        <v>0</v>
      </c>
      <c r="AD58" s="106"/>
      <c r="AE58" s="106">
        <v>0</v>
      </c>
      <c r="AF58" s="106"/>
      <c r="AG58" s="106">
        <v>0</v>
      </c>
      <c r="AH58" s="106"/>
      <c r="AI58" s="106">
        <v>0</v>
      </c>
      <c r="AJ58" s="106"/>
      <c r="AK58" s="106">
        <v>0</v>
      </c>
      <c r="AL58" s="106"/>
      <c r="AM58" s="106">
        <v>0</v>
      </c>
      <c r="AN58" s="106"/>
      <c r="AO58" s="106">
        <v>0</v>
      </c>
      <c r="AP58" s="106"/>
      <c r="AQ58" s="106">
        <v>0</v>
      </c>
      <c r="AR58" s="106"/>
      <c r="AS58" s="106">
        <v>0</v>
      </c>
      <c r="AT58" s="106"/>
      <c r="AU58" s="106">
        <v>0</v>
      </c>
      <c r="AV58" s="106"/>
      <c r="AW58" s="106">
        <v>0</v>
      </c>
      <c r="AX58" s="106"/>
      <c r="AY58" s="106">
        <v>0</v>
      </c>
      <c r="AZ58" s="106"/>
      <c r="BA58" s="106">
        <v>0</v>
      </c>
      <c r="BB58" s="106"/>
      <c r="BC58" s="106">
        <v>0</v>
      </c>
      <c r="BD58" s="106"/>
      <c r="BE58" s="106"/>
      <c r="BF58" s="106"/>
      <c r="BG58" s="106">
        <v>0</v>
      </c>
      <c r="BH58" s="106"/>
      <c r="BI58" s="106">
        <v>0</v>
      </c>
      <c r="BK58" s="106">
        <v>0</v>
      </c>
      <c r="BM58" s="106">
        <v>0</v>
      </c>
      <c r="BO58" s="106">
        <v>0</v>
      </c>
      <c r="BQ58" s="106"/>
    </row>
    <row r="59" spans="2:69" ht="14.15" customHeight="1" x14ac:dyDescent="0.35">
      <c r="B59" s="92" t="s">
        <v>369</v>
      </c>
      <c r="C59" s="107">
        <v>-1996</v>
      </c>
      <c r="D59" s="103"/>
      <c r="E59" s="107">
        <v>0</v>
      </c>
      <c r="F59" s="103"/>
      <c r="G59" s="107">
        <v>0</v>
      </c>
      <c r="H59" s="103"/>
      <c r="I59" s="107">
        <v>0</v>
      </c>
      <c r="J59" s="103"/>
      <c r="K59" s="107">
        <v>-304</v>
      </c>
      <c r="L59" s="103"/>
      <c r="M59" s="107">
        <v>-303</v>
      </c>
      <c r="N59" s="103"/>
      <c r="O59" s="107">
        <v>-303</v>
      </c>
      <c r="P59" s="103"/>
      <c r="Q59" s="107">
        <v>0</v>
      </c>
      <c r="R59" s="103"/>
      <c r="S59" s="107">
        <v>-1808</v>
      </c>
      <c r="T59" s="103"/>
      <c r="U59" s="107">
        <v>0</v>
      </c>
      <c r="V59" s="103"/>
      <c r="W59" s="107">
        <v>0</v>
      </c>
      <c r="X59" s="103"/>
      <c r="Y59" s="107">
        <v>0</v>
      </c>
      <c r="Z59" s="103"/>
      <c r="AA59" s="106">
        <v>0</v>
      </c>
      <c r="AB59" s="106"/>
      <c r="AC59" s="106">
        <v>0</v>
      </c>
      <c r="AD59" s="106"/>
      <c r="AE59" s="106">
        <v>0</v>
      </c>
      <c r="AF59" s="106"/>
      <c r="AG59" s="106">
        <v>0</v>
      </c>
      <c r="AH59" s="106"/>
      <c r="AI59" s="106">
        <v>-1936</v>
      </c>
      <c r="AJ59" s="106"/>
      <c r="AK59" s="106">
        <v>-1507</v>
      </c>
      <c r="AL59" s="106"/>
      <c r="AM59" s="106">
        <v>0</v>
      </c>
      <c r="AN59" s="106"/>
      <c r="AO59" s="106">
        <v>-8848</v>
      </c>
      <c r="AP59" s="106"/>
      <c r="AQ59" s="106">
        <v>-1142</v>
      </c>
      <c r="AR59" s="106"/>
      <c r="AS59" s="106">
        <v>-41521</v>
      </c>
      <c r="AT59" s="106"/>
      <c r="AU59" s="106">
        <v>0</v>
      </c>
      <c r="AV59" s="106"/>
      <c r="AW59" s="106">
        <v>-479</v>
      </c>
      <c r="AX59" s="106"/>
      <c r="AY59" s="106">
        <v>0</v>
      </c>
      <c r="AZ59" s="106"/>
      <c r="BA59" s="106">
        <v>-16337</v>
      </c>
      <c r="BB59" s="106"/>
      <c r="BC59" s="106">
        <v>-5120</v>
      </c>
      <c r="BD59" s="106"/>
      <c r="BE59" s="106">
        <v>-1360</v>
      </c>
      <c r="BF59" s="106"/>
      <c r="BG59" s="106">
        <v>0</v>
      </c>
      <c r="BH59" s="106"/>
      <c r="BI59" s="106">
        <v>-13373</v>
      </c>
      <c r="BK59" s="106">
        <v>0</v>
      </c>
      <c r="BM59" s="106">
        <v>0</v>
      </c>
      <c r="BO59" s="106">
        <v>0</v>
      </c>
      <c r="BQ59" s="106"/>
    </row>
    <row r="60" spans="2:69" ht="14.15" customHeight="1" x14ac:dyDescent="0.35">
      <c r="B60" s="92" t="s">
        <v>370</v>
      </c>
      <c r="C60" s="107">
        <v>3015</v>
      </c>
      <c r="D60" s="103"/>
      <c r="E60" s="107">
        <v>-3015</v>
      </c>
      <c r="F60" s="103"/>
      <c r="G60" s="107">
        <v>0</v>
      </c>
      <c r="H60" s="103"/>
      <c r="I60" s="107">
        <v>-245</v>
      </c>
      <c r="J60" s="103"/>
      <c r="K60" s="107">
        <v>-9</v>
      </c>
      <c r="L60" s="103"/>
      <c r="M60" s="107">
        <v>-9</v>
      </c>
      <c r="N60" s="103"/>
      <c r="O60" s="107">
        <v>-9</v>
      </c>
      <c r="P60" s="103"/>
      <c r="Q60" s="107">
        <v>272</v>
      </c>
      <c r="R60" s="103"/>
      <c r="S60" s="107">
        <v>0</v>
      </c>
      <c r="T60" s="103"/>
      <c r="U60" s="107">
        <v>0</v>
      </c>
      <c r="V60" s="103"/>
      <c r="W60" s="107">
        <v>0</v>
      </c>
      <c r="X60" s="103"/>
      <c r="Y60" s="107"/>
      <c r="Z60" s="103"/>
      <c r="AA60" s="106">
        <v>0</v>
      </c>
      <c r="AB60" s="106"/>
      <c r="AC60" s="106">
        <v>0</v>
      </c>
      <c r="AD60" s="106"/>
      <c r="AE60" s="106">
        <v>0</v>
      </c>
      <c r="AF60" s="106"/>
      <c r="AG60" s="106">
        <v>0</v>
      </c>
      <c r="AH60" s="106"/>
      <c r="AI60" s="106">
        <v>0</v>
      </c>
      <c r="AJ60" s="106"/>
      <c r="AK60" s="106">
        <v>0</v>
      </c>
      <c r="AL60" s="106"/>
      <c r="AM60" s="106">
        <v>960</v>
      </c>
      <c r="AN60" s="106"/>
      <c r="AO60" s="106">
        <v>-960</v>
      </c>
      <c r="AP60" s="106"/>
      <c r="AQ60" s="106">
        <v>0</v>
      </c>
      <c r="AR60" s="106"/>
      <c r="AS60" s="106">
        <v>0</v>
      </c>
      <c r="AT60" s="106"/>
      <c r="AU60" s="106">
        <v>0</v>
      </c>
      <c r="AV60" s="106"/>
      <c r="AW60" s="106">
        <v>0</v>
      </c>
      <c r="AX60" s="106"/>
      <c r="AY60" s="106">
        <v>0</v>
      </c>
      <c r="AZ60" s="106"/>
      <c r="BA60" s="106">
        <v>0</v>
      </c>
      <c r="BB60" s="106"/>
      <c r="BC60" s="106">
        <v>0</v>
      </c>
      <c r="BD60" s="106"/>
      <c r="BE60" s="106"/>
      <c r="BF60" s="106"/>
      <c r="BG60" s="106">
        <v>0</v>
      </c>
      <c r="BH60" s="106"/>
      <c r="BI60" s="106">
        <v>0</v>
      </c>
      <c r="BK60" s="106">
        <v>0</v>
      </c>
      <c r="BM60" s="106">
        <v>0</v>
      </c>
      <c r="BO60" s="106">
        <v>0</v>
      </c>
      <c r="BQ60" s="106"/>
    </row>
    <row r="61" spans="2:69" ht="14.15" customHeight="1" x14ac:dyDescent="0.35">
      <c r="B61" s="92" t="s">
        <v>93</v>
      </c>
      <c r="C61" s="107">
        <v>0</v>
      </c>
      <c r="D61" s="103"/>
      <c r="E61" s="107">
        <v>4953</v>
      </c>
      <c r="F61" s="103"/>
      <c r="G61" s="107">
        <v>1826</v>
      </c>
      <c r="H61" s="103"/>
      <c r="I61" s="107">
        <v>200</v>
      </c>
      <c r="J61" s="103"/>
      <c r="K61" s="107">
        <v>2296</v>
      </c>
      <c r="L61" s="103"/>
      <c r="M61" s="107">
        <v>171</v>
      </c>
      <c r="N61" s="103"/>
      <c r="O61" s="107">
        <v>61</v>
      </c>
      <c r="P61" s="103"/>
      <c r="Q61" s="107">
        <v>106</v>
      </c>
      <c r="R61" s="103"/>
      <c r="S61" s="107">
        <v>-9613</v>
      </c>
      <c r="T61" s="103"/>
      <c r="U61" s="107">
        <v>0</v>
      </c>
      <c r="V61" s="103"/>
      <c r="W61" s="107">
        <v>0</v>
      </c>
      <c r="X61" s="103"/>
      <c r="Y61" s="107">
        <v>0</v>
      </c>
      <c r="Z61" s="103"/>
      <c r="AA61" s="106">
        <v>0</v>
      </c>
      <c r="AB61" s="106"/>
      <c r="AC61" s="106">
        <v>0</v>
      </c>
      <c r="AD61" s="106"/>
      <c r="AE61" s="106">
        <v>0</v>
      </c>
      <c r="AF61" s="106"/>
      <c r="AG61" s="106">
        <v>0</v>
      </c>
      <c r="AH61" s="106"/>
      <c r="AI61" s="106">
        <v>901</v>
      </c>
      <c r="AJ61" s="106"/>
      <c r="AK61" s="106">
        <v>1074</v>
      </c>
      <c r="AL61" s="106"/>
      <c r="AM61" s="106">
        <v>-1975</v>
      </c>
      <c r="AN61" s="106"/>
      <c r="AO61" s="106">
        <v>992</v>
      </c>
      <c r="AP61" s="106"/>
      <c r="AQ61" s="106">
        <v>32</v>
      </c>
      <c r="AR61" s="106"/>
      <c r="AS61" s="106">
        <v>-1024</v>
      </c>
      <c r="AT61" s="106"/>
      <c r="AU61" s="106">
        <v>0</v>
      </c>
      <c r="AV61" s="106"/>
      <c r="AW61" s="106">
        <v>0</v>
      </c>
      <c r="AX61" s="106"/>
      <c r="AY61" s="106">
        <v>0</v>
      </c>
      <c r="AZ61" s="106"/>
      <c r="BA61" s="106">
        <v>983</v>
      </c>
      <c r="BB61" s="106"/>
      <c r="BC61" s="106">
        <v>25</v>
      </c>
      <c r="BD61" s="106"/>
      <c r="BE61" s="106">
        <v>-1008</v>
      </c>
      <c r="BF61" s="106"/>
      <c r="BG61" s="106">
        <v>0</v>
      </c>
      <c r="BH61" s="106"/>
      <c r="BI61" s="106">
        <v>0</v>
      </c>
      <c r="BK61" s="106">
        <v>0</v>
      </c>
      <c r="BM61" s="106">
        <v>0</v>
      </c>
      <c r="BO61" s="106">
        <v>0</v>
      </c>
      <c r="BQ61" s="106"/>
    </row>
    <row r="62" spans="2:69" ht="14.15" customHeight="1" x14ac:dyDescent="0.35">
      <c r="B62" s="92" t="s">
        <v>371</v>
      </c>
      <c r="C62" s="107">
        <v>-300</v>
      </c>
      <c r="D62" s="103"/>
      <c r="E62" s="107">
        <v>-450</v>
      </c>
      <c r="F62" s="103"/>
      <c r="G62" s="107">
        <v>-357</v>
      </c>
      <c r="H62" s="103"/>
      <c r="I62" s="107">
        <v>-171</v>
      </c>
      <c r="J62" s="103"/>
      <c r="K62" s="107">
        <v>-228</v>
      </c>
      <c r="L62" s="103"/>
      <c r="M62" s="107">
        <v>-115</v>
      </c>
      <c r="N62" s="103"/>
      <c r="O62" s="107">
        <v>-171</v>
      </c>
      <c r="P62" s="103"/>
      <c r="Q62" s="107">
        <v>-228</v>
      </c>
      <c r="R62" s="103"/>
      <c r="S62" s="107">
        <v>-3921</v>
      </c>
      <c r="T62" s="103"/>
      <c r="U62" s="107">
        <v>-172</v>
      </c>
      <c r="V62" s="103"/>
      <c r="W62" s="107">
        <v>-574</v>
      </c>
      <c r="X62" s="103"/>
      <c r="Y62" s="107">
        <v>0</v>
      </c>
      <c r="Z62" s="103"/>
      <c r="AA62" s="106">
        <v>0</v>
      </c>
      <c r="AB62" s="106"/>
      <c r="AC62" s="106">
        <v>0</v>
      </c>
      <c r="AD62" s="106"/>
      <c r="AE62" s="106">
        <v>0</v>
      </c>
      <c r="AF62" s="106"/>
      <c r="AG62" s="106">
        <v>-970</v>
      </c>
      <c r="AH62" s="106"/>
      <c r="AI62" s="106">
        <v>0</v>
      </c>
      <c r="AJ62" s="106"/>
      <c r="AK62" s="106">
        <v>0</v>
      </c>
      <c r="AL62" s="106"/>
      <c r="AM62" s="106">
        <v>-4869</v>
      </c>
      <c r="AN62" s="106"/>
      <c r="AO62" s="106">
        <v>-970</v>
      </c>
      <c r="AP62" s="106"/>
      <c r="AQ62" s="106">
        <v>-7198</v>
      </c>
      <c r="AR62" s="106"/>
      <c r="AS62" s="106">
        <v>-5197</v>
      </c>
      <c r="AT62" s="106"/>
      <c r="AU62" s="106">
        <v>0</v>
      </c>
      <c r="AV62" s="106"/>
      <c r="AW62" s="106">
        <v>-1191</v>
      </c>
      <c r="AX62" s="106"/>
      <c r="AY62" s="106">
        <v>-9515</v>
      </c>
      <c r="AZ62" s="106"/>
      <c r="BA62" s="106">
        <f>[1]DFC!$G$72-AY62</f>
        <v>-5997</v>
      </c>
      <c r="BB62" s="106"/>
      <c r="BC62" s="106">
        <v>-898</v>
      </c>
      <c r="BD62" s="106"/>
      <c r="BE62" s="106">
        <v>-945</v>
      </c>
      <c r="BF62" s="106"/>
      <c r="BG62" s="106">
        <v>-11549</v>
      </c>
      <c r="BH62" s="106"/>
      <c r="BI62" s="106">
        <v>-17150</v>
      </c>
      <c r="BK62" s="106">
        <v>-960</v>
      </c>
      <c r="BM62" s="106">
        <v>-34468</v>
      </c>
      <c r="BO62" s="106">
        <v>-6100</v>
      </c>
      <c r="BQ62" s="106"/>
    </row>
    <row r="63" spans="2:69" ht="14.15" customHeight="1" x14ac:dyDescent="0.35">
      <c r="B63" s="92" t="s">
        <v>313</v>
      </c>
      <c r="C63" s="107">
        <v>-12523</v>
      </c>
      <c r="D63" s="103"/>
      <c r="E63" s="107">
        <v>-19170</v>
      </c>
      <c r="F63" s="103"/>
      <c r="G63" s="107">
        <v>-11951</v>
      </c>
      <c r="H63" s="103"/>
      <c r="I63" s="107">
        <v>-12938</v>
      </c>
      <c r="J63" s="103"/>
      <c r="K63" s="107">
        <v>-11561</v>
      </c>
      <c r="L63" s="103"/>
      <c r="M63" s="107">
        <v>-50824</v>
      </c>
      <c r="N63" s="103"/>
      <c r="O63" s="107">
        <v>-4973</v>
      </c>
      <c r="P63" s="103"/>
      <c r="Q63" s="107">
        <v>-4129</v>
      </c>
      <c r="R63" s="103"/>
      <c r="S63" s="107">
        <v>-5616</v>
      </c>
      <c r="T63" s="103"/>
      <c r="U63" s="107">
        <f>-1481-1250</f>
        <v>-2731</v>
      </c>
      <c r="V63" s="103"/>
      <c r="W63" s="107">
        <f>-1451-4583</f>
        <v>-6034</v>
      </c>
      <c r="X63" s="103"/>
      <c r="Y63" s="107">
        <f>-1647-6250</f>
        <v>-7897</v>
      </c>
      <c r="Z63" s="103"/>
      <c r="AA63" s="106">
        <f>-414-6250</f>
        <v>-6664</v>
      </c>
      <c r="AB63" s="106"/>
      <c r="AC63" s="106">
        <f>-143-6250</f>
        <v>-6393</v>
      </c>
      <c r="AD63" s="106"/>
      <c r="AE63" s="106">
        <f>-143-6250</f>
        <v>-6393</v>
      </c>
      <c r="AF63" s="106"/>
      <c r="AG63" s="106">
        <f>-142-6250</f>
        <v>-6392</v>
      </c>
      <c r="AH63" s="106"/>
      <c r="AI63" s="106">
        <f>-1241-6250</f>
        <v>-7491</v>
      </c>
      <c r="AJ63" s="106"/>
      <c r="AK63" s="106">
        <f>-7168-6250</f>
        <v>-13418</v>
      </c>
      <c r="AL63" s="106"/>
      <c r="AM63" s="106">
        <f>-6495-6250</f>
        <v>-12745</v>
      </c>
      <c r="AN63" s="106"/>
      <c r="AO63" s="106">
        <f>-6638-5417</f>
        <v>-12055</v>
      </c>
      <c r="AP63" s="106"/>
      <c r="AQ63" s="106">
        <v>-11863</v>
      </c>
      <c r="AR63" s="106"/>
      <c r="AS63" s="106">
        <v>-9439</v>
      </c>
      <c r="AT63" s="106"/>
      <c r="AU63" s="106">
        <v>-6911</v>
      </c>
      <c r="AV63" s="106"/>
      <c r="AW63" s="106">
        <v>-37117</v>
      </c>
      <c r="AX63" s="106"/>
      <c r="AY63" s="106">
        <v>-11486</v>
      </c>
      <c r="AZ63" s="106"/>
      <c r="BA63" s="106">
        <f>[1]DFC!$G$78-AY63</f>
        <v>-20155</v>
      </c>
      <c r="BB63" s="106"/>
      <c r="BC63" s="106">
        <v>-39327</v>
      </c>
      <c r="BD63" s="106"/>
      <c r="BE63" s="106">
        <v>-25219</v>
      </c>
      <c r="BF63" s="106"/>
      <c r="BG63" s="106">
        <v>-21789</v>
      </c>
      <c r="BH63" s="106"/>
      <c r="BI63" s="106">
        <v>-103992</v>
      </c>
      <c r="BK63" s="106">
        <v>-35035</v>
      </c>
      <c r="BM63" s="106">
        <v>-36548</v>
      </c>
      <c r="BO63" s="106">
        <v>-42438</v>
      </c>
      <c r="BQ63" s="106"/>
    </row>
    <row r="64" spans="2:69" ht="14.15" customHeight="1" x14ac:dyDescent="0.35">
      <c r="B64" s="92" t="s">
        <v>372</v>
      </c>
      <c r="C64" s="107">
        <v>0</v>
      </c>
      <c r="D64" s="103"/>
      <c r="E64" s="107">
        <v>0</v>
      </c>
      <c r="F64" s="103"/>
      <c r="G64" s="107">
        <v>0</v>
      </c>
      <c r="H64" s="103"/>
      <c r="I64" s="107">
        <v>0</v>
      </c>
      <c r="J64" s="103"/>
      <c r="K64" s="107">
        <v>0</v>
      </c>
      <c r="L64" s="103"/>
      <c r="M64" s="107">
        <v>0</v>
      </c>
      <c r="N64" s="103"/>
      <c r="O64" s="107">
        <v>0</v>
      </c>
      <c r="P64" s="103"/>
      <c r="Q64" s="107">
        <v>0</v>
      </c>
      <c r="R64" s="103"/>
      <c r="S64" s="107">
        <v>0</v>
      </c>
      <c r="T64" s="103"/>
      <c r="U64" s="107">
        <v>0</v>
      </c>
      <c r="V64" s="103"/>
      <c r="W64" s="107">
        <v>0</v>
      </c>
      <c r="X64" s="103"/>
      <c r="Y64" s="107">
        <v>0</v>
      </c>
      <c r="Z64" s="103"/>
      <c r="AA64" s="106">
        <v>0</v>
      </c>
      <c r="AB64" s="106"/>
      <c r="AC64" s="106">
        <v>0</v>
      </c>
      <c r="AD64" s="106"/>
      <c r="AE64" s="106">
        <v>0</v>
      </c>
      <c r="AF64" s="106"/>
      <c r="AG64" s="106">
        <v>0</v>
      </c>
      <c r="AH64" s="106"/>
      <c r="AI64" s="106">
        <v>0</v>
      </c>
      <c r="AJ64" s="106"/>
      <c r="AK64" s="106">
        <v>0</v>
      </c>
      <c r="AL64" s="106"/>
      <c r="AM64" s="106">
        <v>0</v>
      </c>
      <c r="AN64" s="106"/>
      <c r="AO64" s="106">
        <v>0</v>
      </c>
      <c r="AP64" s="106"/>
      <c r="AQ64" s="106">
        <v>0</v>
      </c>
      <c r="AR64" s="106"/>
      <c r="AS64" s="106">
        <v>0</v>
      </c>
      <c r="AT64" s="106"/>
      <c r="AU64" s="106">
        <v>0</v>
      </c>
      <c r="AV64" s="106"/>
      <c r="AW64" s="106">
        <v>0</v>
      </c>
      <c r="AX64" s="106"/>
      <c r="AY64" s="106">
        <v>0</v>
      </c>
      <c r="AZ64" s="106"/>
      <c r="BA64" s="106">
        <v>0</v>
      </c>
      <c r="BB64" s="106"/>
      <c r="BC64" s="106"/>
      <c r="BD64" s="106"/>
      <c r="BE64" s="106"/>
      <c r="BF64" s="106"/>
      <c r="BG64" s="106">
        <v>0</v>
      </c>
      <c r="BH64" s="106"/>
      <c r="BI64" s="106">
        <v>0</v>
      </c>
      <c r="BK64" s="106">
        <v>0</v>
      </c>
      <c r="BM64" s="106">
        <v>0</v>
      </c>
      <c r="BO64" s="106">
        <v>0</v>
      </c>
      <c r="BQ64" s="106"/>
    </row>
    <row r="65" spans="2:69" ht="14.15" customHeight="1" x14ac:dyDescent="0.35">
      <c r="B65" s="92" t="s">
        <v>94</v>
      </c>
      <c r="C65" s="107">
        <v>11621</v>
      </c>
      <c r="D65" s="103"/>
      <c r="E65" s="107">
        <v>12006</v>
      </c>
      <c r="F65" s="103"/>
      <c r="G65" s="107">
        <v>10000</v>
      </c>
      <c r="H65" s="103"/>
      <c r="I65" s="107">
        <v>17313</v>
      </c>
      <c r="J65" s="103"/>
      <c r="K65" s="107">
        <v>10904</v>
      </c>
      <c r="L65" s="103"/>
      <c r="M65" s="107">
        <v>5519</v>
      </c>
      <c r="N65" s="103"/>
      <c r="O65" s="107">
        <v>287</v>
      </c>
      <c r="P65" s="103"/>
      <c r="Q65" s="107">
        <v>3313</v>
      </c>
      <c r="R65" s="103"/>
      <c r="S65" s="107">
        <v>0</v>
      </c>
      <c r="T65" s="103"/>
      <c r="U65" s="107">
        <v>0</v>
      </c>
      <c r="V65" s="103"/>
      <c r="W65" s="107">
        <v>0</v>
      </c>
      <c r="X65" s="103"/>
      <c r="Y65" s="107"/>
      <c r="Z65" s="103"/>
      <c r="AA65" s="106">
        <v>0</v>
      </c>
      <c r="AB65" s="106"/>
      <c r="AC65" s="106">
        <v>3693</v>
      </c>
      <c r="AD65" s="106"/>
      <c r="AE65" s="106">
        <v>0</v>
      </c>
      <c r="AF65" s="106"/>
      <c r="AG65" s="106">
        <v>25449</v>
      </c>
      <c r="AH65" s="106"/>
      <c r="AI65" s="106">
        <v>0</v>
      </c>
      <c r="AJ65" s="106"/>
      <c r="AK65" s="106">
        <v>7200</v>
      </c>
      <c r="AL65" s="106"/>
      <c r="AM65" s="106">
        <v>63486</v>
      </c>
      <c r="AN65" s="106"/>
      <c r="AO65" s="106">
        <v>30000</v>
      </c>
      <c r="AP65" s="106"/>
      <c r="AQ65" s="106">
        <v>107941</v>
      </c>
      <c r="AR65" s="106"/>
      <c r="AS65" s="106">
        <v>22593</v>
      </c>
      <c r="AT65" s="106"/>
      <c r="AU65" s="106">
        <v>0</v>
      </c>
      <c r="AV65" s="106"/>
      <c r="AW65" s="106">
        <v>131875</v>
      </c>
      <c r="AX65" s="106"/>
      <c r="AY65" s="106">
        <v>0</v>
      </c>
      <c r="AZ65" s="106"/>
      <c r="BA65" s="106">
        <v>58000</v>
      </c>
      <c r="BB65" s="106"/>
      <c r="BC65" s="106">
        <v>84200</v>
      </c>
      <c r="BD65" s="106"/>
      <c r="BE65" s="106">
        <v>50000</v>
      </c>
      <c r="BF65" s="106"/>
      <c r="BG65" s="106">
        <v>0</v>
      </c>
      <c r="BH65" s="106"/>
      <c r="BI65" s="106">
        <v>150000</v>
      </c>
      <c r="BK65" s="106">
        <v>0</v>
      </c>
      <c r="BM65" s="106">
        <v>0</v>
      </c>
      <c r="BO65" s="106">
        <v>49170</v>
      </c>
      <c r="BQ65" s="106"/>
    </row>
    <row r="66" spans="2:69" ht="14.15" customHeight="1" x14ac:dyDescent="0.35">
      <c r="B66" s="92" t="s">
        <v>373</v>
      </c>
      <c r="C66" s="107">
        <v>-1480</v>
      </c>
      <c r="D66" s="103"/>
      <c r="E66" s="107">
        <v>-1307</v>
      </c>
      <c r="F66" s="103"/>
      <c r="G66" s="107">
        <v>-1317</v>
      </c>
      <c r="H66" s="103"/>
      <c r="I66" s="107">
        <v>-1815</v>
      </c>
      <c r="J66" s="103"/>
      <c r="K66" s="107">
        <v>-1321</v>
      </c>
      <c r="L66" s="103"/>
      <c r="M66" s="107">
        <v>-2301</v>
      </c>
      <c r="N66" s="103"/>
      <c r="O66" s="107">
        <v>-2255</v>
      </c>
      <c r="P66" s="103"/>
      <c r="Q66" s="107">
        <v>-1910</v>
      </c>
      <c r="R66" s="103"/>
      <c r="S66" s="107">
        <v>-2949</v>
      </c>
      <c r="T66" s="103"/>
      <c r="U66" s="107">
        <v>-1413</v>
      </c>
      <c r="V66" s="103"/>
      <c r="W66" s="107">
        <v>-1177</v>
      </c>
      <c r="X66" s="103"/>
      <c r="Y66" s="107">
        <v>-1046</v>
      </c>
      <c r="Z66" s="103"/>
      <c r="AA66" s="106">
        <v>-905</v>
      </c>
      <c r="AB66" s="106"/>
      <c r="AC66" s="106">
        <v>-939</v>
      </c>
      <c r="AD66" s="106"/>
      <c r="AE66" s="106">
        <v>-1078</v>
      </c>
      <c r="AF66" s="106"/>
      <c r="AG66" s="106">
        <v>-1182</v>
      </c>
      <c r="AH66" s="106"/>
      <c r="AI66" s="106">
        <v>-1362</v>
      </c>
      <c r="AJ66" s="106"/>
      <c r="AK66" s="106">
        <v>-1174</v>
      </c>
      <c r="AL66" s="106"/>
      <c r="AM66" s="106">
        <v>-1633</v>
      </c>
      <c r="AN66" s="106"/>
      <c r="AO66" s="106">
        <v>-1300</v>
      </c>
      <c r="AP66" s="106"/>
      <c r="AQ66" s="106">
        <v>-2873</v>
      </c>
      <c r="AR66" s="106"/>
      <c r="AS66" s="106">
        <v>-4025</v>
      </c>
      <c r="AT66" s="106"/>
      <c r="AU66" s="106">
        <v>-3748</v>
      </c>
      <c r="AV66" s="106"/>
      <c r="AW66" s="106">
        <v>-3322</v>
      </c>
      <c r="AX66" s="106"/>
      <c r="AY66" s="106">
        <f>-498-7701</f>
        <v>-8199</v>
      </c>
      <c r="AZ66" s="106"/>
      <c r="BA66" s="106">
        <f>[1]DFC!$G$73-AY66+[1]DFC!$G$79</f>
        <v>-6621</v>
      </c>
      <c r="BB66" s="106"/>
      <c r="BC66" s="106">
        <v>-7936</v>
      </c>
      <c r="BD66" s="106"/>
      <c r="BE66" s="106">
        <f>-6618-2711</f>
        <v>-9329</v>
      </c>
      <c r="BF66" s="106"/>
      <c r="BG66" s="106">
        <f>-909-8083</f>
        <v>-8992</v>
      </c>
      <c r="BH66" s="106"/>
      <c r="BI66" s="106">
        <v>-12708</v>
      </c>
      <c r="BK66" s="106">
        <v>-24193</v>
      </c>
      <c r="BM66" s="106">
        <v>-28486</v>
      </c>
      <c r="BO66" s="106">
        <f>-237-30784</f>
        <v>-31021</v>
      </c>
      <c r="BQ66" s="106"/>
    </row>
    <row r="67" spans="2:69" ht="14.15" customHeight="1" x14ac:dyDescent="0.35">
      <c r="B67" s="9" t="s">
        <v>401</v>
      </c>
      <c r="C67" s="106">
        <v>0</v>
      </c>
      <c r="D67" s="103"/>
      <c r="E67" s="106">
        <v>0</v>
      </c>
      <c r="F67" s="103"/>
      <c r="G67" s="106">
        <v>0</v>
      </c>
      <c r="H67" s="103"/>
      <c r="I67" s="106">
        <v>0</v>
      </c>
      <c r="J67" s="103"/>
      <c r="K67" s="106">
        <v>0</v>
      </c>
      <c r="L67" s="103"/>
      <c r="M67" s="106">
        <v>0</v>
      </c>
      <c r="N67" s="103"/>
      <c r="O67" s="106">
        <v>0</v>
      </c>
      <c r="P67" s="103"/>
      <c r="Q67" s="106">
        <v>0</v>
      </c>
      <c r="R67" s="103"/>
      <c r="S67" s="106">
        <v>0</v>
      </c>
      <c r="T67" s="103"/>
      <c r="U67" s="106">
        <v>0</v>
      </c>
      <c r="V67" s="103"/>
      <c r="W67" s="106">
        <v>0</v>
      </c>
      <c r="X67" s="103"/>
      <c r="Y67" s="106">
        <v>0</v>
      </c>
      <c r="Z67" s="103"/>
      <c r="AA67" s="106">
        <v>0</v>
      </c>
      <c r="AB67" s="106"/>
      <c r="AC67" s="106">
        <v>0</v>
      </c>
      <c r="AD67" s="106"/>
      <c r="AE67" s="106">
        <v>0</v>
      </c>
      <c r="AF67" s="106"/>
      <c r="AG67" s="106">
        <v>0</v>
      </c>
      <c r="AH67" s="106"/>
      <c r="AI67" s="106">
        <v>0</v>
      </c>
      <c r="AJ67" s="106"/>
      <c r="AK67" s="106">
        <v>0</v>
      </c>
      <c r="AL67" s="106"/>
      <c r="AM67" s="106">
        <v>0</v>
      </c>
      <c r="AN67" s="106"/>
      <c r="AO67" s="106">
        <v>0</v>
      </c>
      <c r="AP67" s="106"/>
      <c r="AQ67" s="106">
        <v>0</v>
      </c>
      <c r="AR67" s="106"/>
      <c r="AS67" s="106">
        <v>0</v>
      </c>
      <c r="AT67" s="106"/>
      <c r="AU67" s="106">
        <v>0</v>
      </c>
      <c r="AV67" s="106"/>
      <c r="AW67" s="106">
        <v>0</v>
      </c>
      <c r="AX67" s="106"/>
      <c r="AY67" s="106">
        <v>19</v>
      </c>
      <c r="AZ67" s="106"/>
      <c r="BA67" s="106">
        <v>-19</v>
      </c>
      <c r="BB67" s="106"/>
      <c r="BC67" s="106"/>
      <c r="BD67" s="106"/>
      <c r="BE67" s="106"/>
      <c r="BF67" s="106"/>
      <c r="BG67" s="106">
        <v>0</v>
      </c>
      <c r="BH67" s="106"/>
      <c r="BI67" s="106">
        <v>0</v>
      </c>
      <c r="BK67" s="106">
        <v>0</v>
      </c>
      <c r="BM67" s="106">
        <v>0</v>
      </c>
      <c r="BO67" s="106">
        <v>0</v>
      </c>
      <c r="BQ67" s="106"/>
    </row>
    <row r="68" spans="2:69" ht="14.15" customHeight="1" x14ac:dyDescent="0.35">
      <c r="B68" s="92" t="s">
        <v>312</v>
      </c>
      <c r="C68" s="107">
        <v>2787</v>
      </c>
      <c r="D68" s="103"/>
      <c r="E68" s="107">
        <v>-2096</v>
      </c>
      <c r="F68" s="103"/>
      <c r="G68" s="107">
        <v>2051</v>
      </c>
      <c r="H68" s="103"/>
      <c r="I68" s="107">
        <v>1182</v>
      </c>
      <c r="J68" s="103"/>
      <c r="K68" s="107">
        <v>583</v>
      </c>
      <c r="L68" s="103"/>
      <c r="M68" s="107">
        <v>-4507</v>
      </c>
      <c r="N68" s="103"/>
      <c r="O68" s="107">
        <v>0</v>
      </c>
      <c r="P68" s="103"/>
      <c r="Q68" s="107">
        <v>5</v>
      </c>
      <c r="R68" s="103"/>
      <c r="S68" s="107">
        <v>-4</v>
      </c>
      <c r="T68" s="103"/>
      <c r="U68" s="107">
        <v>0</v>
      </c>
      <c r="V68" s="103"/>
      <c r="W68" s="107">
        <v>0</v>
      </c>
      <c r="X68" s="103"/>
      <c r="Y68" s="107">
        <v>0</v>
      </c>
      <c r="Z68" s="103"/>
      <c r="AA68" s="106">
        <v>0</v>
      </c>
      <c r="AB68" s="106"/>
      <c r="AC68" s="106">
        <v>0</v>
      </c>
      <c r="AD68" s="106"/>
      <c r="AE68" s="106">
        <v>0</v>
      </c>
      <c r="AF68" s="106"/>
      <c r="AG68" s="106">
        <v>0</v>
      </c>
      <c r="AH68" s="106"/>
      <c r="AI68" s="106">
        <v>0</v>
      </c>
      <c r="AJ68" s="106"/>
      <c r="AK68" s="106">
        <v>0</v>
      </c>
      <c r="AL68" s="106"/>
      <c r="AM68" s="106">
        <v>0</v>
      </c>
      <c r="AN68" s="106"/>
      <c r="AO68" s="106">
        <v>7691</v>
      </c>
      <c r="AP68" s="106"/>
      <c r="AQ68" s="106">
        <v>-5591</v>
      </c>
      <c r="AR68" s="106"/>
      <c r="AS68" s="106">
        <v>-2080</v>
      </c>
      <c r="AT68" s="106"/>
      <c r="AU68" s="106">
        <v>-20</v>
      </c>
      <c r="AV68" s="106"/>
      <c r="AW68" s="106">
        <v>0</v>
      </c>
      <c r="AX68" s="106"/>
      <c r="AY68" s="106">
        <v>0</v>
      </c>
      <c r="AZ68" s="106"/>
      <c r="BA68" s="106">
        <v>0</v>
      </c>
      <c r="BB68" s="106"/>
      <c r="BC68" s="106"/>
      <c r="BD68" s="106"/>
      <c r="BE68" s="106"/>
      <c r="BF68" s="106"/>
      <c r="BG68" s="106">
        <v>0</v>
      </c>
      <c r="BH68" s="106"/>
      <c r="BI68" s="106">
        <v>0</v>
      </c>
      <c r="BK68" s="106">
        <v>0</v>
      </c>
      <c r="BM68" s="106">
        <v>0</v>
      </c>
      <c r="BO68" s="106">
        <v>0</v>
      </c>
      <c r="BQ68" s="106"/>
    </row>
    <row r="69" spans="2:69" ht="14.15" customHeight="1" x14ac:dyDescent="0.35">
      <c r="B69" s="92" t="s">
        <v>31</v>
      </c>
      <c r="C69" s="107">
        <v>0</v>
      </c>
      <c r="D69" s="103"/>
      <c r="E69" s="107">
        <v>0</v>
      </c>
      <c r="F69" s="103"/>
      <c r="G69" s="107">
        <v>0</v>
      </c>
      <c r="H69" s="103"/>
      <c r="I69" s="107">
        <v>0</v>
      </c>
      <c r="J69" s="103"/>
      <c r="K69" s="107">
        <v>0</v>
      </c>
      <c r="L69" s="103"/>
      <c r="M69" s="107">
        <v>0</v>
      </c>
      <c r="N69" s="103"/>
      <c r="O69" s="107">
        <v>0</v>
      </c>
      <c r="P69" s="103"/>
      <c r="Q69" s="107">
        <v>0</v>
      </c>
      <c r="R69" s="103"/>
      <c r="S69" s="107">
        <v>0</v>
      </c>
      <c r="T69" s="103"/>
      <c r="U69" s="107">
        <v>0</v>
      </c>
      <c r="V69" s="103"/>
      <c r="W69" s="107">
        <v>0</v>
      </c>
      <c r="X69" s="103"/>
      <c r="Y69" s="107">
        <v>0</v>
      </c>
      <c r="Z69" s="103"/>
      <c r="AA69" s="106">
        <v>0</v>
      </c>
      <c r="AB69" s="106"/>
      <c r="AC69" s="106">
        <v>0</v>
      </c>
      <c r="AD69" s="106"/>
      <c r="AE69" s="106">
        <v>0</v>
      </c>
      <c r="AF69" s="106"/>
      <c r="AG69" s="106">
        <v>0</v>
      </c>
      <c r="AH69" s="106"/>
      <c r="AI69" s="106">
        <v>0</v>
      </c>
      <c r="AJ69" s="106"/>
      <c r="AK69" s="106">
        <v>0</v>
      </c>
      <c r="AL69" s="106"/>
      <c r="AM69" s="106">
        <v>0</v>
      </c>
      <c r="AN69" s="106"/>
      <c r="AO69" s="106">
        <v>0</v>
      </c>
      <c r="AP69" s="106"/>
      <c r="AQ69" s="106">
        <v>0</v>
      </c>
      <c r="AR69" s="106"/>
      <c r="AS69" s="106">
        <v>-8787</v>
      </c>
      <c r="AT69" s="106"/>
      <c r="AU69" s="106">
        <v>-11003</v>
      </c>
      <c r="AV69" s="106"/>
      <c r="AW69" s="106">
        <v>0</v>
      </c>
      <c r="AX69" s="106"/>
      <c r="AY69" s="106">
        <v>0</v>
      </c>
      <c r="AZ69" s="106"/>
      <c r="BA69" s="106">
        <v>0</v>
      </c>
      <c r="BB69" s="106"/>
      <c r="BC69" s="106"/>
      <c r="BD69" s="106"/>
      <c r="BE69" s="106"/>
      <c r="BF69" s="106"/>
      <c r="BG69" s="106">
        <v>0</v>
      </c>
      <c r="BH69" s="106"/>
      <c r="BI69" s="106">
        <v>0</v>
      </c>
      <c r="BK69" s="106">
        <v>0</v>
      </c>
      <c r="BM69" s="106">
        <v>0</v>
      </c>
      <c r="BO69" s="106">
        <v>0</v>
      </c>
      <c r="BQ69" s="106"/>
    </row>
    <row r="70" spans="2:69" ht="14.15" customHeight="1" x14ac:dyDescent="0.35">
      <c r="B70" s="92" t="s">
        <v>374</v>
      </c>
      <c r="C70" s="107">
        <v>0</v>
      </c>
      <c r="D70" s="103"/>
      <c r="E70" s="107">
        <v>0</v>
      </c>
      <c r="F70" s="103"/>
      <c r="G70" s="107">
        <v>0</v>
      </c>
      <c r="H70" s="103"/>
      <c r="I70" s="107">
        <v>0</v>
      </c>
      <c r="J70" s="103"/>
      <c r="K70" s="107">
        <v>-232</v>
      </c>
      <c r="L70" s="103"/>
      <c r="M70" s="107">
        <v>-415</v>
      </c>
      <c r="N70" s="103"/>
      <c r="O70" s="107">
        <v>-761</v>
      </c>
      <c r="P70" s="103"/>
      <c r="Q70" s="107">
        <v>-520</v>
      </c>
      <c r="R70" s="103"/>
      <c r="S70" s="107">
        <v>-525</v>
      </c>
      <c r="T70" s="103"/>
      <c r="U70" s="107">
        <v>-472</v>
      </c>
      <c r="V70" s="103"/>
      <c r="W70" s="107">
        <v>-611</v>
      </c>
      <c r="X70" s="103"/>
      <c r="Y70" s="107">
        <v>-690</v>
      </c>
      <c r="Z70" s="103"/>
      <c r="AA70" s="106">
        <v>-613</v>
      </c>
      <c r="AB70" s="106"/>
      <c r="AC70" s="106">
        <v>-602</v>
      </c>
      <c r="AD70" s="106"/>
      <c r="AE70" s="106">
        <v>-673</v>
      </c>
      <c r="AF70" s="106"/>
      <c r="AG70" s="106">
        <v>-725</v>
      </c>
      <c r="AH70" s="106"/>
      <c r="AI70" s="106">
        <v>-725</v>
      </c>
      <c r="AJ70" s="106"/>
      <c r="AK70" s="106">
        <v>-963</v>
      </c>
      <c r="AL70" s="106"/>
      <c r="AM70" s="106">
        <v>-1379</v>
      </c>
      <c r="AN70" s="106"/>
      <c r="AO70" s="106">
        <v>-1716</v>
      </c>
      <c r="AP70" s="106"/>
      <c r="AQ70" s="106">
        <v>-1575</v>
      </c>
      <c r="AR70" s="106"/>
      <c r="AS70" s="106">
        <v>-1620</v>
      </c>
      <c r="AT70" s="106"/>
      <c r="AU70" s="106">
        <v>-1659</v>
      </c>
      <c r="AV70" s="106"/>
      <c r="AW70" s="106">
        <v>-1729</v>
      </c>
      <c r="AX70" s="106"/>
      <c r="AY70" s="106">
        <v>-1876</v>
      </c>
      <c r="AZ70" s="106"/>
      <c r="BA70" s="106">
        <f>[1]DFC!$G$77-AY70</f>
        <v>-1785</v>
      </c>
      <c r="BB70" s="106"/>
      <c r="BC70" s="106">
        <v>-2036</v>
      </c>
      <c r="BD70" s="106"/>
      <c r="BE70" s="106">
        <v>-2082</v>
      </c>
      <c r="BF70" s="106"/>
      <c r="BG70" s="106">
        <v>-1961</v>
      </c>
      <c r="BH70" s="106"/>
      <c r="BI70" s="106">
        <v>-2052</v>
      </c>
      <c r="BK70" s="106">
        <v>-2114</v>
      </c>
      <c r="BM70" s="106">
        <v>-2470</v>
      </c>
      <c r="BO70" s="106">
        <v>-2554</v>
      </c>
      <c r="BQ70" s="106"/>
    </row>
    <row r="71" spans="2:69" ht="14.15" customHeight="1" x14ac:dyDescent="0.35">
      <c r="B71" s="92" t="s">
        <v>375</v>
      </c>
      <c r="C71" s="107">
        <v>-127</v>
      </c>
      <c r="D71" s="103"/>
      <c r="E71" s="107">
        <v>-13</v>
      </c>
      <c r="F71" s="103"/>
      <c r="G71" s="107">
        <v>-1</v>
      </c>
      <c r="H71" s="103"/>
      <c r="I71" s="107">
        <v>-1</v>
      </c>
      <c r="J71" s="103"/>
      <c r="K71" s="107">
        <v>-47</v>
      </c>
      <c r="L71" s="103"/>
      <c r="M71" s="107">
        <v>1335</v>
      </c>
      <c r="N71" s="103"/>
      <c r="O71" s="107">
        <v>3</v>
      </c>
      <c r="P71" s="103"/>
      <c r="Q71" s="107">
        <v>-5</v>
      </c>
      <c r="R71" s="103"/>
      <c r="S71" s="107">
        <v>-60</v>
      </c>
      <c r="T71" s="103"/>
      <c r="U71" s="107">
        <v>-25</v>
      </c>
      <c r="V71" s="103"/>
      <c r="W71" s="107">
        <v>3</v>
      </c>
      <c r="X71" s="103"/>
      <c r="Y71" s="107">
        <v>-7</v>
      </c>
      <c r="Z71" s="103"/>
      <c r="AA71" s="106">
        <v>0</v>
      </c>
      <c r="AB71" s="106"/>
      <c r="AC71" s="106">
        <v>0</v>
      </c>
      <c r="AD71" s="106"/>
      <c r="AE71" s="106">
        <v>0</v>
      </c>
      <c r="AF71" s="106"/>
      <c r="AG71" s="106">
        <v>0</v>
      </c>
      <c r="AH71" s="106"/>
      <c r="AI71" s="106">
        <v>0</v>
      </c>
      <c r="AJ71" s="106"/>
      <c r="AK71" s="106">
        <v>-805</v>
      </c>
      <c r="AL71" s="106"/>
      <c r="AM71" s="106">
        <v>-691</v>
      </c>
      <c r="AN71" s="106"/>
      <c r="AO71" s="106">
        <v>-1603</v>
      </c>
      <c r="AP71" s="106"/>
      <c r="AQ71" s="106">
        <v>-1884</v>
      </c>
      <c r="AR71" s="106"/>
      <c r="AS71" s="106">
        <v>-2425</v>
      </c>
      <c r="AT71" s="106"/>
      <c r="AU71" s="106">
        <v>-2325</v>
      </c>
      <c r="AV71" s="106"/>
      <c r="AW71" s="106">
        <v>-5687</v>
      </c>
      <c r="AX71" s="106"/>
      <c r="AY71" s="106">
        <v>-3236</v>
      </c>
      <c r="AZ71" s="106"/>
      <c r="BA71" s="106">
        <f>[1]DFC!$G$80-AY71</f>
        <v>-2793</v>
      </c>
      <c r="BB71" s="106"/>
      <c r="BC71" s="106">
        <v>-5941</v>
      </c>
      <c r="BD71" s="106"/>
      <c r="BE71" s="106">
        <v>4265</v>
      </c>
      <c r="BF71" s="106"/>
      <c r="BG71" s="106">
        <v>-469</v>
      </c>
      <c r="BH71" s="106"/>
      <c r="BI71" s="106">
        <v>-1837</v>
      </c>
      <c r="BK71" s="106">
        <v>-3438</v>
      </c>
      <c r="BM71" s="106">
        <v>-706</v>
      </c>
      <c r="BO71" s="106">
        <v>-2773</v>
      </c>
      <c r="BQ71" s="106"/>
    </row>
    <row r="72" spans="2:69" ht="14.15" customHeight="1" x14ac:dyDescent="0.35">
      <c r="B72" s="92" t="s">
        <v>376</v>
      </c>
      <c r="C72" s="107">
        <v>0</v>
      </c>
      <c r="D72" s="103"/>
      <c r="E72" s="107">
        <v>0</v>
      </c>
      <c r="F72" s="103"/>
      <c r="G72" s="107">
        <v>0</v>
      </c>
      <c r="H72" s="103"/>
      <c r="I72" s="107">
        <v>0</v>
      </c>
      <c r="J72" s="103"/>
      <c r="K72" s="107">
        <v>0</v>
      </c>
      <c r="L72" s="103"/>
      <c r="M72" s="107">
        <v>0</v>
      </c>
      <c r="N72" s="103"/>
      <c r="O72" s="107">
        <v>0</v>
      </c>
      <c r="P72" s="103"/>
      <c r="Q72" s="107">
        <v>0</v>
      </c>
      <c r="R72" s="103"/>
      <c r="S72" s="107">
        <v>0</v>
      </c>
      <c r="T72" s="103"/>
      <c r="U72" s="107">
        <v>0</v>
      </c>
      <c r="V72" s="103"/>
      <c r="W72" s="107">
        <v>0</v>
      </c>
      <c r="X72" s="103"/>
      <c r="Y72" s="107">
        <v>0</v>
      </c>
      <c r="Z72" s="103"/>
      <c r="AA72" s="106">
        <v>0</v>
      </c>
      <c r="AB72" s="106"/>
      <c r="AC72" s="106">
        <v>-2586</v>
      </c>
      <c r="AD72" s="106"/>
      <c r="AE72" s="106">
        <v>-1790</v>
      </c>
      <c r="AF72" s="106"/>
      <c r="AG72" s="106">
        <v>-2205</v>
      </c>
      <c r="AH72" s="106"/>
      <c r="AI72" s="106">
        <v>0</v>
      </c>
      <c r="AJ72" s="106"/>
      <c r="AK72" s="106">
        <v>-2722</v>
      </c>
      <c r="AL72" s="106"/>
      <c r="AM72" s="106">
        <v>-2675</v>
      </c>
      <c r="AN72" s="106"/>
      <c r="AO72" s="106">
        <v>0</v>
      </c>
      <c r="AP72" s="106"/>
      <c r="AQ72" s="106">
        <v>0</v>
      </c>
      <c r="AR72" s="106"/>
      <c r="AS72" s="106">
        <v>0</v>
      </c>
      <c r="AT72" s="106"/>
      <c r="AU72" s="106">
        <v>0</v>
      </c>
      <c r="AV72" s="106"/>
      <c r="AW72" s="106">
        <v>0</v>
      </c>
      <c r="AX72" s="106"/>
      <c r="AY72" s="106">
        <v>0</v>
      </c>
      <c r="AZ72" s="106"/>
      <c r="BA72" s="106">
        <v>0</v>
      </c>
      <c r="BB72" s="106"/>
      <c r="BC72" s="106"/>
      <c r="BD72" s="106"/>
      <c r="BE72" s="106"/>
      <c r="BF72" s="106"/>
      <c r="BG72" s="106">
        <v>0</v>
      </c>
      <c r="BH72" s="106"/>
      <c r="BI72" s="106">
        <v>0</v>
      </c>
      <c r="BK72" s="106">
        <v>0</v>
      </c>
      <c r="BM72" s="106">
        <v>0</v>
      </c>
      <c r="BO72" s="106">
        <v>0</v>
      </c>
      <c r="BQ72" s="106"/>
    </row>
    <row r="73" spans="2:69" ht="14.15" customHeight="1" x14ac:dyDescent="0.35">
      <c r="B73" s="92" t="s">
        <v>311</v>
      </c>
      <c r="C73" s="107">
        <v>0</v>
      </c>
      <c r="D73" s="103"/>
      <c r="E73" s="107">
        <v>0</v>
      </c>
      <c r="F73" s="103"/>
      <c r="G73" s="107">
        <v>0</v>
      </c>
      <c r="H73" s="103"/>
      <c r="I73" s="107">
        <v>0</v>
      </c>
      <c r="J73" s="103"/>
      <c r="K73" s="107">
        <v>0</v>
      </c>
      <c r="L73" s="103"/>
      <c r="M73" s="107">
        <v>0</v>
      </c>
      <c r="N73" s="103"/>
      <c r="O73" s="107">
        <v>0</v>
      </c>
      <c r="P73" s="103"/>
      <c r="Q73" s="107">
        <v>0</v>
      </c>
      <c r="R73" s="103"/>
      <c r="S73" s="107">
        <v>0</v>
      </c>
      <c r="T73" s="103"/>
      <c r="U73" s="107">
        <v>0</v>
      </c>
      <c r="V73" s="103"/>
      <c r="W73" s="107">
        <v>0</v>
      </c>
      <c r="X73" s="103"/>
      <c r="Y73" s="107">
        <v>0</v>
      </c>
      <c r="Z73" s="103"/>
      <c r="AA73" s="106">
        <v>0</v>
      </c>
      <c r="AB73" s="106"/>
      <c r="AC73" s="106">
        <v>0</v>
      </c>
      <c r="AD73" s="106"/>
      <c r="AE73" s="106">
        <v>0</v>
      </c>
      <c r="AF73" s="106"/>
      <c r="AG73" s="106">
        <v>0</v>
      </c>
      <c r="AH73" s="106"/>
      <c r="AI73" s="106">
        <v>0</v>
      </c>
      <c r="AJ73" s="106"/>
      <c r="AK73" s="106">
        <v>99</v>
      </c>
      <c r="AL73" s="106"/>
      <c r="AM73" s="106">
        <v>-198</v>
      </c>
      <c r="AN73" s="106"/>
      <c r="AO73" s="106">
        <v>99</v>
      </c>
      <c r="AP73" s="106"/>
      <c r="AQ73" s="106">
        <v>-967</v>
      </c>
      <c r="AR73" s="106"/>
      <c r="AS73" s="106">
        <v>967</v>
      </c>
      <c r="AT73" s="106"/>
      <c r="AU73" s="106">
        <v>0</v>
      </c>
      <c r="AV73" s="106"/>
      <c r="AW73" s="106">
        <v>0</v>
      </c>
      <c r="AX73" s="106"/>
      <c r="AY73" s="106">
        <v>0</v>
      </c>
      <c r="AZ73" s="106"/>
      <c r="BA73" s="106">
        <v>-720</v>
      </c>
      <c r="BB73" s="106"/>
      <c r="BC73" s="106">
        <v>0</v>
      </c>
      <c r="BD73" s="106"/>
      <c r="BE73" s="106">
        <v>720</v>
      </c>
      <c r="BF73" s="106"/>
      <c r="BG73" s="106">
        <v>0</v>
      </c>
      <c r="BH73" s="106"/>
      <c r="BI73" s="106">
        <v>0</v>
      </c>
      <c r="BK73" s="106">
        <v>0</v>
      </c>
      <c r="BM73" s="106">
        <v>0</v>
      </c>
      <c r="BO73" s="106">
        <v>0</v>
      </c>
      <c r="BQ73" s="106"/>
    </row>
    <row r="74" spans="2:69" ht="14.15" customHeight="1" x14ac:dyDescent="0.35">
      <c r="B74" s="92" t="s">
        <v>377</v>
      </c>
      <c r="C74" s="107">
        <v>0</v>
      </c>
      <c r="D74" s="103"/>
      <c r="E74" s="107">
        <v>0</v>
      </c>
      <c r="F74" s="103"/>
      <c r="G74" s="107">
        <v>0</v>
      </c>
      <c r="H74" s="103"/>
      <c r="I74" s="107">
        <v>0</v>
      </c>
      <c r="J74" s="103"/>
      <c r="K74" s="107">
        <v>0</v>
      </c>
      <c r="L74" s="103"/>
      <c r="M74" s="107">
        <v>0</v>
      </c>
      <c r="N74" s="103"/>
      <c r="O74" s="107">
        <v>0</v>
      </c>
      <c r="P74" s="103"/>
      <c r="Q74" s="107">
        <v>0</v>
      </c>
      <c r="R74" s="103"/>
      <c r="S74" s="107">
        <v>0</v>
      </c>
      <c r="T74" s="103"/>
      <c r="U74" s="107">
        <v>0</v>
      </c>
      <c r="V74" s="103"/>
      <c r="W74" s="107">
        <v>0</v>
      </c>
      <c r="X74" s="103"/>
      <c r="Y74" s="107">
        <v>0</v>
      </c>
      <c r="Z74" s="103"/>
      <c r="AA74" s="106">
        <v>0</v>
      </c>
      <c r="AB74" s="106"/>
      <c r="AC74" s="106">
        <v>0</v>
      </c>
      <c r="AD74" s="106"/>
      <c r="AE74" s="106">
        <v>0</v>
      </c>
      <c r="AF74" s="106"/>
      <c r="AG74" s="106">
        <v>0</v>
      </c>
      <c r="AH74" s="106"/>
      <c r="AI74" s="106">
        <v>0</v>
      </c>
      <c r="AJ74" s="106"/>
      <c r="AK74" s="106">
        <v>-81</v>
      </c>
      <c r="AL74" s="106"/>
      <c r="AM74" s="106">
        <v>-80</v>
      </c>
      <c r="AN74" s="106"/>
      <c r="AO74" s="106">
        <v>161</v>
      </c>
      <c r="AP74" s="106"/>
      <c r="AQ74" s="106">
        <v>0</v>
      </c>
      <c r="AR74" s="106"/>
      <c r="AS74" s="106">
        <v>0</v>
      </c>
      <c r="AT74" s="106"/>
      <c r="AU74" s="106">
        <v>0</v>
      </c>
      <c r="AV74" s="106"/>
      <c r="AW74" s="106">
        <v>0</v>
      </c>
      <c r="AX74" s="106"/>
      <c r="AY74" s="106">
        <v>0</v>
      </c>
      <c r="AZ74" s="106"/>
      <c r="BA74" s="106">
        <v>0</v>
      </c>
      <c r="BB74" s="106"/>
      <c r="BC74" s="106"/>
      <c r="BD74" s="106"/>
      <c r="BE74" s="106"/>
      <c r="BF74" s="106"/>
      <c r="BG74" s="106">
        <v>0</v>
      </c>
      <c r="BH74" s="106"/>
      <c r="BI74" s="106">
        <v>0</v>
      </c>
      <c r="BK74" s="106">
        <v>0</v>
      </c>
      <c r="BM74" s="106">
        <v>0</v>
      </c>
      <c r="BO74" s="106">
        <v>0</v>
      </c>
      <c r="BQ74" s="106"/>
    </row>
    <row r="75" spans="2:69" ht="14.15" customHeight="1" x14ac:dyDescent="0.35">
      <c r="B75" s="104" t="s">
        <v>378</v>
      </c>
      <c r="C75" s="198">
        <f>SUM(C53:C74)</f>
        <v>1762</v>
      </c>
      <c r="D75" s="103"/>
      <c r="E75" s="198">
        <f>SUM(E53:E74)</f>
        <v>-2877</v>
      </c>
      <c r="F75" s="103"/>
      <c r="G75" s="198">
        <f>SUM(G53:G74)</f>
        <v>251</v>
      </c>
      <c r="H75" s="103"/>
      <c r="I75" s="198">
        <f>SUM(I53:I74)</f>
        <v>3525</v>
      </c>
      <c r="J75" s="103"/>
      <c r="K75" s="198">
        <f>SUM(K53:K74)</f>
        <v>81</v>
      </c>
      <c r="L75" s="103"/>
      <c r="M75" s="198">
        <f>SUM(M53:M74)</f>
        <v>1414</v>
      </c>
      <c r="N75" s="103"/>
      <c r="O75" s="198">
        <f>SUM(O53:O74)</f>
        <v>-3284</v>
      </c>
      <c r="P75" s="103"/>
      <c r="Q75" s="198">
        <f>SUM(Q53:Q74)</f>
        <v>20714</v>
      </c>
      <c r="R75" s="103"/>
      <c r="S75" s="198">
        <f>SUM(S53:S74)</f>
        <v>138373</v>
      </c>
      <c r="T75" s="103"/>
      <c r="U75" s="198">
        <f>SUM(U53:U74)</f>
        <v>-4650</v>
      </c>
      <c r="V75" s="103"/>
      <c r="W75" s="198">
        <f>SUM(W53:W74)</f>
        <v>-5851</v>
      </c>
      <c r="X75" s="103"/>
      <c r="Y75" s="198">
        <f>SUM(Y53:Y74)</f>
        <v>-9273</v>
      </c>
      <c r="Z75" s="103"/>
      <c r="AA75" s="198">
        <f>SUM(AA53:AA74)</f>
        <v>-7589</v>
      </c>
      <c r="AB75" s="106"/>
      <c r="AC75" s="198">
        <f>SUM(AC53:AC74)</f>
        <v>-6522</v>
      </c>
      <c r="AD75" s="106"/>
      <c r="AE75" s="198">
        <f>SUM(AE53:AE74)</f>
        <v>-9934</v>
      </c>
      <c r="AF75" s="106"/>
      <c r="AG75" s="198">
        <f>SUM(AG53:AG74)</f>
        <v>13975</v>
      </c>
      <c r="AH75" s="106"/>
      <c r="AI75" s="198">
        <f>SUM(AI53:AI74)</f>
        <v>-10383</v>
      </c>
      <c r="AJ75" s="106"/>
      <c r="AK75" s="198">
        <f>SUM(AK53:AK74)</f>
        <v>-12297</v>
      </c>
      <c r="AL75" s="106"/>
      <c r="AM75" s="198">
        <f>SUM(AM53:AM74)</f>
        <v>38201</v>
      </c>
      <c r="AN75" s="106"/>
      <c r="AO75" s="198">
        <f>SUM(AO53:AO74)</f>
        <v>11491</v>
      </c>
      <c r="AP75" s="106"/>
      <c r="AQ75" s="198">
        <f>SUM(AQ53:AQ74)</f>
        <v>74880</v>
      </c>
      <c r="AR75" s="106"/>
      <c r="AS75" s="198">
        <f>SUM(AS53:AS74)</f>
        <v>-52558</v>
      </c>
      <c r="AT75" s="106"/>
      <c r="AU75" s="198">
        <f>SUM(AU53:AU74)</f>
        <v>-25370</v>
      </c>
      <c r="AV75" s="106"/>
      <c r="AW75" s="198">
        <f>SUM(AW53:AW74)</f>
        <v>84248</v>
      </c>
      <c r="AX75" s="106"/>
      <c r="AY75" s="198">
        <f>SUM(AY53:AY74)</f>
        <v>50767</v>
      </c>
      <c r="AZ75" s="106"/>
      <c r="BA75" s="198">
        <f>SUM(BA53:BA74)</f>
        <v>4537</v>
      </c>
      <c r="BB75" s="106"/>
      <c r="BC75" s="198">
        <f>SUM(BC53:BC74)</f>
        <v>22242</v>
      </c>
      <c r="BD75" s="106"/>
      <c r="BE75" s="198">
        <f>SUM(BE53:BE74)</f>
        <v>14948</v>
      </c>
      <c r="BF75" s="106"/>
      <c r="BG75" s="198">
        <f>SUM(BG53:BG74)</f>
        <v>155240</v>
      </c>
      <c r="BH75" s="106"/>
      <c r="BI75" s="198">
        <f>SUM(BI52:BI74)</f>
        <v>-1112</v>
      </c>
      <c r="BK75" s="198">
        <f>SUM(BK52:BK74)</f>
        <v>84293</v>
      </c>
      <c r="BM75" s="198">
        <f>SUM(BM52:BM74)</f>
        <v>-102776</v>
      </c>
      <c r="BO75" s="198">
        <f>SUM(BO52:BO74)</f>
        <v>-35671</v>
      </c>
      <c r="BQ75" s="198"/>
    </row>
    <row r="76" spans="2:69" ht="14.15" customHeight="1" x14ac:dyDescent="0.35">
      <c r="B76" s="104"/>
      <c r="C76" s="105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6"/>
      <c r="AL76" s="106"/>
      <c r="AM76" s="106"/>
      <c r="AN76" s="106"/>
      <c r="AO76" s="106"/>
      <c r="AP76" s="106"/>
      <c r="AQ76" s="106"/>
      <c r="AR76" s="106"/>
      <c r="AS76" s="106"/>
      <c r="AT76" s="106"/>
      <c r="AU76" s="106"/>
      <c r="AV76" s="106"/>
      <c r="AW76" s="106"/>
      <c r="AX76" s="106"/>
      <c r="AY76" s="106"/>
      <c r="AZ76" s="106"/>
      <c r="BA76" s="106"/>
      <c r="BB76" s="106"/>
      <c r="BC76" s="106"/>
      <c r="BD76" s="106"/>
      <c r="BE76" s="106"/>
      <c r="BF76" s="106"/>
      <c r="BG76" s="106"/>
      <c r="BH76" s="106"/>
      <c r="BI76" s="106"/>
      <c r="BK76" s="106"/>
      <c r="BM76" s="106"/>
      <c r="BO76" s="106"/>
      <c r="BQ76" s="106"/>
    </row>
    <row r="77" spans="2:69" ht="14.15" customHeight="1" x14ac:dyDescent="0.35">
      <c r="B77" s="104" t="s">
        <v>379</v>
      </c>
      <c r="C77" s="105">
        <f>C38+C49+C75</f>
        <v>1723</v>
      </c>
      <c r="D77" s="103"/>
      <c r="E77" s="105">
        <f>E38+E49+E75</f>
        <v>2387</v>
      </c>
      <c r="F77" s="103"/>
      <c r="G77" s="105">
        <f>G38+G49+G75</f>
        <v>346.661689999999</v>
      </c>
      <c r="H77" s="103"/>
      <c r="I77" s="105">
        <f>I38+I49+I75</f>
        <v>-1700.661689999999</v>
      </c>
      <c r="J77" s="103"/>
      <c r="K77" s="105">
        <f>K38+K49+K75</f>
        <v>1241.2901700000002</v>
      </c>
      <c r="L77" s="103"/>
      <c r="M77" s="105">
        <f>M38+M49+M75</f>
        <v>7619</v>
      </c>
      <c r="N77" s="103"/>
      <c r="O77" s="105">
        <f>O38+O49+O75</f>
        <v>1036.4485859999986</v>
      </c>
      <c r="P77" s="103"/>
      <c r="Q77" s="105">
        <f>Q38+Q49+Q75</f>
        <v>20861.261244000001</v>
      </c>
      <c r="R77" s="103"/>
      <c r="S77" s="105">
        <f>S38+S49+S75</f>
        <v>-26427</v>
      </c>
      <c r="T77" s="103"/>
      <c r="U77" s="105">
        <f>U38+U49+U75</f>
        <v>19916</v>
      </c>
      <c r="V77" s="103"/>
      <c r="W77" s="105">
        <f>W38+W49+W75</f>
        <v>19799</v>
      </c>
      <c r="X77" s="103"/>
      <c r="Y77" s="105">
        <f>Y38+Y49+Y75</f>
        <v>4590</v>
      </c>
      <c r="Z77" s="103"/>
      <c r="AA77" s="105">
        <f>AA38+AA49+AA75</f>
        <v>-8668</v>
      </c>
      <c r="AB77" s="103"/>
      <c r="AC77" s="105">
        <f>AC38+AC49+AC75</f>
        <v>6767.101999999999</v>
      </c>
      <c r="AD77" s="103"/>
      <c r="AE77" s="105">
        <f>AE38+AE49+AE75</f>
        <v>493.55721999999878</v>
      </c>
      <c r="AF77" s="103"/>
      <c r="AG77" s="105">
        <f>AG38+AG49+AG75</f>
        <v>15409.598330000001</v>
      </c>
      <c r="AH77" s="103"/>
      <c r="AI77" s="105">
        <f>AI38+AI49+AI75</f>
        <v>-12314.645270000001</v>
      </c>
      <c r="AJ77" s="103"/>
      <c r="AK77" s="105">
        <f>AK38+AK49+AK75</f>
        <v>-9067</v>
      </c>
      <c r="AL77" s="103"/>
      <c r="AM77" s="105">
        <f>AM38+AM49+AM75</f>
        <v>46882</v>
      </c>
      <c r="AN77" s="103"/>
      <c r="AO77" s="105">
        <f>AO38+AO49+AO75</f>
        <v>13500.526989999998</v>
      </c>
      <c r="AP77" s="103"/>
      <c r="AQ77" s="105">
        <f>AQ38+AQ49+AQ75</f>
        <v>75340.83692999999</v>
      </c>
      <c r="AR77" s="103"/>
      <c r="AS77" s="105" t="e">
        <f>AS38+AS49+AS75</f>
        <v>#REF!</v>
      </c>
      <c r="AT77" s="103"/>
      <c r="AU77" s="105">
        <f>AU38+AU49+AU75</f>
        <v>14325</v>
      </c>
      <c r="AV77" s="103"/>
      <c r="AW77" s="105">
        <f>AW38+AW49+AW75</f>
        <v>43740.163070000002</v>
      </c>
      <c r="AX77" s="103"/>
      <c r="AY77" s="105">
        <f>AY38+AY49+AY75</f>
        <v>48990</v>
      </c>
      <c r="AZ77" s="103"/>
      <c r="BA77" s="105">
        <f>BA38+BA49+BA75</f>
        <v>4891</v>
      </c>
      <c r="BB77" s="103"/>
      <c r="BC77" s="105">
        <f>BC38+BC49+BC75</f>
        <v>2366</v>
      </c>
      <c r="BD77" s="103"/>
      <c r="BE77" s="105">
        <f>BE38+BE49+BE75</f>
        <v>50399</v>
      </c>
      <c r="BF77" s="103"/>
      <c r="BG77" s="105">
        <f>BG38+BG49+BG75</f>
        <v>116744</v>
      </c>
      <c r="BH77" s="103"/>
      <c r="BI77" s="105">
        <f>BI38+BI49+BI75</f>
        <v>7244</v>
      </c>
      <c r="BK77" s="105">
        <f>BK38+BK49+BK75</f>
        <v>122381</v>
      </c>
      <c r="BM77" s="105">
        <f>BM38+BM49+BM75</f>
        <v>-135660</v>
      </c>
      <c r="BO77" s="105">
        <f>BO38+BO49+BO75</f>
        <v>-42132</v>
      </c>
      <c r="BQ77" s="105"/>
    </row>
    <row r="78" spans="2:69" ht="14.15" customHeight="1" x14ac:dyDescent="0.35">
      <c r="B78" s="92" t="s">
        <v>235</v>
      </c>
      <c r="C78" s="106">
        <v>644</v>
      </c>
      <c r="D78" s="103"/>
      <c r="E78" s="106">
        <f>C79</f>
        <v>2367</v>
      </c>
      <c r="F78" s="103"/>
      <c r="G78" s="106">
        <f>E79</f>
        <v>4754</v>
      </c>
      <c r="H78" s="103"/>
      <c r="I78" s="106">
        <f>G79</f>
        <v>5101</v>
      </c>
      <c r="J78" s="103"/>
      <c r="K78" s="106">
        <f>I79</f>
        <v>3400</v>
      </c>
      <c r="L78" s="103"/>
      <c r="M78" s="106">
        <f>K79</f>
        <v>4641</v>
      </c>
      <c r="N78" s="103"/>
      <c r="O78" s="106">
        <f>M79</f>
        <v>12260</v>
      </c>
      <c r="P78" s="103"/>
      <c r="Q78" s="106">
        <f>O79</f>
        <v>13296</v>
      </c>
      <c r="R78" s="103"/>
      <c r="S78" s="106">
        <f>Q79</f>
        <v>34157</v>
      </c>
      <c r="T78" s="103"/>
      <c r="U78" s="106">
        <f>S79</f>
        <v>7730</v>
      </c>
      <c r="V78" s="103"/>
      <c r="W78" s="106">
        <f>U79</f>
        <v>27646</v>
      </c>
      <c r="X78" s="103"/>
      <c r="Y78" s="106">
        <f>W79</f>
        <v>47445</v>
      </c>
      <c r="Z78" s="103"/>
      <c r="AA78" s="106">
        <f>Y79</f>
        <v>52035</v>
      </c>
      <c r="AB78" s="103"/>
      <c r="AC78" s="106">
        <f>AA79</f>
        <v>43367</v>
      </c>
      <c r="AD78" s="103"/>
      <c r="AE78" s="106">
        <f>AC79</f>
        <v>50134</v>
      </c>
      <c r="AF78" s="103"/>
      <c r="AG78" s="106">
        <f>AE79</f>
        <v>50628</v>
      </c>
      <c r="AH78" s="103"/>
      <c r="AI78" s="106">
        <f>AG79</f>
        <v>66038</v>
      </c>
      <c r="AJ78" s="103"/>
      <c r="AK78" s="106">
        <f>AI79</f>
        <v>53723</v>
      </c>
      <c r="AL78" s="103"/>
      <c r="AM78" s="106">
        <f>AK79</f>
        <v>44656</v>
      </c>
      <c r="AN78" s="103"/>
      <c r="AO78" s="106">
        <f>AM79</f>
        <v>91538</v>
      </c>
      <c r="AP78" s="103"/>
      <c r="AQ78" s="106">
        <f>AO79</f>
        <v>105039</v>
      </c>
      <c r="AR78" s="103"/>
      <c r="AS78" s="106">
        <f>AQ79</f>
        <v>180380</v>
      </c>
      <c r="AT78" s="103"/>
      <c r="AU78" s="106">
        <f>AS79</f>
        <v>67826</v>
      </c>
      <c r="AV78" s="103"/>
      <c r="AW78" s="106">
        <v>82151</v>
      </c>
      <c r="AX78" s="103"/>
      <c r="AY78" s="106">
        <f>AW79</f>
        <v>125891</v>
      </c>
      <c r="AZ78" s="103"/>
      <c r="BA78" s="106">
        <f>AY79</f>
        <v>174881</v>
      </c>
      <c r="BB78" s="103"/>
      <c r="BC78" s="106">
        <f>BA79</f>
        <v>179772</v>
      </c>
      <c r="BD78" s="103"/>
      <c r="BE78" s="106">
        <f>BC79</f>
        <v>182138</v>
      </c>
      <c r="BF78" s="103"/>
      <c r="BG78" s="106">
        <v>232537</v>
      </c>
      <c r="BH78" s="103"/>
      <c r="BI78" s="106">
        <v>349281</v>
      </c>
      <c r="BK78" s="106">
        <f>BI79</f>
        <v>356525</v>
      </c>
      <c r="BM78" s="106">
        <f>BK79</f>
        <v>478906</v>
      </c>
      <c r="BO78" s="106">
        <f>BM79</f>
        <v>343246</v>
      </c>
      <c r="BQ78" s="106"/>
    </row>
    <row r="79" spans="2:69" ht="14.15" customHeight="1" x14ac:dyDescent="0.35">
      <c r="B79" s="92" t="s">
        <v>236</v>
      </c>
      <c r="C79" s="107">
        <f>'BP Histórico_Consolidado'!D14</f>
        <v>2367</v>
      </c>
      <c r="D79" s="103"/>
      <c r="E79" s="107">
        <f>'BP Histórico_Consolidado'!F14</f>
        <v>4754</v>
      </c>
      <c r="F79" s="103"/>
      <c r="G79" s="107">
        <f>'BP Histórico_Consolidado'!H14</f>
        <v>5101</v>
      </c>
      <c r="H79" s="103"/>
      <c r="I79" s="107">
        <f>'BP Histórico_Consolidado'!J14</f>
        <v>3400</v>
      </c>
      <c r="J79" s="103"/>
      <c r="K79" s="107">
        <f>'BP Histórico_Consolidado'!L14</f>
        <v>4641</v>
      </c>
      <c r="L79" s="103"/>
      <c r="M79" s="107">
        <f>'BP Histórico_Consolidado'!N14</f>
        <v>12260</v>
      </c>
      <c r="N79" s="103"/>
      <c r="O79" s="107">
        <f>'BP Histórico_Consolidado'!P14</f>
        <v>13296</v>
      </c>
      <c r="P79" s="103"/>
      <c r="Q79" s="107">
        <f>'BP Histórico_Consolidado'!R14</f>
        <v>34157</v>
      </c>
      <c r="R79" s="103"/>
      <c r="S79" s="107">
        <f>'BP Histórico_Consolidado'!T14</f>
        <v>7730</v>
      </c>
      <c r="T79" s="103"/>
      <c r="U79" s="107">
        <f>'BP Histórico_Consolidado'!V14</f>
        <v>27646</v>
      </c>
      <c r="V79" s="103"/>
      <c r="W79" s="107">
        <f>'BP Histórico_Consolidado'!X14</f>
        <v>47445</v>
      </c>
      <c r="X79" s="103"/>
      <c r="Y79" s="107">
        <f>'BP Histórico_Consolidado'!Z14</f>
        <v>52035</v>
      </c>
      <c r="Z79" s="103"/>
      <c r="AA79" s="107">
        <f>'BP Histórico_Consolidado'!AB14</f>
        <v>43367</v>
      </c>
      <c r="AB79" s="103"/>
      <c r="AC79" s="107">
        <f>'BP Histórico_Consolidado'!AD14</f>
        <v>50134</v>
      </c>
      <c r="AD79" s="103"/>
      <c r="AE79" s="107">
        <f>'BP Histórico_Consolidado'!AF14</f>
        <v>50628</v>
      </c>
      <c r="AF79" s="103"/>
      <c r="AG79" s="107">
        <f>'BP Histórico_Consolidado'!AH14</f>
        <v>66038</v>
      </c>
      <c r="AH79" s="103"/>
      <c r="AI79" s="107">
        <f>'BP Histórico_Consolidado'!AJ14</f>
        <v>53723</v>
      </c>
      <c r="AJ79" s="103"/>
      <c r="AK79" s="107">
        <f>'BP Histórico_Consolidado'!AL14</f>
        <v>44656</v>
      </c>
      <c r="AL79" s="103"/>
      <c r="AM79" s="107">
        <f>'BP Histórico_Consolidado'!AN14</f>
        <v>91538</v>
      </c>
      <c r="AN79" s="103"/>
      <c r="AO79" s="107">
        <f>'BP Histórico_Consolidado'!AP14</f>
        <v>105039</v>
      </c>
      <c r="AP79" s="103"/>
      <c r="AQ79" s="107">
        <f>'BP Histórico_Consolidado'!AR14</f>
        <v>180380</v>
      </c>
      <c r="AR79" s="103"/>
      <c r="AS79" s="107">
        <f>'BP Histórico_Consolidado'!AT14</f>
        <v>67826</v>
      </c>
      <c r="AT79" s="103"/>
      <c r="AU79" s="107">
        <f>'BP Histórico_Consolidado'!AV14</f>
        <v>82151</v>
      </c>
      <c r="AV79" s="103"/>
      <c r="AW79" s="107">
        <v>125891</v>
      </c>
      <c r="AX79" s="103"/>
      <c r="AY79" s="107">
        <v>174881</v>
      </c>
      <c r="AZ79" s="103"/>
      <c r="BA79" s="107">
        <v>179772</v>
      </c>
      <c r="BB79" s="103"/>
      <c r="BC79" s="107">
        <v>182138</v>
      </c>
      <c r="BD79" s="103"/>
      <c r="BE79" s="107">
        <v>232537</v>
      </c>
      <c r="BF79" s="103"/>
      <c r="BG79" s="107">
        <v>349281</v>
      </c>
      <c r="BH79" s="103"/>
      <c r="BI79" s="107">
        <v>356525</v>
      </c>
      <c r="BK79" s="107">
        <v>478906</v>
      </c>
      <c r="BM79" s="107">
        <v>343246</v>
      </c>
      <c r="BO79" s="107">
        <v>301114</v>
      </c>
      <c r="BQ79" s="107"/>
    </row>
    <row r="80" spans="2:69" ht="14.15" customHeight="1" x14ac:dyDescent="0.35"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3"/>
      <c r="AU80" s="103"/>
      <c r="AV80" s="103"/>
      <c r="AW80" s="103"/>
      <c r="AX80" s="103"/>
      <c r="AY80" s="103"/>
      <c r="AZ80" s="103"/>
      <c r="BA80" s="103"/>
      <c r="BB80" s="103"/>
      <c r="BC80" s="103"/>
      <c r="BD80" s="103"/>
      <c r="BE80" s="103"/>
      <c r="BF80" s="103"/>
      <c r="BG80" s="103"/>
      <c r="BH80" s="103"/>
      <c r="BI80" s="103"/>
      <c r="BK80" s="103"/>
      <c r="BM80" s="103"/>
      <c r="BO80" s="103"/>
      <c r="BQ80" s="103"/>
    </row>
    <row r="81" spans="1:69" s="161" customFormat="1" ht="14.15" customHeight="1" x14ac:dyDescent="0.35">
      <c r="B81" s="157" t="s">
        <v>166</v>
      </c>
      <c r="C81" s="158">
        <f>C77-(C79-C78)</f>
        <v>0</v>
      </c>
      <c r="D81" s="159"/>
      <c r="E81" s="158">
        <f>E77-(E79-E78)</f>
        <v>0</v>
      </c>
      <c r="F81" s="159"/>
      <c r="G81" s="158">
        <f>G77-(G79-G78)</f>
        <v>-0.33831000000100175</v>
      </c>
      <c r="H81" s="159"/>
      <c r="I81" s="158">
        <f>I77-(I79-I78)</f>
        <v>0.33831000000100175</v>
      </c>
      <c r="J81" s="159"/>
      <c r="K81" s="158">
        <f>K77-(K79-K78)</f>
        <v>0.29017000000021653</v>
      </c>
      <c r="L81" s="159"/>
      <c r="M81" s="158">
        <f>M77-(M79-M78)</f>
        <v>0</v>
      </c>
      <c r="N81" s="159"/>
      <c r="O81" s="158">
        <f>O77-(O79-O78)</f>
        <v>0.44858599999861326</v>
      </c>
      <c r="P81" s="159"/>
      <c r="Q81" s="158">
        <f>Q77-(Q79-Q78)</f>
        <v>0.26124400000117021</v>
      </c>
      <c r="R81" s="160"/>
      <c r="S81" s="158">
        <f>S77-(S79-S78)</f>
        <v>0</v>
      </c>
      <c r="T81" s="160"/>
      <c r="U81" s="158">
        <f>U77-(U79-U78)</f>
        <v>0</v>
      </c>
      <c r="V81" s="160"/>
      <c r="W81" s="158">
        <f>W77-(W79-W78)</f>
        <v>0</v>
      </c>
      <c r="X81" s="160"/>
      <c r="Y81" s="158">
        <f>Y77-(Y79-Y78)</f>
        <v>0</v>
      </c>
      <c r="Z81" s="160"/>
      <c r="AA81" s="158">
        <f>AA77-(AA79-AA78)</f>
        <v>0</v>
      </c>
      <c r="AB81" s="160"/>
      <c r="AC81" s="158">
        <f>AC77-(AC79-AC78)</f>
        <v>0.10199999999895226</v>
      </c>
      <c r="AD81" s="160"/>
      <c r="AE81" s="158">
        <f>AE77-(AE79-AE78)</f>
        <v>-0.4427800000012212</v>
      </c>
      <c r="AF81" s="160"/>
      <c r="AG81" s="158">
        <f>AG77-(AG79-AG78)</f>
        <v>-0.40166999999928521</v>
      </c>
      <c r="AH81" s="160"/>
      <c r="AI81" s="158">
        <f>AI77-(AI79-AI78)</f>
        <v>0.35472999999910826</v>
      </c>
      <c r="AJ81" s="160"/>
      <c r="AK81" s="158">
        <f>AK77-(AK79-AK78)</f>
        <v>0</v>
      </c>
      <c r="AL81" s="160"/>
      <c r="AM81" s="158">
        <f>AM77-(AM79-AM78)</f>
        <v>0</v>
      </c>
      <c r="AN81" s="160"/>
      <c r="AO81" s="158">
        <f>AO77-(AO79-AO78)</f>
        <v>-0.47301000000152271</v>
      </c>
      <c r="AP81" s="160"/>
      <c r="AQ81" s="158">
        <f>AQ77-(AQ79-AQ78)</f>
        <v>-0.16307000000961125</v>
      </c>
      <c r="AR81" s="160"/>
      <c r="AS81" s="158" t="e">
        <f>AS77-(AS79-AS78)</f>
        <v>#REF!</v>
      </c>
      <c r="AT81" s="160"/>
      <c r="AU81" s="158">
        <f>AU77-(AU79-AU78)</f>
        <v>0</v>
      </c>
      <c r="AV81" s="160"/>
      <c r="AW81" s="158">
        <f>AW77-(AW79-AW78)</f>
        <v>0.16307000000233529</v>
      </c>
      <c r="AX81" s="160"/>
      <c r="AY81" s="158">
        <f>AY77-(AY79-AY78)</f>
        <v>0</v>
      </c>
      <c r="AZ81" s="160"/>
      <c r="BA81" s="158">
        <f>BA77-(BA79-BA78)</f>
        <v>0</v>
      </c>
      <c r="BB81" s="160"/>
      <c r="BC81" s="158">
        <f>BC77-(BC79-BC78)</f>
        <v>0</v>
      </c>
      <c r="BD81" s="160"/>
      <c r="BE81" s="158">
        <f>BE77-(BE79-BE78)</f>
        <v>0</v>
      </c>
      <c r="BF81" s="160"/>
      <c r="BG81" s="158">
        <f>BG77-(BG79-BG78)</f>
        <v>0</v>
      </c>
      <c r="BH81" s="160"/>
      <c r="BI81" s="158">
        <f>BI77-(BI79-BI78)</f>
        <v>0</v>
      </c>
      <c r="BK81" s="158">
        <f>BK77-(BK79-BK78)</f>
        <v>0</v>
      </c>
      <c r="BM81" s="158">
        <f>BM77-(BM79-BM78)</f>
        <v>0</v>
      </c>
      <c r="BO81" s="158">
        <f>BO77-(BO79-BO78)</f>
        <v>0</v>
      </c>
      <c r="BQ81" s="158"/>
    </row>
    <row r="82" spans="1:69" x14ac:dyDescent="0.35"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10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F82" s="103"/>
      <c r="AG82" s="111"/>
      <c r="AH82" s="103"/>
      <c r="AI82" s="111"/>
      <c r="AJ82" s="103"/>
      <c r="AK82" s="111"/>
      <c r="AL82" s="103"/>
      <c r="AM82" s="111"/>
      <c r="AN82" s="103"/>
      <c r="AO82" s="111"/>
      <c r="AP82" s="103"/>
      <c r="AQ82" s="111"/>
      <c r="AR82" s="103"/>
      <c r="AS82" s="111"/>
      <c r="AT82" s="103"/>
      <c r="AU82" s="111"/>
      <c r="AV82" s="103"/>
      <c r="AW82" s="111"/>
      <c r="AX82" s="103"/>
      <c r="AY82" s="111"/>
      <c r="AZ82" s="103"/>
      <c r="BA82" s="111"/>
      <c r="BB82" s="103"/>
      <c r="BC82" s="111"/>
      <c r="BD82" s="103"/>
      <c r="BE82" s="111"/>
      <c r="BF82" s="103"/>
      <c r="BG82" s="111"/>
      <c r="BH82" s="103"/>
      <c r="BI82" s="111"/>
      <c r="BK82" s="111"/>
      <c r="BM82" s="111"/>
      <c r="BO82" s="111"/>
      <c r="BQ82" s="111"/>
    </row>
    <row r="83" spans="1:69" x14ac:dyDescent="0.35">
      <c r="B83" s="103"/>
      <c r="C83" s="103"/>
      <c r="D83" s="103"/>
      <c r="E83" s="103"/>
      <c r="F83" s="103"/>
      <c r="G83" s="103"/>
      <c r="H83" s="103"/>
      <c r="I83" s="112"/>
      <c r="J83" s="103"/>
      <c r="K83" s="112"/>
      <c r="L83" s="103"/>
      <c r="M83" s="112"/>
      <c r="N83" s="103"/>
      <c r="O83" s="112"/>
      <c r="P83" s="103"/>
      <c r="Q83" s="112"/>
      <c r="R83" s="103"/>
      <c r="S83" s="112"/>
      <c r="T83" s="103"/>
      <c r="U83" s="103"/>
      <c r="V83" s="103"/>
      <c r="W83" s="103"/>
      <c r="X83" s="103"/>
      <c r="Y83" s="103"/>
      <c r="Z83" s="103"/>
      <c r="AA83" s="112"/>
      <c r="AB83" s="103"/>
      <c r="AC83" s="112"/>
      <c r="AD83" s="103"/>
      <c r="AF83" s="103"/>
      <c r="AG83" s="108"/>
      <c r="AH83" s="103"/>
      <c r="AI83" s="108"/>
      <c r="AJ83" s="103"/>
      <c r="AK83" s="108"/>
      <c r="AL83" s="103"/>
      <c r="AM83" s="108"/>
      <c r="AN83" s="103"/>
      <c r="AO83" s="108"/>
      <c r="AP83" s="103"/>
      <c r="AQ83" s="108"/>
      <c r="AR83" s="103"/>
      <c r="AS83" s="108"/>
      <c r="AT83" s="103"/>
      <c r="AU83" s="108"/>
      <c r="AV83" s="103"/>
      <c r="AW83" s="108"/>
      <c r="AX83" s="103"/>
      <c r="AY83" s="108"/>
      <c r="AZ83" s="103"/>
      <c r="BA83" s="108"/>
      <c r="BB83" s="103"/>
      <c r="BC83" s="108"/>
      <c r="BD83" s="103"/>
      <c r="BE83" s="108"/>
      <c r="BF83" s="103"/>
      <c r="BG83" s="108"/>
      <c r="BH83" s="103"/>
      <c r="BI83" s="108"/>
      <c r="BK83" s="108"/>
      <c r="BM83" s="108"/>
      <c r="BO83" s="108"/>
      <c r="BQ83" s="108"/>
    </row>
    <row r="84" spans="1:69" x14ac:dyDescent="0.35"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12"/>
      <c r="V84" s="103"/>
      <c r="W84" s="112"/>
      <c r="X84" s="103"/>
      <c r="Y84" s="112"/>
      <c r="Z84" s="103"/>
      <c r="AA84" s="112"/>
      <c r="AB84" s="103"/>
      <c r="AC84" s="112"/>
      <c r="AD84" s="103"/>
      <c r="AF84" s="103"/>
      <c r="AG84" s="108"/>
      <c r="AH84" s="103"/>
      <c r="AI84" s="108"/>
      <c r="AJ84" s="103"/>
      <c r="AK84" s="108"/>
      <c r="AL84" s="103"/>
      <c r="AM84" s="108"/>
      <c r="AN84" s="103"/>
      <c r="AO84" s="108"/>
      <c r="AP84" s="103"/>
      <c r="AQ84" s="108"/>
      <c r="AR84" s="103"/>
      <c r="AS84" s="108"/>
      <c r="AT84" s="103"/>
      <c r="AU84" s="108"/>
      <c r="AV84" s="103"/>
      <c r="AW84" s="108"/>
      <c r="AX84" s="103"/>
      <c r="AY84" s="108"/>
      <c r="AZ84" s="103"/>
      <c r="BA84" s="108"/>
      <c r="BB84" s="103"/>
      <c r="BC84" s="108"/>
      <c r="BD84" s="103"/>
      <c r="BE84" s="108"/>
      <c r="BF84" s="103"/>
      <c r="BG84" s="108"/>
      <c r="BH84" s="103"/>
      <c r="BI84" s="108"/>
      <c r="BK84" s="108"/>
      <c r="BM84" s="108"/>
      <c r="BO84" s="108"/>
      <c r="BQ84" s="108"/>
    </row>
    <row r="85" spans="1:69" x14ac:dyDescent="0.35"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12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F85" s="103"/>
      <c r="AH85" s="103"/>
      <c r="AJ85" s="103"/>
      <c r="AL85" s="103"/>
      <c r="AN85" s="103"/>
      <c r="AP85" s="103"/>
      <c r="AR85" s="103"/>
      <c r="AT85" s="103"/>
      <c r="AV85" s="103"/>
      <c r="AX85" s="103"/>
      <c r="AZ85" s="103"/>
      <c r="BB85" s="103"/>
      <c r="BD85" s="103"/>
      <c r="BF85" s="103"/>
      <c r="BH85" s="103"/>
    </row>
    <row r="86" spans="1:69" x14ac:dyDescent="0.35"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10"/>
      <c r="V86" s="110"/>
      <c r="W86" s="110"/>
      <c r="X86" s="110"/>
      <c r="Y86" s="110"/>
      <c r="Z86" s="110"/>
      <c r="AA86" s="110"/>
      <c r="AB86" s="110"/>
      <c r="AC86" s="110"/>
      <c r="AD86" s="110"/>
      <c r="AF86" s="110"/>
      <c r="AH86" s="110"/>
      <c r="AJ86" s="110"/>
      <c r="AL86" s="110"/>
      <c r="AN86" s="110"/>
      <c r="AP86" s="110"/>
      <c r="AR86" s="110"/>
      <c r="AT86" s="110"/>
      <c r="AV86" s="110"/>
      <c r="AX86" s="110"/>
      <c r="AZ86" s="110"/>
      <c r="BB86" s="110"/>
      <c r="BD86" s="110"/>
      <c r="BF86" s="110"/>
      <c r="BH86" s="110"/>
    </row>
    <row r="87" spans="1:69" x14ac:dyDescent="0.35"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F87" s="103"/>
      <c r="AH87" s="103"/>
      <c r="AJ87" s="103"/>
      <c r="AL87" s="103"/>
      <c r="AN87" s="103"/>
      <c r="AP87" s="103"/>
      <c r="AR87" s="103"/>
      <c r="AT87" s="103"/>
      <c r="AV87" s="103"/>
      <c r="AX87" s="103"/>
      <c r="AZ87" s="103"/>
      <c r="BB87" s="103"/>
      <c r="BD87" s="103"/>
      <c r="BF87" s="103"/>
      <c r="BH87" s="103"/>
    </row>
    <row r="88" spans="1:69" s="100" customFormat="1" x14ac:dyDescent="0.35">
      <c r="A88" s="127"/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10"/>
      <c r="V88" s="103"/>
      <c r="W88" s="110"/>
      <c r="X88" s="103"/>
      <c r="Y88" s="110"/>
      <c r="Z88" s="103"/>
      <c r="AA88" s="110"/>
      <c r="AB88" s="103"/>
      <c r="AC88" s="110"/>
      <c r="AD88" s="103"/>
      <c r="AF88" s="103"/>
      <c r="AH88" s="103"/>
      <c r="AJ88" s="103"/>
      <c r="AL88" s="103"/>
      <c r="AN88" s="103"/>
      <c r="AP88" s="103"/>
      <c r="AR88" s="103"/>
      <c r="AT88" s="103"/>
      <c r="AV88" s="103"/>
      <c r="AX88" s="103"/>
      <c r="AZ88" s="103"/>
      <c r="BB88" s="103"/>
      <c r="BD88" s="103"/>
      <c r="BF88" s="103"/>
      <c r="BH88" s="103"/>
    </row>
    <row r="89" spans="1:69" s="100" customFormat="1" x14ac:dyDescent="0.35">
      <c r="A89" s="127"/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F89" s="103"/>
      <c r="AH89" s="103"/>
      <c r="AJ89" s="103"/>
      <c r="AL89" s="103"/>
      <c r="AN89" s="103"/>
      <c r="AP89" s="103"/>
      <c r="AR89" s="103"/>
      <c r="AT89" s="103"/>
      <c r="AV89" s="103"/>
      <c r="AX89" s="103"/>
      <c r="AZ89" s="103"/>
      <c r="BB89" s="103"/>
      <c r="BD89" s="103"/>
      <c r="BF89" s="103"/>
      <c r="BH89" s="103"/>
    </row>
    <row r="90" spans="1:69" s="100" customFormat="1" x14ac:dyDescent="0.35">
      <c r="A90" s="127"/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F90" s="103"/>
      <c r="AH90" s="103"/>
      <c r="AJ90" s="103"/>
      <c r="AL90" s="103"/>
      <c r="AN90" s="103"/>
      <c r="AP90" s="103"/>
      <c r="AR90" s="103"/>
      <c r="AT90" s="103"/>
      <c r="AV90" s="103"/>
      <c r="AX90" s="103"/>
      <c r="AZ90" s="103"/>
      <c r="BB90" s="103"/>
      <c r="BD90" s="103"/>
      <c r="BF90" s="103"/>
      <c r="BH90" s="103"/>
    </row>
    <row r="91" spans="1:69" s="100" customFormat="1" x14ac:dyDescent="0.35">
      <c r="A91" s="127"/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F91" s="103"/>
      <c r="AH91" s="103"/>
      <c r="AJ91" s="103"/>
      <c r="AL91" s="103"/>
      <c r="AN91" s="103"/>
      <c r="AP91" s="103"/>
      <c r="AR91" s="103"/>
      <c r="AT91" s="103"/>
      <c r="AV91" s="103"/>
      <c r="AX91" s="103"/>
      <c r="AZ91" s="103"/>
      <c r="BB91" s="103"/>
      <c r="BD91" s="103"/>
      <c r="BF91" s="103"/>
      <c r="BH91" s="103"/>
    </row>
    <row r="92" spans="1:69" s="100" customFormat="1" x14ac:dyDescent="0.35">
      <c r="A92" s="127"/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3"/>
      <c r="AA92" s="103"/>
      <c r="AB92" s="103"/>
      <c r="AC92" s="103"/>
      <c r="AD92" s="103"/>
      <c r="AF92" s="103"/>
      <c r="AH92" s="103"/>
      <c r="AJ92" s="103"/>
      <c r="AL92" s="103"/>
      <c r="AN92" s="103"/>
      <c r="AP92" s="103"/>
      <c r="AR92" s="103"/>
      <c r="AT92" s="103"/>
      <c r="AV92" s="103"/>
      <c r="AX92" s="103"/>
      <c r="AZ92" s="103"/>
      <c r="BB92" s="103"/>
      <c r="BD92" s="103"/>
      <c r="BF92" s="103"/>
      <c r="BH92" s="103"/>
    </row>
    <row r="93" spans="1:69" s="100" customFormat="1" x14ac:dyDescent="0.35">
      <c r="A93" s="127"/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F93" s="103"/>
      <c r="AH93" s="103"/>
      <c r="AJ93" s="103"/>
      <c r="AL93" s="103"/>
      <c r="AN93" s="103"/>
      <c r="AP93" s="103"/>
      <c r="AR93" s="103"/>
      <c r="AT93" s="103"/>
      <c r="AV93" s="103"/>
      <c r="AX93" s="103"/>
      <c r="AZ93" s="103"/>
      <c r="BB93" s="103"/>
      <c r="BD93" s="103"/>
      <c r="BF93" s="103"/>
      <c r="BH93" s="103"/>
    </row>
    <row r="94" spans="1:69" s="100" customFormat="1" x14ac:dyDescent="0.35">
      <c r="A94" s="127"/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  <c r="Z94" s="103"/>
      <c r="AA94" s="103"/>
      <c r="AB94" s="103"/>
      <c r="AC94" s="103"/>
      <c r="AD94" s="103"/>
      <c r="AF94" s="103"/>
      <c r="AH94" s="103"/>
      <c r="AJ94" s="103"/>
      <c r="AL94" s="103"/>
      <c r="AN94" s="103"/>
      <c r="AP94" s="103"/>
      <c r="AR94" s="103"/>
      <c r="AT94" s="103"/>
      <c r="AV94" s="103"/>
      <c r="AX94" s="103"/>
      <c r="AZ94" s="103"/>
      <c r="BB94" s="103"/>
      <c r="BD94" s="103"/>
      <c r="BF94" s="103"/>
      <c r="BH94" s="103"/>
    </row>
    <row r="95" spans="1:69" s="100" customFormat="1" x14ac:dyDescent="0.35">
      <c r="A95" s="127"/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  <c r="Z95" s="103"/>
      <c r="AA95" s="103"/>
      <c r="AB95" s="103"/>
      <c r="AC95" s="103"/>
      <c r="AD95" s="103"/>
      <c r="AF95" s="103"/>
      <c r="AH95" s="103"/>
      <c r="AJ95" s="103"/>
      <c r="AL95" s="103"/>
      <c r="AN95" s="103"/>
      <c r="AP95" s="103"/>
      <c r="AR95" s="103"/>
      <c r="AT95" s="103"/>
      <c r="AV95" s="103"/>
      <c r="AX95" s="103"/>
      <c r="AZ95" s="103"/>
      <c r="BB95" s="103"/>
      <c r="BD95" s="103"/>
      <c r="BF95" s="103"/>
      <c r="BH95" s="103"/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F31D8-E91A-4B7F-A64A-EFDC2A3475D1}">
  <sheetPr>
    <tabColor rgb="FF92D050"/>
  </sheetPr>
  <dimension ref="A1:AW24"/>
  <sheetViews>
    <sheetView showGridLines="0" zoomScale="85" zoomScaleNormal="85" workbookViewId="0">
      <pane xSplit="1" topLeftCell="Z1" activePane="topRight" state="frozen"/>
      <selection pane="topRight" activeCell="AM14" sqref="AM14"/>
    </sheetView>
  </sheetViews>
  <sheetFormatPr defaultRowHeight="14.5" x14ac:dyDescent="0.35"/>
  <cols>
    <col min="1" max="1" width="87" bestFit="1" customWidth="1"/>
    <col min="2" max="13" width="0" hidden="1" customWidth="1"/>
  </cols>
  <sheetData>
    <row r="1" spans="1:49" ht="36" customHeight="1" x14ac:dyDescent="0.35"/>
    <row r="2" spans="1:49" s="66" customFormat="1" ht="19" x14ac:dyDescent="0.45">
      <c r="A2" s="65" t="s">
        <v>175</v>
      </c>
      <c r="H2" s="67"/>
      <c r="P2" s="67"/>
      <c r="AQ2" s="47"/>
      <c r="AS2" s="47"/>
      <c r="AU2" s="47"/>
      <c r="AW2" s="47"/>
    </row>
    <row r="3" spans="1:49" s="66" customFormat="1" ht="19" x14ac:dyDescent="0.35">
      <c r="A3" s="68" t="s">
        <v>338</v>
      </c>
      <c r="H3" s="67"/>
      <c r="P3" s="67"/>
      <c r="AQ3" s="47"/>
      <c r="AS3" s="47"/>
      <c r="AU3" s="47"/>
      <c r="AW3" s="47"/>
    </row>
    <row r="4" spans="1:49" s="66" customFormat="1" ht="19" x14ac:dyDescent="0.35">
      <c r="A4" s="68"/>
      <c r="H4" s="67"/>
      <c r="P4" s="67"/>
      <c r="AQ4" s="47"/>
      <c r="AS4" s="47"/>
      <c r="AU4" s="47"/>
      <c r="AW4" s="47"/>
    </row>
    <row r="5" spans="1:49" s="66" customFormat="1" ht="19" x14ac:dyDescent="0.35">
      <c r="A5" s="69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AQ5" s="47"/>
      <c r="AS5" s="47"/>
      <c r="AU5" s="47"/>
      <c r="AW5" s="47"/>
    </row>
    <row r="6" spans="1:49" ht="27.75" customHeight="1" x14ac:dyDescent="0.35">
      <c r="A6" s="200"/>
      <c r="B6" s="176" t="s">
        <v>237</v>
      </c>
      <c r="C6" s="176" t="s">
        <v>238</v>
      </c>
      <c r="D6" s="176" t="s">
        <v>239</v>
      </c>
      <c r="E6" s="176" t="s">
        <v>240</v>
      </c>
      <c r="F6" s="176" t="s">
        <v>241</v>
      </c>
      <c r="G6" s="176" t="s">
        <v>242</v>
      </c>
      <c r="H6" s="176" t="s">
        <v>243</v>
      </c>
      <c r="I6" s="176" t="s">
        <v>244</v>
      </c>
      <c r="J6" s="176" t="s">
        <v>245</v>
      </c>
      <c r="K6" s="176" t="s">
        <v>246</v>
      </c>
      <c r="L6" s="176" t="s">
        <v>247</v>
      </c>
      <c r="M6" s="176" t="s">
        <v>248</v>
      </c>
      <c r="N6" s="176" t="s">
        <v>249</v>
      </c>
      <c r="O6" s="176" t="s">
        <v>250</v>
      </c>
      <c r="P6" s="176" t="s">
        <v>251</v>
      </c>
      <c r="Q6" s="176" t="s">
        <v>252</v>
      </c>
      <c r="R6" s="176" t="s">
        <v>253</v>
      </c>
      <c r="S6" s="176" t="s">
        <v>254</v>
      </c>
      <c r="T6" s="176" t="s">
        <v>255</v>
      </c>
      <c r="U6" s="176" t="s">
        <v>256</v>
      </c>
      <c r="V6" s="176" t="s">
        <v>257</v>
      </c>
      <c r="W6" s="176" t="s">
        <v>258</v>
      </c>
      <c r="X6" s="176" t="s">
        <v>259</v>
      </c>
      <c r="Y6" s="176" t="s">
        <v>318</v>
      </c>
      <c r="Z6" s="176" t="s">
        <v>319</v>
      </c>
      <c r="AA6" s="176" t="s">
        <v>384</v>
      </c>
      <c r="AB6" s="176" t="s">
        <v>389</v>
      </c>
      <c r="AC6" s="176" t="s">
        <v>392</v>
      </c>
      <c r="AD6" s="176" t="s">
        <v>403</v>
      </c>
      <c r="AE6" s="176" t="s">
        <v>407</v>
      </c>
      <c r="AF6" s="113" t="s">
        <v>412</v>
      </c>
      <c r="AG6" s="113" t="s">
        <v>440</v>
      </c>
      <c r="AH6" s="113" t="s">
        <v>452</v>
      </c>
      <c r="AI6" s="113" t="s">
        <v>464</v>
      </c>
      <c r="AJ6" s="113" t="s">
        <v>473</v>
      </c>
      <c r="AK6" s="113" t="s">
        <v>475</v>
      </c>
      <c r="AL6" s="113" t="s">
        <v>507</v>
      </c>
      <c r="AM6" s="113" t="s">
        <v>524</v>
      </c>
    </row>
    <row r="7" spans="1:49" x14ac:dyDescent="0.35">
      <c r="A7" s="9" t="s">
        <v>266</v>
      </c>
      <c r="B7" s="79">
        <v>2023</v>
      </c>
      <c r="C7" s="79">
        <v>2046</v>
      </c>
      <c r="D7" s="79">
        <v>2758</v>
      </c>
      <c r="E7" s="79">
        <v>2598</v>
      </c>
      <c r="F7" s="79">
        <v>3202</v>
      </c>
      <c r="G7" s="79">
        <v>3316</v>
      </c>
      <c r="H7" s="79">
        <v>3177</v>
      </c>
      <c r="I7" s="79">
        <v>3111</v>
      </c>
      <c r="J7" s="79">
        <v>3408</v>
      </c>
      <c r="K7" s="79">
        <v>2975</v>
      </c>
      <c r="L7" s="79">
        <v>2907</v>
      </c>
      <c r="M7" s="79">
        <v>2676</v>
      </c>
      <c r="N7" s="79">
        <v>2645</v>
      </c>
      <c r="O7" s="79">
        <v>1676</v>
      </c>
      <c r="P7" s="79">
        <v>1931</v>
      </c>
      <c r="Q7" s="79">
        <v>2199</v>
      </c>
      <c r="R7" s="79">
        <v>2508</v>
      </c>
      <c r="S7" s="79">
        <v>3069</v>
      </c>
      <c r="T7" s="79">
        <v>3275</v>
      </c>
      <c r="U7" s="79">
        <v>3200</v>
      </c>
      <c r="V7" s="79">
        <v>3958</v>
      </c>
      <c r="W7" s="79">
        <v>4415</v>
      </c>
      <c r="X7" s="79">
        <v>5063</v>
      </c>
      <c r="Y7" s="79">
        <v>5256</v>
      </c>
      <c r="Z7" s="79">
        <v>5938</v>
      </c>
      <c r="AA7" s="79">
        <v>5791</v>
      </c>
      <c r="AB7" s="79">
        <v>5759</v>
      </c>
      <c r="AC7" s="79">
        <v>5350</v>
      </c>
      <c r="AD7" s="79">
        <v>4414</v>
      </c>
      <c r="AE7" s="79">
        <v>4796</v>
      </c>
      <c r="AF7" s="79">
        <v>7672</v>
      </c>
      <c r="AG7" s="79">
        <v>6994</v>
      </c>
      <c r="AH7" s="79">
        <v>6967</v>
      </c>
      <c r="AI7" s="79">
        <v>6602</v>
      </c>
      <c r="AJ7" s="79">
        <v>6277</v>
      </c>
      <c r="AK7" s="79">
        <v>7843</v>
      </c>
      <c r="AL7" s="79">
        <v>7741</v>
      </c>
      <c r="AM7" s="79">
        <v>7990</v>
      </c>
    </row>
    <row r="8" spans="1:49" x14ac:dyDescent="0.35">
      <c r="A8" s="9" t="s">
        <v>267</v>
      </c>
      <c r="B8" s="79">
        <v>2023</v>
      </c>
      <c r="C8" s="79">
        <v>2034.5</v>
      </c>
      <c r="D8" s="79">
        <v>2402</v>
      </c>
      <c r="E8" s="79">
        <v>2678</v>
      </c>
      <c r="F8" s="79">
        <v>2900</v>
      </c>
      <c r="G8" s="79">
        <v>3259</v>
      </c>
      <c r="H8" s="79">
        <v>3246.5</v>
      </c>
      <c r="I8" s="79">
        <v>3144</v>
      </c>
      <c r="J8" s="79">
        <v>3259.5</v>
      </c>
      <c r="K8" s="79">
        <v>3191.5</v>
      </c>
      <c r="L8" s="79">
        <v>2941</v>
      </c>
      <c r="M8" s="79">
        <v>2791.5</v>
      </c>
      <c r="N8" s="79">
        <v>2607.6666666666665</v>
      </c>
      <c r="O8" s="79">
        <v>1710</v>
      </c>
      <c r="P8" s="79">
        <v>1723.6666666666667</v>
      </c>
      <c r="Q8" s="79">
        <v>2135</v>
      </c>
      <c r="R8" s="79">
        <v>2490</v>
      </c>
      <c r="S8" s="79">
        <v>2968.6666666666665</v>
      </c>
      <c r="T8" s="79">
        <v>3186</v>
      </c>
      <c r="U8" s="79">
        <v>3204</v>
      </c>
      <c r="V8" s="79">
        <v>3558.3333333333335</v>
      </c>
      <c r="W8" s="79">
        <v>4103.333333333333</v>
      </c>
      <c r="X8" s="79">
        <v>4900.666666666667</v>
      </c>
      <c r="Y8" s="79">
        <v>5222</v>
      </c>
      <c r="Z8" s="79">
        <v>5745.666666666667</v>
      </c>
      <c r="AA8" s="79">
        <v>5776.666666666667</v>
      </c>
      <c r="AB8" s="79">
        <v>5832.333333333333</v>
      </c>
      <c r="AC8" s="79">
        <v>5567.333333333333</v>
      </c>
      <c r="AD8" s="79">
        <v>4281.333333333333</v>
      </c>
      <c r="AE8" s="79">
        <v>4632.666666666667</v>
      </c>
      <c r="AF8" s="79">
        <v>7276</v>
      </c>
      <c r="AG8" s="79">
        <v>7302</v>
      </c>
      <c r="AH8" s="79">
        <v>6927</v>
      </c>
      <c r="AI8" s="79">
        <v>6753</v>
      </c>
      <c r="AJ8" s="79">
        <v>6363</v>
      </c>
      <c r="AK8" s="79">
        <v>7966</v>
      </c>
      <c r="AL8" s="79">
        <v>7818</v>
      </c>
      <c r="AM8" s="79">
        <v>8010</v>
      </c>
    </row>
    <row r="9" spans="1:49" x14ac:dyDescent="0.35">
      <c r="A9" s="9" t="s">
        <v>284</v>
      </c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79">
        <v>3995.5</v>
      </c>
      <c r="X9" s="79">
        <v>4345.5</v>
      </c>
      <c r="Y9" s="79">
        <v>4907</v>
      </c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</row>
    <row r="10" spans="1:49" x14ac:dyDescent="0.35">
      <c r="A10" s="9" t="s">
        <v>268</v>
      </c>
      <c r="B10" s="79">
        <v>8616.2464985994411</v>
      </c>
      <c r="C10" s="79">
        <v>8851.6425002047999</v>
      </c>
      <c r="D10" s="79">
        <v>8520.5384401887313</v>
      </c>
      <c r="E10" s="79">
        <v>8561.737615135673</v>
      </c>
      <c r="F10" s="79">
        <v>8746.6666666666661</v>
      </c>
      <c r="G10" s="79">
        <v>8624.9360744604674</v>
      </c>
      <c r="H10" s="79">
        <v>8202.0637609733567</v>
      </c>
      <c r="I10" s="79">
        <v>9216.6030534351157</v>
      </c>
      <c r="J10" s="79">
        <v>8475.7375875645557</v>
      </c>
      <c r="K10" s="79">
        <v>9656.4833672776658</v>
      </c>
      <c r="L10" s="79">
        <v>9677.8873399070617</v>
      </c>
      <c r="M10" s="79">
        <v>10494.716102453878</v>
      </c>
      <c r="N10" s="79">
        <v>9091.3971622139852</v>
      </c>
      <c r="O10" s="79">
        <v>9392.9824561403511</v>
      </c>
      <c r="P10" s="79">
        <v>10602.784761168052</v>
      </c>
      <c r="Q10" s="79">
        <v>10628.883684621389</v>
      </c>
      <c r="R10" s="79">
        <v>10500.803212851406</v>
      </c>
      <c r="S10" s="79">
        <v>12522.34448686279</v>
      </c>
      <c r="T10" s="79">
        <v>12929.797028667084</v>
      </c>
      <c r="U10" s="79">
        <v>12442.051602163963</v>
      </c>
      <c r="V10" s="79">
        <v>12111.288056206087</v>
      </c>
      <c r="W10" s="79">
        <v>14942.485783915517</v>
      </c>
      <c r="X10" s="79">
        <v>17306.420895116309</v>
      </c>
      <c r="Y10" s="79">
        <v>15691.625175539384</v>
      </c>
      <c r="Z10" s="79">
        <v>13996.751174798397</v>
      </c>
      <c r="AA10" s="79">
        <v>14652.914021927292</v>
      </c>
      <c r="AB10" s="79">
        <v>15371.606561124765</v>
      </c>
      <c r="AC10" s="79">
        <v>16899.592863130161</v>
      </c>
      <c r="AD10" s="79">
        <v>16850.747430706946</v>
      </c>
      <c r="AE10" s="79">
        <v>14769.031515325943</v>
      </c>
      <c r="AF10" s="79">
        <v>17989.554700384826</v>
      </c>
      <c r="AG10" s="79">
        <v>19158.814936547064</v>
      </c>
      <c r="AH10" s="79">
        <v>17749.145854386217</v>
      </c>
      <c r="AI10" s="79">
        <v>17863.369366701216</v>
      </c>
      <c r="AJ10" s="79">
        <v>18813.662318612813</v>
      </c>
      <c r="AK10" s="79">
        <v>19823.834630513014</v>
      </c>
      <c r="AL10" s="79">
        <v>17958.429265796876</v>
      </c>
      <c r="AM10" s="79">
        <v>19251.685393258427</v>
      </c>
    </row>
    <row r="11" spans="1:49" x14ac:dyDescent="0.35">
      <c r="A11" s="9" t="s">
        <v>269</v>
      </c>
      <c r="B11" s="183"/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79">
        <v>14227.360256955741</v>
      </c>
      <c r="X11" s="79">
        <v>14672.510472903003</v>
      </c>
      <c r="Y11" s="79">
        <v>14922.966221677276</v>
      </c>
      <c r="Z11" s="183"/>
      <c r="AA11" s="183"/>
      <c r="AB11" s="183"/>
      <c r="AC11" s="183"/>
      <c r="AD11" s="183"/>
      <c r="AE11" s="183"/>
      <c r="AF11" s="183"/>
      <c r="AG11" s="183"/>
      <c r="AH11" s="183"/>
      <c r="AI11" s="183"/>
      <c r="AJ11" s="183"/>
      <c r="AK11" s="183"/>
      <c r="AL11" s="183"/>
      <c r="AM11" s="183"/>
    </row>
    <row r="12" spans="1:49" x14ac:dyDescent="0.35">
      <c r="A12" s="9" t="s">
        <v>270</v>
      </c>
      <c r="B12" s="79">
        <v>-6506.1789421651019</v>
      </c>
      <c r="C12" s="79">
        <v>-7297.9438027361348</v>
      </c>
      <c r="D12" s="79">
        <v>-7943.7968359700244</v>
      </c>
      <c r="E12" s="79">
        <v>-7695.6684092606429</v>
      </c>
      <c r="F12" s="79">
        <v>-7531.1494252873554</v>
      </c>
      <c r="G12" s="79">
        <v>-7908.2540656643141</v>
      </c>
      <c r="H12" s="79">
        <v>-7284.5628625699464</v>
      </c>
      <c r="I12" s="79">
        <v>-7254.6649703138255</v>
      </c>
      <c r="J12" s="79">
        <v>-7398.8853096078128</v>
      </c>
      <c r="K12" s="79">
        <v>-8331.4011175518317</v>
      </c>
      <c r="L12" s="79">
        <v>-8460.3876232573948</v>
      </c>
      <c r="M12" s="79">
        <v>-8695.4445041495019</v>
      </c>
      <c r="N12" s="79">
        <v>-7887.8946695641052</v>
      </c>
      <c r="O12" s="79">
        <v>-10221.247563352828</v>
      </c>
      <c r="P12" s="79">
        <v>-8775.8654032102095</v>
      </c>
      <c r="Q12" s="79">
        <v>-8671.6627634660417</v>
      </c>
      <c r="R12" s="79">
        <v>-8973.2262382864792</v>
      </c>
      <c r="S12" s="79">
        <v>-10111.610150460365</v>
      </c>
      <c r="T12" s="79">
        <v>-10715.73550952082</v>
      </c>
      <c r="U12" s="79">
        <v>-10734.70661672909</v>
      </c>
      <c r="V12" s="79">
        <v>-9720.3747072599508</v>
      </c>
      <c r="W12" s="79">
        <v>-11741.348497156783</v>
      </c>
      <c r="X12" s="79">
        <v>-11996.190994422526</v>
      </c>
      <c r="Y12" s="79">
        <v>-12143.686965402783</v>
      </c>
      <c r="Z12" s="79">
        <v>-11119.7424145733</v>
      </c>
      <c r="AA12" s="79">
        <v>-11487.651471436815</v>
      </c>
      <c r="AB12" s="79">
        <v>-12427.55901011602</v>
      </c>
      <c r="AC12" s="79">
        <v>-13330.31972218896</v>
      </c>
      <c r="AD12" s="79">
        <v>-13462.78417938337</v>
      </c>
      <c r="AE12" s="79">
        <v>-11963.663836523241</v>
      </c>
      <c r="AF12" s="79">
        <v>-13919.048927982407</v>
      </c>
      <c r="AG12" s="79">
        <v>-14491.600474755776</v>
      </c>
      <c r="AH12" s="79">
        <v>-14195.900101053847</v>
      </c>
      <c r="AI12" s="79">
        <v>-14319.117429290685</v>
      </c>
      <c r="AJ12" s="79">
        <v>-14933.469537429934</v>
      </c>
      <c r="AK12" s="79">
        <v>-16031.216001339022</v>
      </c>
      <c r="AL12" s="79">
        <v>-15228.788266393793</v>
      </c>
      <c r="AM12" s="79">
        <v>-15612.609238451936</v>
      </c>
    </row>
    <row r="13" spans="1:49" x14ac:dyDescent="0.35">
      <c r="A13" s="9" t="s">
        <v>271</v>
      </c>
      <c r="B13" s="183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79">
        <v>-11435.57722658304</v>
      </c>
      <c r="X13" s="79">
        <v>-11158.762811578947</v>
      </c>
      <c r="Y13" s="79">
        <v>-11644.167495485535</v>
      </c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</row>
    <row r="14" spans="1:49" x14ac:dyDescent="0.35">
      <c r="A14" s="9" t="s">
        <v>272</v>
      </c>
      <c r="B14" s="79">
        <v>2110.0675564343387</v>
      </c>
      <c r="C14" s="79">
        <v>1553.6986974686656</v>
      </c>
      <c r="D14" s="79">
        <v>576.74160421870658</v>
      </c>
      <c r="E14" s="79">
        <v>866.06920587503123</v>
      </c>
      <c r="F14" s="79">
        <v>1215.5172413793102</v>
      </c>
      <c r="G14" s="79">
        <v>716.68200879615415</v>
      </c>
      <c r="H14" s="79">
        <v>917.50089840340877</v>
      </c>
      <c r="I14" s="79">
        <v>1961.9380831212891</v>
      </c>
      <c r="J14" s="79">
        <v>1076.8522779567418</v>
      </c>
      <c r="K14" s="79">
        <v>1325.0822497258343</v>
      </c>
      <c r="L14" s="79">
        <v>1217.4997166496655</v>
      </c>
      <c r="M14" s="79">
        <v>1799.2715983043765</v>
      </c>
      <c r="N14" s="79">
        <v>1203.5024926498788</v>
      </c>
      <c r="O14" s="79">
        <v>-828.26510721247575</v>
      </c>
      <c r="P14" s="79">
        <v>1826.9193579578416</v>
      </c>
      <c r="Q14" s="79">
        <v>1957.2209211553472</v>
      </c>
      <c r="R14" s="79">
        <v>1527.5769745649263</v>
      </c>
      <c r="S14" s="79">
        <v>2410.734336402425</v>
      </c>
      <c r="T14" s="79">
        <v>2214.0615191462653</v>
      </c>
      <c r="U14" s="79">
        <v>1707.344985434873</v>
      </c>
      <c r="V14" s="79">
        <v>2390.913348946136</v>
      </c>
      <c r="W14" s="79">
        <v>3201.1372867587329</v>
      </c>
      <c r="X14" s="79">
        <v>5310.2299006937828</v>
      </c>
      <c r="Y14" s="79">
        <v>3547.9382101366018</v>
      </c>
      <c r="Z14" s="79">
        <v>2877.0087602250969</v>
      </c>
      <c r="AA14" s="79">
        <v>3165.2625504904786</v>
      </c>
      <c r="AB14" s="79">
        <v>2944.0475510087444</v>
      </c>
      <c r="AC14" s="79">
        <v>3569.2731409412049</v>
      </c>
      <c r="AD14" s="79">
        <v>3387.9632513235756</v>
      </c>
      <c r="AE14" s="79">
        <v>2805.3676788027051</v>
      </c>
      <c r="AF14" s="79">
        <v>4070.5057724024191</v>
      </c>
      <c r="AG14" s="79">
        <v>4667.21446179129</v>
      </c>
      <c r="AH14" s="79">
        <v>3553.2457533323714</v>
      </c>
      <c r="AI14" s="79">
        <v>3544.2519374105336</v>
      </c>
      <c r="AJ14" s="79">
        <v>3880.19278118288</v>
      </c>
      <c r="AK14" s="79">
        <v>3792.61862917399</v>
      </c>
      <c r="AL14" s="79">
        <v>2729.6409994030869</v>
      </c>
      <c r="AM14" s="79">
        <v>3639.076154806492</v>
      </c>
    </row>
    <row r="15" spans="1:49" x14ac:dyDescent="0.35">
      <c r="A15" s="9" t="s">
        <v>273</v>
      </c>
      <c r="B15" s="183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79">
        <v>2791.7830303727028</v>
      </c>
      <c r="X15" s="79">
        <v>3513.7476613240542</v>
      </c>
      <c r="Y15" s="79">
        <v>3278.7987261917401</v>
      </c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</row>
    <row r="16" spans="1:49" x14ac:dyDescent="0.35">
      <c r="A16" s="9" t="s">
        <v>274</v>
      </c>
      <c r="B16" s="79">
        <v>653.52527501342092</v>
      </c>
      <c r="C16" s="79">
        <v>-148.73834249229054</v>
      </c>
      <c r="D16" s="79">
        <v>-552.44689308925433</v>
      </c>
      <c r="E16" s="79">
        <v>-821.99388153158554</v>
      </c>
      <c r="F16" s="79">
        <v>325.64815737894293</v>
      </c>
      <c r="G16" s="79">
        <v>339.78552666279057</v>
      </c>
      <c r="H16" s="79">
        <v>329.39184374969869</v>
      </c>
      <c r="I16" s="79">
        <v>607.84699639284759</v>
      </c>
      <c r="J16" s="79">
        <v>94.812808831446603</v>
      </c>
      <c r="K16" s="79">
        <v>216.73583184813182</v>
      </c>
      <c r="L16" s="79">
        <v>-83.630760260630979</v>
      </c>
      <c r="M16" s="79">
        <v>656.29845906932485</v>
      </c>
      <c r="N16" s="79">
        <v>1377.4766713537006</v>
      </c>
      <c r="O16" s="79">
        <v>-2933.138401559454</v>
      </c>
      <c r="P16" s="79">
        <v>-582.86598336878751</v>
      </c>
      <c r="Q16" s="79">
        <v>414.20765027322409</v>
      </c>
      <c r="R16" s="79">
        <v>54.082998661311912</v>
      </c>
      <c r="S16" s="79">
        <v>987.53649225241429</v>
      </c>
      <c r="T16" s="79">
        <v>744.40259468508066</v>
      </c>
      <c r="U16" s="79">
        <v>434.66500208073239</v>
      </c>
      <c r="V16" s="79">
        <v>988.47775175644028</v>
      </c>
      <c r="W16" s="79">
        <v>1578.6352558895207</v>
      </c>
      <c r="X16" s="79">
        <v>3434.4987076588218</v>
      </c>
      <c r="Y16" s="79">
        <v>1530.6396016851779</v>
      </c>
      <c r="Z16" s="79">
        <v>1395.5444682949469</v>
      </c>
      <c r="AA16" s="79">
        <v>1401.6156953260243</v>
      </c>
      <c r="AB16" s="79">
        <v>1178.2591301365949</v>
      </c>
      <c r="AC16" s="79">
        <v>1103.9396479463537</v>
      </c>
      <c r="AD16" s="79">
        <v>1088.9909685456246</v>
      </c>
      <c r="AE16" s="79">
        <v>474.02503957403934</v>
      </c>
      <c r="AF16" s="79">
        <v>2064.1836173721827</v>
      </c>
      <c r="AG16" s="79">
        <v>2093.0338719985393</v>
      </c>
      <c r="AH16" s="79">
        <v>1041.5764400173234</v>
      </c>
      <c r="AI16" s="79">
        <v>1063.1324349671752</v>
      </c>
      <c r="AJ16" s="79">
        <v>1254.0730263502542</v>
      </c>
      <c r="AK16" s="79">
        <v>1194.2421959996652</v>
      </c>
      <c r="AL16" s="79">
        <v>3088.385776413405</v>
      </c>
      <c r="AM16" s="79">
        <v>1440.6991260923846</v>
      </c>
    </row>
    <row r="17" spans="1:39" x14ac:dyDescent="0.35">
      <c r="A17" s="9" t="s">
        <v>275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79">
        <v>1106.9586180882065</v>
      </c>
      <c r="X17" s="79">
        <v>1482.7996891146286</v>
      </c>
      <c r="Y17" s="79">
        <v>1219.0625345716001</v>
      </c>
      <c r="Z17" s="183"/>
      <c r="AA17" s="183"/>
      <c r="AB17" s="183"/>
      <c r="AC17" s="183"/>
      <c r="AD17" s="183"/>
      <c r="AE17" s="183"/>
      <c r="AF17" s="183"/>
      <c r="AG17" s="183"/>
      <c r="AH17" s="79">
        <v>1403.7341802608153</v>
      </c>
      <c r="AI17" s="79">
        <v>1401.7967323165014</v>
      </c>
      <c r="AJ17" s="79">
        <v>1645.8169626486458</v>
      </c>
      <c r="AK17" s="79">
        <v>1645.2004351828605</v>
      </c>
      <c r="AL17" s="79">
        <v>1366.6325573462948</v>
      </c>
      <c r="AM17" s="79">
        <v>1817.4365376612566</v>
      </c>
    </row>
    <row r="18" spans="1:39" x14ac:dyDescent="0.35">
      <c r="A18" s="9" t="s">
        <v>529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79"/>
      <c r="X18" s="79"/>
      <c r="Y18" s="79"/>
      <c r="Z18" s="183"/>
      <c r="AA18" s="183"/>
      <c r="AB18" s="183"/>
      <c r="AC18" s="183"/>
      <c r="AD18" s="183"/>
      <c r="AE18" s="183"/>
      <c r="AF18" s="183"/>
      <c r="AG18" s="183"/>
      <c r="AH18" s="79">
        <v>953.51523025840913</v>
      </c>
      <c r="AI18" s="79">
        <v>1051.5820129325239</v>
      </c>
      <c r="AJ18" s="79">
        <v>1238.2523966682381</v>
      </c>
      <c r="AK18" s="79">
        <v>1323.4998744664827</v>
      </c>
      <c r="AL18" s="79">
        <v>2979.1506779227425</v>
      </c>
      <c r="AM18" s="79">
        <v>1426.3420724094881</v>
      </c>
    </row>
    <row r="19" spans="1:39" x14ac:dyDescent="0.35">
      <c r="A19" s="9" t="s">
        <v>530</v>
      </c>
      <c r="B19" s="183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79"/>
      <c r="X19" s="79"/>
      <c r="Y19" s="79"/>
      <c r="Z19" s="183"/>
      <c r="AA19" s="183"/>
      <c r="AB19" s="183"/>
      <c r="AC19" s="183"/>
      <c r="AD19" s="183"/>
      <c r="AE19" s="183"/>
      <c r="AF19" s="183"/>
      <c r="AG19" s="183"/>
      <c r="AH19" s="79">
        <v>1246.6676290842595</v>
      </c>
      <c r="AI19" s="79">
        <v>1361.8145021965547</v>
      </c>
      <c r="AJ19" s="79">
        <v>1563.3610980145634</v>
      </c>
      <c r="AK19" s="79">
        <v>1810.193321616872</v>
      </c>
      <c r="AL19" s="79">
        <v>1213.4390722264864</v>
      </c>
      <c r="AM19" s="79">
        <v>1754.3071161048688</v>
      </c>
    </row>
    <row r="20" spans="1:39" x14ac:dyDescent="0.35">
      <c r="A20" s="9" t="s">
        <v>276</v>
      </c>
      <c r="B20" s="183"/>
      <c r="C20" s="183"/>
      <c r="D20" s="183"/>
      <c r="E20" s="79">
        <v>80.456795380152755</v>
      </c>
      <c r="F20" s="79">
        <v>82.750848105499543</v>
      </c>
      <c r="G20" s="79">
        <v>68.498708485090845</v>
      </c>
      <c r="H20" s="79">
        <v>68.334987508128265</v>
      </c>
      <c r="I20" s="79">
        <v>65.059174354673374</v>
      </c>
      <c r="J20" s="79">
        <v>70.667427768507949</v>
      </c>
      <c r="K20" s="79">
        <v>56.888496497423723</v>
      </c>
      <c r="L20" s="79">
        <v>56.634880248964393</v>
      </c>
      <c r="M20" s="79">
        <v>48.162657036773304</v>
      </c>
      <c r="N20" s="79">
        <v>80.872567401564623</v>
      </c>
      <c r="O20" s="79">
        <v>83.594098596617485</v>
      </c>
      <c r="P20" s="79">
        <v>79.938650306748471</v>
      </c>
      <c r="Q20" s="79">
        <v>76.433476048146062</v>
      </c>
      <c r="R20" s="79">
        <v>83.452724077328639</v>
      </c>
      <c r="S20" s="79">
        <v>76.727241217102815</v>
      </c>
      <c r="T20" s="79">
        <v>70.336609100776002</v>
      </c>
      <c r="U20" s="79">
        <v>74.85648879672749</v>
      </c>
      <c r="V20" s="79">
        <v>77.788944723618101</v>
      </c>
      <c r="W20" s="79">
        <v>71.31696528639101</v>
      </c>
      <c r="X20" s="79">
        <v>66.790788031386683</v>
      </c>
      <c r="Y20" s="79">
        <v>69.288645023853107</v>
      </c>
      <c r="Z20" s="79">
        <v>78.086491254071007</v>
      </c>
      <c r="AA20" s="79">
        <v>89.079199106531803</v>
      </c>
      <c r="AB20" s="79">
        <v>71.380901422556676</v>
      </c>
      <c r="AC20" s="79">
        <v>80.330009236967967</v>
      </c>
      <c r="AD20" s="79">
        <v>90.367140351024446</v>
      </c>
      <c r="AE20" s="79">
        <v>89</v>
      </c>
      <c r="AF20" s="79">
        <v>74.080530554239701</v>
      </c>
      <c r="AG20" s="79">
        <v>62.783458866862965</v>
      </c>
      <c r="AH20" s="79">
        <v>84.874489574462686</v>
      </c>
      <c r="AI20" s="79">
        <v>85.718015406244206</v>
      </c>
      <c r="AJ20" s="79">
        <v>88.527452850287617</v>
      </c>
      <c r="AK20" s="79">
        <v>73.458121393216402</v>
      </c>
      <c r="AL20" s="79">
        <v>83.998790331498128</v>
      </c>
      <c r="AM20" s="79">
        <v>81.570076968808664</v>
      </c>
    </row>
    <row r="21" spans="1:39" x14ac:dyDescent="0.35">
      <c r="A21" s="9" t="s">
        <v>277</v>
      </c>
      <c r="B21" s="183"/>
      <c r="C21" s="183"/>
      <c r="D21" s="183"/>
      <c r="E21" s="79">
        <v>37.293823349389257</v>
      </c>
      <c r="F21" s="79">
        <v>40.980338286587994</v>
      </c>
      <c r="G21" s="79">
        <v>44.964496849568235</v>
      </c>
      <c r="H21" s="79">
        <v>45.999520859714572</v>
      </c>
      <c r="I21" s="79">
        <v>38.7950796757059</v>
      </c>
      <c r="J21" s="79">
        <v>46.178646702379908</v>
      </c>
      <c r="K21" s="79">
        <v>43.937069414693454</v>
      </c>
      <c r="L21" s="79">
        <v>45.153289736526695</v>
      </c>
      <c r="M21" s="79">
        <v>31.925944763745484</v>
      </c>
      <c r="N21" s="79">
        <v>35.31570440292235</v>
      </c>
      <c r="O21" s="79">
        <v>46.041201871176682</v>
      </c>
      <c r="P21" s="79">
        <v>42.256792287467135</v>
      </c>
      <c r="Q21" s="79">
        <v>35.450359479764117</v>
      </c>
      <c r="R21" s="79">
        <v>37.224253075571177</v>
      </c>
      <c r="S21" s="79">
        <v>33.987769552623107</v>
      </c>
      <c r="T21" s="79">
        <v>36.458110293194721</v>
      </c>
      <c r="U21" s="79">
        <v>34.557086555929232</v>
      </c>
      <c r="V21" s="79">
        <v>37.599476260881879</v>
      </c>
      <c r="W21" s="79">
        <v>36.767136366353348</v>
      </c>
      <c r="X21" s="79">
        <v>32.841080530925431</v>
      </c>
      <c r="Y21" s="79">
        <v>37.193960235080553</v>
      </c>
      <c r="Z21" s="79">
        <v>39.011931471933217</v>
      </c>
      <c r="AA21" s="79">
        <v>38.217908087395152</v>
      </c>
      <c r="AB21" s="79">
        <v>38.811091534390826</v>
      </c>
      <c r="AC21" s="79">
        <v>33.999930118705407</v>
      </c>
      <c r="AD21" s="79">
        <v>36.362003407841385</v>
      </c>
      <c r="AE21" s="79">
        <v>39</v>
      </c>
      <c r="AF21" s="79">
        <v>37.281302353525668</v>
      </c>
      <c r="AG21" s="79">
        <v>28.589164860922544</v>
      </c>
      <c r="AH21" s="79">
        <v>33.319888903688046</v>
      </c>
      <c r="AI21" s="79">
        <v>33.948182965648883</v>
      </c>
      <c r="AJ21" s="79">
        <v>34.647657985776462</v>
      </c>
      <c r="AK21" s="79">
        <v>31.340354918911519</v>
      </c>
      <c r="AL21" s="79">
        <v>33.314020860209574</v>
      </c>
      <c r="AM21" s="79">
        <v>32.835634788151822</v>
      </c>
    </row>
    <row r="22" spans="1:39" x14ac:dyDescent="0.35">
      <c r="A22" s="9" t="s">
        <v>278</v>
      </c>
      <c r="B22" s="183"/>
      <c r="C22" s="183"/>
      <c r="D22" s="183"/>
      <c r="E22" s="79">
        <v>43.162972030763498</v>
      </c>
      <c r="F22" s="79">
        <v>41.770509818911549</v>
      </c>
      <c r="G22" s="79">
        <v>23.53421163552261</v>
      </c>
      <c r="H22" s="79">
        <v>22.335466648413693</v>
      </c>
      <c r="I22" s="79">
        <v>26.264094678967474</v>
      </c>
      <c r="J22" s="79">
        <v>24.488781066128041</v>
      </c>
      <c r="K22" s="79">
        <v>12.95142708273027</v>
      </c>
      <c r="L22" s="79">
        <v>11.481590512437698</v>
      </c>
      <c r="M22" s="79">
        <v>16.23671227302782</v>
      </c>
      <c r="N22" s="79">
        <v>45.556862998642274</v>
      </c>
      <c r="O22" s="79">
        <v>37.552896725440803</v>
      </c>
      <c r="P22" s="79">
        <v>37.681858019281336</v>
      </c>
      <c r="Q22" s="79">
        <v>40.983116568381945</v>
      </c>
      <c r="R22" s="79">
        <v>46.228471001757462</v>
      </c>
      <c r="S22" s="79">
        <v>42.739471664479709</v>
      </c>
      <c r="T22" s="79">
        <v>33.878498807581281</v>
      </c>
      <c r="U22" s="79">
        <v>40.299402240798258</v>
      </c>
      <c r="V22" s="79">
        <v>40.189468462736222</v>
      </c>
      <c r="W22" s="79">
        <v>34.549828920037662</v>
      </c>
      <c r="X22" s="79">
        <v>33.949707500461251</v>
      </c>
      <c r="Y22" s="79">
        <v>32.094684788772554</v>
      </c>
      <c r="Z22" s="79">
        <v>39.07455978213779</v>
      </c>
      <c r="AA22" s="79">
        <v>50.861291019136651</v>
      </c>
      <c r="AB22" s="79">
        <v>32.56980988816585</v>
      </c>
      <c r="AC22" s="79">
        <v>46.33007911826256</v>
      </c>
      <c r="AD22" s="79">
        <v>54.005136943183061</v>
      </c>
      <c r="AE22" s="79">
        <v>49</v>
      </c>
      <c r="AF22" s="79">
        <v>36.799228200714033</v>
      </c>
      <c r="AG22" s="79">
        <v>34.194294005940421</v>
      </c>
      <c r="AH22" s="79">
        <v>51.55460067077464</v>
      </c>
      <c r="AI22" s="79">
        <v>51.769832440595323</v>
      </c>
      <c r="AJ22" s="79">
        <v>53.879794864511155</v>
      </c>
      <c r="AK22" s="79">
        <v>42.117766474304887</v>
      </c>
      <c r="AL22" s="79">
        <v>50.684769471288554</v>
      </c>
      <c r="AM22" s="79">
        <v>48.734442180656842</v>
      </c>
    </row>
    <row r="24" spans="1:39" x14ac:dyDescent="0.35">
      <c r="A24" s="9" t="s">
        <v>380</v>
      </c>
    </row>
  </sheetData>
  <phoneticPr fontId="6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57AE7-3F0E-4CC5-A39D-E54112BD2754}">
  <sheetPr>
    <tabColor rgb="FF92D050"/>
  </sheetPr>
  <dimension ref="A1:BS37"/>
  <sheetViews>
    <sheetView showGridLines="0" topLeftCell="A2" zoomScale="85" zoomScaleNormal="85" workbookViewId="0">
      <pane xSplit="1" topLeftCell="Q1" activePane="topRight" state="frozen"/>
      <selection pane="topRight" activeCell="AD30" sqref="AD30"/>
    </sheetView>
  </sheetViews>
  <sheetFormatPr defaultRowHeight="14.5" x14ac:dyDescent="0.35"/>
  <cols>
    <col min="1" max="1" width="42.54296875" customWidth="1"/>
    <col min="2" max="27" width="10.26953125" customWidth="1"/>
  </cols>
  <sheetData>
    <row r="1" spans="1:71" ht="36" customHeight="1" x14ac:dyDescent="0.35"/>
    <row r="2" spans="1:71" s="66" customFormat="1" ht="19" x14ac:dyDescent="0.45">
      <c r="A2" s="65" t="s">
        <v>175</v>
      </c>
      <c r="AD2" s="67"/>
      <c r="AL2" s="67"/>
      <c r="BM2" s="47"/>
      <c r="BO2" s="47"/>
      <c r="BQ2" s="47"/>
      <c r="BS2" s="47"/>
    </row>
    <row r="3" spans="1:71" s="66" customFormat="1" ht="19" x14ac:dyDescent="0.35">
      <c r="A3" s="68" t="s">
        <v>498</v>
      </c>
      <c r="AD3" s="67"/>
      <c r="AL3" s="67"/>
      <c r="BM3" s="47"/>
      <c r="BO3" s="47"/>
      <c r="BQ3" s="47"/>
      <c r="BS3" s="47"/>
    </row>
    <row r="4" spans="1:71" s="66" customFormat="1" ht="19" x14ac:dyDescent="0.35">
      <c r="A4" s="68"/>
      <c r="AD4" s="67"/>
      <c r="AL4" s="67"/>
      <c r="BM4" s="47"/>
      <c r="BO4" s="47"/>
      <c r="BQ4" s="47"/>
      <c r="BS4" s="47"/>
    </row>
    <row r="5" spans="1:71" s="66" customFormat="1" ht="19" x14ac:dyDescent="0.35">
      <c r="A5" s="69" t="s">
        <v>178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BM5" s="47"/>
      <c r="BO5" s="47"/>
      <c r="BQ5" s="47"/>
      <c r="BS5" s="47"/>
    </row>
    <row r="6" spans="1:71" x14ac:dyDescent="0.35">
      <c r="A6" s="200"/>
      <c r="B6" s="113" t="s">
        <v>249</v>
      </c>
      <c r="C6" s="113" t="s">
        <v>250</v>
      </c>
      <c r="D6" s="113" t="s">
        <v>251</v>
      </c>
      <c r="E6" s="113" t="s">
        <v>252</v>
      </c>
      <c r="F6" s="113" t="s">
        <v>253</v>
      </c>
      <c r="G6" s="113" t="s">
        <v>254</v>
      </c>
      <c r="H6" s="113" t="s">
        <v>255</v>
      </c>
      <c r="I6" s="113" t="s">
        <v>256</v>
      </c>
      <c r="J6" s="113" t="s">
        <v>257</v>
      </c>
      <c r="K6" s="113" t="s">
        <v>258</v>
      </c>
      <c r="L6" s="113" t="s">
        <v>259</v>
      </c>
      <c r="M6" s="113" t="s">
        <v>318</v>
      </c>
      <c r="N6" s="113" t="s">
        <v>319</v>
      </c>
      <c r="O6" s="113" t="s">
        <v>384</v>
      </c>
      <c r="P6" s="113" t="s">
        <v>389</v>
      </c>
      <c r="Q6" s="113" t="s">
        <v>392</v>
      </c>
      <c r="R6" s="113" t="s">
        <v>403</v>
      </c>
      <c r="S6" s="113" t="s">
        <v>407</v>
      </c>
      <c r="T6" s="113" t="s">
        <v>411</v>
      </c>
      <c r="U6" s="113" t="s">
        <v>440</v>
      </c>
      <c r="V6" s="113" t="s">
        <v>452</v>
      </c>
      <c r="W6" s="113" t="s">
        <v>464</v>
      </c>
      <c r="X6" s="113" t="s">
        <v>473</v>
      </c>
      <c r="Y6" s="113" t="s">
        <v>475</v>
      </c>
      <c r="Z6" s="113" t="s">
        <v>507</v>
      </c>
      <c r="AA6" s="113" t="s">
        <v>524</v>
      </c>
    </row>
    <row r="7" spans="1:71" x14ac:dyDescent="0.35">
      <c r="A7" s="9" t="s">
        <v>263</v>
      </c>
      <c r="B7" s="79">
        <v>77335</v>
      </c>
      <c r="C7" s="79">
        <v>55580</v>
      </c>
      <c r="D7" s="79">
        <v>61614</v>
      </c>
      <c r="E7" s="79">
        <v>74274</v>
      </c>
      <c r="F7" s="79">
        <v>85350</v>
      </c>
      <c r="G7" s="79">
        <v>121173</v>
      </c>
      <c r="H7" s="79">
        <v>135439</v>
      </c>
      <c r="I7" s="79">
        <v>130823.52856000001</v>
      </c>
      <c r="J7" s="79">
        <v>141290</v>
      </c>
      <c r="K7" s="79">
        <v>200757</v>
      </c>
      <c r="L7" s="79">
        <v>276423</v>
      </c>
      <c r="M7" s="79">
        <v>266632</v>
      </c>
      <c r="N7" s="79">
        <v>261543.06169999999</v>
      </c>
      <c r="O7" s="79">
        <v>274604.51199999999</v>
      </c>
      <c r="P7" s="79">
        <v>293420.50300000003</v>
      </c>
      <c r="Q7" s="79">
        <v>310040.049</v>
      </c>
      <c r="R7" s="79">
        <v>238274</v>
      </c>
      <c r="S7" s="79">
        <v>227092</v>
      </c>
      <c r="T7" s="79">
        <v>432755</v>
      </c>
      <c r="U7" s="79">
        <v>458050.10617499478</v>
      </c>
      <c r="V7" s="79">
        <v>403202.4247989906</v>
      </c>
      <c r="W7" s="79">
        <v>394433.18699999998</v>
      </c>
      <c r="X7" s="79">
        <v>394276</v>
      </c>
      <c r="Y7" s="79">
        <v>526092</v>
      </c>
      <c r="Z7" s="79">
        <v>471223.21457000024</v>
      </c>
      <c r="AA7" s="79">
        <v>512591.27799999999</v>
      </c>
    </row>
    <row r="8" spans="1:71" x14ac:dyDescent="0.35">
      <c r="A8" s="9" t="s">
        <v>413</v>
      </c>
      <c r="B8" s="79">
        <f>B7</f>
        <v>77335</v>
      </c>
      <c r="C8" s="79">
        <f t="shared" ref="C8:J8" si="0">C7</f>
        <v>55580</v>
      </c>
      <c r="D8" s="79">
        <f t="shared" si="0"/>
        <v>61614</v>
      </c>
      <c r="E8" s="79">
        <f t="shared" si="0"/>
        <v>74274</v>
      </c>
      <c r="F8" s="79">
        <f t="shared" si="0"/>
        <v>85350</v>
      </c>
      <c r="G8" s="79">
        <f t="shared" si="0"/>
        <v>121173</v>
      </c>
      <c r="H8" s="79">
        <f t="shared" si="0"/>
        <v>135439</v>
      </c>
      <c r="I8" s="79">
        <f t="shared" si="0"/>
        <v>130823.52856000001</v>
      </c>
      <c r="J8" s="79">
        <f t="shared" si="0"/>
        <v>141290</v>
      </c>
      <c r="K8" s="183">
        <v>186081.53062000001</v>
      </c>
      <c r="L8" s="183">
        <v>207281.44968000002</v>
      </c>
      <c r="M8" s="183">
        <v>238012.44088000001</v>
      </c>
      <c r="N8" s="79">
        <f>N7</f>
        <v>261543.06169999999</v>
      </c>
      <c r="O8" s="79">
        <f t="shared" ref="O8:Z8" si="1">O7</f>
        <v>274604.51199999999</v>
      </c>
      <c r="P8" s="79">
        <f t="shared" si="1"/>
        <v>293420.50300000003</v>
      </c>
      <c r="Q8" s="79">
        <f t="shared" si="1"/>
        <v>310040.049</v>
      </c>
      <c r="R8" s="79">
        <f t="shared" si="1"/>
        <v>238274</v>
      </c>
      <c r="S8" s="79">
        <f t="shared" si="1"/>
        <v>227092</v>
      </c>
      <c r="T8" s="79">
        <f t="shared" si="1"/>
        <v>432755</v>
      </c>
      <c r="U8" s="79">
        <f t="shared" si="1"/>
        <v>458050.10617499478</v>
      </c>
      <c r="V8" s="79">
        <f t="shared" si="1"/>
        <v>403202.4247989906</v>
      </c>
      <c r="W8" s="79">
        <f t="shared" si="1"/>
        <v>394433.18699999998</v>
      </c>
      <c r="X8" s="79">
        <f t="shared" si="1"/>
        <v>394276</v>
      </c>
      <c r="Y8" s="79">
        <f t="shared" si="1"/>
        <v>526092</v>
      </c>
      <c r="Z8" s="79">
        <f t="shared" si="1"/>
        <v>471223.21457000024</v>
      </c>
      <c r="AA8" s="79">
        <v>512591.27799999999</v>
      </c>
    </row>
    <row r="9" spans="1:71" x14ac:dyDescent="0.35">
      <c r="A9" s="9" t="s">
        <v>486</v>
      </c>
      <c r="B9" s="79">
        <v>71122</v>
      </c>
      <c r="C9" s="79">
        <v>48186</v>
      </c>
      <c r="D9" s="79">
        <v>54827</v>
      </c>
      <c r="E9" s="79">
        <v>68078</v>
      </c>
      <c r="F9" s="79">
        <v>78441</v>
      </c>
      <c r="G9" s="79">
        <v>111524</v>
      </c>
      <c r="H9" s="79">
        <v>123583</v>
      </c>
      <c r="I9" s="79">
        <v>119593</v>
      </c>
      <c r="J9" s="79">
        <v>129288</v>
      </c>
      <c r="K9" s="79">
        <v>183942</v>
      </c>
      <c r="L9" s="79">
        <v>254439</v>
      </c>
      <c r="M9" s="79">
        <v>245825</v>
      </c>
      <c r="N9" s="79">
        <v>241262</v>
      </c>
      <c r="O9" s="79">
        <v>253935</v>
      </c>
      <c r="P9" s="79">
        <v>268957</v>
      </c>
      <c r="Q9" s="79">
        <v>282257</v>
      </c>
      <c r="R9" s="79">
        <v>216431</v>
      </c>
      <c r="S9" s="79">
        <v>205260</v>
      </c>
      <c r="T9" s="79">
        <v>392676</v>
      </c>
      <c r="U9" s="79">
        <v>419693</v>
      </c>
      <c r="V9" s="79">
        <v>368845</v>
      </c>
      <c r="W9" s="79">
        <v>361894</v>
      </c>
      <c r="X9" s="79">
        <v>359134</v>
      </c>
      <c r="Y9" s="79">
        <v>473750</v>
      </c>
      <c r="Z9" s="79">
        <v>421197</v>
      </c>
      <c r="AA9" s="79">
        <v>462618</v>
      </c>
    </row>
    <row r="10" spans="1:71" x14ac:dyDescent="0.35">
      <c r="A10" s="9" t="s">
        <v>487</v>
      </c>
      <c r="B10" s="79">
        <f>B9</f>
        <v>71122</v>
      </c>
      <c r="C10" s="79">
        <f t="shared" ref="C10:J10" si="2">C9</f>
        <v>48186</v>
      </c>
      <c r="D10" s="79">
        <f t="shared" si="2"/>
        <v>54827</v>
      </c>
      <c r="E10" s="79">
        <f t="shared" si="2"/>
        <v>68078</v>
      </c>
      <c r="F10" s="79">
        <f t="shared" si="2"/>
        <v>78441</v>
      </c>
      <c r="G10" s="79">
        <f t="shared" si="2"/>
        <v>111524</v>
      </c>
      <c r="H10" s="79">
        <f t="shared" si="2"/>
        <v>123583</v>
      </c>
      <c r="I10" s="79">
        <f t="shared" si="2"/>
        <v>119593</v>
      </c>
      <c r="J10" s="79">
        <f t="shared" si="2"/>
        <v>129288</v>
      </c>
      <c r="K10" s="183">
        <v>170536.25371999998</v>
      </c>
      <c r="L10" s="183">
        <v>191278.18278</v>
      </c>
      <c r="M10" s="183">
        <v>219680.98574931119</v>
      </c>
      <c r="N10" s="79">
        <f>N9</f>
        <v>241262</v>
      </c>
      <c r="O10" s="79">
        <f t="shared" ref="O10:Z10" si="3">O9</f>
        <v>253935</v>
      </c>
      <c r="P10" s="79">
        <f t="shared" si="3"/>
        <v>268957</v>
      </c>
      <c r="Q10" s="79">
        <f t="shared" si="3"/>
        <v>282257</v>
      </c>
      <c r="R10" s="79">
        <f t="shared" si="3"/>
        <v>216431</v>
      </c>
      <c r="S10" s="79">
        <f t="shared" si="3"/>
        <v>205260</v>
      </c>
      <c r="T10" s="79">
        <f t="shared" si="3"/>
        <v>392676</v>
      </c>
      <c r="U10" s="79">
        <f t="shared" si="3"/>
        <v>419693</v>
      </c>
      <c r="V10" s="79">
        <f t="shared" si="3"/>
        <v>368845</v>
      </c>
      <c r="W10" s="79">
        <f t="shared" si="3"/>
        <v>361894</v>
      </c>
      <c r="X10" s="79">
        <f t="shared" si="3"/>
        <v>359134</v>
      </c>
      <c r="Y10" s="79">
        <f t="shared" si="3"/>
        <v>473750</v>
      </c>
      <c r="Z10" s="79">
        <f t="shared" si="3"/>
        <v>421197</v>
      </c>
      <c r="AA10" s="79">
        <v>462618</v>
      </c>
    </row>
    <row r="11" spans="1:71" x14ac:dyDescent="0.35">
      <c r="A11" s="9" t="s">
        <v>488</v>
      </c>
      <c r="B11" s="79">
        <v>-61707</v>
      </c>
      <c r="C11" s="79">
        <v>-52435</v>
      </c>
      <c r="D11" s="79">
        <v>-45380</v>
      </c>
      <c r="E11" s="79">
        <v>-55542</v>
      </c>
      <c r="F11" s="79">
        <v>-67030</v>
      </c>
      <c r="G11" s="79">
        <v>-90054</v>
      </c>
      <c r="H11" s="79">
        <v>-102421</v>
      </c>
      <c r="I11" s="79">
        <v>-103182</v>
      </c>
      <c r="J11" s="79">
        <v>-103765</v>
      </c>
      <c r="K11" s="79">
        <v>-144536</v>
      </c>
      <c r="L11" s="79">
        <v>-176368</v>
      </c>
      <c r="M11" s="79">
        <v>-190243</v>
      </c>
      <c r="N11" s="79">
        <v>-191671</v>
      </c>
      <c r="O11" s="79">
        <v>-199081</v>
      </c>
      <c r="P11" s="79">
        <v>-217445</v>
      </c>
      <c r="Q11" s="79">
        <v>-222643</v>
      </c>
      <c r="R11" s="79">
        <v>-172916</v>
      </c>
      <c r="S11" s="79">
        <v>-166271</v>
      </c>
      <c r="T11" s="79">
        <v>-303825</v>
      </c>
      <c r="U11" s="79">
        <v>-317453</v>
      </c>
      <c r="V11" s="79">
        <v>-295005</v>
      </c>
      <c r="W11" s="79">
        <v>-290091</v>
      </c>
      <c r="X11" s="79">
        <v>-285065</v>
      </c>
      <c r="Y11" s="79">
        <v>-383114</v>
      </c>
      <c r="Z11" s="79">
        <v>-357176</v>
      </c>
      <c r="AA11" s="79">
        <v>-375171</v>
      </c>
    </row>
    <row r="12" spans="1:71" x14ac:dyDescent="0.35">
      <c r="A12" s="9" t="s">
        <v>281</v>
      </c>
      <c r="B12" s="79">
        <f>B11</f>
        <v>-61707</v>
      </c>
      <c r="C12" s="79">
        <f t="shared" ref="C12:J12" si="4">C11</f>
        <v>-52435</v>
      </c>
      <c r="D12" s="79">
        <f t="shared" si="4"/>
        <v>-45380</v>
      </c>
      <c r="E12" s="79">
        <f t="shared" si="4"/>
        <v>-55542</v>
      </c>
      <c r="F12" s="79">
        <f t="shared" si="4"/>
        <v>-67030</v>
      </c>
      <c r="G12" s="79">
        <f t="shared" si="4"/>
        <v>-90054</v>
      </c>
      <c r="H12" s="79">
        <f t="shared" si="4"/>
        <v>-102421</v>
      </c>
      <c r="I12" s="79">
        <f t="shared" si="4"/>
        <v>-103182</v>
      </c>
      <c r="J12" s="79">
        <f t="shared" si="4"/>
        <v>-103765</v>
      </c>
      <c r="K12" s="183">
        <v>-137072.54642643762</v>
      </c>
      <c r="L12" s="183">
        <v>-145471.21139314896</v>
      </c>
      <c r="M12" s="183">
        <v>-171413.78970104255</v>
      </c>
      <c r="N12" s="79">
        <f>N11</f>
        <v>-191671</v>
      </c>
      <c r="O12" s="79">
        <f t="shared" ref="O12:Z12" si="5">O11</f>
        <v>-199081</v>
      </c>
      <c r="P12" s="79">
        <f t="shared" si="5"/>
        <v>-217445</v>
      </c>
      <c r="Q12" s="79">
        <f t="shared" si="5"/>
        <v>-222643</v>
      </c>
      <c r="R12" s="79">
        <f t="shared" si="5"/>
        <v>-172916</v>
      </c>
      <c r="S12" s="79">
        <f t="shared" si="5"/>
        <v>-166271</v>
      </c>
      <c r="T12" s="79">
        <f t="shared" si="5"/>
        <v>-303825</v>
      </c>
      <c r="U12" s="79">
        <f t="shared" si="5"/>
        <v>-317453</v>
      </c>
      <c r="V12" s="79">
        <f t="shared" si="5"/>
        <v>-295005</v>
      </c>
      <c r="W12" s="79">
        <f t="shared" si="5"/>
        <v>-290091</v>
      </c>
      <c r="X12" s="79">
        <f t="shared" si="5"/>
        <v>-285065</v>
      </c>
      <c r="Y12" s="79">
        <f t="shared" si="5"/>
        <v>-383114</v>
      </c>
      <c r="Z12" s="79">
        <f t="shared" si="5"/>
        <v>-357176</v>
      </c>
      <c r="AA12" s="79">
        <v>-375171</v>
      </c>
    </row>
    <row r="13" spans="1:71" x14ac:dyDescent="0.35">
      <c r="A13" s="9" t="s">
        <v>489</v>
      </c>
      <c r="B13" s="79">
        <v>9415</v>
      </c>
      <c r="C13" s="79">
        <v>-4249</v>
      </c>
      <c r="D13" s="79">
        <v>9447</v>
      </c>
      <c r="E13" s="79">
        <v>12536</v>
      </c>
      <c r="F13" s="79">
        <v>11411</v>
      </c>
      <c r="G13" s="79">
        <v>21470</v>
      </c>
      <c r="H13" s="79">
        <v>21162</v>
      </c>
      <c r="I13" s="79">
        <v>16411</v>
      </c>
      <c r="J13" s="79">
        <v>25523</v>
      </c>
      <c r="K13" s="79">
        <v>39406</v>
      </c>
      <c r="L13" s="79">
        <v>78071</v>
      </c>
      <c r="M13" s="79">
        <v>55582</v>
      </c>
      <c r="N13" s="79">
        <v>49591</v>
      </c>
      <c r="O13" s="79">
        <v>54854</v>
      </c>
      <c r="P13" s="79">
        <v>51512</v>
      </c>
      <c r="Q13" s="79">
        <v>59614</v>
      </c>
      <c r="R13" s="79">
        <v>43515</v>
      </c>
      <c r="S13" s="79">
        <v>38989</v>
      </c>
      <c r="T13" s="79">
        <v>88851</v>
      </c>
      <c r="U13" s="79">
        <v>102240</v>
      </c>
      <c r="V13" s="79">
        <v>73840</v>
      </c>
      <c r="W13" s="79">
        <v>71803</v>
      </c>
      <c r="X13" s="79">
        <v>74069</v>
      </c>
      <c r="Y13" s="79">
        <v>90636</v>
      </c>
      <c r="Z13" s="79">
        <v>64021</v>
      </c>
      <c r="AA13" s="79">
        <v>87447</v>
      </c>
    </row>
    <row r="14" spans="1:71" x14ac:dyDescent="0.35">
      <c r="A14" s="9" t="s">
        <v>490</v>
      </c>
      <c r="B14" s="79">
        <f>B13</f>
        <v>9415</v>
      </c>
      <c r="C14" s="79">
        <f t="shared" ref="C14:J14" si="6">C13</f>
        <v>-4249</v>
      </c>
      <c r="D14" s="79">
        <f t="shared" si="6"/>
        <v>9447</v>
      </c>
      <c r="E14" s="79">
        <f t="shared" si="6"/>
        <v>12536</v>
      </c>
      <c r="F14" s="79">
        <f t="shared" si="6"/>
        <v>11411</v>
      </c>
      <c r="G14" s="79">
        <f t="shared" si="6"/>
        <v>21470</v>
      </c>
      <c r="H14" s="79">
        <f t="shared" si="6"/>
        <v>21162</v>
      </c>
      <c r="I14" s="79">
        <f t="shared" si="6"/>
        <v>16411</v>
      </c>
      <c r="J14" s="79">
        <f t="shared" si="6"/>
        <v>25523</v>
      </c>
      <c r="K14" s="183">
        <v>33463.707293562402</v>
      </c>
      <c r="L14" s="183">
        <v>45806.97138685103</v>
      </c>
      <c r="M14" s="183">
        <v>48267.196048268612</v>
      </c>
      <c r="N14" s="79">
        <f>N13</f>
        <v>49591</v>
      </c>
      <c r="O14" s="79">
        <f t="shared" ref="O14:Z14" si="7">O13</f>
        <v>54854</v>
      </c>
      <c r="P14" s="79">
        <f t="shared" si="7"/>
        <v>51512</v>
      </c>
      <c r="Q14" s="79">
        <f t="shared" si="7"/>
        <v>59614</v>
      </c>
      <c r="R14" s="79">
        <f t="shared" si="7"/>
        <v>43515</v>
      </c>
      <c r="S14" s="79">
        <f t="shared" si="7"/>
        <v>38989</v>
      </c>
      <c r="T14" s="79">
        <f t="shared" si="7"/>
        <v>88851</v>
      </c>
      <c r="U14" s="79">
        <f t="shared" si="7"/>
        <v>102240</v>
      </c>
      <c r="V14" s="79">
        <f t="shared" si="7"/>
        <v>73840</v>
      </c>
      <c r="W14" s="79">
        <f t="shared" si="7"/>
        <v>71803</v>
      </c>
      <c r="X14" s="79">
        <f t="shared" si="7"/>
        <v>74069</v>
      </c>
      <c r="Y14" s="79">
        <f t="shared" si="7"/>
        <v>90636</v>
      </c>
      <c r="Z14" s="79">
        <f t="shared" si="7"/>
        <v>64021</v>
      </c>
      <c r="AA14" s="79">
        <v>87447</v>
      </c>
    </row>
    <row r="15" spans="1:71" x14ac:dyDescent="0.35">
      <c r="A15" s="9" t="s">
        <v>491</v>
      </c>
      <c r="B15" s="79">
        <v>1361</v>
      </c>
      <c r="C15" s="79">
        <v>-10798</v>
      </c>
      <c r="D15" s="79">
        <v>-12461</v>
      </c>
      <c r="E15" s="79">
        <v>-9883</v>
      </c>
      <c r="F15" s="79">
        <v>-11007</v>
      </c>
      <c r="G15" s="79">
        <v>-12675</v>
      </c>
      <c r="H15" s="79">
        <v>-14047</v>
      </c>
      <c r="I15" s="79">
        <v>-12233</v>
      </c>
      <c r="J15" s="79">
        <v>-14971</v>
      </c>
      <c r="K15" s="79">
        <v>-19973</v>
      </c>
      <c r="L15" s="79">
        <v>-27577</v>
      </c>
      <c r="M15" s="79">
        <v>-31603</v>
      </c>
      <c r="N15" s="79">
        <v>-25536</v>
      </c>
      <c r="O15" s="79">
        <v>-30564</v>
      </c>
      <c r="P15" s="79">
        <v>-30896</v>
      </c>
      <c r="Q15" s="79">
        <v>-41176</v>
      </c>
      <c r="R15" s="79">
        <v>-29528</v>
      </c>
      <c r="S15" s="79">
        <v>-32401</v>
      </c>
      <c r="T15" s="79">
        <v>-43794</v>
      </c>
      <c r="U15" s="79">
        <v>-56390</v>
      </c>
      <c r="V15" s="79">
        <v>-52195</v>
      </c>
      <c r="W15" s="79">
        <v>-50265</v>
      </c>
      <c r="X15" s="79">
        <v>-50130</v>
      </c>
      <c r="Y15" s="79">
        <v>-62096</v>
      </c>
      <c r="Z15" s="79">
        <v>8414</v>
      </c>
      <c r="AA15" s="79">
        <v>-52827</v>
      </c>
    </row>
    <row r="16" spans="1:71" x14ac:dyDescent="0.35">
      <c r="A16" s="175" t="s">
        <v>525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79">
        <v>49486</v>
      </c>
      <c r="AA16" s="183"/>
    </row>
    <row r="17" spans="1:27" x14ac:dyDescent="0.35">
      <c r="A17" s="175" t="s">
        <v>526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79">
        <v>-1434</v>
      </c>
      <c r="W17" s="79">
        <v>-575</v>
      </c>
      <c r="X17" s="79">
        <v>-1272</v>
      </c>
      <c r="Y17" s="79">
        <v>-1800</v>
      </c>
      <c r="Z17" s="79">
        <v>-1031</v>
      </c>
      <c r="AA17" s="79">
        <v>-1172</v>
      </c>
    </row>
    <row r="18" spans="1:27" x14ac:dyDescent="0.35">
      <c r="A18" s="175" t="s">
        <v>527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79">
        <v>-6092</v>
      </c>
      <c r="W18" s="79">
        <v>-6286</v>
      </c>
      <c r="X18" s="79">
        <v>-6206</v>
      </c>
      <c r="Y18" s="79">
        <v>-8977</v>
      </c>
      <c r="Z18" s="79">
        <v>-8073</v>
      </c>
      <c r="AA18" s="79">
        <v>-7881</v>
      </c>
    </row>
    <row r="19" spans="1:27" x14ac:dyDescent="0.35">
      <c r="A19" s="9" t="s">
        <v>492</v>
      </c>
      <c r="B19" s="79">
        <f t="shared" ref="B19:U19" si="8">B15</f>
        <v>1361</v>
      </c>
      <c r="C19" s="79">
        <f t="shared" si="8"/>
        <v>-10798</v>
      </c>
      <c r="D19" s="79">
        <f t="shared" si="8"/>
        <v>-12461</v>
      </c>
      <c r="E19" s="79">
        <f t="shared" si="8"/>
        <v>-9883</v>
      </c>
      <c r="F19" s="79">
        <f t="shared" si="8"/>
        <v>-11007</v>
      </c>
      <c r="G19" s="79">
        <f t="shared" si="8"/>
        <v>-12675</v>
      </c>
      <c r="H19" s="79">
        <f t="shared" si="8"/>
        <v>-14047</v>
      </c>
      <c r="I19" s="79">
        <f t="shared" si="8"/>
        <v>-12233</v>
      </c>
      <c r="J19" s="79">
        <f t="shared" si="8"/>
        <v>-14971</v>
      </c>
      <c r="K19" s="79">
        <f t="shared" si="8"/>
        <v>-19973</v>
      </c>
      <c r="L19" s="79">
        <f t="shared" si="8"/>
        <v>-27577</v>
      </c>
      <c r="M19" s="79">
        <f t="shared" si="8"/>
        <v>-31603</v>
      </c>
      <c r="N19" s="79">
        <f t="shared" si="8"/>
        <v>-25536</v>
      </c>
      <c r="O19" s="79">
        <f t="shared" si="8"/>
        <v>-30564</v>
      </c>
      <c r="P19" s="79">
        <f t="shared" si="8"/>
        <v>-30896</v>
      </c>
      <c r="Q19" s="79">
        <f t="shared" si="8"/>
        <v>-41176</v>
      </c>
      <c r="R19" s="79">
        <f t="shared" si="8"/>
        <v>-29528</v>
      </c>
      <c r="S19" s="79">
        <f t="shared" si="8"/>
        <v>-32401</v>
      </c>
      <c r="T19" s="79">
        <f t="shared" si="8"/>
        <v>-43794</v>
      </c>
      <c r="U19" s="79">
        <f t="shared" si="8"/>
        <v>-56390</v>
      </c>
      <c r="V19" s="183">
        <f t="shared" ref="V19:Z19" si="9">V15-V16-V17-V18</f>
        <v>-44669</v>
      </c>
      <c r="W19" s="183">
        <f t="shared" si="9"/>
        <v>-43404</v>
      </c>
      <c r="X19" s="183">
        <f t="shared" si="9"/>
        <v>-42652</v>
      </c>
      <c r="Y19" s="183">
        <f t="shared" si="9"/>
        <v>-51319</v>
      </c>
      <c r="Z19" s="183">
        <f t="shared" si="9"/>
        <v>-31968</v>
      </c>
      <c r="AA19" s="183">
        <f>AA15-AA16-AA17-AA18</f>
        <v>-43774</v>
      </c>
    </row>
    <row r="20" spans="1:27" hidden="1" x14ac:dyDescent="0.35">
      <c r="A20" s="9"/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74"/>
    </row>
    <row r="21" spans="1:27" x14ac:dyDescent="0.35">
      <c r="A21" s="9" t="s">
        <v>264</v>
      </c>
      <c r="B21" s="79">
        <v>15895</v>
      </c>
      <c r="C21" s="79">
        <v>-9787</v>
      </c>
      <c r="D21" s="79">
        <v>2805</v>
      </c>
      <c r="E21" s="79">
        <v>8098</v>
      </c>
      <c r="F21" s="79">
        <v>5312</v>
      </c>
      <c r="G21" s="79">
        <v>14237.102000000001</v>
      </c>
      <c r="H21" s="79">
        <v>12765.557219999999</v>
      </c>
      <c r="I21" s="79">
        <v>9087.5983300000007</v>
      </c>
      <c r="J21" s="79">
        <v>16497.354729999999</v>
      </c>
      <c r="K21" s="79">
        <v>25876</v>
      </c>
      <c r="L21" s="79">
        <v>57437</v>
      </c>
      <c r="M21" s="79">
        <v>30944.526989999998</v>
      </c>
      <c r="N21" s="79">
        <v>32780.836929999998</v>
      </c>
      <c r="O21" s="79">
        <v>33644.09883000001</v>
      </c>
      <c r="P21" s="79">
        <v>29615</v>
      </c>
      <c r="Q21" s="79">
        <v>30420</v>
      </c>
      <c r="R21" s="79">
        <v>24805</v>
      </c>
      <c r="S21" s="79">
        <v>17692</v>
      </c>
      <c r="T21" s="79">
        <v>58131</v>
      </c>
      <c r="U21" s="79">
        <v>59986.332511764704</v>
      </c>
      <c r="V21" s="79">
        <v>40109</v>
      </c>
      <c r="W21" s="79">
        <v>40018</v>
      </c>
      <c r="X21" s="79">
        <v>42564</v>
      </c>
      <c r="Y21" s="79">
        <v>61956.203289523117</v>
      </c>
      <c r="Z21" s="79">
        <v>109271</v>
      </c>
      <c r="AA21" s="79">
        <v>71042</v>
      </c>
    </row>
    <row r="22" spans="1:27" x14ac:dyDescent="0.35">
      <c r="A22" s="9" t="s">
        <v>283</v>
      </c>
      <c r="B22" s="79">
        <f>B21</f>
        <v>15895</v>
      </c>
      <c r="C22" s="79">
        <f t="shared" ref="C22:J22" si="10">C21</f>
        <v>-9787</v>
      </c>
      <c r="D22" s="79">
        <f t="shared" si="10"/>
        <v>2805</v>
      </c>
      <c r="E22" s="79">
        <f t="shared" si="10"/>
        <v>8098</v>
      </c>
      <c r="F22" s="79">
        <f t="shared" si="10"/>
        <v>5312</v>
      </c>
      <c r="G22" s="79">
        <f t="shared" si="10"/>
        <v>14237.102000000001</v>
      </c>
      <c r="H22" s="79">
        <f t="shared" si="10"/>
        <v>12765.557219999999</v>
      </c>
      <c r="I22" s="79">
        <f t="shared" si="10"/>
        <v>9087.5983300000007</v>
      </c>
      <c r="J22" s="79">
        <f t="shared" si="10"/>
        <v>16497.354729999999</v>
      </c>
      <c r="K22" s="183">
        <v>19710.390285714289</v>
      </c>
      <c r="L22" s="183">
        <v>26273.891857142858</v>
      </c>
      <c r="M22" s="183">
        <v>24912.109571428569</v>
      </c>
      <c r="N22" s="79">
        <f>N21</f>
        <v>32780.836929999998</v>
      </c>
      <c r="O22" s="79">
        <f t="shared" ref="O22:U22" si="11">O21</f>
        <v>33644.09883000001</v>
      </c>
      <c r="P22" s="79">
        <f t="shared" si="11"/>
        <v>29615</v>
      </c>
      <c r="Q22" s="79">
        <f t="shared" si="11"/>
        <v>30420</v>
      </c>
      <c r="R22" s="79">
        <f t="shared" si="11"/>
        <v>24805</v>
      </c>
      <c r="S22" s="79">
        <f t="shared" si="11"/>
        <v>17692</v>
      </c>
      <c r="T22" s="79">
        <f t="shared" si="11"/>
        <v>58131</v>
      </c>
      <c r="U22" s="79">
        <f t="shared" si="11"/>
        <v>59986.332511764704</v>
      </c>
      <c r="V22" s="183">
        <f t="shared" ref="V22:Y22" si="12">V21-V17-V16</f>
        <v>41543</v>
      </c>
      <c r="W22" s="183">
        <f t="shared" si="12"/>
        <v>40593</v>
      </c>
      <c r="X22" s="183">
        <f t="shared" si="12"/>
        <v>43836</v>
      </c>
      <c r="Y22" s="183">
        <f t="shared" si="12"/>
        <v>63756.203289523117</v>
      </c>
      <c r="Z22" s="183">
        <f>Z21-Z17-Z16</f>
        <v>60816</v>
      </c>
      <c r="AA22" s="183">
        <f>AA21-AA17-AA16</f>
        <v>72214</v>
      </c>
    </row>
    <row r="23" spans="1:27" x14ac:dyDescent="0.35">
      <c r="A23" s="9" t="s">
        <v>493</v>
      </c>
      <c r="B23" s="79">
        <v>10776</v>
      </c>
      <c r="C23" s="79">
        <v>-15047</v>
      </c>
      <c r="D23" s="79">
        <v>-3014</v>
      </c>
      <c r="E23" s="79">
        <v>2653</v>
      </c>
      <c r="F23" s="79">
        <v>404</v>
      </c>
      <c r="G23" s="79">
        <v>8795</v>
      </c>
      <c r="H23" s="79">
        <v>7115</v>
      </c>
      <c r="I23" s="79">
        <v>4178</v>
      </c>
      <c r="J23" s="79">
        <v>10552</v>
      </c>
      <c r="K23" s="79">
        <v>19433</v>
      </c>
      <c r="L23" s="79">
        <v>50494</v>
      </c>
      <c r="M23" s="79">
        <v>23979</v>
      </c>
      <c r="N23" s="79">
        <v>24055</v>
      </c>
      <c r="O23" s="79">
        <v>24290</v>
      </c>
      <c r="P23" s="79">
        <v>20616</v>
      </c>
      <c r="Q23" s="79">
        <v>18438</v>
      </c>
      <c r="R23" s="79">
        <v>13987</v>
      </c>
      <c r="S23" s="79">
        <v>6588</v>
      </c>
      <c r="T23" s="79">
        <v>45057</v>
      </c>
      <c r="U23" s="79">
        <v>45850</v>
      </c>
      <c r="V23" s="79">
        <v>21645</v>
      </c>
      <c r="W23" s="79">
        <v>21538</v>
      </c>
      <c r="X23" s="79">
        <v>23939</v>
      </c>
      <c r="Y23" s="79">
        <v>28540</v>
      </c>
      <c r="Z23" s="79">
        <v>72435</v>
      </c>
      <c r="AA23" s="79">
        <v>34620</v>
      </c>
    </row>
    <row r="24" spans="1:27" x14ac:dyDescent="0.35">
      <c r="A24" t="s">
        <v>265</v>
      </c>
      <c r="B24" s="79">
        <f t="shared" ref="B24:I24" si="13">B23</f>
        <v>10776</v>
      </c>
      <c r="C24" s="79">
        <f t="shared" si="13"/>
        <v>-15047</v>
      </c>
      <c r="D24" s="79">
        <f t="shared" si="13"/>
        <v>-3014</v>
      </c>
      <c r="E24" s="79">
        <f t="shared" si="13"/>
        <v>2653</v>
      </c>
      <c r="F24" s="79">
        <f t="shared" si="13"/>
        <v>404</v>
      </c>
      <c r="G24" s="79">
        <f t="shared" si="13"/>
        <v>8795</v>
      </c>
      <c r="H24" s="79">
        <f t="shared" si="13"/>
        <v>7115</v>
      </c>
      <c r="I24" s="79">
        <f t="shared" si="13"/>
        <v>4178</v>
      </c>
      <c r="J24" s="79">
        <f>J23</f>
        <v>10552</v>
      </c>
      <c r="K24" s="183">
        <v>13268.559475714288</v>
      </c>
      <c r="L24" s="183">
        <v>19330.518147142855</v>
      </c>
      <c r="M24" s="183">
        <v>17945.819571428568</v>
      </c>
      <c r="N24" s="79">
        <f t="shared" ref="N24:U24" si="14">N23</f>
        <v>24055</v>
      </c>
      <c r="O24" s="79">
        <f t="shared" si="14"/>
        <v>24290</v>
      </c>
      <c r="P24" s="79">
        <f t="shared" si="14"/>
        <v>20616</v>
      </c>
      <c r="Q24" s="79">
        <f t="shared" si="14"/>
        <v>18438</v>
      </c>
      <c r="R24" s="79">
        <f t="shared" si="14"/>
        <v>13987</v>
      </c>
      <c r="S24" s="79">
        <f t="shared" si="14"/>
        <v>6588</v>
      </c>
      <c r="T24" s="79">
        <f t="shared" si="14"/>
        <v>45057</v>
      </c>
      <c r="U24" s="79">
        <f t="shared" si="14"/>
        <v>45850</v>
      </c>
      <c r="V24" s="183">
        <f t="shared" ref="V24:Z24" si="15">V23-V16-V17-V18</f>
        <v>29171</v>
      </c>
      <c r="W24" s="183">
        <f t="shared" si="15"/>
        <v>28399</v>
      </c>
      <c r="X24" s="183">
        <f t="shared" si="15"/>
        <v>31417</v>
      </c>
      <c r="Y24" s="183">
        <f t="shared" si="15"/>
        <v>39317</v>
      </c>
      <c r="Z24" s="183">
        <f t="shared" si="15"/>
        <v>32053</v>
      </c>
      <c r="AA24" s="183">
        <f>AA23-AA16-AA17-AA18</f>
        <v>43673</v>
      </c>
    </row>
    <row r="25" spans="1:27" x14ac:dyDescent="0.35">
      <c r="A25" t="s">
        <v>494</v>
      </c>
      <c r="B25" s="79">
        <v>3270</v>
      </c>
      <c r="C25" s="79">
        <v>-18152</v>
      </c>
      <c r="D25" s="79">
        <v>-4930</v>
      </c>
      <c r="E25" s="79">
        <v>16716</v>
      </c>
      <c r="F25" s="79">
        <v>-1031</v>
      </c>
      <c r="G25" s="79">
        <v>6204</v>
      </c>
      <c r="H25" s="79">
        <v>3781</v>
      </c>
      <c r="I25" s="79">
        <v>5545</v>
      </c>
      <c r="J25" s="79">
        <v>5230</v>
      </c>
      <c r="K25" s="79">
        <v>10946</v>
      </c>
      <c r="L25" s="79">
        <v>36381</v>
      </c>
      <c r="M25" s="79">
        <v>12377</v>
      </c>
      <c r="N25" s="79">
        <v>8865</v>
      </c>
      <c r="O25" s="79">
        <v>8950</v>
      </c>
      <c r="P25" s="79">
        <v>2339</v>
      </c>
      <c r="Q25" s="79">
        <v>4926</v>
      </c>
      <c r="R25" s="79">
        <v>2835</v>
      </c>
      <c r="S25" s="79">
        <v>-2696</v>
      </c>
      <c r="T25" s="79">
        <v>20767</v>
      </c>
      <c r="U25" s="79">
        <v>21349</v>
      </c>
      <c r="V25" s="79">
        <v>4017</v>
      </c>
      <c r="W25" s="79">
        <v>508</v>
      </c>
      <c r="X25" s="79">
        <v>3060</v>
      </c>
      <c r="Y25" s="79">
        <v>819</v>
      </c>
      <c r="Z25" s="79">
        <v>52715</v>
      </c>
      <c r="AA25" s="79">
        <v>-1030</v>
      </c>
    </row>
    <row r="26" spans="1:27" x14ac:dyDescent="0.35">
      <c r="A26" s="175" t="s">
        <v>528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79">
        <v>11180.791999999999</v>
      </c>
      <c r="AA26" s="183"/>
    </row>
    <row r="27" spans="1:27" x14ac:dyDescent="0.35">
      <c r="A27" t="s">
        <v>495</v>
      </c>
      <c r="B27" s="79">
        <f t="shared" ref="B27:I27" si="16">B25</f>
        <v>3270</v>
      </c>
      <c r="C27" s="79">
        <f t="shared" si="16"/>
        <v>-18152</v>
      </c>
      <c r="D27" s="79">
        <f t="shared" si="16"/>
        <v>-4930</v>
      </c>
      <c r="E27" s="79">
        <f t="shared" si="16"/>
        <v>16716</v>
      </c>
      <c r="F27" s="79">
        <f t="shared" si="16"/>
        <v>-1031</v>
      </c>
      <c r="G27" s="79">
        <f t="shared" si="16"/>
        <v>6204</v>
      </c>
      <c r="H27" s="79">
        <f t="shared" si="16"/>
        <v>3781</v>
      </c>
      <c r="I27" s="79">
        <f t="shared" si="16"/>
        <v>5545</v>
      </c>
      <c r="J27" s="79">
        <f>J25</f>
        <v>5230</v>
      </c>
      <c r="K27" s="183">
        <v>5354.2457597564608</v>
      </c>
      <c r="L27" s="183">
        <v>7666.068008447628</v>
      </c>
      <c r="M27" s="183">
        <v>6941.0854003812246</v>
      </c>
      <c r="N27" s="79">
        <f>N25</f>
        <v>8865</v>
      </c>
      <c r="O27" s="79">
        <f t="shared" ref="O27:U27" si="17">O25</f>
        <v>8950</v>
      </c>
      <c r="P27" s="79">
        <f t="shared" si="17"/>
        <v>2339</v>
      </c>
      <c r="Q27" s="79">
        <f t="shared" si="17"/>
        <v>4926</v>
      </c>
      <c r="R27" s="79">
        <f t="shared" si="17"/>
        <v>2835</v>
      </c>
      <c r="S27" s="79">
        <f t="shared" si="17"/>
        <v>-2696</v>
      </c>
      <c r="T27" s="79">
        <f t="shared" si="17"/>
        <v>20767</v>
      </c>
      <c r="U27" s="79">
        <f t="shared" si="17"/>
        <v>21349</v>
      </c>
      <c r="V27" s="183">
        <f t="shared" ref="V27:Y27" si="18">V25-V18-V17-V16-V26</f>
        <v>11543</v>
      </c>
      <c r="W27" s="183">
        <f t="shared" si="18"/>
        <v>7369</v>
      </c>
      <c r="X27" s="183">
        <f t="shared" si="18"/>
        <v>10538</v>
      </c>
      <c r="Y27" s="183">
        <f t="shared" si="18"/>
        <v>11596</v>
      </c>
      <c r="Z27" s="183">
        <f>Z25-Z18-Z17-Z16-Z26</f>
        <v>1152.2080000000005</v>
      </c>
      <c r="AA27" s="183">
        <f>AA25-AA18-AA17-AA16-AA26</f>
        <v>8023</v>
      </c>
    </row>
    <row r="28" spans="1:27" x14ac:dyDescent="0.35">
      <c r="A28" t="s">
        <v>496</v>
      </c>
      <c r="B28" s="274"/>
      <c r="C28" s="274"/>
      <c r="D28" s="274"/>
      <c r="E28" s="274"/>
      <c r="F28" s="274"/>
      <c r="G28" s="274"/>
      <c r="H28" s="274"/>
      <c r="I28" s="270">
        <v>9.1061365968900673E-2</v>
      </c>
      <c r="J28" s="270">
        <v>0.13341984575321578</v>
      </c>
      <c r="K28" s="270">
        <v>0.13786987129835901</v>
      </c>
      <c r="L28" s="270">
        <v>0.14753357426412306</v>
      </c>
      <c r="M28" s="270">
        <v>0.16566324639113175</v>
      </c>
      <c r="N28" s="270">
        <v>0.17584875606494835</v>
      </c>
      <c r="O28" s="270">
        <v>0.17767383321167929</v>
      </c>
      <c r="P28" s="270">
        <v>0.17290381821532169</v>
      </c>
      <c r="Q28" s="270">
        <v>0.16666845229152916</v>
      </c>
      <c r="R28" s="270">
        <v>0.14560547377917005</v>
      </c>
      <c r="S28" s="270">
        <v>0.13419899795960877</v>
      </c>
      <c r="T28" s="270">
        <v>0.19381468183982339</v>
      </c>
      <c r="U28" s="270">
        <v>0.1708424811800984</v>
      </c>
      <c r="V28" s="270">
        <v>0.13934069394312165</v>
      </c>
      <c r="W28" s="270">
        <v>0.14561464101273097</v>
      </c>
      <c r="X28" s="270">
        <v>0.12564370746435821</v>
      </c>
      <c r="Y28" s="270">
        <v>0.10990292814462196</v>
      </c>
      <c r="Z28" s="270">
        <v>0.14242283539816888</v>
      </c>
      <c r="AA28" s="270">
        <v>0.14601976234764874</v>
      </c>
    </row>
    <row r="29" spans="1:27" x14ac:dyDescent="0.35">
      <c r="A29" t="s">
        <v>497</v>
      </c>
      <c r="B29" s="275"/>
      <c r="C29" s="275"/>
      <c r="D29" s="275"/>
      <c r="E29" s="275"/>
      <c r="F29" s="275"/>
      <c r="G29" s="275"/>
      <c r="H29" s="275"/>
      <c r="I29" s="272">
        <f t="shared" ref="I29:S29" si="19">I28</f>
        <v>9.1061365968900673E-2</v>
      </c>
      <c r="J29" s="272">
        <f t="shared" si="19"/>
        <v>0.13341984575321578</v>
      </c>
      <c r="K29" s="272">
        <f t="shared" si="19"/>
        <v>0.13786987129835901</v>
      </c>
      <c r="L29" s="272">
        <f t="shared" si="19"/>
        <v>0.14753357426412306</v>
      </c>
      <c r="M29" s="272">
        <f t="shared" si="19"/>
        <v>0.16566324639113175</v>
      </c>
      <c r="N29" s="272">
        <f t="shared" si="19"/>
        <v>0.17584875606494835</v>
      </c>
      <c r="O29" s="272">
        <f t="shared" si="19"/>
        <v>0.17767383321167929</v>
      </c>
      <c r="P29" s="272">
        <f t="shared" si="19"/>
        <v>0.17290381821532169</v>
      </c>
      <c r="Q29" s="272">
        <f t="shared" si="19"/>
        <v>0.16666845229152916</v>
      </c>
      <c r="R29" s="272">
        <f t="shared" si="19"/>
        <v>0.14560547377917005</v>
      </c>
      <c r="S29" s="272">
        <f t="shared" si="19"/>
        <v>0.13419899795960877</v>
      </c>
      <c r="T29" s="272">
        <f>T28</f>
        <v>0.19381468183982339</v>
      </c>
      <c r="U29" s="271">
        <v>0.19091901244084578</v>
      </c>
      <c r="V29" s="271">
        <v>0.16468794929780958</v>
      </c>
      <c r="W29" s="271">
        <v>0.1802201515938166</v>
      </c>
      <c r="X29" s="271">
        <v>0.16630436621763836</v>
      </c>
      <c r="Y29" s="271">
        <v>0.1431987567704785</v>
      </c>
      <c r="Z29" s="271">
        <v>0.13574213981546357</v>
      </c>
      <c r="AA29" s="271">
        <v>0.14099574246956673</v>
      </c>
    </row>
    <row r="37" spans="1:1" x14ac:dyDescent="0.35">
      <c r="A37" s="9"/>
    </row>
  </sheetData>
  <phoneticPr fontId="61" type="noConversion"/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C68E6-8DAB-47AD-A828-F39E7D9340D8}">
  <sheetPr>
    <tabColor rgb="FF92D050"/>
  </sheetPr>
  <dimension ref="A1:AW35"/>
  <sheetViews>
    <sheetView showGridLines="0" zoomScale="85" zoomScaleNormal="85" workbookViewId="0">
      <pane xSplit="1" ySplit="6" topLeftCell="Q7" activePane="bottomRight" state="frozen"/>
      <selection pane="topRight"/>
      <selection pane="bottomLeft"/>
      <selection pane="bottomRight" activeCell="AC26" sqref="AC26"/>
    </sheetView>
  </sheetViews>
  <sheetFormatPr defaultRowHeight="14.5" x14ac:dyDescent="0.35"/>
  <cols>
    <col min="1" max="1" width="87" bestFit="1" customWidth="1"/>
    <col min="2" max="6" width="11" bestFit="1" customWidth="1"/>
    <col min="7" max="27" width="12.1796875" bestFit="1" customWidth="1"/>
  </cols>
  <sheetData>
    <row r="1" spans="1:49" ht="36" customHeight="1" x14ac:dyDescent="0.35"/>
    <row r="2" spans="1:49" s="66" customFormat="1" ht="19" x14ac:dyDescent="0.45">
      <c r="A2" s="65" t="s">
        <v>175</v>
      </c>
      <c r="AQ2" s="47"/>
      <c r="AS2" s="47"/>
      <c r="AU2" s="47"/>
      <c r="AW2" s="47"/>
    </row>
    <row r="3" spans="1:49" s="66" customFormat="1" ht="19" x14ac:dyDescent="0.35">
      <c r="A3" s="68" t="s">
        <v>321</v>
      </c>
      <c r="AQ3" s="47"/>
      <c r="AS3" s="47"/>
      <c r="AU3" s="47"/>
      <c r="AW3" s="47"/>
    </row>
    <row r="4" spans="1:49" s="66" customFormat="1" ht="19" x14ac:dyDescent="0.35">
      <c r="A4" s="68"/>
      <c r="AQ4" s="47"/>
      <c r="AS4" s="47"/>
      <c r="AU4" s="47"/>
      <c r="AW4" s="47"/>
    </row>
    <row r="5" spans="1:49" s="66" customFormat="1" ht="19" x14ac:dyDescent="0.35">
      <c r="A5" s="69" t="s">
        <v>178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AQ5" s="47"/>
      <c r="AS5" s="47"/>
      <c r="AU5" s="47"/>
      <c r="AW5" s="47"/>
    </row>
    <row r="6" spans="1:49" ht="25.5" customHeight="1" x14ac:dyDescent="0.35">
      <c r="A6" s="200"/>
      <c r="B6" s="219" t="s">
        <v>249</v>
      </c>
      <c r="C6" s="219" t="s">
        <v>250</v>
      </c>
      <c r="D6" s="219" t="s">
        <v>251</v>
      </c>
      <c r="E6" s="219" t="s">
        <v>252</v>
      </c>
      <c r="F6" s="219" t="s">
        <v>253</v>
      </c>
      <c r="G6" s="219" t="s">
        <v>254</v>
      </c>
      <c r="H6" s="219" t="s">
        <v>255</v>
      </c>
      <c r="I6" s="219" t="s">
        <v>256</v>
      </c>
      <c r="J6" s="219" t="s">
        <v>257</v>
      </c>
      <c r="K6" s="219" t="s">
        <v>258</v>
      </c>
      <c r="L6" s="219" t="s">
        <v>259</v>
      </c>
      <c r="M6" s="219" t="s">
        <v>318</v>
      </c>
      <c r="N6" s="219" t="s">
        <v>319</v>
      </c>
      <c r="O6" s="219" t="s">
        <v>384</v>
      </c>
      <c r="P6" s="219" t="s">
        <v>389</v>
      </c>
      <c r="Q6" s="219" t="s">
        <v>392</v>
      </c>
      <c r="R6" s="219" t="s">
        <v>403</v>
      </c>
      <c r="S6" s="219" t="s">
        <v>407</v>
      </c>
      <c r="T6" s="219" t="s">
        <v>411</v>
      </c>
      <c r="U6" s="219" t="s">
        <v>440</v>
      </c>
      <c r="V6" s="219" t="s">
        <v>452</v>
      </c>
      <c r="W6" s="219" t="s">
        <v>464</v>
      </c>
      <c r="X6" s="219" t="s">
        <v>473</v>
      </c>
      <c r="Y6" s="219" t="s">
        <v>475</v>
      </c>
      <c r="Z6" s="219" t="s">
        <v>507</v>
      </c>
      <c r="AA6" s="219" t="s">
        <v>524</v>
      </c>
    </row>
    <row r="7" spans="1:49" x14ac:dyDescent="0.35">
      <c r="A7" s="8" t="s">
        <v>414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</row>
    <row r="8" spans="1:49" x14ac:dyDescent="0.35">
      <c r="A8" s="220" t="s">
        <v>484</v>
      </c>
      <c r="B8" s="262">
        <v>3109.1940900000004</v>
      </c>
      <c r="C8" s="262">
        <v>5724.9004599999998</v>
      </c>
      <c r="D8" s="262">
        <v>7901.7705299999961</v>
      </c>
      <c r="E8" s="262">
        <v>8283.3116699999919</v>
      </c>
      <c r="F8" s="262">
        <v>7131.449629999991</v>
      </c>
      <c r="G8" s="262">
        <v>8134.6108299999869</v>
      </c>
      <c r="H8" s="262">
        <v>8405.4691600000115</v>
      </c>
      <c r="I8" s="262">
        <v>5407.6427599999915</v>
      </c>
      <c r="J8" s="262">
        <v>1611.4903599999996</v>
      </c>
      <c r="K8" s="262">
        <v>16478.51053</v>
      </c>
      <c r="L8" s="262">
        <v>71431.869019999984</v>
      </c>
      <c r="M8" s="262">
        <v>38889.953689999958</v>
      </c>
      <c r="N8" s="262">
        <v>37117.720080000021</v>
      </c>
      <c r="O8" s="262">
        <v>38855.717849999979</v>
      </c>
      <c r="P8" s="262">
        <v>37410.133059999986</v>
      </c>
      <c r="Q8" s="262">
        <v>47418.277830000014</v>
      </c>
      <c r="R8" s="262">
        <v>33013.138890000002</v>
      </c>
      <c r="S8" s="262">
        <v>35603.004509999999</v>
      </c>
      <c r="T8" s="262">
        <v>187843.14565999981</v>
      </c>
      <c r="U8" s="262">
        <v>182499.44318500004</v>
      </c>
      <c r="V8" s="262">
        <v>140006.74018898973</v>
      </c>
      <c r="W8" s="262">
        <v>122565.89000911011</v>
      </c>
      <c r="X8" s="262">
        <v>121271.76586863017</v>
      </c>
      <c r="Y8" s="262">
        <v>210545.68222635356</v>
      </c>
      <c r="Z8" s="262">
        <v>173761.84638999988</v>
      </c>
      <c r="AA8" s="262">
        <v>213724.52086719987</v>
      </c>
    </row>
    <row r="9" spans="1:49" x14ac:dyDescent="0.35">
      <c r="A9" s="220" t="s">
        <v>485</v>
      </c>
      <c r="B9" s="262">
        <v>43288.647209999777</v>
      </c>
      <c r="C9" s="262">
        <v>30305.703139999809</v>
      </c>
      <c r="D9" s="262">
        <v>30760.59186</v>
      </c>
      <c r="E9" s="262">
        <v>41898.770899999887</v>
      </c>
      <c r="F9" s="262">
        <v>47941.294999999853</v>
      </c>
      <c r="G9" s="262">
        <v>62951.54741999985</v>
      </c>
      <c r="H9" s="262">
        <v>62494.590399999695</v>
      </c>
      <c r="I9" s="262">
        <v>58481.100070000241</v>
      </c>
      <c r="J9" s="262">
        <v>94005.793420000147</v>
      </c>
      <c r="K9" s="262">
        <v>127063.43100120024</v>
      </c>
      <c r="L9" s="262">
        <v>146331.6222499999</v>
      </c>
      <c r="M9" s="262">
        <v>162023.59374000016</v>
      </c>
      <c r="N9" s="262">
        <v>179572.70402</v>
      </c>
      <c r="O9" s="262">
        <v>176240.73347999985</v>
      </c>
      <c r="P9" s="262">
        <v>187141.20945000014</v>
      </c>
      <c r="Q9" s="262">
        <v>203312.74334000022</v>
      </c>
      <c r="R9" s="262">
        <v>150774.36630999995</v>
      </c>
      <c r="S9" s="262">
        <v>123617.15935</v>
      </c>
      <c r="T9" s="262">
        <v>155676.75174999982</v>
      </c>
      <c r="U9" s="262">
        <v>175829.39447999976</v>
      </c>
      <c r="V9" s="262">
        <v>173780.91024999993</v>
      </c>
      <c r="W9" s="262">
        <v>184497.26732999971</v>
      </c>
      <c r="X9" s="262">
        <v>192396.13690999991</v>
      </c>
      <c r="Y9" s="262">
        <v>230444.97031000041</v>
      </c>
      <c r="Z9" s="262">
        <v>205349.22514999998</v>
      </c>
      <c r="AA9" s="262">
        <v>188602.69835000005</v>
      </c>
    </row>
    <row r="10" spans="1:49" x14ac:dyDescent="0.35">
      <c r="A10" s="220" t="s">
        <v>279</v>
      </c>
      <c r="B10" s="262">
        <v>30937.441150000064</v>
      </c>
      <c r="C10" s="262">
        <v>19525.947630000021</v>
      </c>
      <c r="D10" s="262">
        <v>22974.732620000093</v>
      </c>
      <c r="E10" s="262">
        <v>24092.243899999961</v>
      </c>
      <c r="F10" s="262">
        <v>30277.904099999931</v>
      </c>
      <c r="G10" s="262">
        <v>50086.380630000007</v>
      </c>
      <c r="H10" s="262">
        <v>64538.479989999905</v>
      </c>
      <c r="I10" s="262">
        <v>66934.785730000047</v>
      </c>
      <c r="J10" s="262">
        <v>45672.701770000072</v>
      </c>
      <c r="K10" s="262">
        <v>57214.987883454683</v>
      </c>
      <c r="L10" s="262">
        <v>58659.947563750036</v>
      </c>
      <c r="M10" s="262">
        <v>65718.590399999826</v>
      </c>
      <c r="N10" s="262">
        <v>44852.637599999958</v>
      </c>
      <c r="O10" s="262">
        <v>59508.060529999988</v>
      </c>
      <c r="P10" s="262">
        <v>68869.16013100007</v>
      </c>
      <c r="Q10" s="262">
        <v>59309.028068200125</v>
      </c>
      <c r="R10" s="262">
        <v>54486.591476800051</v>
      </c>
      <c r="S10" s="262">
        <v>67872.456730000064</v>
      </c>
      <c r="T10" s="262">
        <v>89235.181620000221</v>
      </c>
      <c r="U10" s="262">
        <v>99721.268509999791</v>
      </c>
      <c r="V10" s="262">
        <v>89414.774360000112</v>
      </c>
      <c r="W10" s="262">
        <v>87370.029999999839</v>
      </c>
      <c r="X10" s="262">
        <v>80608.437820000487</v>
      </c>
      <c r="Y10" s="262">
        <v>85100.873359999838</v>
      </c>
      <c r="Z10" s="262">
        <v>92112.143030000385</v>
      </c>
      <c r="AA10" s="262">
        <v>110264.0587099999</v>
      </c>
    </row>
    <row r="11" spans="1:49" x14ac:dyDescent="0.35">
      <c r="A11" s="221" t="s">
        <v>476</v>
      </c>
      <c r="B11" s="263">
        <f>SUM(B8:B10)</f>
        <v>77335.282449999839</v>
      </c>
      <c r="C11" s="263">
        <f t="shared" ref="C11:AA11" si="0">SUM(C8:C10)</f>
        <v>55556.551229999823</v>
      </c>
      <c r="D11" s="263">
        <f t="shared" si="0"/>
        <v>61637.095010000092</v>
      </c>
      <c r="E11" s="263">
        <f t="shared" si="0"/>
        <v>74274.32646999984</v>
      </c>
      <c r="F11" s="263">
        <f t="shared" si="0"/>
        <v>85350.648729999768</v>
      </c>
      <c r="G11" s="263">
        <f t="shared" si="0"/>
        <v>121172.53887999983</v>
      </c>
      <c r="H11" s="263">
        <f t="shared" si="0"/>
        <v>135438.53954999961</v>
      </c>
      <c r="I11" s="263">
        <f t="shared" si="0"/>
        <v>130823.52856000028</v>
      </c>
      <c r="J11" s="263">
        <f t="shared" si="0"/>
        <v>141289.98555000022</v>
      </c>
      <c r="K11" s="263">
        <f t="shared" si="0"/>
        <v>200756.92941465494</v>
      </c>
      <c r="L11" s="263">
        <f t="shared" si="0"/>
        <v>276423.43883374991</v>
      </c>
      <c r="M11" s="263">
        <f t="shared" si="0"/>
        <v>266632.13782999996</v>
      </c>
      <c r="N11" s="263">
        <f t="shared" si="0"/>
        <v>261543.06169999999</v>
      </c>
      <c r="O11" s="263">
        <f t="shared" si="0"/>
        <v>274604.51185999985</v>
      </c>
      <c r="P11" s="263">
        <f t="shared" si="0"/>
        <v>293420.5026410002</v>
      </c>
      <c r="Q11" s="263">
        <f t="shared" si="0"/>
        <v>310040.04923820036</v>
      </c>
      <c r="R11" s="263">
        <f t="shared" si="0"/>
        <v>238274.09667679999</v>
      </c>
      <c r="S11" s="263">
        <f t="shared" si="0"/>
        <v>227092.62059000006</v>
      </c>
      <c r="T11" s="263">
        <f t="shared" si="0"/>
        <v>432755.07902999985</v>
      </c>
      <c r="U11" s="263">
        <f t="shared" si="0"/>
        <v>458050.10617499956</v>
      </c>
      <c r="V11" s="263">
        <f t="shared" si="0"/>
        <v>403202.42479898973</v>
      </c>
      <c r="W11" s="263">
        <f t="shared" si="0"/>
        <v>394433.18733910966</v>
      </c>
      <c r="X11" s="263">
        <f t="shared" si="0"/>
        <v>394276.3405986306</v>
      </c>
      <c r="Y11" s="263">
        <f t="shared" si="0"/>
        <v>526091.52589635376</v>
      </c>
      <c r="Z11" s="263">
        <f t="shared" si="0"/>
        <v>471223.21457000024</v>
      </c>
      <c r="AA11" s="263">
        <f t="shared" si="0"/>
        <v>512591.27792719984</v>
      </c>
    </row>
    <row r="12" spans="1:49" x14ac:dyDescent="0.35">
      <c r="A12" s="175"/>
      <c r="B12" s="264"/>
      <c r="C12" s="264"/>
      <c r="D12" s="264"/>
      <c r="E12" s="264"/>
      <c r="F12" s="264"/>
      <c r="G12" s="264"/>
      <c r="H12" s="264"/>
      <c r="I12" s="264"/>
      <c r="J12" s="264"/>
      <c r="K12" s="264"/>
      <c r="L12" s="264"/>
      <c r="M12" s="264"/>
      <c r="N12" s="264"/>
      <c r="O12" s="264"/>
      <c r="P12" s="264"/>
      <c r="Q12" s="265"/>
      <c r="R12" s="265"/>
      <c r="S12" s="265"/>
      <c r="T12" s="265"/>
      <c r="U12" s="265"/>
      <c r="V12" s="265"/>
      <c r="W12" s="265"/>
      <c r="X12" s="265"/>
      <c r="Y12" s="265"/>
      <c r="Z12" s="265"/>
      <c r="AA12" s="265"/>
    </row>
    <row r="13" spans="1:49" x14ac:dyDescent="0.35">
      <c r="A13" s="8" t="s">
        <v>324</v>
      </c>
      <c r="B13" s="266"/>
      <c r="C13" s="266"/>
      <c r="D13" s="266"/>
      <c r="E13" s="266"/>
      <c r="F13" s="266"/>
      <c r="G13" s="266"/>
      <c r="H13" s="266"/>
      <c r="I13" s="266"/>
      <c r="J13" s="266"/>
      <c r="K13" s="266"/>
      <c r="L13" s="266"/>
      <c r="M13" s="266"/>
      <c r="N13" s="266"/>
      <c r="O13" s="266"/>
      <c r="P13" s="266"/>
      <c r="Q13" s="265"/>
      <c r="R13" s="265"/>
      <c r="S13" s="265"/>
      <c r="T13" s="265"/>
      <c r="U13" s="265"/>
      <c r="V13" s="265"/>
      <c r="W13" s="265"/>
      <c r="X13" s="265"/>
      <c r="Y13" s="265"/>
      <c r="Z13" s="265"/>
      <c r="AA13" s="265"/>
    </row>
    <row r="14" spans="1:49" x14ac:dyDescent="0.35">
      <c r="A14" s="220" t="s">
        <v>484</v>
      </c>
      <c r="B14" s="262">
        <v>2811.1730100000023</v>
      </c>
      <c r="C14" s="262">
        <v>5218.3096600000017</v>
      </c>
      <c r="D14" s="262">
        <v>7202.1994299999978</v>
      </c>
      <c r="E14" s="262">
        <v>7550.1595299999817</v>
      </c>
      <c r="F14" s="262">
        <v>6500.6882399999859</v>
      </c>
      <c r="G14" s="262">
        <v>7400.3277299999718</v>
      </c>
      <c r="H14" s="262">
        <v>7636.5119500000019</v>
      </c>
      <c r="I14" s="262">
        <v>4897.9031599999907</v>
      </c>
      <c r="J14" s="262">
        <v>1434.6797399999984</v>
      </c>
      <c r="K14" s="262">
        <v>16310.836150000005</v>
      </c>
      <c r="L14" s="262">
        <v>71251.741129999966</v>
      </c>
      <c r="M14" s="262">
        <v>38551.238529999988</v>
      </c>
      <c r="N14" s="262">
        <v>34357.131169999979</v>
      </c>
      <c r="O14" s="262">
        <v>35904.744690000014</v>
      </c>
      <c r="P14" s="262">
        <v>34575.584989999988</v>
      </c>
      <c r="Q14" s="262">
        <v>42853.583699999996</v>
      </c>
      <c r="R14" s="262">
        <v>30236.849979999981</v>
      </c>
      <c r="S14" s="262">
        <v>32740.805689999997</v>
      </c>
      <c r="T14" s="262">
        <v>170356.24373000002</v>
      </c>
      <c r="U14" s="262">
        <v>169498.27416499995</v>
      </c>
      <c r="V14" s="262">
        <v>129059.79616898991</v>
      </c>
      <c r="W14" s="262">
        <v>113146.32061911005</v>
      </c>
      <c r="X14" s="262">
        <v>111476.2929286302</v>
      </c>
      <c r="Y14" s="262">
        <v>188194.21906763938</v>
      </c>
      <c r="Z14" s="262">
        <v>156083.6440400001</v>
      </c>
      <c r="AA14" s="262">
        <v>193049.43107719958</v>
      </c>
    </row>
    <row r="15" spans="1:49" x14ac:dyDescent="0.35">
      <c r="A15" s="220" t="s">
        <v>485</v>
      </c>
      <c r="B15" s="262">
        <v>40090.344399999842</v>
      </c>
      <c r="C15" s="262">
        <v>25081.110149999815</v>
      </c>
      <c r="D15" s="262">
        <v>26253.047939999811</v>
      </c>
      <c r="E15" s="262">
        <v>37818.585110000029</v>
      </c>
      <c r="F15" s="262">
        <v>43498.992099999428</v>
      </c>
      <c r="G15" s="262">
        <v>57670.963729999108</v>
      </c>
      <c r="H15" s="262">
        <v>56725.156609998834</v>
      </c>
      <c r="I15" s="262">
        <v>53245.648329999509</v>
      </c>
      <c r="J15" s="262">
        <v>86176.734039999996</v>
      </c>
      <c r="K15" s="262">
        <v>116578.29115120006</v>
      </c>
      <c r="L15" s="262">
        <v>135336.94897000017</v>
      </c>
      <c r="M15" s="262">
        <v>149117.40372999976</v>
      </c>
      <c r="N15" s="262">
        <v>166208.70661000023</v>
      </c>
      <c r="O15" s="262">
        <v>163439.94798999978</v>
      </c>
      <c r="P15" s="262">
        <v>173354.97002999971</v>
      </c>
      <c r="Q15" s="262">
        <v>186671.4533700007</v>
      </c>
      <c r="R15" s="262">
        <v>137415.57358509832</v>
      </c>
      <c r="S15" s="262">
        <v>112408.08731999989</v>
      </c>
      <c r="T15" s="262">
        <v>141773.15241999971</v>
      </c>
      <c r="U15" s="262">
        <v>161333.11538999935</v>
      </c>
      <c r="V15" s="262">
        <v>159961.20988999979</v>
      </c>
      <c r="W15" s="262">
        <v>170313.27440999981</v>
      </c>
      <c r="X15" s="262">
        <v>175220.03989999989</v>
      </c>
      <c r="Y15" s="262">
        <v>212002.82947000003</v>
      </c>
      <c r="Z15" s="262">
        <v>182259.65011999907</v>
      </c>
      <c r="AA15" s="262">
        <v>172156.57685000106</v>
      </c>
    </row>
    <row r="16" spans="1:49" x14ac:dyDescent="0.35">
      <c r="A16" s="220" t="s">
        <v>279</v>
      </c>
      <c r="B16" s="262">
        <v>28220.200893670029</v>
      </c>
      <c r="C16" s="262">
        <v>17887.963982399993</v>
      </c>
      <c r="D16" s="262">
        <v>21371.802790195019</v>
      </c>
      <c r="E16" s="262">
        <v>22708.273191880096</v>
      </c>
      <c r="F16" s="262">
        <v>28441.048701664964</v>
      </c>
      <c r="G16" s="262">
        <v>46452.502154375157</v>
      </c>
      <c r="H16" s="262">
        <v>59220.994456120206</v>
      </c>
      <c r="I16" s="262">
        <v>61450.498029999806</v>
      </c>
      <c r="J16" s="262">
        <v>41676.403140000097</v>
      </c>
      <c r="K16" s="262">
        <v>51053.167583454713</v>
      </c>
      <c r="L16" s="262">
        <v>47850.298053750084</v>
      </c>
      <c r="M16" s="262">
        <v>58156.35565000002</v>
      </c>
      <c r="N16" s="262">
        <v>40696.661209999962</v>
      </c>
      <c r="O16" s="262">
        <v>54589.602980000149</v>
      </c>
      <c r="P16" s="262">
        <v>61026.47604100014</v>
      </c>
      <c r="Q16" s="262">
        <v>52732.066368200045</v>
      </c>
      <c r="R16" s="262">
        <v>48778.208601701102</v>
      </c>
      <c r="S16" s="262">
        <v>60111.540460000171</v>
      </c>
      <c r="T16" s="262">
        <v>80546.808580000361</v>
      </c>
      <c r="U16" s="262">
        <v>88861.12427</v>
      </c>
      <c r="V16" s="262">
        <v>79823.883859999682</v>
      </c>
      <c r="W16" s="262">
        <v>78434.876400000154</v>
      </c>
      <c r="X16" s="262">
        <v>72437.458130000101</v>
      </c>
      <c r="Y16" s="262">
        <v>73552.556039999807</v>
      </c>
      <c r="Z16" s="262">
        <v>82853.572539999965</v>
      </c>
      <c r="AA16" s="262">
        <v>97412.466370000242</v>
      </c>
    </row>
    <row r="17" spans="1:27" x14ac:dyDescent="0.35">
      <c r="A17" s="221" t="s">
        <v>476</v>
      </c>
      <c r="B17" s="266">
        <f>SUM(B14:B16)</f>
        <v>71121.71830366987</v>
      </c>
      <c r="C17" s="266">
        <f t="shared" ref="C17:AA17" si="1">SUM(C14:C16)</f>
        <v>48187.383792399807</v>
      </c>
      <c r="D17" s="266">
        <f t="shared" si="1"/>
        <v>54827.050160194827</v>
      </c>
      <c r="E17" s="266">
        <f t="shared" si="1"/>
        <v>68077.017831880104</v>
      </c>
      <c r="F17" s="266">
        <f t="shared" si="1"/>
        <v>78440.729041664381</v>
      </c>
      <c r="G17" s="266">
        <f t="shared" si="1"/>
        <v>111523.79361437424</v>
      </c>
      <c r="H17" s="266">
        <f t="shared" si="1"/>
        <v>123582.66301611904</v>
      </c>
      <c r="I17" s="266">
        <f t="shared" si="1"/>
        <v>119594.0495199993</v>
      </c>
      <c r="J17" s="266">
        <f t="shared" si="1"/>
        <v>129287.81692000008</v>
      </c>
      <c r="K17" s="266">
        <f t="shared" si="1"/>
        <v>183942.29488465478</v>
      </c>
      <c r="L17" s="266">
        <f t="shared" si="1"/>
        <v>254438.98815375019</v>
      </c>
      <c r="M17" s="266">
        <f t="shared" si="1"/>
        <v>245824.99790999977</v>
      </c>
      <c r="N17" s="266">
        <f t="shared" si="1"/>
        <v>241262.49899000017</v>
      </c>
      <c r="O17" s="266">
        <f t="shared" si="1"/>
        <v>253934.29565999995</v>
      </c>
      <c r="P17" s="266">
        <f t="shared" si="1"/>
        <v>268957.03106099984</v>
      </c>
      <c r="Q17" s="266">
        <f t="shared" si="1"/>
        <v>282257.10343820072</v>
      </c>
      <c r="R17" s="266">
        <f t="shared" si="1"/>
        <v>216430.63216679939</v>
      </c>
      <c r="S17" s="266">
        <f t="shared" si="1"/>
        <v>205260.43347000005</v>
      </c>
      <c r="T17" s="266">
        <f t="shared" si="1"/>
        <v>392676.20473000006</v>
      </c>
      <c r="U17" s="266">
        <f t="shared" si="1"/>
        <v>419692.51382499933</v>
      </c>
      <c r="V17" s="266">
        <f t="shared" si="1"/>
        <v>368844.88991898939</v>
      </c>
      <c r="W17" s="266">
        <f t="shared" si="1"/>
        <v>361894.47142911004</v>
      </c>
      <c r="X17" s="266">
        <f t="shared" si="1"/>
        <v>359133.79095863021</v>
      </c>
      <c r="Y17" s="266">
        <f t="shared" si="1"/>
        <v>473749.60457763926</v>
      </c>
      <c r="Z17" s="266">
        <f t="shared" si="1"/>
        <v>421196.86669999914</v>
      </c>
      <c r="AA17" s="266">
        <f t="shared" si="1"/>
        <v>462618.47429720091</v>
      </c>
    </row>
    <row r="18" spans="1:27" x14ac:dyDescent="0.35">
      <c r="A18" s="221"/>
      <c r="B18" s="264"/>
      <c r="C18" s="264"/>
      <c r="D18" s="264"/>
      <c r="E18" s="264"/>
      <c r="F18" s="264"/>
      <c r="G18" s="264"/>
      <c r="H18" s="264"/>
      <c r="I18" s="264"/>
      <c r="J18" s="264"/>
      <c r="K18" s="264"/>
      <c r="L18" s="264"/>
      <c r="M18" s="264"/>
      <c r="N18" s="264"/>
      <c r="O18" s="264"/>
      <c r="P18" s="264"/>
      <c r="Q18" s="265"/>
      <c r="R18" s="265"/>
      <c r="S18" s="265"/>
      <c r="T18" s="265"/>
      <c r="U18" s="265"/>
      <c r="V18" s="265"/>
      <c r="W18" s="265"/>
      <c r="X18" s="265"/>
      <c r="Y18" s="265"/>
      <c r="Z18" s="265"/>
      <c r="AA18" s="265"/>
    </row>
    <row r="19" spans="1:27" x14ac:dyDescent="0.35">
      <c r="A19" s="8" t="s">
        <v>322</v>
      </c>
      <c r="B19" s="266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6"/>
      <c r="P19" s="266"/>
      <c r="Q19" s="265"/>
      <c r="R19" s="265"/>
      <c r="S19" s="265"/>
      <c r="T19" s="265"/>
      <c r="U19" s="265"/>
      <c r="V19" s="265"/>
      <c r="W19" s="265"/>
      <c r="X19" s="265"/>
      <c r="Y19" s="265"/>
      <c r="Z19" s="265"/>
      <c r="AA19" s="265"/>
    </row>
    <row r="20" spans="1:27" x14ac:dyDescent="0.35">
      <c r="A20" s="220" t="s">
        <v>484</v>
      </c>
      <c r="B20" s="249">
        <v>-5341.4786000000204</v>
      </c>
      <c r="C20" s="249">
        <v>-7128.673310000012</v>
      </c>
      <c r="D20" s="249">
        <v>-8742.7777400000159</v>
      </c>
      <c r="E20" s="249">
        <v>-8625.8916099999969</v>
      </c>
      <c r="F20" s="249">
        <v>-6512.9558900000047</v>
      </c>
      <c r="G20" s="249">
        <v>-5641.4689899999994</v>
      </c>
      <c r="H20" s="249">
        <v>-4941.0816099999956</v>
      </c>
      <c r="I20" s="249">
        <v>-2950.4972900000025</v>
      </c>
      <c r="J20" s="249">
        <v>-1000.4088400000004</v>
      </c>
      <c r="K20" s="249">
        <v>-626.76243999999997</v>
      </c>
      <c r="L20" s="249">
        <v>-1677.3380600000016</v>
      </c>
      <c r="M20" s="249">
        <v>-2196.6836500000013</v>
      </c>
      <c r="N20" s="249">
        <v>-27665.28536999995</v>
      </c>
      <c r="O20" s="249">
        <v>-24277.20913999985</v>
      </c>
      <c r="P20" s="249">
        <v>-23636.183610000007</v>
      </c>
      <c r="Q20" s="249">
        <v>-28358.578630000033</v>
      </c>
      <c r="R20" s="249">
        <v>-24662.07298999995</v>
      </c>
      <c r="S20" s="249">
        <v>-26707.200500000061</v>
      </c>
      <c r="T20" s="249">
        <v>-129724.49625000029</v>
      </c>
      <c r="U20" s="249">
        <v>-117283.12082000049</v>
      </c>
      <c r="V20" s="249">
        <v>-103006.30302000002</v>
      </c>
      <c r="W20" s="249">
        <v>-87260.656280000243</v>
      </c>
      <c r="X20" s="249">
        <v>-86692.889040000911</v>
      </c>
      <c r="Y20" s="249">
        <v>-152258.46967410864</v>
      </c>
      <c r="Z20" s="249">
        <v>-146600.95220000073</v>
      </c>
      <c r="AA20" s="249">
        <v>-160946.14574000111</v>
      </c>
    </row>
    <row r="21" spans="1:27" x14ac:dyDescent="0.35">
      <c r="A21" s="220" t="s">
        <v>485</v>
      </c>
      <c r="B21" s="249">
        <v>-29715.728990000138</v>
      </c>
      <c r="C21" s="249">
        <v>-23956.139200000103</v>
      </c>
      <c r="D21" s="249">
        <v>-19938.25773999995</v>
      </c>
      <c r="E21" s="249">
        <v>-29843.826880000091</v>
      </c>
      <c r="F21" s="249">
        <v>-30834.910289999825</v>
      </c>
      <c r="G21" s="249">
        <v>-42822.879610000113</v>
      </c>
      <c r="H21" s="249">
        <v>-46241.268060000046</v>
      </c>
      <c r="I21" s="249">
        <v>-45767.047980000054</v>
      </c>
      <c r="J21" s="249">
        <v>-67221.89283999888</v>
      </c>
      <c r="K21" s="249">
        <v>-92819.180469999003</v>
      </c>
      <c r="L21" s="249">
        <v>-103048.80183999898</v>
      </c>
      <c r="M21" s="249">
        <v>-119561.40300999873</v>
      </c>
      <c r="N21" s="249">
        <v>-131446.54416999884</v>
      </c>
      <c r="O21" s="249">
        <v>-132743.72601000129</v>
      </c>
      <c r="P21" s="249">
        <v>-142923.89289000054</v>
      </c>
      <c r="Q21" s="249">
        <v>-149560.41623000015</v>
      </c>
      <c r="R21" s="249">
        <v>-106749.47437119852</v>
      </c>
      <c r="S21" s="249">
        <v>-86937.706229999996</v>
      </c>
      <c r="T21" s="249">
        <v>-109917.93052999825</v>
      </c>
      <c r="U21" s="249">
        <v>-127358.28715999598</v>
      </c>
      <c r="V21" s="249">
        <v>-125292.12303999868</v>
      </c>
      <c r="W21" s="249">
        <v>-134903.32198999997</v>
      </c>
      <c r="X21" s="249">
        <v>-140000.61408000061</v>
      </c>
      <c r="Y21" s="249">
        <v>-167499.21730999867</v>
      </c>
      <c r="Z21" s="249">
        <v>-145076.45853000006</v>
      </c>
      <c r="AA21" s="249">
        <v>-136079.8832800001</v>
      </c>
    </row>
    <row r="22" spans="1:27" x14ac:dyDescent="0.35">
      <c r="A22" s="220" t="s">
        <v>279</v>
      </c>
      <c r="B22" s="249">
        <v>-26650.147093669962</v>
      </c>
      <c r="C22" s="249">
        <v>-21350.318777885004</v>
      </c>
      <c r="D22" s="249">
        <v>-16698.531274221648</v>
      </c>
      <c r="E22" s="249">
        <v>-17071.303100000056</v>
      </c>
      <c r="F22" s="249">
        <v>-29681.431799999868</v>
      </c>
      <c r="G22" s="249">
        <v>-41589.342849999877</v>
      </c>
      <c r="H22" s="249">
        <v>-51239.090243333296</v>
      </c>
      <c r="I22" s="249">
        <v>-54465.286739999996</v>
      </c>
      <c r="J22" s="249">
        <v>-35543.352346866297</v>
      </c>
      <c r="K22" s="249">
        <v>-51090.599729999783</v>
      </c>
      <c r="L22" s="249">
        <v>-71642.963610000763</v>
      </c>
      <c r="M22" s="249">
        <v>-68484.210510000441</v>
      </c>
      <c r="N22" s="249">
        <v>-32559.455659999981</v>
      </c>
      <c r="O22" s="249">
        <v>-42060.671320000161</v>
      </c>
      <c r="P22" s="249">
        <v>-50885.13592999964</v>
      </c>
      <c r="Q22" s="249">
        <v>-44722.393670912439</v>
      </c>
      <c r="R22" s="249">
        <v>-41504.558749191106</v>
      </c>
      <c r="S22" s="249">
        <v>-52627.024278235374</v>
      </c>
      <c r="T22" s="249">
        <v>-64182.21927705835</v>
      </c>
      <c r="U22" s="249">
        <v>-72811.039868823951</v>
      </c>
      <c r="V22" s="249">
        <v>-66706.649264901644</v>
      </c>
      <c r="W22" s="249">
        <v>-67926.545125096862</v>
      </c>
      <c r="X22" s="249">
        <v>-58371.743200000055</v>
      </c>
      <c r="Y22" s="249">
        <v>-63356.425589999817</v>
      </c>
      <c r="Z22" s="249">
        <v>-65498.328310001001</v>
      </c>
      <c r="AA22" s="249">
        <v>-78144.901160001158</v>
      </c>
    </row>
    <row r="23" spans="1:27" x14ac:dyDescent="0.35">
      <c r="A23" s="221" t="s">
        <v>476</v>
      </c>
      <c r="B23" s="253">
        <f t="shared" ref="B23:AA23" si="2">SUM(B20:B22)</f>
        <v>-61707.354683670121</v>
      </c>
      <c r="C23" s="253">
        <f t="shared" si="2"/>
        <v>-52435.131287885117</v>
      </c>
      <c r="D23" s="253">
        <f t="shared" si="2"/>
        <v>-45379.566754221611</v>
      </c>
      <c r="E23" s="253">
        <f t="shared" si="2"/>
        <v>-55541.021590000142</v>
      </c>
      <c r="F23" s="253">
        <f t="shared" si="2"/>
        <v>-67029.297979999697</v>
      </c>
      <c r="G23" s="253">
        <f t="shared" si="2"/>
        <v>-90053.691449999984</v>
      </c>
      <c r="H23" s="253">
        <f t="shared" si="2"/>
        <v>-102421.43991333334</v>
      </c>
      <c r="I23" s="253">
        <f t="shared" si="2"/>
        <v>-103182.83201000004</v>
      </c>
      <c r="J23" s="253">
        <f t="shared" si="2"/>
        <v>-103765.65402686517</v>
      </c>
      <c r="K23" s="253">
        <f t="shared" si="2"/>
        <v>-144536.54263999878</v>
      </c>
      <c r="L23" s="253">
        <f t="shared" si="2"/>
        <v>-176369.10350999975</v>
      </c>
      <c r="M23" s="253">
        <f t="shared" si="2"/>
        <v>-190242.29716999916</v>
      </c>
      <c r="N23" s="253">
        <f t="shared" si="2"/>
        <v>-191671.28519999876</v>
      </c>
      <c r="O23" s="253">
        <f t="shared" si="2"/>
        <v>-199081.60647000131</v>
      </c>
      <c r="P23" s="253">
        <f t="shared" si="2"/>
        <v>-217445.21243000019</v>
      </c>
      <c r="Q23" s="253">
        <f t="shared" si="2"/>
        <v>-222641.38853091263</v>
      </c>
      <c r="R23" s="253">
        <f t="shared" si="2"/>
        <v>-172916.10611038958</v>
      </c>
      <c r="S23" s="253">
        <f t="shared" si="2"/>
        <v>-166271.93100823544</v>
      </c>
      <c r="T23" s="253">
        <f t="shared" si="2"/>
        <v>-303824.64605705685</v>
      </c>
      <c r="U23" s="253">
        <f t="shared" si="2"/>
        <v>-317452.44784882042</v>
      </c>
      <c r="V23" s="253">
        <f t="shared" si="2"/>
        <v>-295005.07532490033</v>
      </c>
      <c r="W23" s="253">
        <f t="shared" si="2"/>
        <v>-290090.52339509706</v>
      </c>
      <c r="X23" s="253">
        <f t="shared" si="2"/>
        <v>-285065.24632000155</v>
      </c>
      <c r="Y23" s="253">
        <f t="shared" si="2"/>
        <v>-383114.11257410713</v>
      </c>
      <c r="Z23" s="253">
        <f t="shared" si="2"/>
        <v>-357175.73904000182</v>
      </c>
      <c r="AA23" s="253">
        <f t="shared" si="2"/>
        <v>-375170.93018000235</v>
      </c>
    </row>
    <row r="24" spans="1:27" x14ac:dyDescent="0.35">
      <c r="A24" s="221"/>
      <c r="B24" s="264"/>
      <c r="C24" s="264"/>
      <c r="D24" s="264"/>
      <c r="E24" s="264"/>
      <c r="F24" s="264"/>
      <c r="G24" s="264"/>
      <c r="H24" s="264"/>
      <c r="I24" s="264"/>
      <c r="J24" s="264"/>
      <c r="K24" s="264"/>
      <c r="L24" s="264"/>
      <c r="M24" s="264"/>
      <c r="N24" s="264"/>
      <c r="O24" s="264"/>
      <c r="P24" s="264"/>
      <c r="Q24" s="265"/>
      <c r="R24" s="265"/>
      <c r="S24" s="265"/>
      <c r="T24" s="265"/>
      <c r="U24" s="265"/>
      <c r="V24" s="265"/>
      <c r="W24" s="265"/>
      <c r="X24" s="265"/>
      <c r="Y24" s="265"/>
      <c r="Z24" s="265"/>
      <c r="AA24" s="265"/>
    </row>
    <row r="25" spans="1:27" x14ac:dyDescent="0.35">
      <c r="A25" s="8" t="s">
        <v>323</v>
      </c>
      <c r="B25" s="266"/>
      <c r="C25" s="266"/>
      <c r="D25" s="266"/>
      <c r="E25" s="266"/>
      <c r="F25" s="266"/>
      <c r="G25" s="266"/>
      <c r="H25" s="266"/>
      <c r="I25" s="266"/>
      <c r="J25" s="266"/>
      <c r="K25" s="266"/>
      <c r="L25" s="266"/>
      <c r="M25" s="266"/>
      <c r="N25" s="266"/>
      <c r="O25" s="266"/>
      <c r="P25" s="266"/>
      <c r="Q25" s="265"/>
      <c r="R25" s="265"/>
      <c r="S25" s="265"/>
      <c r="T25" s="265"/>
      <c r="U25" s="265"/>
      <c r="V25" s="265"/>
      <c r="W25" s="265"/>
      <c r="X25" s="265"/>
      <c r="Y25" s="265"/>
      <c r="Z25" s="265"/>
      <c r="AA25" s="265"/>
    </row>
    <row r="26" spans="1:27" x14ac:dyDescent="0.35">
      <c r="A26" s="220" t="s">
        <v>484</v>
      </c>
      <c r="B26" s="249">
        <f t="shared" ref="B26:Y26" si="3">B14+B20</f>
        <v>-2530.3055900000181</v>
      </c>
      <c r="C26" s="249">
        <f t="shared" si="3"/>
        <v>-1910.3636500000102</v>
      </c>
      <c r="D26" s="249">
        <f t="shared" si="3"/>
        <v>-1540.5783100000181</v>
      </c>
      <c r="E26" s="249">
        <f t="shared" si="3"/>
        <v>-1075.7320800000152</v>
      </c>
      <c r="F26" s="249">
        <f t="shared" si="3"/>
        <v>-12.267650000018875</v>
      </c>
      <c r="G26" s="249">
        <f t="shared" si="3"/>
        <v>1758.8587399999724</v>
      </c>
      <c r="H26" s="249">
        <f t="shared" si="3"/>
        <v>2695.4303400000063</v>
      </c>
      <c r="I26" s="249">
        <f t="shared" si="3"/>
        <v>1947.4058699999882</v>
      </c>
      <c r="J26" s="249">
        <f t="shared" si="3"/>
        <v>434.27089999999805</v>
      </c>
      <c r="K26" s="249">
        <f t="shared" si="3"/>
        <v>15684.073710000004</v>
      </c>
      <c r="L26" s="249">
        <f t="shared" si="3"/>
        <v>69574.403069999971</v>
      </c>
      <c r="M26" s="249">
        <f t="shared" si="3"/>
        <v>36354.554879999989</v>
      </c>
      <c r="N26" s="249">
        <f t="shared" si="3"/>
        <v>6691.8458000000282</v>
      </c>
      <c r="O26" s="249">
        <f t="shared" si="3"/>
        <v>11627.535550000164</v>
      </c>
      <c r="P26" s="249">
        <f t="shared" si="3"/>
        <v>10939.401379999981</v>
      </c>
      <c r="Q26" s="249">
        <f t="shared" si="3"/>
        <v>14495.005069999963</v>
      </c>
      <c r="R26" s="249">
        <f t="shared" si="3"/>
        <v>5574.7769900000312</v>
      </c>
      <c r="S26" s="249">
        <f t="shared" si="3"/>
        <v>6033.6051899999366</v>
      </c>
      <c r="T26" s="249">
        <f t="shared" si="3"/>
        <v>40631.747479999729</v>
      </c>
      <c r="U26" s="249">
        <f t="shared" si="3"/>
        <v>52215.15334499946</v>
      </c>
      <c r="V26" s="249">
        <f t="shared" si="3"/>
        <v>26053.493148989888</v>
      </c>
      <c r="W26" s="249">
        <f t="shared" si="3"/>
        <v>25885.664339109804</v>
      </c>
      <c r="X26" s="249">
        <f t="shared" si="3"/>
        <v>24783.403888629284</v>
      </c>
      <c r="Y26" s="249">
        <f t="shared" si="3"/>
        <v>35935.749393530743</v>
      </c>
      <c r="Z26" s="249">
        <f t="shared" ref="Z26" si="4">Z14+Z20</f>
        <v>9482.6918399993738</v>
      </c>
      <c r="AA26" s="249">
        <v>32103.285337198467</v>
      </c>
    </row>
    <row r="27" spans="1:27" x14ac:dyDescent="0.35">
      <c r="A27" s="220" t="s">
        <v>485</v>
      </c>
      <c r="B27" s="249">
        <f t="shared" ref="B27:Y27" si="5">B15+B21</f>
        <v>10374.615409999704</v>
      </c>
      <c r="C27" s="249">
        <f t="shared" si="5"/>
        <v>1124.9709499997116</v>
      </c>
      <c r="D27" s="249">
        <f t="shared" si="5"/>
        <v>6314.7901999998612</v>
      </c>
      <c r="E27" s="249">
        <f t="shared" si="5"/>
        <v>7974.7582299999376</v>
      </c>
      <c r="F27" s="249">
        <f t="shared" si="5"/>
        <v>12664.081809999603</v>
      </c>
      <c r="G27" s="249">
        <f t="shared" si="5"/>
        <v>14848.084119998995</v>
      </c>
      <c r="H27" s="249">
        <f t="shared" si="5"/>
        <v>10483.888549998788</v>
      </c>
      <c r="I27" s="249">
        <f t="shared" si="5"/>
        <v>7478.6003499994549</v>
      </c>
      <c r="J27" s="249">
        <f t="shared" si="5"/>
        <v>18954.841200001116</v>
      </c>
      <c r="K27" s="249">
        <f t="shared" si="5"/>
        <v>23759.110681201055</v>
      </c>
      <c r="L27" s="249">
        <f t="shared" si="5"/>
        <v>32288.147130001191</v>
      </c>
      <c r="M27" s="249">
        <f t="shared" si="5"/>
        <v>29556.00072000103</v>
      </c>
      <c r="N27" s="249">
        <f t="shared" si="5"/>
        <v>34762.162440001382</v>
      </c>
      <c r="O27" s="249">
        <f t="shared" si="5"/>
        <v>30696.221979998489</v>
      </c>
      <c r="P27" s="249">
        <f t="shared" si="5"/>
        <v>30431.077139999165</v>
      </c>
      <c r="Q27" s="249">
        <f t="shared" si="5"/>
        <v>37111.037140000553</v>
      </c>
      <c r="R27" s="249">
        <f t="shared" si="5"/>
        <v>30666.099213899797</v>
      </c>
      <c r="S27" s="249">
        <f t="shared" si="5"/>
        <v>25470.381089999893</v>
      </c>
      <c r="T27" s="249">
        <f t="shared" si="5"/>
        <v>31855.221890001456</v>
      </c>
      <c r="U27" s="249">
        <f t="shared" si="5"/>
        <v>33974.828230003375</v>
      </c>
      <c r="V27" s="249">
        <f t="shared" si="5"/>
        <v>34669.086850001113</v>
      </c>
      <c r="W27" s="249">
        <f t="shared" si="5"/>
        <v>35409.952419999841</v>
      </c>
      <c r="X27" s="249">
        <f t="shared" si="5"/>
        <v>35219.425819999276</v>
      </c>
      <c r="Y27" s="249">
        <f t="shared" si="5"/>
        <v>44503.612160001358</v>
      </c>
      <c r="Z27" s="249">
        <f t="shared" ref="Z27" si="6">Z15+Z21</f>
        <v>37183.191589999013</v>
      </c>
      <c r="AA27" s="249">
        <v>36076.693570000978</v>
      </c>
    </row>
    <row r="28" spans="1:27" x14ac:dyDescent="0.35">
      <c r="A28" s="220" t="s">
        <v>279</v>
      </c>
      <c r="B28" s="249">
        <f t="shared" ref="B28:Y28" si="7">B16+B22</f>
        <v>1570.053800000067</v>
      </c>
      <c r="C28" s="249">
        <f t="shared" si="7"/>
        <v>-3462.354795485011</v>
      </c>
      <c r="D28" s="249">
        <f t="shared" si="7"/>
        <v>4673.2715159733707</v>
      </c>
      <c r="E28" s="249">
        <f t="shared" si="7"/>
        <v>5636.9700918800409</v>
      </c>
      <c r="F28" s="249">
        <f t="shared" si="7"/>
        <v>-1240.3830983349035</v>
      </c>
      <c r="G28" s="249">
        <f t="shared" si="7"/>
        <v>4863.15930437528</v>
      </c>
      <c r="H28" s="249">
        <f t="shared" si="7"/>
        <v>7981.9042127869106</v>
      </c>
      <c r="I28" s="249">
        <f t="shared" si="7"/>
        <v>6985.2112899998101</v>
      </c>
      <c r="J28" s="249">
        <f t="shared" si="7"/>
        <v>6133.0507931337997</v>
      </c>
      <c r="K28" s="249">
        <f t="shared" si="7"/>
        <v>-37.432146545070282</v>
      </c>
      <c r="L28" s="249">
        <f t="shared" si="7"/>
        <v>-23792.665556250678</v>
      </c>
      <c r="M28" s="249">
        <f t="shared" si="7"/>
        <v>-10327.854860000421</v>
      </c>
      <c r="N28" s="249">
        <f t="shared" si="7"/>
        <v>8137.2055499999806</v>
      </c>
      <c r="O28" s="249">
        <f t="shared" si="7"/>
        <v>12528.931659999987</v>
      </c>
      <c r="P28" s="249">
        <f t="shared" si="7"/>
        <v>10141.3401110005</v>
      </c>
      <c r="Q28" s="249">
        <f t="shared" si="7"/>
        <v>8009.6726972876058</v>
      </c>
      <c r="R28" s="249">
        <f t="shared" si="7"/>
        <v>7273.649852509996</v>
      </c>
      <c r="S28" s="249">
        <f t="shared" si="7"/>
        <v>7484.5161817647968</v>
      </c>
      <c r="T28" s="249">
        <f t="shared" si="7"/>
        <v>16364.589302942011</v>
      </c>
      <c r="U28" s="249">
        <f t="shared" si="7"/>
        <v>16050.084401176049</v>
      </c>
      <c r="V28" s="249">
        <f t="shared" si="7"/>
        <v>13117.234595098038</v>
      </c>
      <c r="W28" s="249">
        <f t="shared" si="7"/>
        <v>10508.331274903292</v>
      </c>
      <c r="X28" s="249">
        <f t="shared" si="7"/>
        <v>14065.714930000046</v>
      </c>
      <c r="Y28" s="249">
        <f t="shared" si="7"/>
        <v>10196.13044999999</v>
      </c>
      <c r="Z28" s="249">
        <f t="shared" ref="Z28" si="8">Z16+Z22</f>
        <v>17355.244229998963</v>
      </c>
      <c r="AA28" s="249">
        <v>19267.565209999084</v>
      </c>
    </row>
    <row r="29" spans="1:27" x14ac:dyDescent="0.35">
      <c r="A29" s="221" t="s">
        <v>476</v>
      </c>
      <c r="B29" s="116">
        <f>SUM(B26:B28)</f>
        <v>9414.3636199997527</v>
      </c>
      <c r="C29" s="116">
        <f t="shared" ref="C29:Y29" si="9">SUM(C26:C28)</f>
        <v>-4247.7474954853096</v>
      </c>
      <c r="D29" s="116">
        <f t="shared" si="9"/>
        <v>9447.4834059732129</v>
      </c>
      <c r="E29" s="116">
        <f t="shared" si="9"/>
        <v>12535.996241879962</v>
      </c>
      <c r="F29" s="116">
        <f t="shared" si="9"/>
        <v>11411.43106166468</v>
      </c>
      <c r="G29" s="116">
        <f t="shared" si="9"/>
        <v>21470.10216437425</v>
      </c>
      <c r="H29" s="116">
        <f t="shared" si="9"/>
        <v>21161.223102785705</v>
      </c>
      <c r="I29" s="116">
        <f t="shared" si="9"/>
        <v>16411.217509999253</v>
      </c>
      <c r="J29" s="116">
        <f t="shared" si="9"/>
        <v>25522.162893134915</v>
      </c>
      <c r="K29" s="116">
        <f t="shared" si="9"/>
        <v>39405.752244655989</v>
      </c>
      <c r="L29" s="116">
        <f t="shared" si="9"/>
        <v>78069.884643750484</v>
      </c>
      <c r="M29" s="116">
        <f t="shared" si="9"/>
        <v>55582.70074000059</v>
      </c>
      <c r="N29" s="116">
        <f t="shared" si="9"/>
        <v>49591.213790001391</v>
      </c>
      <c r="O29" s="116">
        <f t="shared" si="9"/>
        <v>54852.689189998637</v>
      </c>
      <c r="P29" s="116">
        <f t="shared" si="9"/>
        <v>51511.818630999645</v>
      </c>
      <c r="Q29" s="116">
        <f t="shared" si="9"/>
        <v>59615.714907288122</v>
      </c>
      <c r="R29" s="116">
        <f t="shared" si="9"/>
        <v>43514.526056409821</v>
      </c>
      <c r="S29" s="116">
        <f t="shared" si="9"/>
        <v>38988.502461764627</v>
      </c>
      <c r="T29" s="116">
        <f t="shared" si="9"/>
        <v>88851.558672943196</v>
      </c>
      <c r="U29" s="116">
        <f t="shared" si="9"/>
        <v>102240.06597617888</v>
      </c>
      <c r="V29" s="116">
        <f t="shared" si="9"/>
        <v>73839.814594089039</v>
      </c>
      <c r="W29" s="116">
        <f t="shared" si="9"/>
        <v>71803.948034012938</v>
      </c>
      <c r="X29" s="116">
        <f t="shared" si="9"/>
        <v>74068.544638628606</v>
      </c>
      <c r="Y29" s="116">
        <f t="shared" si="9"/>
        <v>90635.492003532097</v>
      </c>
      <c r="Z29" s="116">
        <f t="shared" ref="Z29:AA29" si="10">SUM(Z26:Z28)</f>
        <v>64021.12765999735</v>
      </c>
      <c r="AA29" s="116">
        <f t="shared" si="10"/>
        <v>87447.544117198529</v>
      </c>
    </row>
    <row r="30" spans="1:27" x14ac:dyDescent="0.35">
      <c r="A30" s="221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</row>
    <row r="31" spans="1:27" x14ac:dyDescent="0.35">
      <c r="A31" s="8" t="s">
        <v>381</v>
      </c>
      <c r="B31" s="199"/>
      <c r="C31" s="199"/>
      <c r="D31" s="199"/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</row>
    <row r="32" spans="1:27" x14ac:dyDescent="0.35">
      <c r="A32" s="220" t="s">
        <v>484</v>
      </c>
      <c r="B32" s="268">
        <f t="shared" ref="B32:Y32" si="11">B26/B14</f>
        <v>-0.90008888851704505</v>
      </c>
      <c r="C32" s="268">
        <f t="shared" si="11"/>
        <v>-0.36608859467339649</v>
      </c>
      <c r="D32" s="268">
        <f t="shared" si="11"/>
        <v>-0.21390386714132109</v>
      </c>
      <c r="E32" s="268">
        <f t="shared" si="11"/>
        <v>-0.14247805966558402</v>
      </c>
      <c r="F32" s="268">
        <f t="shared" si="11"/>
        <v>-1.8871309540017108E-3</v>
      </c>
      <c r="G32" s="268">
        <f t="shared" si="11"/>
        <v>0.23767308748635368</v>
      </c>
      <c r="H32" s="268">
        <f t="shared" si="11"/>
        <v>0.35296616539701814</v>
      </c>
      <c r="I32" s="268">
        <f t="shared" si="11"/>
        <v>0.39759991293906921</v>
      </c>
      <c r="J32" s="268">
        <f t="shared" si="11"/>
        <v>0.30269535973233896</v>
      </c>
      <c r="K32" s="268">
        <f t="shared" si="11"/>
        <v>0.96157386204875828</v>
      </c>
      <c r="L32" s="268">
        <f t="shared" si="11"/>
        <v>0.97645898846261647</v>
      </c>
      <c r="M32" s="268">
        <f t="shared" si="11"/>
        <v>0.94301911601904631</v>
      </c>
      <c r="N32" s="268">
        <f t="shared" si="11"/>
        <v>0.19477312488311674</v>
      </c>
      <c r="O32" s="268">
        <f t="shared" si="11"/>
        <v>0.32384398358467092</v>
      </c>
      <c r="P32" s="268">
        <f t="shared" si="11"/>
        <v>0.3163909268104616</v>
      </c>
      <c r="Q32" s="268">
        <f t="shared" si="11"/>
        <v>0.33824487518881563</v>
      </c>
      <c r="R32" s="268">
        <f t="shared" si="11"/>
        <v>0.18437029630029056</v>
      </c>
      <c r="S32" s="268">
        <f t="shared" si="11"/>
        <v>0.18428395584177015</v>
      </c>
      <c r="T32" s="268">
        <f t="shared" si="11"/>
        <v>0.23851046835945475</v>
      </c>
      <c r="U32" s="268">
        <f t="shared" si="11"/>
        <v>0.30805713864773659</v>
      </c>
      <c r="V32" s="268">
        <f t="shared" si="11"/>
        <v>0.20187148842909719</v>
      </c>
      <c r="W32" s="268">
        <f t="shared" si="11"/>
        <v>0.2287804340209168</v>
      </c>
      <c r="X32" s="268">
        <f t="shared" si="11"/>
        <v>0.22231995016641085</v>
      </c>
      <c r="Y32" s="267">
        <f t="shared" si="11"/>
        <v>0.19095033615572954</v>
      </c>
      <c r="Z32" s="267">
        <f t="shared" ref="Z32:AA32" si="12">Z26/Z14</f>
        <v>6.0753911137346406E-2</v>
      </c>
      <c r="AA32" s="267">
        <f t="shared" si="12"/>
        <v>0.16629567441905857</v>
      </c>
    </row>
    <row r="33" spans="1:27" x14ac:dyDescent="0.35">
      <c r="A33" s="220" t="s">
        <v>485</v>
      </c>
      <c r="B33" s="268">
        <f t="shared" ref="B33:Y33" si="13">B27/B15</f>
        <v>0.25878090012117094</v>
      </c>
      <c r="C33" s="268">
        <f t="shared" si="13"/>
        <v>4.4853315633627162E-2</v>
      </c>
      <c r="D33" s="268">
        <f t="shared" si="13"/>
        <v>0.24053550713166857</v>
      </c>
      <c r="E33" s="268">
        <f t="shared" si="13"/>
        <v>0.21086876219203779</v>
      </c>
      <c r="F33" s="268">
        <f t="shared" si="13"/>
        <v>0.29113506310413501</v>
      </c>
      <c r="G33" s="268">
        <f t="shared" si="13"/>
        <v>0.257462042588953</v>
      </c>
      <c r="H33" s="268">
        <f t="shared" si="13"/>
        <v>0.1848190322695524</v>
      </c>
      <c r="I33" s="268">
        <f t="shared" si="13"/>
        <v>0.14045467722825875</v>
      </c>
      <c r="J33" s="268">
        <f t="shared" si="13"/>
        <v>0.2199531162460043</v>
      </c>
      <c r="K33" s="268">
        <f t="shared" si="13"/>
        <v>0.20380390248117372</v>
      </c>
      <c r="L33" s="268">
        <f t="shared" si="13"/>
        <v>0.23857599403366503</v>
      </c>
      <c r="M33" s="268">
        <f t="shared" si="13"/>
        <v>0.19820624541932585</v>
      </c>
      <c r="N33" s="268">
        <f t="shared" si="13"/>
        <v>0.20914766229165674</v>
      </c>
      <c r="O33" s="268">
        <f t="shared" si="13"/>
        <v>0.18781345905639094</v>
      </c>
      <c r="P33" s="268">
        <f t="shared" si="13"/>
        <v>0.17554199417953206</v>
      </c>
      <c r="Q33" s="268">
        <f t="shared" si="13"/>
        <v>0.19880402959333543</v>
      </c>
      <c r="R33" s="268">
        <f t="shared" si="13"/>
        <v>0.2231632006026521</v>
      </c>
      <c r="S33" s="268">
        <f t="shared" si="13"/>
        <v>0.2265885106424024</v>
      </c>
      <c r="T33" s="268">
        <f t="shared" si="13"/>
        <v>0.22469149727044999</v>
      </c>
      <c r="U33" s="268">
        <f t="shared" si="13"/>
        <v>0.21058806276612316</v>
      </c>
      <c r="V33" s="268">
        <f t="shared" si="13"/>
        <v>0.21673433749245791</v>
      </c>
      <c r="W33" s="268">
        <f t="shared" si="13"/>
        <v>0.20791070186787963</v>
      </c>
      <c r="X33" s="268">
        <f t="shared" si="13"/>
        <v>0.2010011288668774</v>
      </c>
      <c r="Y33" s="267">
        <f t="shared" si="13"/>
        <v>0.2099198971601412</v>
      </c>
      <c r="Z33" s="267">
        <f t="shared" ref="Z33:AA33" si="14">Z27/Z15</f>
        <v>0.20401219669585527</v>
      </c>
      <c r="AA33" s="267">
        <f t="shared" si="14"/>
        <v>0.20955745188540995</v>
      </c>
    </row>
    <row r="34" spans="1:27" x14ac:dyDescent="0.35">
      <c r="A34" s="220" t="s">
        <v>279</v>
      </c>
      <c r="B34" s="268">
        <f t="shared" ref="B34:Y34" si="15">B28/B16</f>
        <v>5.5635812300409246E-2</v>
      </c>
      <c r="C34" s="268">
        <f t="shared" si="15"/>
        <v>-0.19355779108743898</v>
      </c>
      <c r="D34" s="268">
        <f t="shared" si="15"/>
        <v>0.21866529285575195</v>
      </c>
      <c r="E34" s="268">
        <f t="shared" si="15"/>
        <v>0.24823420276164718</v>
      </c>
      <c r="F34" s="268">
        <f t="shared" si="15"/>
        <v>-4.3612424821110427E-2</v>
      </c>
      <c r="G34" s="268">
        <f t="shared" si="15"/>
        <v>0.10469100863961191</v>
      </c>
      <c r="H34" s="268">
        <f t="shared" si="15"/>
        <v>0.1347816646122196</v>
      </c>
      <c r="I34" s="268">
        <f t="shared" si="15"/>
        <v>0.11367216725549835</v>
      </c>
      <c r="J34" s="268">
        <f t="shared" si="15"/>
        <v>0.14715883164224966</v>
      </c>
      <c r="K34" s="268">
        <f t="shared" si="15"/>
        <v>-7.3319929628032083E-4</v>
      </c>
      <c r="L34" s="268">
        <f t="shared" si="15"/>
        <v>-0.49723129267710003</v>
      </c>
      <c r="M34" s="268">
        <f t="shared" si="15"/>
        <v>-0.17758772441237758</v>
      </c>
      <c r="N34" s="268">
        <f t="shared" si="15"/>
        <v>0.19994774283843489</v>
      </c>
      <c r="O34" s="268">
        <f t="shared" si="15"/>
        <v>0.22951131673535305</v>
      </c>
      <c r="P34" s="268">
        <f t="shared" si="15"/>
        <v>0.16617934983149155</v>
      </c>
      <c r="Q34" s="268">
        <f t="shared" si="15"/>
        <v>0.15189377638570639</v>
      </c>
      <c r="R34" s="268">
        <f t="shared" si="15"/>
        <v>0.14911678925938116</v>
      </c>
      <c r="S34" s="268">
        <f t="shared" si="15"/>
        <v>0.12451047044361131</v>
      </c>
      <c r="T34" s="268">
        <f t="shared" si="15"/>
        <v>0.20316868652453737</v>
      </c>
      <c r="U34" s="268">
        <f t="shared" si="15"/>
        <v>0.180619866482993</v>
      </c>
      <c r="V34" s="268">
        <f t="shared" si="15"/>
        <v>0.16432719082053057</v>
      </c>
      <c r="W34" s="268">
        <f t="shared" si="15"/>
        <v>0.13397523853181301</v>
      </c>
      <c r="X34" s="268">
        <f t="shared" si="15"/>
        <v>0.19417736752657677</v>
      </c>
      <c r="Y34" s="267">
        <f t="shared" si="15"/>
        <v>0.13862374061419519</v>
      </c>
      <c r="Z34" s="267">
        <f t="shared" ref="Z34:AA34" si="16">Z28/Z16</f>
        <v>0.20946887017599894</v>
      </c>
      <c r="AA34" s="267">
        <f t="shared" si="16"/>
        <v>0.19779362876220991</v>
      </c>
    </row>
    <row r="35" spans="1:27" x14ac:dyDescent="0.35">
      <c r="A35" s="221" t="s">
        <v>476</v>
      </c>
      <c r="B35" s="199">
        <f t="shared" ref="B35:Y35" si="17">B29/B17</f>
        <v>0.13236974365274823</v>
      </c>
      <c r="C35" s="199">
        <f t="shared" si="17"/>
        <v>-8.8150614563044016E-2</v>
      </c>
      <c r="D35" s="199">
        <f t="shared" si="17"/>
        <v>0.1723142751318803</v>
      </c>
      <c r="E35" s="199">
        <f t="shared" si="17"/>
        <v>0.1841443212574071</v>
      </c>
      <c r="F35" s="199">
        <f t="shared" si="17"/>
        <v>0.14547839115064079</v>
      </c>
      <c r="G35" s="199">
        <f t="shared" si="17"/>
        <v>0.19251588803204933</v>
      </c>
      <c r="H35" s="199">
        <f t="shared" si="17"/>
        <v>0.17123132473707595</v>
      </c>
      <c r="I35" s="199">
        <f t="shared" si="17"/>
        <v>0.13722436505718338</v>
      </c>
      <c r="J35" s="199">
        <f t="shared" si="17"/>
        <v>0.19740578425055597</v>
      </c>
      <c r="K35" s="199">
        <f t="shared" si="17"/>
        <v>0.21422888232076406</v>
      </c>
      <c r="L35" s="199">
        <f t="shared" si="17"/>
        <v>0.30683145382017901</v>
      </c>
      <c r="M35" s="199">
        <f t="shared" si="17"/>
        <v>0.22610678821341942</v>
      </c>
      <c r="N35" s="199">
        <f t="shared" si="17"/>
        <v>0.20554878606333613</v>
      </c>
      <c r="O35" s="199">
        <f t="shared" si="17"/>
        <v>0.21601134674397232</v>
      </c>
      <c r="P35" s="199">
        <f t="shared" si="17"/>
        <v>0.19152434285801098</v>
      </c>
      <c r="Q35" s="269">
        <f t="shared" si="17"/>
        <v>0.21121068055012046</v>
      </c>
      <c r="R35" s="269">
        <f t="shared" si="17"/>
        <v>0.20105530174154793</v>
      </c>
      <c r="S35" s="269">
        <f t="shared" si="17"/>
        <v>0.18994650748149675</v>
      </c>
      <c r="T35" s="269">
        <f t="shared" si="17"/>
        <v>0.22627181785572306</v>
      </c>
      <c r="U35" s="269">
        <f t="shared" si="17"/>
        <v>0.24360707567638504</v>
      </c>
      <c r="V35" s="269">
        <f t="shared" si="17"/>
        <v>0.20019204986222452</v>
      </c>
      <c r="W35" s="269">
        <f t="shared" si="17"/>
        <v>0.19841128755148255</v>
      </c>
      <c r="X35" s="269">
        <f t="shared" si="17"/>
        <v>0.20624220416830896</v>
      </c>
      <c r="Y35" s="269">
        <f t="shared" si="17"/>
        <v>0.1913151823827613</v>
      </c>
      <c r="Z35" s="269">
        <f t="shared" ref="Z35:AA35" si="18">Z29/Z17</f>
        <v>0.15199810996124269</v>
      </c>
      <c r="AA35" s="269">
        <f t="shared" si="18"/>
        <v>0.18902734969684637</v>
      </c>
    </row>
  </sheetData>
  <phoneticPr fontId="61" type="noConversion"/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74758-0E8F-4F9A-BAC3-90B36CDD2A95}">
  <sheetPr>
    <tabColor rgb="FF92D050"/>
  </sheetPr>
  <dimension ref="A1:S31"/>
  <sheetViews>
    <sheetView showGridLines="0" zoomScale="85" zoomScaleNormal="85" workbookViewId="0">
      <pane ySplit="1" topLeftCell="A2" activePane="bottomLeft" state="frozen"/>
      <selection pane="bottomLeft" activeCell="S20" sqref="S20:S21"/>
    </sheetView>
  </sheetViews>
  <sheetFormatPr defaultColWidth="9.1796875" defaultRowHeight="13.5" x14ac:dyDescent="0.35"/>
  <cols>
    <col min="1" max="1" width="83.7265625" style="1" customWidth="1"/>
    <col min="2" max="11" width="9.1796875" style="1"/>
    <col min="12" max="12" width="10" style="1" customWidth="1"/>
    <col min="13" max="16" width="9.1796875" style="1"/>
    <col min="17" max="19" width="10.453125" style="1" bestFit="1" customWidth="1"/>
    <col min="20" max="16384" width="9.1796875" style="1"/>
  </cols>
  <sheetData>
    <row r="1" spans="1:19" ht="36" customHeight="1" x14ac:dyDescent="0.35"/>
    <row r="2" spans="1:19" s="66" customFormat="1" ht="19" x14ac:dyDescent="0.45">
      <c r="A2" s="65" t="s">
        <v>175</v>
      </c>
      <c r="B2" s="47"/>
      <c r="D2" s="47"/>
    </row>
    <row r="3" spans="1:19" s="66" customFormat="1" ht="19" x14ac:dyDescent="0.35">
      <c r="A3" s="68" t="s">
        <v>333</v>
      </c>
      <c r="B3" s="47"/>
      <c r="D3" s="47"/>
    </row>
    <row r="4" spans="1:19" s="66" customFormat="1" ht="19" x14ac:dyDescent="0.35">
      <c r="A4" s="68"/>
      <c r="B4" s="47"/>
      <c r="D4" s="47"/>
    </row>
    <row r="5" spans="1:19" s="66" customFormat="1" ht="19" x14ac:dyDescent="0.35">
      <c r="A5" s="69" t="s">
        <v>178</v>
      </c>
      <c r="B5" s="47"/>
      <c r="D5" s="47"/>
    </row>
    <row r="6" spans="1:19" ht="27" x14ac:dyDescent="0.35">
      <c r="A6" s="200"/>
      <c r="B6" s="176" t="s">
        <v>257</v>
      </c>
      <c r="C6" s="176" t="s">
        <v>258</v>
      </c>
      <c r="D6" s="176" t="s">
        <v>259</v>
      </c>
      <c r="E6" s="176" t="s">
        <v>318</v>
      </c>
      <c r="F6" s="176" t="s">
        <v>319</v>
      </c>
      <c r="G6" s="176" t="s">
        <v>384</v>
      </c>
      <c r="H6" s="176" t="s">
        <v>389</v>
      </c>
      <c r="I6" s="176" t="s">
        <v>392</v>
      </c>
      <c r="J6" s="176" t="s">
        <v>403</v>
      </c>
      <c r="K6" s="176" t="s">
        <v>407</v>
      </c>
      <c r="L6" s="113" t="s">
        <v>412</v>
      </c>
      <c r="M6" s="113" t="s">
        <v>440</v>
      </c>
      <c r="N6" s="113" t="s">
        <v>452</v>
      </c>
      <c r="O6" s="113" t="s">
        <v>464</v>
      </c>
      <c r="P6" s="113" t="s">
        <v>473</v>
      </c>
      <c r="Q6" s="113" t="s">
        <v>475</v>
      </c>
      <c r="R6" s="113" t="s">
        <v>507</v>
      </c>
      <c r="S6" s="113" t="s">
        <v>524</v>
      </c>
    </row>
    <row r="7" spans="1:19" s="2" customFormat="1" hidden="1" x14ac:dyDescent="0.35">
      <c r="A7" s="8" t="s">
        <v>396</v>
      </c>
      <c r="B7" s="116">
        <f>SUM(B8:B9)</f>
        <v>22226.751029999999</v>
      </c>
      <c r="C7" s="116">
        <f t="shared" ref="C7:N7" si="0">SUM(C8:C9)</f>
        <v>26092.189498571424</v>
      </c>
      <c r="D7" s="116">
        <f t="shared" si="0"/>
        <v>34154.324364285712</v>
      </c>
      <c r="E7" s="116">
        <f t="shared" si="0"/>
        <v>43241.019941428574</v>
      </c>
      <c r="F7" s="116">
        <f t="shared" si="0"/>
        <v>50611.950431428566</v>
      </c>
      <c r="G7" s="116">
        <f t="shared" si="0"/>
        <v>57173.026962857126</v>
      </c>
      <c r="H7" s="116">
        <f t="shared" si="0"/>
        <v>58156.302097142849</v>
      </c>
      <c r="I7" s="116">
        <f t="shared" si="0"/>
        <v>58483.186519999996</v>
      </c>
      <c r="J7" s="116">
        <f t="shared" si="0"/>
        <v>51373.684999999998</v>
      </c>
      <c r="K7" s="116">
        <f t="shared" si="0"/>
        <v>45207.745000000003</v>
      </c>
      <c r="L7" s="116">
        <f t="shared" si="0"/>
        <v>107639.40128436993</v>
      </c>
      <c r="M7" s="116">
        <f t="shared" si="0"/>
        <v>102921.7635243699</v>
      </c>
      <c r="N7" s="116">
        <f t="shared" si="0"/>
        <v>86626.821232340968</v>
      </c>
      <c r="O7" s="116"/>
      <c r="P7" s="116"/>
      <c r="Q7" s="116"/>
      <c r="R7" s="116"/>
      <c r="S7" s="116"/>
    </row>
    <row r="8" spans="1:19" hidden="1" x14ac:dyDescent="0.35">
      <c r="A8" s="175" t="s">
        <v>334</v>
      </c>
      <c r="B8" s="79">
        <v>33676.895499999999</v>
      </c>
      <c r="C8" s="79">
        <v>39533.62045238095</v>
      </c>
      <c r="D8" s="79">
        <v>51748.976309523809</v>
      </c>
      <c r="E8" s="79">
        <v>65516.696880952382</v>
      </c>
      <c r="F8" s="79">
        <v>76684.773380952378</v>
      </c>
      <c r="G8" s="79">
        <v>86625.798428571405</v>
      </c>
      <c r="H8" s="79">
        <v>88115.609238095232</v>
      </c>
      <c r="I8" s="79">
        <v>88610.888666666666</v>
      </c>
      <c r="J8" s="79">
        <v>77838.916666666672</v>
      </c>
      <c r="K8" s="79">
        <v>68496.583333333343</v>
      </c>
      <c r="L8" s="79">
        <v>163090.00194601502</v>
      </c>
      <c r="M8" s="79">
        <v>155942.06594601501</v>
      </c>
      <c r="N8" s="79">
        <v>131252.75944294088</v>
      </c>
      <c r="O8" s="79"/>
      <c r="P8" s="79"/>
      <c r="Q8" s="79"/>
      <c r="R8" s="79"/>
      <c r="S8" s="79"/>
    </row>
    <row r="9" spans="1:19" hidden="1" x14ac:dyDescent="0.35">
      <c r="A9" s="175" t="s">
        <v>453</v>
      </c>
      <c r="B9" s="79">
        <f>-B8*0.34</f>
        <v>-11450.144470000001</v>
      </c>
      <c r="C9" s="79">
        <f t="shared" ref="C9:I9" si="1">-C8*0.34</f>
        <v>-13441.430953809524</v>
      </c>
      <c r="D9" s="79">
        <f t="shared" si="1"/>
        <v>-17594.651945238096</v>
      </c>
      <c r="E9" s="79">
        <f t="shared" si="1"/>
        <v>-22275.676939523812</v>
      </c>
      <c r="F9" s="79">
        <f t="shared" si="1"/>
        <v>-26072.822949523812</v>
      </c>
      <c r="G9" s="79">
        <f t="shared" si="1"/>
        <v>-29452.771465714279</v>
      </c>
      <c r="H9" s="79">
        <f t="shared" si="1"/>
        <v>-29959.30714095238</v>
      </c>
      <c r="I9" s="79">
        <f t="shared" si="1"/>
        <v>-30127.70214666667</v>
      </c>
      <c r="J9" s="79">
        <v>-26465.23166666667</v>
      </c>
      <c r="K9" s="79">
        <v>-23288.83833333334</v>
      </c>
      <c r="L9" s="79">
        <v>-55450.600661645098</v>
      </c>
      <c r="M9" s="79">
        <v>-53020.302421645101</v>
      </c>
      <c r="N9" s="79">
        <v>-44625.938210599903</v>
      </c>
      <c r="O9" s="79"/>
      <c r="P9" s="79"/>
      <c r="Q9" s="79"/>
      <c r="R9" s="79"/>
      <c r="S9" s="79"/>
    </row>
    <row r="10" spans="1:19" hidden="1" x14ac:dyDescent="0.35">
      <c r="A10" s="8" t="s">
        <v>335</v>
      </c>
      <c r="B10" s="181">
        <f>SUM(B11:B12)</f>
        <v>214899.78</v>
      </c>
      <c r="C10" s="181">
        <f t="shared" ref="C10:N10" si="2">SUM(C11:C12)</f>
        <v>231222.52999999997</v>
      </c>
      <c r="D10" s="181">
        <f t="shared" si="2"/>
        <v>260449.02999999997</v>
      </c>
      <c r="E10" s="181">
        <f t="shared" si="2"/>
        <v>279299.71124500001</v>
      </c>
      <c r="F10" s="181">
        <f t="shared" si="2"/>
        <v>305113.18124499999</v>
      </c>
      <c r="G10" s="181">
        <f t="shared" si="2"/>
        <v>350084.18124499999</v>
      </c>
      <c r="H10" s="181">
        <f t="shared" si="2"/>
        <v>378711.18124499999</v>
      </c>
      <c r="I10" s="181">
        <f t="shared" si="2"/>
        <v>427674.75</v>
      </c>
      <c r="J10" s="181">
        <f t="shared" si="2"/>
        <v>469267.5</v>
      </c>
      <c r="K10" s="181">
        <f t="shared" si="2"/>
        <v>492511.75</v>
      </c>
      <c r="L10" s="181">
        <f t="shared" si="2"/>
        <v>700261.71731500002</v>
      </c>
      <c r="M10" s="181">
        <f t="shared" si="2"/>
        <v>720880.80842250003</v>
      </c>
      <c r="N10" s="181">
        <f t="shared" si="2"/>
        <v>748659.68074999982</v>
      </c>
      <c r="O10" s="181"/>
      <c r="P10" s="181"/>
      <c r="Q10" s="181"/>
      <c r="R10" s="181"/>
      <c r="S10" s="181"/>
    </row>
    <row r="11" spans="1:19" hidden="1" x14ac:dyDescent="0.35">
      <c r="A11" s="175" t="s">
        <v>336</v>
      </c>
      <c r="B11" s="180">
        <v>100514.35325</v>
      </c>
      <c r="C11" s="180">
        <v>101632.70425</v>
      </c>
      <c r="D11" s="180">
        <v>111142.0585</v>
      </c>
      <c r="E11" s="180">
        <v>105458.489745</v>
      </c>
      <c r="F11" s="180">
        <v>105370.636495</v>
      </c>
      <c r="G11" s="180">
        <v>123828.785495</v>
      </c>
      <c r="H11" s="180">
        <v>126340.681245</v>
      </c>
      <c r="I11" s="180">
        <v>147940.25</v>
      </c>
      <c r="J11" s="180">
        <v>170167.5</v>
      </c>
      <c r="K11" s="180">
        <v>170273.75</v>
      </c>
      <c r="L11" s="180">
        <v>196562</v>
      </c>
      <c r="M11" s="180">
        <v>204936</v>
      </c>
      <c r="N11" s="180">
        <v>229089</v>
      </c>
      <c r="O11" s="180"/>
      <c r="P11" s="180"/>
      <c r="Q11" s="180"/>
      <c r="R11" s="180"/>
      <c r="S11" s="180"/>
    </row>
    <row r="12" spans="1:19" hidden="1" x14ac:dyDescent="0.35">
      <c r="A12" s="175" t="s">
        <v>337</v>
      </c>
      <c r="B12" s="180">
        <v>114385.42675</v>
      </c>
      <c r="C12" s="180">
        <v>129589.82574999999</v>
      </c>
      <c r="D12" s="180">
        <v>149306.97149999999</v>
      </c>
      <c r="E12" s="180">
        <v>173841.22149999999</v>
      </c>
      <c r="F12" s="180">
        <v>199742.54475</v>
      </c>
      <c r="G12" s="180">
        <v>226255.39575</v>
      </c>
      <c r="H12" s="180">
        <v>252370.5</v>
      </c>
      <c r="I12" s="180">
        <v>279734.5</v>
      </c>
      <c r="J12" s="180">
        <v>299100</v>
      </c>
      <c r="K12" s="180">
        <v>322238</v>
      </c>
      <c r="L12" s="180">
        <v>503699.71731499996</v>
      </c>
      <c r="M12" s="180">
        <v>515944.80842250003</v>
      </c>
      <c r="N12" s="180">
        <v>519570.68074999982</v>
      </c>
      <c r="O12" s="180"/>
      <c r="P12" s="180"/>
      <c r="Q12" s="180"/>
      <c r="R12" s="180"/>
      <c r="S12" s="180"/>
    </row>
    <row r="13" spans="1:19" hidden="1" x14ac:dyDescent="0.35">
      <c r="A13" s="8" t="s">
        <v>454</v>
      </c>
      <c r="B13" s="182">
        <f t="shared" ref="B13:N13" si="3">B7/B10</f>
        <v>0.10342844943815205</v>
      </c>
      <c r="C13" s="182">
        <f t="shared" si="3"/>
        <v>0.11284449442954987</v>
      </c>
      <c r="D13" s="182">
        <f t="shared" si="3"/>
        <v>0.13113630856788261</v>
      </c>
      <c r="E13" s="182">
        <f t="shared" si="3"/>
        <v>0.15481942229255588</v>
      </c>
      <c r="F13" s="182">
        <f t="shared" si="3"/>
        <v>0.16587926560533661</v>
      </c>
      <c r="G13" s="182">
        <f t="shared" si="3"/>
        <v>0.16331222610382853</v>
      </c>
      <c r="H13" s="182">
        <f t="shared" si="3"/>
        <v>0.15356373135315415</v>
      </c>
      <c r="I13" s="182">
        <f t="shared" si="3"/>
        <v>0.13674687720048939</v>
      </c>
      <c r="J13" s="182">
        <f t="shared" si="3"/>
        <v>0.1094763327952607</v>
      </c>
      <c r="K13" s="182">
        <f t="shared" si="3"/>
        <v>9.1790185716381395E-2</v>
      </c>
      <c r="L13" s="182">
        <f t="shared" si="3"/>
        <v>0.1537131027197797</v>
      </c>
      <c r="M13" s="182">
        <f t="shared" si="3"/>
        <v>0.14277223408068401</v>
      </c>
      <c r="N13" s="182">
        <f t="shared" si="3"/>
        <v>0.11570921135429529</v>
      </c>
      <c r="O13" s="182"/>
      <c r="P13" s="182"/>
      <c r="Q13" s="182"/>
      <c r="R13" s="182"/>
      <c r="S13" s="182"/>
    </row>
    <row r="14" spans="1:19" hidden="1" x14ac:dyDescent="0.35"/>
    <row r="15" spans="1:19" hidden="1" x14ac:dyDescent="0.35"/>
    <row r="16" spans="1:19" x14ac:dyDescent="0.35">
      <c r="A16" s="8" t="str">
        <f>A7</f>
        <v>NOPAT  (LTM)</v>
      </c>
      <c r="B16" s="116">
        <f>SUM(B17:B18)</f>
        <v>28671.895499999999</v>
      </c>
      <c r="C16" s="116">
        <f t="shared" ref="C16:S16" si="4">SUM(C17:C18)</f>
        <v>31878.62045238095</v>
      </c>
      <c r="D16" s="116">
        <f t="shared" si="4"/>
        <v>38424.976309523809</v>
      </c>
      <c r="E16" s="116">
        <f t="shared" si="4"/>
        <v>46269.696880952382</v>
      </c>
      <c r="F16" s="116">
        <f t="shared" si="4"/>
        <v>53653.773380952378</v>
      </c>
      <c r="G16" s="116">
        <f t="shared" si="4"/>
        <v>62200.798428571434</v>
      </c>
      <c r="H16" s="116">
        <f t="shared" si="4"/>
        <v>65480.609238095232</v>
      </c>
      <c r="I16" s="116">
        <f t="shared" si="4"/>
        <v>71279.888666666666</v>
      </c>
      <c r="J16" s="116">
        <f t="shared" si="4"/>
        <v>68327.916666666672</v>
      </c>
      <c r="K16" s="116">
        <f t="shared" si="4"/>
        <v>66094.583333333343</v>
      </c>
      <c r="L16" s="116">
        <f t="shared" si="4"/>
        <v>135721.00194601508</v>
      </c>
      <c r="M16" s="116">
        <f t="shared" si="4"/>
        <v>123157.06594601506</v>
      </c>
      <c r="N16" s="116">
        <f t="shared" si="4"/>
        <v>104318.75944294088</v>
      </c>
      <c r="O16" s="116">
        <f t="shared" si="4"/>
        <v>113711.85461294089</v>
      </c>
      <c r="P16" s="116">
        <f t="shared" si="4"/>
        <v>100926</v>
      </c>
      <c r="Q16" s="116">
        <f t="shared" si="4"/>
        <v>132200.91130010929</v>
      </c>
      <c r="R16" s="116">
        <f t="shared" si="4"/>
        <v>173682.54583204453</v>
      </c>
      <c r="S16" s="116">
        <f t="shared" si="4"/>
        <v>181083.36238204467</v>
      </c>
    </row>
    <row r="17" spans="1:19" x14ac:dyDescent="0.35">
      <c r="A17" s="175" t="str">
        <f t="shared" ref="A17:A21" si="5">A8</f>
        <v>EBIT (LTM)</v>
      </c>
      <c r="B17" s="79">
        <v>33676.895499999999</v>
      </c>
      <c r="C17" s="79">
        <v>39533.62045238095</v>
      </c>
      <c r="D17" s="79">
        <v>51748.976309523809</v>
      </c>
      <c r="E17" s="79">
        <v>65516.696880952382</v>
      </c>
      <c r="F17" s="79">
        <v>76684.773380952378</v>
      </c>
      <c r="G17" s="79">
        <v>86625.798428571434</v>
      </c>
      <c r="H17" s="79">
        <v>88115.609238095232</v>
      </c>
      <c r="I17" s="79">
        <v>88610.888666666666</v>
      </c>
      <c r="J17" s="79">
        <v>77838.916666666672</v>
      </c>
      <c r="K17" s="79">
        <v>68496.583333333343</v>
      </c>
      <c r="L17" s="79">
        <v>163090.00194601508</v>
      </c>
      <c r="M17" s="79">
        <v>155942.06594601506</v>
      </c>
      <c r="N17" s="79">
        <v>131252.75944294088</v>
      </c>
      <c r="O17" s="79">
        <v>134091.85461294089</v>
      </c>
      <c r="P17" s="79">
        <v>112973</v>
      </c>
      <c r="Q17" s="79">
        <v>139765.66969010929</v>
      </c>
      <c r="R17" s="79">
        <v>181367.02762010906</v>
      </c>
      <c r="S17" s="79">
        <v>188878.38517010919</v>
      </c>
    </row>
    <row r="18" spans="1:19" x14ac:dyDescent="0.35">
      <c r="A18" s="175" t="s">
        <v>455</v>
      </c>
      <c r="B18" s="79">
        <v>-5005</v>
      </c>
      <c r="C18" s="79">
        <v>-7655</v>
      </c>
      <c r="D18" s="79">
        <v>-13324</v>
      </c>
      <c r="E18" s="79">
        <v>-19247</v>
      </c>
      <c r="F18" s="79">
        <v>-23031</v>
      </c>
      <c r="G18" s="79">
        <v>-24425</v>
      </c>
      <c r="H18" s="79">
        <v>-22635</v>
      </c>
      <c r="I18" s="79">
        <v>-17331</v>
      </c>
      <c r="J18" s="79">
        <v>-9511</v>
      </c>
      <c r="K18" s="79">
        <v>-2402</v>
      </c>
      <c r="L18" s="79">
        <v>-27369</v>
      </c>
      <c r="M18" s="79">
        <v>-32785</v>
      </c>
      <c r="N18" s="79">
        <v>-26933.999999999996</v>
      </c>
      <c r="O18" s="79">
        <v>-20380</v>
      </c>
      <c r="P18" s="79">
        <v>-12047</v>
      </c>
      <c r="Q18" s="79">
        <v>-7564.75839</v>
      </c>
      <c r="R18" s="79">
        <v>-7684.4817880645151</v>
      </c>
      <c r="S18" s="79">
        <v>-7795.0227880645143</v>
      </c>
    </row>
    <row r="19" spans="1:19" x14ac:dyDescent="0.35">
      <c r="A19" s="8" t="str">
        <f t="shared" si="5"/>
        <v>Capital Investido Médio</v>
      </c>
      <c r="B19" s="181">
        <f>SUM(B20:B21)</f>
        <v>214899.78</v>
      </c>
      <c r="C19" s="181">
        <f t="shared" ref="C19:S19" si="6">SUM(C20:C21)</f>
        <v>231222.52999999997</v>
      </c>
      <c r="D19" s="181">
        <f t="shared" si="6"/>
        <v>260449.02999999997</v>
      </c>
      <c r="E19" s="181">
        <f t="shared" si="6"/>
        <v>279299.71124500001</v>
      </c>
      <c r="F19" s="181">
        <f t="shared" si="6"/>
        <v>305113.18124499999</v>
      </c>
      <c r="G19" s="181">
        <f t="shared" si="6"/>
        <v>350084.18124499999</v>
      </c>
      <c r="H19" s="181">
        <f t="shared" si="6"/>
        <v>378711.18124499999</v>
      </c>
      <c r="I19" s="181">
        <f t="shared" si="6"/>
        <v>427674.75</v>
      </c>
      <c r="J19" s="181">
        <f t="shared" si="6"/>
        <v>469267.5</v>
      </c>
      <c r="K19" s="181">
        <f t="shared" si="6"/>
        <v>492511.75</v>
      </c>
      <c r="L19" s="181">
        <f t="shared" si="6"/>
        <v>700261.71731500002</v>
      </c>
      <c r="M19" s="181">
        <f t="shared" si="6"/>
        <v>720880.80842250003</v>
      </c>
      <c r="N19" s="181">
        <f t="shared" si="6"/>
        <v>748659.68074999982</v>
      </c>
      <c r="O19" s="181">
        <f t="shared" si="6"/>
        <v>780909.48699999996</v>
      </c>
      <c r="P19" s="181">
        <f t="shared" si="6"/>
        <v>803271.4254999999</v>
      </c>
      <c r="Q19" s="181">
        <f t="shared" si="6"/>
        <v>1203114.8336199999</v>
      </c>
      <c r="R19" s="181">
        <f t="shared" si="6"/>
        <v>1219485.2415799999</v>
      </c>
      <c r="S19" s="181">
        <f t="shared" si="6"/>
        <v>1240129.1405400001</v>
      </c>
    </row>
    <row r="20" spans="1:19" x14ac:dyDescent="0.35">
      <c r="A20" s="175" t="str">
        <f t="shared" si="5"/>
        <v>Capital de Giro (Média LTM)</v>
      </c>
      <c r="B20" s="180">
        <f>B11</f>
        <v>100514.35325</v>
      </c>
      <c r="C20" s="180">
        <f t="shared" ref="C20:N20" si="7">C11</f>
        <v>101632.70425</v>
      </c>
      <c r="D20" s="180">
        <f t="shared" si="7"/>
        <v>111142.0585</v>
      </c>
      <c r="E20" s="180">
        <f t="shared" si="7"/>
        <v>105458.489745</v>
      </c>
      <c r="F20" s="180">
        <f t="shared" si="7"/>
        <v>105370.636495</v>
      </c>
      <c r="G20" s="180">
        <f t="shared" si="7"/>
        <v>123828.785495</v>
      </c>
      <c r="H20" s="180">
        <f t="shared" si="7"/>
        <v>126340.681245</v>
      </c>
      <c r="I20" s="180">
        <f t="shared" si="7"/>
        <v>147940.25</v>
      </c>
      <c r="J20" s="180">
        <f t="shared" si="7"/>
        <v>170167.5</v>
      </c>
      <c r="K20" s="180">
        <f t="shared" si="7"/>
        <v>170273.75</v>
      </c>
      <c r="L20" s="180">
        <f t="shared" si="7"/>
        <v>196562</v>
      </c>
      <c r="M20" s="180">
        <f t="shared" si="7"/>
        <v>204936</v>
      </c>
      <c r="N20" s="180">
        <f t="shared" si="7"/>
        <v>229089</v>
      </c>
      <c r="O20" s="180">
        <v>261495</v>
      </c>
      <c r="P20" s="180">
        <v>280154</v>
      </c>
      <c r="Q20" s="180">
        <v>297284.19100000005</v>
      </c>
      <c r="R20" s="180">
        <v>305742.49099999998</v>
      </c>
      <c r="S20" s="180">
        <v>321220.82899999997</v>
      </c>
    </row>
    <row r="21" spans="1:19" x14ac:dyDescent="0.35">
      <c r="A21" s="175" t="str">
        <f t="shared" si="5"/>
        <v>Imob. e Intangível (Média LTM)</v>
      </c>
      <c r="B21" s="180">
        <f>B12</f>
        <v>114385.42675</v>
      </c>
      <c r="C21" s="180">
        <f t="shared" ref="C21:N21" si="8">C12</f>
        <v>129589.82574999999</v>
      </c>
      <c r="D21" s="180">
        <f t="shared" si="8"/>
        <v>149306.97149999999</v>
      </c>
      <c r="E21" s="180">
        <f t="shared" si="8"/>
        <v>173841.22149999999</v>
      </c>
      <c r="F21" s="180">
        <f t="shared" si="8"/>
        <v>199742.54475</v>
      </c>
      <c r="G21" s="180">
        <f t="shared" si="8"/>
        <v>226255.39575</v>
      </c>
      <c r="H21" s="180">
        <f t="shared" si="8"/>
        <v>252370.5</v>
      </c>
      <c r="I21" s="180">
        <f t="shared" si="8"/>
        <v>279734.5</v>
      </c>
      <c r="J21" s="180">
        <f t="shared" si="8"/>
        <v>299100</v>
      </c>
      <c r="K21" s="180">
        <f t="shared" si="8"/>
        <v>322238</v>
      </c>
      <c r="L21" s="180">
        <f t="shared" si="8"/>
        <v>503699.71731499996</v>
      </c>
      <c r="M21" s="180">
        <f t="shared" si="8"/>
        <v>515944.80842250003</v>
      </c>
      <c r="N21" s="180">
        <f t="shared" si="8"/>
        <v>519570.68074999982</v>
      </c>
      <c r="O21" s="180">
        <v>519414.48700000002</v>
      </c>
      <c r="P21" s="180">
        <v>523117.42549999995</v>
      </c>
      <c r="Q21" s="180">
        <v>905830.64261999994</v>
      </c>
      <c r="R21" s="180">
        <v>913742.75057999988</v>
      </c>
      <c r="S21" s="180">
        <v>918908.31154000002</v>
      </c>
    </row>
    <row r="22" spans="1:19" x14ac:dyDescent="0.35">
      <c r="A22" s="8" t="s">
        <v>504</v>
      </c>
      <c r="B22" s="182">
        <f t="shared" ref="B22:S22" si="9">B16/B19</f>
        <v>0.13341984575321575</v>
      </c>
      <c r="C22" s="182">
        <f t="shared" si="9"/>
        <v>0.13786987129835901</v>
      </c>
      <c r="D22" s="182">
        <f t="shared" si="9"/>
        <v>0.14753357426412306</v>
      </c>
      <c r="E22" s="182">
        <f t="shared" si="9"/>
        <v>0.16566324639113172</v>
      </c>
      <c r="F22" s="182">
        <f t="shared" si="9"/>
        <v>0.17584875606494835</v>
      </c>
      <c r="G22" s="182">
        <f t="shared" si="9"/>
        <v>0.17767383321167929</v>
      </c>
      <c r="H22" s="182">
        <f t="shared" si="9"/>
        <v>0.17290381821532172</v>
      </c>
      <c r="I22" s="182">
        <f t="shared" si="9"/>
        <v>0.16666845229152918</v>
      </c>
      <c r="J22" s="182">
        <f t="shared" si="9"/>
        <v>0.14560547377917002</v>
      </c>
      <c r="K22" s="182">
        <f t="shared" si="9"/>
        <v>0.13419899795960877</v>
      </c>
      <c r="L22" s="182">
        <f t="shared" si="9"/>
        <v>0.19381468183982339</v>
      </c>
      <c r="M22" s="182">
        <f t="shared" si="9"/>
        <v>0.17084248118009837</v>
      </c>
      <c r="N22" s="182">
        <f t="shared" si="9"/>
        <v>0.13934069394312162</v>
      </c>
      <c r="O22" s="182">
        <f t="shared" si="9"/>
        <v>0.14561464101273097</v>
      </c>
      <c r="P22" s="182">
        <f t="shared" si="9"/>
        <v>0.12564370746435821</v>
      </c>
      <c r="Q22" s="182">
        <f t="shared" si="9"/>
        <v>0.1098822054270046</v>
      </c>
      <c r="R22" s="182">
        <f t="shared" si="9"/>
        <v>0.14242283539816888</v>
      </c>
      <c r="S22" s="182">
        <f t="shared" si="9"/>
        <v>0.14601976234764871</v>
      </c>
    </row>
    <row r="25" spans="1:19" x14ac:dyDescent="0.35">
      <c r="A25" s="8" t="s">
        <v>499</v>
      </c>
      <c r="B25" s="276"/>
      <c r="C25" s="276"/>
      <c r="D25" s="276"/>
      <c r="E25" s="276"/>
      <c r="F25" s="276"/>
      <c r="G25" s="276"/>
      <c r="H25" s="276"/>
      <c r="I25" s="276"/>
      <c r="J25" s="276"/>
      <c r="K25" s="276"/>
      <c r="L25" s="276"/>
      <c r="M25" s="116">
        <f t="shared" ref="M25:S25" si="10">SUM(M26:M27)</f>
        <v>123157.06594601506</v>
      </c>
      <c r="N25" s="116">
        <f t="shared" si="10"/>
        <v>110410.75944294091</v>
      </c>
      <c r="O25" s="116">
        <f t="shared" si="10"/>
        <v>126089.85461294086</v>
      </c>
      <c r="P25" s="116">
        <f t="shared" si="10"/>
        <v>119510</v>
      </c>
      <c r="Q25" s="116">
        <f t="shared" si="10"/>
        <v>159761.91130010929</v>
      </c>
      <c r="R25" s="116">
        <f t="shared" si="10"/>
        <v>153738.54583204456</v>
      </c>
      <c r="S25" s="116">
        <f t="shared" si="10"/>
        <v>162734.3623820447</v>
      </c>
    </row>
    <row r="26" spans="1:19" x14ac:dyDescent="0.35">
      <c r="A26" s="175" t="s">
        <v>500</v>
      </c>
      <c r="B26" s="276"/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79">
        <v>155942.06594601506</v>
      </c>
      <c r="N26" s="79">
        <v>137344.75944294091</v>
      </c>
      <c r="O26" s="79">
        <v>146469.85461294086</v>
      </c>
      <c r="P26" s="79">
        <v>131557</v>
      </c>
      <c r="Q26" s="79">
        <v>167326.66969010929</v>
      </c>
      <c r="R26" s="79">
        <v>161423.02762010909</v>
      </c>
      <c r="S26" s="79">
        <v>170529.38517010922</v>
      </c>
    </row>
    <row r="27" spans="1:19" x14ac:dyDescent="0.35">
      <c r="A27" s="175" t="s">
        <v>501</v>
      </c>
      <c r="B27" s="276"/>
      <c r="C27" s="276"/>
      <c r="D27" s="276"/>
      <c r="E27" s="276"/>
      <c r="F27" s="276"/>
      <c r="G27" s="276"/>
      <c r="H27" s="276"/>
      <c r="I27" s="276"/>
      <c r="J27" s="276"/>
      <c r="K27" s="276"/>
      <c r="L27" s="276"/>
      <c r="M27" s="79">
        <v>-32785</v>
      </c>
      <c r="N27" s="79">
        <v>-26933.999999999996</v>
      </c>
      <c r="O27" s="79">
        <v>-20380</v>
      </c>
      <c r="P27" s="79">
        <v>-12047</v>
      </c>
      <c r="Q27" s="79">
        <v>-7564.75839</v>
      </c>
      <c r="R27" s="79">
        <v>-7684.4817880645151</v>
      </c>
      <c r="S27" s="79">
        <v>-7795.0227880645143</v>
      </c>
    </row>
    <row r="28" spans="1:19" x14ac:dyDescent="0.35">
      <c r="A28" s="8" t="str">
        <f t="shared" ref="A28" si="11">A19</f>
        <v>Capital Investido Médio</v>
      </c>
      <c r="B28" s="276"/>
      <c r="C28" s="276"/>
      <c r="D28" s="276"/>
      <c r="E28" s="276"/>
      <c r="F28" s="276"/>
      <c r="G28" s="276"/>
      <c r="H28" s="276"/>
      <c r="I28" s="276"/>
      <c r="J28" s="276"/>
      <c r="K28" s="276"/>
      <c r="L28" s="276"/>
      <c r="M28" s="181">
        <f t="shared" ref="M28:S28" si="12">SUM(M29:M30)</f>
        <v>645074.9161725</v>
      </c>
      <c r="N28" s="181">
        <f t="shared" si="12"/>
        <v>670424.03474999988</v>
      </c>
      <c r="O28" s="181">
        <f t="shared" si="12"/>
        <v>699643.48325000005</v>
      </c>
      <c r="P28" s="181">
        <f t="shared" si="12"/>
        <v>718622.14274999988</v>
      </c>
      <c r="Q28" s="181">
        <f t="shared" si="12"/>
        <v>1115665.4911199999</v>
      </c>
      <c r="R28" s="181">
        <f t="shared" si="12"/>
        <v>1132577.8865799999</v>
      </c>
      <c r="S28" s="181">
        <f t="shared" si="12"/>
        <v>1154179.2647899999</v>
      </c>
    </row>
    <row r="29" spans="1:19" x14ac:dyDescent="0.35">
      <c r="A29" s="175" t="s">
        <v>502</v>
      </c>
      <c r="B29" s="276"/>
      <c r="C29" s="276"/>
      <c r="D29" s="276"/>
      <c r="E29" s="276"/>
      <c r="F29" s="276"/>
      <c r="G29" s="276"/>
      <c r="H29" s="276"/>
      <c r="I29" s="276"/>
      <c r="J29" s="276"/>
      <c r="K29" s="276"/>
      <c r="L29" s="276"/>
      <c r="M29" s="180">
        <v>129130.10775000001</v>
      </c>
      <c r="N29" s="180">
        <v>150853.35399999999</v>
      </c>
      <c r="O29" s="180">
        <v>180228.99625000003</v>
      </c>
      <c r="P29" s="180">
        <v>195504.71724999999</v>
      </c>
      <c r="Q29" s="180">
        <v>209834.84850000002</v>
      </c>
      <c r="R29" s="180">
        <v>218835.13599999997</v>
      </c>
      <c r="S29" s="180">
        <v>235270.95324999999</v>
      </c>
    </row>
    <row r="30" spans="1:19" x14ac:dyDescent="0.35">
      <c r="A30" s="175" t="str">
        <f t="shared" ref="A30" si="13">A21</f>
        <v>Imob. e Intangível (Média LTM)</v>
      </c>
      <c r="B30" s="276"/>
      <c r="C30" s="276"/>
      <c r="D30" s="276"/>
      <c r="E30" s="276"/>
      <c r="F30" s="276"/>
      <c r="G30" s="276"/>
      <c r="H30" s="276"/>
      <c r="I30" s="276"/>
      <c r="J30" s="276"/>
      <c r="K30" s="276"/>
      <c r="L30" s="276"/>
      <c r="M30" s="180">
        <v>515944.80842250003</v>
      </c>
      <c r="N30" s="180">
        <v>519570.68074999982</v>
      </c>
      <c r="O30" s="180">
        <v>519414.48700000002</v>
      </c>
      <c r="P30" s="180">
        <v>523117.42549999995</v>
      </c>
      <c r="Q30" s="180">
        <v>905830.64261999994</v>
      </c>
      <c r="R30" s="180">
        <v>913742.75057999988</v>
      </c>
      <c r="S30" s="180">
        <v>918908.31154000002</v>
      </c>
    </row>
    <row r="31" spans="1:19" x14ac:dyDescent="0.35">
      <c r="A31" s="8" t="s">
        <v>503</v>
      </c>
      <c r="B31" s="276"/>
      <c r="C31" s="276"/>
      <c r="D31" s="276"/>
      <c r="E31" s="276"/>
      <c r="F31" s="276"/>
      <c r="G31" s="276"/>
      <c r="H31" s="276"/>
      <c r="I31" s="276"/>
      <c r="J31" s="276"/>
      <c r="K31" s="276"/>
      <c r="L31" s="276"/>
      <c r="M31" s="182">
        <f t="shared" ref="M31:S31" si="14">M25/M28</f>
        <v>0.19091901244084575</v>
      </c>
      <c r="N31" s="182">
        <f t="shared" si="14"/>
        <v>0.16468794929780958</v>
      </c>
      <c r="O31" s="182">
        <f t="shared" si="14"/>
        <v>0.18022015159381655</v>
      </c>
      <c r="P31" s="182">
        <f t="shared" si="14"/>
        <v>0.16630436621763839</v>
      </c>
      <c r="Q31" s="182">
        <f t="shared" si="14"/>
        <v>0.1431987567704785</v>
      </c>
      <c r="R31" s="182">
        <f t="shared" si="14"/>
        <v>0.13574213981546354</v>
      </c>
      <c r="S31" s="182">
        <f t="shared" si="14"/>
        <v>0.14099574246956673</v>
      </c>
    </row>
  </sheetData>
  <phoneticPr fontId="61" type="noConversion"/>
  <pageMargins left="0.511811024" right="0.511811024" top="0.78740157499999996" bottom="0.78740157499999996" header="0.31496062000000002" footer="0.31496062000000002"/>
  <pageSetup scale="34" orientation="landscape" r:id="rId1"/>
  <ignoredErrors>
    <ignoredError sqref="B7:F7" formulaRange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ECB63-20AC-4391-815D-00FEE382F8C2}">
  <sheetPr>
    <tabColor rgb="FF92D050"/>
  </sheetPr>
  <dimension ref="A1:AO217"/>
  <sheetViews>
    <sheetView showGridLines="0" zoomScale="85" zoomScaleNormal="85" workbookViewId="0">
      <pane ySplit="1" topLeftCell="A2" activePane="bottomLeft" state="frozen"/>
      <selection pane="bottomLeft" activeCell="AC10" sqref="AC10"/>
    </sheetView>
  </sheetViews>
  <sheetFormatPr defaultColWidth="9.1796875" defaultRowHeight="14.5" x14ac:dyDescent="0.35"/>
  <cols>
    <col min="1" max="1" width="33.26953125" style="156" customWidth="1"/>
    <col min="2" max="16384" width="9.1796875" style="156"/>
  </cols>
  <sheetData>
    <row r="1" s="186" customFormat="1" ht="30" customHeight="1" x14ac:dyDescent="0.35"/>
    <row r="2" s="162" customFormat="1" x14ac:dyDescent="0.35"/>
    <row r="3" s="162" customFormat="1" x14ac:dyDescent="0.35"/>
    <row r="4" s="162" customFormat="1" x14ac:dyDescent="0.35"/>
    <row r="5" s="162" customFormat="1" x14ac:dyDescent="0.35"/>
    <row r="6" s="162" customFormat="1" x14ac:dyDescent="0.35"/>
    <row r="7" s="162" customFormat="1" x14ac:dyDescent="0.35"/>
    <row r="8" s="162" customFormat="1" x14ac:dyDescent="0.35"/>
    <row r="9" s="162" customFormat="1" x14ac:dyDescent="0.35"/>
    <row r="10" s="162" customFormat="1" x14ac:dyDescent="0.35"/>
    <row r="11" s="162" customFormat="1" x14ac:dyDescent="0.35"/>
    <row r="12" s="162" customFormat="1" x14ac:dyDescent="0.35"/>
    <row r="13" s="162" customFormat="1" x14ac:dyDescent="0.35"/>
    <row r="14" s="162" customFormat="1" x14ac:dyDescent="0.35"/>
    <row r="15" s="162" customFormat="1" x14ac:dyDescent="0.35"/>
    <row r="16" s="162" customFormat="1" x14ac:dyDescent="0.35"/>
    <row r="17" s="162" customFormat="1" x14ac:dyDescent="0.35"/>
    <row r="18" s="162" customFormat="1" x14ac:dyDescent="0.35"/>
    <row r="19" s="162" customFormat="1" x14ac:dyDescent="0.35"/>
    <row r="20" s="162" customFormat="1" x14ac:dyDescent="0.35"/>
    <row r="21" s="162" customFormat="1" x14ac:dyDescent="0.35"/>
    <row r="22" s="162" customFormat="1" x14ac:dyDescent="0.35"/>
    <row r="23" s="162" customFormat="1" x14ac:dyDescent="0.35"/>
    <row r="24" s="162" customFormat="1" x14ac:dyDescent="0.35"/>
    <row r="25" s="162" customFormat="1" x14ac:dyDescent="0.35"/>
    <row r="26" s="162" customFormat="1" x14ac:dyDescent="0.35"/>
    <row r="27" s="162" customFormat="1" x14ac:dyDescent="0.35"/>
    <row r="28" s="162" customFormat="1" x14ac:dyDescent="0.35"/>
    <row r="29" s="162" customFormat="1" x14ac:dyDescent="0.35"/>
    <row r="30" s="162" customFormat="1" x14ac:dyDescent="0.35"/>
    <row r="31" s="162" customFormat="1" x14ac:dyDescent="0.35"/>
    <row r="32" s="162" customFormat="1" x14ac:dyDescent="0.35"/>
    <row r="33" s="162" customFormat="1" x14ac:dyDescent="0.35"/>
    <row r="34" s="162" customFormat="1" x14ac:dyDescent="0.35"/>
    <row r="35" s="162" customFormat="1" x14ac:dyDescent="0.35"/>
    <row r="36" s="162" customFormat="1" x14ac:dyDescent="0.35"/>
    <row r="37" s="162" customFormat="1" x14ac:dyDescent="0.35"/>
    <row r="38" s="162" customFormat="1" x14ac:dyDescent="0.35"/>
    <row r="39" s="162" customFormat="1" x14ac:dyDescent="0.35"/>
    <row r="40" s="162" customFormat="1" x14ac:dyDescent="0.35"/>
    <row r="41" s="162" customFormat="1" x14ac:dyDescent="0.35"/>
    <row r="42" s="162" customFormat="1" x14ac:dyDescent="0.35"/>
    <row r="43" s="162" customFormat="1" x14ac:dyDescent="0.35"/>
    <row r="44" s="162" customFormat="1" x14ac:dyDescent="0.35"/>
    <row r="45" s="162" customFormat="1" x14ac:dyDescent="0.35"/>
    <row r="46" s="162" customFormat="1" x14ac:dyDescent="0.35"/>
    <row r="47" s="162" customFormat="1" x14ac:dyDescent="0.35"/>
    <row r="48" s="162" customFormat="1" x14ac:dyDescent="0.35"/>
    <row r="49" spans="1:41" s="162" customFormat="1" x14ac:dyDescent="0.35"/>
    <row r="50" spans="1:41" s="162" customFormat="1" x14ac:dyDescent="0.35"/>
    <row r="51" spans="1:41" s="162" customFormat="1" x14ac:dyDescent="0.35"/>
    <row r="52" spans="1:41" s="162" customFormat="1" x14ac:dyDescent="0.35"/>
    <row r="53" spans="1:41" s="162" customFormat="1" x14ac:dyDescent="0.35"/>
    <row r="54" spans="1:41" s="162" customFormat="1" x14ac:dyDescent="0.35"/>
    <row r="55" spans="1:41" s="162" customFormat="1" x14ac:dyDescent="0.35"/>
    <row r="56" spans="1:41" ht="15.75" customHeight="1" x14ac:dyDescent="0.35">
      <c r="A56" s="203"/>
      <c r="B56" s="203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3"/>
      <c r="AF56" s="203"/>
      <c r="AG56" s="203"/>
      <c r="AH56" s="203"/>
      <c r="AI56" s="203"/>
      <c r="AJ56" s="203"/>
      <c r="AK56" s="203"/>
      <c r="AL56" s="203"/>
      <c r="AM56" s="203"/>
      <c r="AN56" s="203"/>
      <c r="AO56" s="203"/>
    </row>
    <row r="57" spans="1:41" s="216" customFormat="1" x14ac:dyDescent="0.35">
      <c r="A57" s="281" t="s">
        <v>288</v>
      </c>
    </row>
    <row r="58" spans="1:41" s="216" customFormat="1" x14ac:dyDescent="0.35"/>
    <row r="59" spans="1:41" s="216" customFormat="1" x14ac:dyDescent="0.35">
      <c r="A59" s="282" t="s">
        <v>263</v>
      </c>
      <c r="B59" s="283" t="s">
        <v>249</v>
      </c>
      <c r="C59" s="283" t="s">
        <v>250</v>
      </c>
      <c r="D59" s="283" t="s">
        <v>251</v>
      </c>
      <c r="E59" s="283" t="s">
        <v>252</v>
      </c>
      <c r="F59" s="283" t="s">
        <v>253</v>
      </c>
      <c r="G59" s="283" t="s">
        <v>254</v>
      </c>
      <c r="H59" s="283" t="s">
        <v>255</v>
      </c>
      <c r="I59" s="283" t="s">
        <v>256</v>
      </c>
      <c r="J59" s="283" t="s">
        <v>257</v>
      </c>
      <c r="K59" s="283" t="s">
        <v>258</v>
      </c>
      <c r="L59" s="283" t="s">
        <v>259</v>
      </c>
      <c r="M59" s="283" t="s">
        <v>318</v>
      </c>
      <c r="N59" s="283" t="s">
        <v>319</v>
      </c>
      <c r="O59" s="283" t="s">
        <v>384</v>
      </c>
      <c r="P59" s="283" t="s">
        <v>389</v>
      </c>
      <c r="Q59" s="283" t="s">
        <v>392</v>
      </c>
      <c r="R59" s="283" t="s">
        <v>403</v>
      </c>
      <c r="S59" s="283" t="s">
        <v>407</v>
      </c>
      <c r="T59" s="283" t="s">
        <v>411</v>
      </c>
      <c r="U59" s="283" t="s">
        <v>440</v>
      </c>
      <c r="V59" s="283" t="s">
        <v>452</v>
      </c>
      <c r="W59" s="283" t="s">
        <v>464</v>
      </c>
      <c r="X59" s="283" t="s">
        <v>473</v>
      </c>
      <c r="Y59" s="283" t="s">
        <v>475</v>
      </c>
      <c r="Z59" s="283" t="s">
        <v>507</v>
      </c>
      <c r="AA59" s="283" t="s">
        <v>524</v>
      </c>
    </row>
    <row r="60" spans="1:41" s="216" customFormat="1" x14ac:dyDescent="0.35">
      <c r="A60" s="284" t="s">
        <v>286</v>
      </c>
      <c r="B60" s="285">
        <f>'Dados gerais'!B7/1000</f>
        <v>77.334999999999994</v>
      </c>
      <c r="C60" s="285">
        <f>'Dados gerais'!C7/1000</f>
        <v>55.58</v>
      </c>
      <c r="D60" s="285">
        <f>'Dados gerais'!D7/1000</f>
        <v>61.613999999999997</v>
      </c>
      <c r="E60" s="285">
        <f>'Dados gerais'!E7/1000</f>
        <v>74.274000000000001</v>
      </c>
      <c r="F60" s="285">
        <f>'Dados gerais'!F7/1000</f>
        <v>85.35</v>
      </c>
      <c r="G60" s="285">
        <f>'Dados gerais'!G7/1000</f>
        <v>121.173</v>
      </c>
      <c r="H60" s="285">
        <f>'Dados gerais'!H7/1000</f>
        <v>135.43899999999999</v>
      </c>
      <c r="I60" s="285">
        <f>'Dados gerais'!I7/1000</f>
        <v>130.82352856</v>
      </c>
      <c r="J60" s="285">
        <f>'Dados gerais'!J7/1000</f>
        <v>141.29</v>
      </c>
      <c r="K60" s="285">
        <f>'Dados gerais'!K7/1000</f>
        <v>200.75700000000001</v>
      </c>
      <c r="L60" s="285">
        <f>'Dados gerais'!L7/1000</f>
        <v>276.423</v>
      </c>
      <c r="M60" s="285">
        <f>'Dados gerais'!M7/1000</f>
        <v>266.63200000000001</v>
      </c>
      <c r="N60" s="285">
        <f>'Dados gerais'!N7/1000</f>
        <v>261.54306170000001</v>
      </c>
      <c r="O60" s="285">
        <f>'Dados gerais'!O7/1000</f>
        <v>274.604512</v>
      </c>
      <c r="P60" s="285">
        <f>'Dados gerais'!P7/1000</f>
        <v>293.42050300000005</v>
      </c>
      <c r="Q60" s="285">
        <f>'Dados gerais'!Q7/1000</f>
        <v>310.04004900000001</v>
      </c>
      <c r="R60" s="285">
        <f>'Dados gerais'!R7/1000</f>
        <v>238.274</v>
      </c>
      <c r="S60" s="285">
        <f>'Dados gerais'!S7/1000</f>
        <v>227.09200000000001</v>
      </c>
      <c r="T60" s="285">
        <f>'Dados gerais'!T7/1000</f>
        <v>432.755</v>
      </c>
      <c r="U60" s="285">
        <f>'Dados gerais'!U7/1000</f>
        <v>458.05010617499477</v>
      </c>
      <c r="V60" s="285">
        <f>'Dados gerais'!V7/1000</f>
        <v>403.20242479899059</v>
      </c>
      <c r="W60" s="285">
        <f>'Dados gerais'!W7/1000</f>
        <v>394.43318699999998</v>
      </c>
      <c r="X60" s="285">
        <f>'Dados gerais'!X7/1000</f>
        <v>394.27600000000001</v>
      </c>
      <c r="Y60" s="285">
        <f>'Dados gerais'!Y7/1000</f>
        <v>526.09199999999998</v>
      </c>
      <c r="Z60" s="285">
        <f>'Dados gerais'!Z7/1000</f>
        <v>471.22321457000027</v>
      </c>
      <c r="AA60" s="285">
        <f>'Dados gerais'!AA7/1000</f>
        <v>512.59127799999999</v>
      </c>
    </row>
    <row r="61" spans="1:41" s="216" customFormat="1" x14ac:dyDescent="0.35">
      <c r="A61" s="284" t="s">
        <v>325</v>
      </c>
      <c r="B61" s="285">
        <f>'Dados gerais'!B8/1000</f>
        <v>77.334999999999994</v>
      </c>
      <c r="C61" s="285">
        <f>'Dados gerais'!C8/1000</f>
        <v>55.58</v>
      </c>
      <c r="D61" s="285">
        <f>'Dados gerais'!D8/1000</f>
        <v>61.613999999999997</v>
      </c>
      <c r="E61" s="285">
        <f>'Dados gerais'!E8/1000</f>
        <v>74.274000000000001</v>
      </c>
      <c r="F61" s="285">
        <f>'Dados gerais'!F8/1000</f>
        <v>85.35</v>
      </c>
      <c r="G61" s="285">
        <f>'Dados gerais'!G8/1000</f>
        <v>121.173</v>
      </c>
      <c r="H61" s="285">
        <f>'Dados gerais'!H8/1000</f>
        <v>135.43899999999999</v>
      </c>
      <c r="I61" s="285">
        <f>'Dados gerais'!I8/1000</f>
        <v>130.82352856</v>
      </c>
      <c r="J61" s="285">
        <f>'Dados gerais'!J8/1000</f>
        <v>141.29</v>
      </c>
      <c r="K61" s="285">
        <f>'Dados gerais'!K8/1000</f>
        <v>186.08153062</v>
      </c>
      <c r="L61" s="285">
        <f>'Dados gerais'!L8/1000</f>
        <v>207.28144968000001</v>
      </c>
      <c r="M61" s="285">
        <f>'Dados gerais'!M8/1000</f>
        <v>238.01244088000001</v>
      </c>
      <c r="N61" s="285">
        <f>'Dados gerais'!N8/1000</f>
        <v>261.54306170000001</v>
      </c>
      <c r="O61" s="285">
        <f>'Dados gerais'!O8/1000</f>
        <v>274.604512</v>
      </c>
      <c r="P61" s="285">
        <f>'Dados gerais'!P8/1000</f>
        <v>293.42050300000005</v>
      </c>
      <c r="Q61" s="285">
        <f>'Dados gerais'!Q8/1000</f>
        <v>310.04004900000001</v>
      </c>
      <c r="R61" s="285">
        <f>'Dados gerais'!R8/1000</f>
        <v>238.274</v>
      </c>
      <c r="S61" s="285">
        <f>'Dados gerais'!S8/1000</f>
        <v>227.09200000000001</v>
      </c>
      <c r="T61" s="285">
        <f>'Dados gerais'!T8/1000</f>
        <v>432.755</v>
      </c>
      <c r="U61" s="285">
        <f>'Dados gerais'!U8/1000</f>
        <v>458.05010617499477</v>
      </c>
      <c r="V61" s="285">
        <f>'Dados gerais'!V8/1000</f>
        <v>403.20242479899059</v>
      </c>
      <c r="W61" s="285">
        <f>'Dados gerais'!W8/1000</f>
        <v>394.43318699999998</v>
      </c>
      <c r="X61" s="285">
        <f>'Dados gerais'!X8/1000</f>
        <v>394.27600000000001</v>
      </c>
      <c r="Y61" s="285">
        <f>'Dados gerais'!Y8/1000</f>
        <v>526.09199999999998</v>
      </c>
      <c r="Z61" s="285">
        <f>'Dados gerais'!Z8/1000</f>
        <v>471.22321457000027</v>
      </c>
      <c r="AA61" s="285">
        <f>'Dados gerais'!AA8/1000</f>
        <v>512.59127799999999</v>
      </c>
    </row>
    <row r="62" spans="1:41" s="216" customFormat="1" x14ac:dyDescent="0.35"/>
    <row r="63" spans="1:41" s="216" customFormat="1" x14ac:dyDescent="0.35">
      <c r="A63" s="282" t="s">
        <v>289</v>
      </c>
      <c r="B63" s="283" t="str">
        <f t="shared" ref="B63:P63" si="0">B59</f>
        <v>1T20</v>
      </c>
      <c r="C63" s="283" t="str">
        <f t="shared" si="0"/>
        <v>2T20</v>
      </c>
      <c r="D63" s="283" t="str">
        <f t="shared" si="0"/>
        <v>3T20</v>
      </c>
      <c r="E63" s="283" t="str">
        <f t="shared" si="0"/>
        <v>4T20</v>
      </c>
      <c r="F63" s="283" t="str">
        <f t="shared" si="0"/>
        <v>1T21</v>
      </c>
      <c r="G63" s="283" t="str">
        <f t="shared" si="0"/>
        <v>2T21</v>
      </c>
      <c r="H63" s="283" t="str">
        <f t="shared" si="0"/>
        <v>3T21</v>
      </c>
      <c r="I63" s="283" t="str">
        <f t="shared" si="0"/>
        <v>4T21</v>
      </c>
      <c r="J63" s="283" t="str">
        <f t="shared" si="0"/>
        <v>1T22</v>
      </c>
      <c r="K63" s="283" t="str">
        <f t="shared" si="0"/>
        <v>2T22</v>
      </c>
      <c r="L63" s="283" t="str">
        <f t="shared" si="0"/>
        <v>3T22</v>
      </c>
      <c r="M63" s="283" t="str">
        <f t="shared" si="0"/>
        <v>4T22</v>
      </c>
      <c r="N63" s="283" t="str">
        <f t="shared" si="0"/>
        <v>1T23</v>
      </c>
      <c r="O63" s="283" t="str">
        <f t="shared" si="0"/>
        <v>2T23</v>
      </c>
      <c r="P63" s="283" t="str">
        <f t="shared" si="0"/>
        <v>3T23</v>
      </c>
      <c r="Q63" s="283" t="str">
        <f t="shared" ref="Q63:V63" si="1">Q59</f>
        <v>4T23</v>
      </c>
      <c r="R63" s="283" t="str">
        <f t="shared" si="1"/>
        <v>1T24</v>
      </c>
      <c r="S63" s="283" t="str">
        <f t="shared" si="1"/>
        <v>2T24</v>
      </c>
      <c r="T63" s="283" t="str">
        <f t="shared" si="1"/>
        <v>3T24</v>
      </c>
      <c r="U63" s="283" t="str">
        <f t="shared" si="1"/>
        <v>4T24</v>
      </c>
      <c r="V63" s="283" t="str">
        <f t="shared" si="1"/>
        <v>1T25</v>
      </c>
      <c r="W63" s="283" t="str">
        <f t="shared" ref="W63:Y63" si="2">W59</f>
        <v>2T25</v>
      </c>
      <c r="X63" s="283" t="str">
        <f t="shared" si="2"/>
        <v>3T25</v>
      </c>
      <c r="Y63" s="283" t="str">
        <f t="shared" si="2"/>
        <v>4T25</v>
      </c>
      <c r="Z63" s="283" t="str">
        <f t="shared" ref="Z63:AA63" si="3">Z59</f>
        <v>1T26</v>
      </c>
      <c r="AA63" s="283" t="str">
        <f t="shared" si="3"/>
        <v>2T26</v>
      </c>
    </row>
    <row r="64" spans="1:41" s="216" customFormat="1" x14ac:dyDescent="0.35">
      <c r="A64" s="284" t="s">
        <v>260</v>
      </c>
      <c r="B64" s="285">
        <f>'Dados gerais'!B9/1000</f>
        <v>71.122</v>
      </c>
      <c r="C64" s="285">
        <f>'Dados gerais'!C9/1000</f>
        <v>48.186</v>
      </c>
      <c r="D64" s="285">
        <f>'Dados gerais'!D9/1000</f>
        <v>54.826999999999998</v>
      </c>
      <c r="E64" s="285">
        <f>'Dados gerais'!E9/1000</f>
        <v>68.078000000000003</v>
      </c>
      <c r="F64" s="285">
        <f>'Dados gerais'!F9/1000</f>
        <v>78.441000000000003</v>
      </c>
      <c r="G64" s="285">
        <f>'Dados gerais'!G9/1000</f>
        <v>111.524</v>
      </c>
      <c r="H64" s="285">
        <f>'Dados gerais'!H9/1000</f>
        <v>123.583</v>
      </c>
      <c r="I64" s="285">
        <f>'Dados gerais'!I9/1000</f>
        <v>119.593</v>
      </c>
      <c r="J64" s="285">
        <f>'Dados gerais'!J9/1000</f>
        <v>129.28800000000001</v>
      </c>
      <c r="K64" s="285">
        <f>'Dados gerais'!K9/1000</f>
        <v>183.94200000000001</v>
      </c>
      <c r="L64" s="285">
        <f>'Dados gerais'!L9/1000</f>
        <v>254.43899999999999</v>
      </c>
      <c r="M64" s="285">
        <f>'Dados gerais'!M9/1000</f>
        <v>245.82499999999999</v>
      </c>
      <c r="N64" s="285">
        <f>'Dados gerais'!N9/1000</f>
        <v>241.262</v>
      </c>
      <c r="O64" s="285">
        <f>'Dados gerais'!O9/1000</f>
        <v>253.935</v>
      </c>
      <c r="P64" s="285">
        <f>'Dados gerais'!P9/1000</f>
        <v>268.95699999999999</v>
      </c>
      <c r="Q64" s="285">
        <f>'Dados gerais'!Q9/1000</f>
        <v>282.25700000000001</v>
      </c>
      <c r="R64" s="285">
        <f>'Dados gerais'!R9/1000</f>
        <v>216.43100000000001</v>
      </c>
      <c r="S64" s="285">
        <f>'Dados gerais'!S9/1000</f>
        <v>205.26</v>
      </c>
      <c r="T64" s="285">
        <f>'Dados gerais'!T9/1000</f>
        <v>392.67599999999999</v>
      </c>
      <c r="U64" s="285">
        <f>'Dados gerais'!U9/1000</f>
        <v>419.69299999999998</v>
      </c>
      <c r="V64" s="285">
        <f>'Dados gerais'!V9/1000</f>
        <v>368.84500000000003</v>
      </c>
      <c r="W64" s="285">
        <f>'Dados gerais'!W9/1000</f>
        <v>361.89400000000001</v>
      </c>
      <c r="X64" s="285">
        <f>'Dados gerais'!X9/1000</f>
        <v>359.13400000000001</v>
      </c>
      <c r="Y64" s="285">
        <f>'Dados gerais'!Y9/1000</f>
        <v>473.75</v>
      </c>
      <c r="Z64" s="285">
        <f>'Dados gerais'!Z9/1000</f>
        <v>421.197</v>
      </c>
      <c r="AA64" s="285">
        <f>'Dados gerais'!AA9/1000</f>
        <v>462.61799999999999</v>
      </c>
    </row>
    <row r="65" spans="1:27" s="216" customFormat="1" x14ac:dyDescent="0.35">
      <c r="A65" s="284" t="s">
        <v>280</v>
      </c>
      <c r="B65" s="285">
        <f>'Dados gerais'!B10/1000</f>
        <v>71.122</v>
      </c>
      <c r="C65" s="285">
        <f>'Dados gerais'!C10/1000</f>
        <v>48.186</v>
      </c>
      <c r="D65" s="285">
        <f>'Dados gerais'!D10/1000</f>
        <v>54.826999999999998</v>
      </c>
      <c r="E65" s="285">
        <f>'Dados gerais'!E10/1000</f>
        <v>68.078000000000003</v>
      </c>
      <c r="F65" s="285">
        <f>'Dados gerais'!F10/1000</f>
        <v>78.441000000000003</v>
      </c>
      <c r="G65" s="285">
        <f>'Dados gerais'!G10/1000</f>
        <v>111.524</v>
      </c>
      <c r="H65" s="285">
        <f>'Dados gerais'!H10/1000</f>
        <v>123.583</v>
      </c>
      <c r="I65" s="285">
        <f>'Dados gerais'!I10/1000</f>
        <v>119.593</v>
      </c>
      <c r="J65" s="285">
        <f>'Dados gerais'!J10/1000</f>
        <v>129.28800000000001</v>
      </c>
      <c r="K65" s="285">
        <f>'Dados gerais'!K10/1000</f>
        <v>170.53625371999999</v>
      </c>
      <c r="L65" s="285">
        <f>'Dados gerais'!L10/1000</f>
        <v>191.27818278000001</v>
      </c>
      <c r="M65" s="285">
        <f>'Dados gerais'!M10/1000</f>
        <v>219.68098574931119</v>
      </c>
      <c r="N65" s="285">
        <f>'Dados gerais'!N10/1000</f>
        <v>241.262</v>
      </c>
      <c r="O65" s="285">
        <f>'Dados gerais'!O10/1000</f>
        <v>253.935</v>
      </c>
      <c r="P65" s="285">
        <f>'Dados gerais'!P10/1000</f>
        <v>268.95699999999999</v>
      </c>
      <c r="Q65" s="285">
        <f>'Dados gerais'!Q10/1000</f>
        <v>282.25700000000001</v>
      </c>
      <c r="R65" s="285">
        <f>'Dados gerais'!R10/1000</f>
        <v>216.43100000000001</v>
      </c>
      <c r="S65" s="285">
        <f>'Dados gerais'!S10/1000</f>
        <v>205.26</v>
      </c>
      <c r="T65" s="285">
        <f>'Dados gerais'!T10/1000</f>
        <v>392.67599999999999</v>
      </c>
      <c r="U65" s="285">
        <f>'Dados gerais'!U10/1000</f>
        <v>419.69299999999998</v>
      </c>
      <c r="V65" s="285">
        <f>'Dados gerais'!V10/1000</f>
        <v>368.84500000000003</v>
      </c>
      <c r="W65" s="285">
        <f>'Dados gerais'!W10/1000</f>
        <v>361.89400000000001</v>
      </c>
      <c r="X65" s="285">
        <f>'Dados gerais'!X10/1000</f>
        <v>359.13400000000001</v>
      </c>
      <c r="Y65" s="285">
        <f>'Dados gerais'!Y10/1000</f>
        <v>473.75</v>
      </c>
      <c r="Z65" s="285">
        <f>'Dados gerais'!Z10/1000</f>
        <v>421.197</v>
      </c>
      <c r="AA65" s="285">
        <f>'Dados gerais'!AA10/1000</f>
        <v>462.61799999999999</v>
      </c>
    </row>
    <row r="66" spans="1:27" s="216" customFormat="1" x14ac:dyDescent="0.35"/>
    <row r="67" spans="1:27" s="216" customFormat="1" x14ac:dyDescent="0.35">
      <c r="A67" s="282" t="s">
        <v>326</v>
      </c>
      <c r="B67" s="283" t="str">
        <f t="shared" ref="B67:P67" si="4">B63</f>
        <v>1T20</v>
      </c>
      <c r="C67" s="283" t="str">
        <f t="shared" si="4"/>
        <v>2T20</v>
      </c>
      <c r="D67" s="283" t="str">
        <f t="shared" si="4"/>
        <v>3T20</v>
      </c>
      <c r="E67" s="283" t="str">
        <f t="shared" si="4"/>
        <v>4T20</v>
      </c>
      <c r="F67" s="283" t="str">
        <f t="shared" si="4"/>
        <v>1T21</v>
      </c>
      <c r="G67" s="283" t="str">
        <f t="shared" si="4"/>
        <v>2T21</v>
      </c>
      <c r="H67" s="283" t="str">
        <f t="shared" si="4"/>
        <v>3T21</v>
      </c>
      <c r="I67" s="283" t="str">
        <f t="shared" si="4"/>
        <v>4T21</v>
      </c>
      <c r="J67" s="283" t="str">
        <f t="shared" si="4"/>
        <v>1T22</v>
      </c>
      <c r="K67" s="283" t="str">
        <f t="shared" si="4"/>
        <v>2T22</v>
      </c>
      <c r="L67" s="283" t="str">
        <f t="shared" si="4"/>
        <v>3T22</v>
      </c>
      <c r="M67" s="283" t="str">
        <f t="shared" si="4"/>
        <v>4T22</v>
      </c>
      <c r="N67" s="283" t="str">
        <f t="shared" si="4"/>
        <v>1T23</v>
      </c>
      <c r="O67" s="283" t="str">
        <f t="shared" si="4"/>
        <v>2T23</v>
      </c>
      <c r="P67" s="283" t="str">
        <f t="shared" si="4"/>
        <v>3T23</v>
      </c>
      <c r="Q67" s="283" t="str">
        <f t="shared" ref="Q67:V67" si="5">Q63</f>
        <v>4T23</v>
      </c>
      <c r="R67" s="283" t="str">
        <f t="shared" si="5"/>
        <v>1T24</v>
      </c>
      <c r="S67" s="283" t="str">
        <f t="shared" si="5"/>
        <v>2T24</v>
      </c>
      <c r="T67" s="283" t="str">
        <f t="shared" si="5"/>
        <v>3T24</v>
      </c>
      <c r="U67" s="283" t="str">
        <f t="shared" si="5"/>
        <v>4T24</v>
      </c>
      <c r="V67" s="283" t="str">
        <f t="shared" si="5"/>
        <v>1T25</v>
      </c>
      <c r="W67" s="283" t="str">
        <f t="shared" ref="W67:Y67" si="6">W63</f>
        <v>2T25</v>
      </c>
      <c r="X67" s="283" t="str">
        <f t="shared" si="6"/>
        <v>3T25</v>
      </c>
      <c r="Y67" s="283" t="str">
        <f t="shared" si="6"/>
        <v>4T25</v>
      </c>
      <c r="Z67" s="283" t="str">
        <f t="shared" ref="Z67:AA67" si="7">Z63</f>
        <v>1T26</v>
      </c>
      <c r="AA67" s="283" t="str">
        <f t="shared" si="7"/>
        <v>2T26</v>
      </c>
    </row>
    <row r="68" spans="1:27" s="216" customFormat="1" x14ac:dyDescent="0.35">
      <c r="A68" s="284" t="s">
        <v>261</v>
      </c>
      <c r="B68" s="285">
        <f>'Dados gerais'!B13/1000</f>
        <v>9.4149999999999991</v>
      </c>
      <c r="C68" s="285">
        <f>'Dados gerais'!C13/1000</f>
        <v>-4.2489999999999997</v>
      </c>
      <c r="D68" s="285">
        <f>'Dados gerais'!D13/1000</f>
        <v>9.4469999999999992</v>
      </c>
      <c r="E68" s="285">
        <f>'Dados gerais'!E13/1000</f>
        <v>12.536</v>
      </c>
      <c r="F68" s="285">
        <f>'Dados gerais'!F13/1000</f>
        <v>11.411</v>
      </c>
      <c r="G68" s="285">
        <f>'Dados gerais'!G13/1000</f>
        <v>21.47</v>
      </c>
      <c r="H68" s="285">
        <f>'Dados gerais'!H13/1000</f>
        <v>21.161999999999999</v>
      </c>
      <c r="I68" s="285">
        <f>'Dados gerais'!I13/1000</f>
        <v>16.411000000000001</v>
      </c>
      <c r="J68" s="285">
        <f>'Dados gerais'!J13/1000</f>
        <v>25.523</v>
      </c>
      <c r="K68" s="285">
        <f>'Dados gerais'!K13/1000</f>
        <v>39.405999999999999</v>
      </c>
      <c r="L68" s="285">
        <f>'Dados gerais'!L13/1000</f>
        <v>78.070999999999998</v>
      </c>
      <c r="M68" s="285">
        <f>'Dados gerais'!M13/1000</f>
        <v>55.582000000000001</v>
      </c>
      <c r="N68" s="285">
        <f>'Dados gerais'!N13/1000</f>
        <v>49.591000000000001</v>
      </c>
      <c r="O68" s="285">
        <f>'Dados gerais'!O13/1000</f>
        <v>54.853999999999999</v>
      </c>
      <c r="P68" s="285">
        <f>'Dados gerais'!P13/1000</f>
        <v>51.512</v>
      </c>
      <c r="Q68" s="285">
        <f>'Dados gerais'!Q13/1000</f>
        <v>59.613999999999997</v>
      </c>
      <c r="R68" s="285">
        <f>'Dados gerais'!R13/1000</f>
        <v>43.515000000000001</v>
      </c>
      <c r="S68" s="285">
        <f>'Dados gerais'!S13/1000</f>
        <v>38.988999999999997</v>
      </c>
      <c r="T68" s="285">
        <f>'Dados gerais'!T13/1000</f>
        <v>88.850999999999999</v>
      </c>
      <c r="U68" s="285">
        <f>'Dados gerais'!U13/1000</f>
        <v>102.24</v>
      </c>
      <c r="V68" s="285">
        <f>'Dados gerais'!V13/1000</f>
        <v>73.84</v>
      </c>
      <c r="W68" s="285">
        <f>'Dados gerais'!W13/1000</f>
        <v>71.802999999999997</v>
      </c>
      <c r="X68" s="285">
        <f>'Dados gerais'!X13/1000</f>
        <v>74.069000000000003</v>
      </c>
      <c r="Y68" s="285">
        <f>'Dados gerais'!Y13/1000</f>
        <v>90.635999999999996</v>
      </c>
      <c r="Z68" s="285">
        <f>'Dados gerais'!Z13/1000</f>
        <v>64.021000000000001</v>
      </c>
      <c r="AA68" s="285">
        <f>'Dados gerais'!AA13/1000</f>
        <v>87.447000000000003</v>
      </c>
    </row>
    <row r="69" spans="1:27" s="216" customFormat="1" x14ac:dyDescent="0.35">
      <c r="A69" s="284" t="s">
        <v>282</v>
      </c>
      <c r="B69" s="285">
        <f>'Dados gerais'!B14/1000</f>
        <v>9.4149999999999991</v>
      </c>
      <c r="C69" s="285">
        <f>'Dados gerais'!C14/1000</f>
        <v>-4.2489999999999997</v>
      </c>
      <c r="D69" s="285">
        <f>'Dados gerais'!D14/1000</f>
        <v>9.4469999999999992</v>
      </c>
      <c r="E69" s="285">
        <f>'Dados gerais'!E14/1000</f>
        <v>12.536</v>
      </c>
      <c r="F69" s="285">
        <f>'Dados gerais'!F14/1000</f>
        <v>11.411</v>
      </c>
      <c r="G69" s="285">
        <f>'Dados gerais'!G14/1000</f>
        <v>21.47</v>
      </c>
      <c r="H69" s="285">
        <f>'Dados gerais'!H14/1000</f>
        <v>21.161999999999999</v>
      </c>
      <c r="I69" s="285">
        <f>'Dados gerais'!I14/1000</f>
        <v>16.411000000000001</v>
      </c>
      <c r="J69" s="285">
        <f>'Dados gerais'!J14/1000</f>
        <v>25.523</v>
      </c>
      <c r="K69" s="285">
        <f>'Dados gerais'!K14/1000</f>
        <v>33.4637072935624</v>
      </c>
      <c r="L69" s="285">
        <f>'Dados gerais'!L14/1000</f>
        <v>45.806971386851032</v>
      </c>
      <c r="M69" s="285">
        <f>'Dados gerais'!M14/1000</f>
        <v>48.267196048268609</v>
      </c>
      <c r="N69" s="285">
        <f>'Dados gerais'!N14/1000</f>
        <v>49.591000000000001</v>
      </c>
      <c r="O69" s="285">
        <f>'Dados gerais'!O14/1000</f>
        <v>54.853999999999999</v>
      </c>
      <c r="P69" s="285">
        <f>'Dados gerais'!P14/1000</f>
        <v>51.512</v>
      </c>
      <c r="Q69" s="285">
        <f>'Dados gerais'!Q14/1000</f>
        <v>59.613999999999997</v>
      </c>
      <c r="R69" s="285">
        <f>'Dados gerais'!R14/1000</f>
        <v>43.515000000000001</v>
      </c>
      <c r="S69" s="285">
        <f>'Dados gerais'!S14/1000</f>
        <v>38.988999999999997</v>
      </c>
      <c r="T69" s="285">
        <f>'Dados gerais'!T14/1000</f>
        <v>88.850999999999999</v>
      </c>
      <c r="U69" s="285">
        <f>'Dados gerais'!U14/1000</f>
        <v>102.24</v>
      </c>
      <c r="V69" s="285">
        <f>'Dados gerais'!V14/1000</f>
        <v>73.84</v>
      </c>
      <c r="W69" s="285">
        <f>'Dados gerais'!W14/1000</f>
        <v>71.802999999999997</v>
      </c>
      <c r="X69" s="285">
        <f>'Dados gerais'!X14/1000</f>
        <v>74.069000000000003</v>
      </c>
      <c r="Y69" s="285">
        <f>'Dados gerais'!Y14/1000</f>
        <v>90.635999999999996</v>
      </c>
      <c r="Z69" s="285">
        <f>'Dados gerais'!Z14/1000</f>
        <v>64.021000000000001</v>
      </c>
      <c r="AA69" s="285">
        <f>'Dados gerais'!AA14/1000</f>
        <v>87.447000000000003</v>
      </c>
    </row>
    <row r="70" spans="1:27" s="216" customFormat="1" x14ac:dyDescent="0.35">
      <c r="A70" s="284" t="s">
        <v>290</v>
      </c>
      <c r="B70" s="286">
        <f t="shared" ref="B70:P70" si="8">B68/B64</f>
        <v>0.13237816709316386</v>
      </c>
      <c r="C70" s="286">
        <f t="shared" si="8"/>
        <v>-8.8179139169053247E-2</v>
      </c>
      <c r="D70" s="286">
        <f t="shared" si="8"/>
        <v>0.17230561584620716</v>
      </c>
      <c r="E70" s="286">
        <f t="shared" si="8"/>
        <v>0.18414171979200328</v>
      </c>
      <c r="F70" s="286">
        <f t="shared" si="8"/>
        <v>0.14547239326372688</v>
      </c>
      <c r="G70" s="286">
        <f t="shared" si="8"/>
        <v>0.19251461568810299</v>
      </c>
      <c r="H70" s="286">
        <f t="shared" si="8"/>
        <v>0.1712371442674154</v>
      </c>
      <c r="I70" s="286">
        <f t="shared" si="8"/>
        <v>0.13722375055396219</v>
      </c>
      <c r="J70" s="286">
        <f t="shared" si="8"/>
        <v>0.19741197945671676</v>
      </c>
      <c r="K70" s="286">
        <f t="shared" si="8"/>
        <v>0.21423057268051884</v>
      </c>
      <c r="L70" s="286">
        <f t="shared" si="8"/>
        <v>0.30683582312459962</v>
      </c>
      <c r="M70" s="286">
        <f t="shared" si="8"/>
        <v>0.22610393572663481</v>
      </c>
      <c r="N70" s="286">
        <f t="shared" si="8"/>
        <v>0.20554832505740647</v>
      </c>
      <c r="O70" s="286">
        <f t="shared" si="8"/>
        <v>0.21601590958316105</v>
      </c>
      <c r="P70" s="286">
        <f t="shared" si="8"/>
        <v>0.19152503931855278</v>
      </c>
      <c r="Q70" s="286">
        <f t="shared" ref="Q70:U71" si="9">Q68/Q64</f>
        <v>0.21120468225765879</v>
      </c>
      <c r="R70" s="286">
        <f t="shared" si="9"/>
        <v>0.20105714985376402</v>
      </c>
      <c r="S70" s="286">
        <f t="shared" si="9"/>
        <v>0.18994933255383414</v>
      </c>
      <c r="T70" s="286">
        <f t="shared" si="9"/>
        <v>0.22627051309476515</v>
      </c>
      <c r="U70" s="286">
        <f t="shared" si="9"/>
        <v>0.24360663627937565</v>
      </c>
      <c r="V70" s="286">
        <f t="shared" ref="V70:W70" si="10">V68/V64</f>
        <v>0.20019249278152068</v>
      </c>
      <c r="W70" s="286">
        <f t="shared" si="10"/>
        <v>0.19840892637070523</v>
      </c>
      <c r="X70" s="286">
        <f t="shared" ref="X70:Y70" si="11">X68/X64</f>
        <v>0.20624335206357516</v>
      </c>
      <c r="Y70" s="286">
        <f t="shared" si="11"/>
        <v>0.19131609498680738</v>
      </c>
      <c r="Z70" s="286">
        <f t="shared" ref="Z70:AA70" si="12">Z68/Z64</f>
        <v>0.15199775876846228</v>
      </c>
      <c r="AA70" s="286">
        <f t="shared" si="12"/>
        <v>0.18902636732682257</v>
      </c>
    </row>
    <row r="71" spans="1:27" s="216" customFormat="1" x14ac:dyDescent="0.35">
      <c r="A71" s="284" t="s">
        <v>291</v>
      </c>
      <c r="B71" s="286">
        <f t="shared" ref="B71:P71" si="13">B69/B65</f>
        <v>0.13237816709316386</v>
      </c>
      <c r="C71" s="286">
        <f t="shared" si="13"/>
        <v>-8.8179139169053247E-2</v>
      </c>
      <c r="D71" s="286">
        <f t="shared" si="13"/>
        <v>0.17230561584620716</v>
      </c>
      <c r="E71" s="286">
        <f t="shared" si="13"/>
        <v>0.18414171979200328</v>
      </c>
      <c r="F71" s="286">
        <f t="shared" si="13"/>
        <v>0.14547239326372688</v>
      </c>
      <c r="G71" s="286">
        <f t="shared" si="13"/>
        <v>0.19251461568810299</v>
      </c>
      <c r="H71" s="286">
        <f t="shared" si="13"/>
        <v>0.1712371442674154</v>
      </c>
      <c r="I71" s="286">
        <f t="shared" si="13"/>
        <v>0.13722375055396219</v>
      </c>
      <c r="J71" s="286">
        <f t="shared" si="13"/>
        <v>0.19741197945671676</v>
      </c>
      <c r="K71" s="286">
        <f t="shared" si="13"/>
        <v>0.19622635400743457</v>
      </c>
      <c r="L71" s="286">
        <f t="shared" si="13"/>
        <v>0.2394782861333237</v>
      </c>
      <c r="M71" s="286">
        <f t="shared" si="13"/>
        <v>0.21971494657871157</v>
      </c>
      <c r="N71" s="286">
        <f t="shared" si="13"/>
        <v>0.20554832505740647</v>
      </c>
      <c r="O71" s="286">
        <f t="shared" si="13"/>
        <v>0.21601590958316105</v>
      </c>
      <c r="P71" s="286">
        <f t="shared" si="13"/>
        <v>0.19152503931855278</v>
      </c>
      <c r="Q71" s="286">
        <f t="shared" si="9"/>
        <v>0.21120468225765879</v>
      </c>
      <c r="R71" s="286">
        <f t="shared" si="9"/>
        <v>0.20105714985376402</v>
      </c>
      <c r="S71" s="286">
        <f t="shared" si="9"/>
        <v>0.18994933255383414</v>
      </c>
      <c r="T71" s="286">
        <f t="shared" si="9"/>
        <v>0.22627051309476515</v>
      </c>
      <c r="U71" s="286">
        <f t="shared" si="9"/>
        <v>0.24360663627937565</v>
      </c>
      <c r="V71" s="286">
        <f t="shared" ref="V71:W71" si="14">V69/V65</f>
        <v>0.20019249278152068</v>
      </c>
      <c r="W71" s="286">
        <f t="shared" si="14"/>
        <v>0.19840892637070523</v>
      </c>
      <c r="X71" s="286">
        <f t="shared" ref="X71:Y71" si="15">X69/X65</f>
        <v>0.20624335206357516</v>
      </c>
      <c r="Y71" s="286">
        <f t="shared" si="15"/>
        <v>0.19131609498680738</v>
      </c>
      <c r="Z71" s="286">
        <f t="shared" ref="Z71:AA71" si="16">Z69/Z65</f>
        <v>0.15199775876846228</v>
      </c>
      <c r="AA71" s="286">
        <f t="shared" si="16"/>
        <v>0.18902636732682257</v>
      </c>
    </row>
    <row r="72" spans="1:27" s="216" customFormat="1" x14ac:dyDescent="0.35">
      <c r="A72" s="284"/>
    </row>
    <row r="73" spans="1:27" s="216" customFormat="1" x14ac:dyDescent="0.35">
      <c r="A73" s="282" t="s">
        <v>327</v>
      </c>
      <c r="B73" s="283" t="str">
        <f t="shared" ref="B73:P73" si="17">B67</f>
        <v>1T20</v>
      </c>
      <c r="C73" s="283" t="str">
        <f t="shared" si="17"/>
        <v>2T20</v>
      </c>
      <c r="D73" s="283" t="str">
        <f t="shared" si="17"/>
        <v>3T20</v>
      </c>
      <c r="E73" s="283" t="str">
        <f t="shared" si="17"/>
        <v>4T20</v>
      </c>
      <c r="F73" s="283" t="str">
        <f t="shared" si="17"/>
        <v>1T21</v>
      </c>
      <c r="G73" s="283" t="str">
        <f t="shared" si="17"/>
        <v>2T21</v>
      </c>
      <c r="H73" s="283" t="str">
        <f t="shared" si="17"/>
        <v>3T21</v>
      </c>
      <c r="I73" s="283" t="str">
        <f t="shared" si="17"/>
        <v>4T21</v>
      </c>
      <c r="J73" s="283" t="str">
        <f t="shared" si="17"/>
        <v>1T22</v>
      </c>
      <c r="K73" s="283" t="str">
        <f t="shared" si="17"/>
        <v>2T22</v>
      </c>
      <c r="L73" s="283" t="str">
        <f t="shared" si="17"/>
        <v>3T22</v>
      </c>
      <c r="M73" s="283" t="str">
        <f t="shared" si="17"/>
        <v>4T22</v>
      </c>
      <c r="N73" s="283" t="str">
        <f t="shared" si="17"/>
        <v>1T23</v>
      </c>
      <c r="O73" s="283" t="str">
        <f t="shared" si="17"/>
        <v>2T23</v>
      </c>
      <c r="P73" s="283" t="str">
        <f t="shared" si="17"/>
        <v>3T23</v>
      </c>
      <c r="Q73" s="283" t="str">
        <f t="shared" ref="Q73:V73" si="18">Q67</f>
        <v>4T23</v>
      </c>
      <c r="R73" s="283" t="str">
        <f t="shared" si="18"/>
        <v>1T24</v>
      </c>
      <c r="S73" s="283" t="str">
        <f t="shared" si="18"/>
        <v>2T24</v>
      </c>
      <c r="T73" s="283" t="str">
        <f t="shared" si="18"/>
        <v>3T24</v>
      </c>
      <c r="U73" s="283" t="str">
        <f t="shared" si="18"/>
        <v>4T24</v>
      </c>
      <c r="V73" s="283" t="str">
        <f t="shared" si="18"/>
        <v>1T25</v>
      </c>
      <c r="W73" s="283" t="str">
        <f t="shared" ref="W73:Z73" si="19">W67</f>
        <v>2T25</v>
      </c>
      <c r="X73" s="283" t="str">
        <f t="shared" si="19"/>
        <v>3T25</v>
      </c>
      <c r="Y73" s="283" t="str">
        <f t="shared" si="19"/>
        <v>4T25</v>
      </c>
      <c r="Z73" s="283" t="str">
        <f t="shared" si="19"/>
        <v>1T26</v>
      </c>
      <c r="AA73" s="283" t="str">
        <f t="shared" ref="AA73" si="20">AA67</f>
        <v>2T26</v>
      </c>
    </row>
    <row r="74" spans="1:27" s="216" customFormat="1" x14ac:dyDescent="0.35">
      <c r="A74" s="284" t="s">
        <v>262</v>
      </c>
      <c r="B74" s="285">
        <f>'Dados gerais'!B25/1000</f>
        <v>3.27</v>
      </c>
      <c r="C74" s="285">
        <f>'Dados gerais'!C25/1000</f>
        <v>-18.152000000000001</v>
      </c>
      <c r="D74" s="285">
        <f>'Dados gerais'!D25/1000</f>
        <v>-4.93</v>
      </c>
      <c r="E74" s="285">
        <f>'Dados gerais'!E25/1000</f>
        <v>16.716000000000001</v>
      </c>
      <c r="F74" s="285">
        <f>'Dados gerais'!F25/1000</f>
        <v>-1.0309999999999999</v>
      </c>
      <c r="G74" s="285">
        <f>'Dados gerais'!G25/1000</f>
        <v>6.2039999999999997</v>
      </c>
      <c r="H74" s="285">
        <f>'Dados gerais'!H25/1000</f>
        <v>3.7810000000000001</v>
      </c>
      <c r="I74" s="285">
        <f>'Dados gerais'!I25/1000</f>
        <v>5.5449999999999999</v>
      </c>
      <c r="J74" s="285">
        <f>'Dados gerais'!J25/1000</f>
        <v>5.23</v>
      </c>
      <c r="K74" s="285">
        <f>'Dados gerais'!K25/1000</f>
        <v>10.946</v>
      </c>
      <c r="L74" s="285">
        <f>'Dados gerais'!L25/1000</f>
        <v>36.381</v>
      </c>
      <c r="M74" s="285">
        <f>'Dados gerais'!M25/1000</f>
        <v>12.377000000000001</v>
      </c>
      <c r="N74" s="285">
        <f>'Dados gerais'!N25/1000</f>
        <v>8.8650000000000002</v>
      </c>
      <c r="O74" s="285">
        <f>'Dados gerais'!O25/1000</f>
        <v>8.9499999999999993</v>
      </c>
      <c r="P74" s="285">
        <f>'Dados gerais'!P25/1000</f>
        <v>2.339</v>
      </c>
      <c r="Q74" s="285">
        <f>'Dados gerais'!Q25/1000</f>
        <v>4.9260000000000002</v>
      </c>
      <c r="R74" s="285">
        <f>'Dados gerais'!R25/1000</f>
        <v>2.835</v>
      </c>
      <c r="S74" s="285">
        <f>'Dados gerais'!S25/1000</f>
        <v>-2.6960000000000002</v>
      </c>
      <c r="T74" s="285">
        <f>'Dados gerais'!T25/1000</f>
        <v>20.766999999999999</v>
      </c>
      <c r="U74" s="285">
        <f>'Dados gerais'!U25/1000</f>
        <v>21.349</v>
      </c>
      <c r="V74" s="285">
        <f>'Dados gerais'!V25/1000</f>
        <v>4.0170000000000003</v>
      </c>
      <c r="W74" s="285">
        <f>'Dados gerais'!W25/1000</f>
        <v>0.50800000000000001</v>
      </c>
      <c r="X74" s="285">
        <f>'Dados gerais'!X25/1000</f>
        <v>3.06</v>
      </c>
      <c r="Y74" s="285">
        <f>'Dados gerais'!Y25/1000</f>
        <v>0.81899999999999995</v>
      </c>
      <c r="Z74" s="285">
        <f>'Dados gerais'!Z25/1000</f>
        <v>52.715000000000003</v>
      </c>
      <c r="AA74" s="285">
        <f>'Dados gerais'!AA25/1000</f>
        <v>-1.03</v>
      </c>
    </row>
    <row r="75" spans="1:27" s="216" customFormat="1" x14ac:dyDescent="0.35">
      <c r="A75" s="284" t="s">
        <v>320</v>
      </c>
      <c r="B75" s="285">
        <f>'Dados gerais'!B27/1000</f>
        <v>3.27</v>
      </c>
      <c r="C75" s="285">
        <f>'Dados gerais'!C27/1000</f>
        <v>-18.152000000000001</v>
      </c>
      <c r="D75" s="285">
        <f>'Dados gerais'!D27/1000</f>
        <v>-4.93</v>
      </c>
      <c r="E75" s="285">
        <f>'Dados gerais'!E27/1000</f>
        <v>16.716000000000001</v>
      </c>
      <c r="F75" s="285">
        <f>'Dados gerais'!F27/1000</f>
        <v>-1.0309999999999999</v>
      </c>
      <c r="G75" s="285">
        <f>'Dados gerais'!G27/1000</f>
        <v>6.2039999999999997</v>
      </c>
      <c r="H75" s="285">
        <f>'Dados gerais'!H27/1000</f>
        <v>3.7810000000000001</v>
      </c>
      <c r="I75" s="285">
        <f>'Dados gerais'!I27/1000</f>
        <v>5.5449999999999999</v>
      </c>
      <c r="J75" s="285">
        <f>'Dados gerais'!J27/1000</f>
        <v>5.23</v>
      </c>
      <c r="K75" s="285">
        <f>'Dados gerais'!K27/1000</f>
        <v>5.354245759756461</v>
      </c>
      <c r="L75" s="285">
        <f>'Dados gerais'!L27/1000</f>
        <v>7.6660680084476276</v>
      </c>
      <c r="M75" s="285">
        <f>'Dados gerais'!M27/1000</f>
        <v>6.9410854003812243</v>
      </c>
      <c r="N75" s="285">
        <f>'Dados gerais'!N27/1000</f>
        <v>8.8650000000000002</v>
      </c>
      <c r="O75" s="285">
        <f>'Dados gerais'!O27/1000</f>
        <v>8.9499999999999993</v>
      </c>
      <c r="P75" s="285">
        <f>'Dados gerais'!P27/1000</f>
        <v>2.339</v>
      </c>
      <c r="Q75" s="285">
        <f>'Dados gerais'!Q27/1000</f>
        <v>4.9260000000000002</v>
      </c>
      <c r="R75" s="285">
        <f>'Dados gerais'!R27/1000</f>
        <v>2.835</v>
      </c>
      <c r="S75" s="285">
        <f>'Dados gerais'!S27/1000</f>
        <v>-2.6960000000000002</v>
      </c>
      <c r="T75" s="285">
        <f>'Dados gerais'!T27/1000</f>
        <v>20.766999999999999</v>
      </c>
      <c r="U75" s="285">
        <f>'Dados gerais'!U27/1000</f>
        <v>21.349</v>
      </c>
      <c r="V75" s="285">
        <f>'Dados gerais'!V27/1000</f>
        <v>11.542999999999999</v>
      </c>
      <c r="W75" s="285">
        <f>'Dados gerais'!W27/1000</f>
        <v>7.3689999999999998</v>
      </c>
      <c r="X75" s="285">
        <f>'Dados gerais'!X27/1000</f>
        <v>10.538</v>
      </c>
      <c r="Y75" s="285">
        <f>'Dados gerais'!Y27/1000</f>
        <v>11.596</v>
      </c>
      <c r="Z75" s="285">
        <f>'Dados gerais'!Z27/1000</f>
        <v>1.1522080000000006</v>
      </c>
      <c r="AA75" s="285">
        <f>'Dados gerais'!AA27/1000</f>
        <v>8.0229999999999997</v>
      </c>
    </row>
    <row r="76" spans="1:27" s="216" customFormat="1" x14ac:dyDescent="0.35">
      <c r="A76" s="284" t="s">
        <v>292</v>
      </c>
      <c r="B76" s="286">
        <f t="shared" ref="B76:N76" si="21">B74/B64</f>
        <v>4.5977334720620905E-2</v>
      </c>
      <c r="C76" s="286">
        <f t="shared" si="21"/>
        <v>-0.37670692732328892</v>
      </c>
      <c r="D76" s="286">
        <f t="shared" si="21"/>
        <v>-8.9919200393966475E-2</v>
      </c>
      <c r="E76" s="286">
        <f t="shared" si="21"/>
        <v>0.24554187843356151</v>
      </c>
      <c r="F76" s="286">
        <f t="shared" si="21"/>
        <v>-1.3143636618605065E-2</v>
      </c>
      <c r="G76" s="286">
        <f t="shared" si="21"/>
        <v>5.5629281589612993E-2</v>
      </c>
      <c r="H76" s="286">
        <f t="shared" si="21"/>
        <v>3.0594822912536516E-2</v>
      </c>
      <c r="I76" s="286">
        <f t="shared" si="21"/>
        <v>4.6365589959278551E-2</v>
      </c>
      <c r="J76" s="286">
        <f t="shared" si="21"/>
        <v>4.0452323494833242E-2</v>
      </c>
      <c r="K76" s="286">
        <f t="shared" si="21"/>
        <v>5.9507888356112246E-2</v>
      </c>
      <c r="L76" s="286">
        <f t="shared" si="21"/>
        <v>0.14298515557756478</v>
      </c>
      <c r="M76" s="286">
        <f t="shared" si="21"/>
        <v>5.0348825383911326E-2</v>
      </c>
      <c r="N76" s="286">
        <f t="shared" si="21"/>
        <v>3.6744286294567732E-2</v>
      </c>
      <c r="O76" s="286">
        <f t="shared" ref="O76:U77" si="22">O74/O64</f>
        <v>3.5245239923602491E-2</v>
      </c>
      <c r="P76" s="286">
        <f t="shared" si="22"/>
        <v>8.696557442267723E-3</v>
      </c>
      <c r="Q76" s="286">
        <f t="shared" si="22"/>
        <v>1.7452180105364968E-2</v>
      </c>
      <c r="R76" s="286">
        <f t="shared" si="22"/>
        <v>1.3098862917049774E-2</v>
      </c>
      <c r="S76" s="286">
        <f t="shared" si="22"/>
        <v>-1.3134561044528892E-2</v>
      </c>
      <c r="T76" s="286">
        <f t="shared" si="22"/>
        <v>5.2885839725371551E-2</v>
      </c>
      <c r="U76" s="286">
        <f t="shared" si="22"/>
        <v>5.0868134565027298E-2</v>
      </c>
      <c r="V76" s="286">
        <f t="shared" ref="V76:W76" si="23">V74/V64</f>
        <v>1.0890753568572165E-2</v>
      </c>
      <c r="W76" s="286">
        <f t="shared" si="23"/>
        <v>1.4037259529033363E-3</v>
      </c>
      <c r="X76" s="286">
        <f t="shared" ref="X76:Y76" si="24">X74/X64</f>
        <v>8.5204965277584418E-3</v>
      </c>
      <c r="Y76" s="286">
        <f t="shared" si="24"/>
        <v>1.7287598944591028E-3</v>
      </c>
      <c r="Z76" s="286">
        <f t="shared" ref="Z76:AA76" si="25">Z74/Z64</f>
        <v>0.12515521240654612</v>
      </c>
      <c r="AA76" s="286">
        <f t="shared" si="25"/>
        <v>-2.2264589791145179E-3</v>
      </c>
    </row>
    <row r="77" spans="1:27" s="216" customFormat="1" x14ac:dyDescent="0.35">
      <c r="A77" s="284" t="s">
        <v>293</v>
      </c>
      <c r="B77" s="286">
        <f t="shared" ref="B77:N77" si="26">B75/B65</f>
        <v>4.5977334720620905E-2</v>
      </c>
      <c r="C77" s="286">
        <f t="shared" si="26"/>
        <v>-0.37670692732328892</v>
      </c>
      <c r="D77" s="286">
        <f t="shared" si="26"/>
        <v>-8.9919200393966475E-2</v>
      </c>
      <c r="E77" s="286">
        <f t="shared" si="26"/>
        <v>0.24554187843356151</v>
      </c>
      <c r="F77" s="286">
        <f t="shared" si="26"/>
        <v>-1.3143636618605065E-2</v>
      </c>
      <c r="G77" s="286">
        <f t="shared" si="26"/>
        <v>5.5629281589612993E-2</v>
      </c>
      <c r="H77" s="286">
        <f t="shared" si="26"/>
        <v>3.0594822912536516E-2</v>
      </c>
      <c r="I77" s="286">
        <f t="shared" si="26"/>
        <v>4.6365589959278551E-2</v>
      </c>
      <c r="J77" s="286">
        <f t="shared" si="26"/>
        <v>4.0452323494833242E-2</v>
      </c>
      <c r="K77" s="286">
        <f t="shared" si="26"/>
        <v>3.1396525037705403E-2</v>
      </c>
      <c r="L77" s="286">
        <f t="shared" si="26"/>
        <v>4.0078109782466995E-2</v>
      </c>
      <c r="M77" s="286">
        <f t="shared" si="26"/>
        <v>3.1596204727076561E-2</v>
      </c>
      <c r="N77" s="286">
        <f t="shared" si="26"/>
        <v>3.6744286294567732E-2</v>
      </c>
      <c r="O77" s="286">
        <f t="shared" si="22"/>
        <v>3.5245239923602491E-2</v>
      </c>
      <c r="P77" s="286">
        <f t="shared" si="22"/>
        <v>8.696557442267723E-3</v>
      </c>
      <c r="Q77" s="286">
        <f t="shared" si="22"/>
        <v>1.7452180105364968E-2</v>
      </c>
      <c r="R77" s="286">
        <f t="shared" si="22"/>
        <v>1.3098862917049774E-2</v>
      </c>
      <c r="S77" s="286">
        <f t="shared" si="22"/>
        <v>-1.3134561044528892E-2</v>
      </c>
      <c r="T77" s="286">
        <f t="shared" si="22"/>
        <v>5.2885839725371551E-2</v>
      </c>
      <c r="U77" s="286">
        <f t="shared" si="22"/>
        <v>5.0868134565027298E-2</v>
      </c>
      <c r="V77" s="286">
        <f t="shared" ref="V77:W77" si="27">V75/V65</f>
        <v>3.1294988409765613E-2</v>
      </c>
      <c r="W77" s="286">
        <f t="shared" si="27"/>
        <v>2.0362316037292688E-2</v>
      </c>
      <c r="X77" s="286">
        <f t="shared" ref="X77:Y77" si="28">X75/X65</f>
        <v>2.9342807976966815E-2</v>
      </c>
      <c r="Y77" s="286">
        <f t="shared" si="28"/>
        <v>2.4477044854881266E-2</v>
      </c>
      <c r="Z77" s="286">
        <f t="shared" ref="Z77:AA77" si="29">Z75/Z65</f>
        <v>2.7355560462206533E-3</v>
      </c>
      <c r="AA77" s="286">
        <f t="shared" si="29"/>
        <v>1.7342602319840559E-2</v>
      </c>
    </row>
    <row r="78" spans="1:27" s="216" customFormat="1" x14ac:dyDescent="0.35"/>
    <row r="79" spans="1:27" s="216" customFormat="1" x14ac:dyDescent="0.35">
      <c r="A79" s="282" t="s">
        <v>212</v>
      </c>
      <c r="B79" s="283" t="str">
        <f t="shared" ref="B79:O79" si="30">B73</f>
        <v>1T20</v>
      </c>
      <c r="C79" s="283" t="str">
        <f t="shared" si="30"/>
        <v>2T20</v>
      </c>
      <c r="D79" s="283" t="str">
        <f t="shared" si="30"/>
        <v>3T20</v>
      </c>
      <c r="E79" s="283" t="str">
        <f t="shared" si="30"/>
        <v>4T20</v>
      </c>
      <c r="F79" s="283" t="str">
        <f t="shared" si="30"/>
        <v>1T21</v>
      </c>
      <c r="G79" s="283" t="str">
        <f t="shared" si="30"/>
        <v>2T21</v>
      </c>
      <c r="H79" s="283" t="str">
        <f t="shared" si="30"/>
        <v>3T21</v>
      </c>
      <c r="I79" s="283" t="str">
        <f t="shared" si="30"/>
        <v>4T21</v>
      </c>
      <c r="J79" s="283" t="str">
        <f t="shared" si="30"/>
        <v>1T22</v>
      </c>
      <c r="K79" s="283" t="str">
        <f t="shared" si="30"/>
        <v>2T22</v>
      </c>
      <c r="L79" s="283" t="str">
        <f t="shared" si="30"/>
        <v>3T22</v>
      </c>
      <c r="M79" s="283" t="str">
        <f t="shared" si="30"/>
        <v>4T22</v>
      </c>
      <c r="N79" s="283" t="str">
        <f t="shared" si="30"/>
        <v>1T23</v>
      </c>
      <c r="O79" s="283" t="str">
        <f t="shared" si="30"/>
        <v>2T23</v>
      </c>
      <c r="P79" s="283" t="str">
        <f t="shared" ref="P79:U79" si="31">P73</f>
        <v>3T23</v>
      </c>
      <c r="Q79" s="283" t="str">
        <f t="shared" si="31"/>
        <v>4T23</v>
      </c>
      <c r="R79" s="283" t="str">
        <f t="shared" si="31"/>
        <v>1T24</v>
      </c>
      <c r="S79" s="283" t="str">
        <f t="shared" si="31"/>
        <v>2T24</v>
      </c>
      <c r="T79" s="283" t="str">
        <f t="shared" si="31"/>
        <v>3T24</v>
      </c>
      <c r="U79" s="283" t="str">
        <f t="shared" si="31"/>
        <v>4T24</v>
      </c>
      <c r="V79" s="283" t="str">
        <f t="shared" ref="V79:W79" si="32">V73</f>
        <v>1T25</v>
      </c>
      <c r="W79" s="283" t="str">
        <f t="shared" si="32"/>
        <v>2T25</v>
      </c>
      <c r="X79" s="283" t="str">
        <f t="shared" ref="X79:Y79" si="33">X73</f>
        <v>3T25</v>
      </c>
      <c r="Y79" s="283" t="str">
        <f t="shared" si="33"/>
        <v>4T25</v>
      </c>
      <c r="Z79" s="283" t="str">
        <f t="shared" ref="Z79:AA79" si="34">Z73</f>
        <v>1T26</v>
      </c>
      <c r="AA79" s="283" t="str">
        <f t="shared" si="34"/>
        <v>2T26</v>
      </c>
    </row>
    <row r="80" spans="1:27" s="216" customFormat="1" x14ac:dyDescent="0.35">
      <c r="A80" s="284" t="s">
        <v>264</v>
      </c>
      <c r="B80" s="285">
        <f>'Dados gerais'!B21/1000</f>
        <v>15.895</v>
      </c>
      <c r="C80" s="285">
        <f>'Dados gerais'!C21/1000</f>
        <v>-9.7870000000000008</v>
      </c>
      <c r="D80" s="285">
        <f>'Dados gerais'!D21/1000</f>
        <v>2.8050000000000002</v>
      </c>
      <c r="E80" s="285">
        <f>'Dados gerais'!E21/1000</f>
        <v>8.0980000000000008</v>
      </c>
      <c r="F80" s="285">
        <f>'Dados gerais'!F21/1000</f>
        <v>5.3120000000000003</v>
      </c>
      <c r="G80" s="285">
        <f>'Dados gerais'!G21/1000</f>
        <v>14.237102</v>
      </c>
      <c r="H80" s="285">
        <f>'Dados gerais'!H21/1000</f>
        <v>12.765557219999998</v>
      </c>
      <c r="I80" s="285">
        <f>'Dados gerais'!I21/1000</f>
        <v>9.0875983300000005</v>
      </c>
      <c r="J80" s="285">
        <f>'Dados gerais'!J21/1000</f>
        <v>16.497354729999998</v>
      </c>
      <c r="K80" s="285">
        <f>'Dados gerais'!K21/1000</f>
        <v>25.876000000000001</v>
      </c>
      <c r="L80" s="285">
        <f>'Dados gerais'!L21/1000</f>
        <v>57.436999999999998</v>
      </c>
      <c r="M80" s="285">
        <f>'Dados gerais'!M21/1000</f>
        <v>30.94452699</v>
      </c>
      <c r="N80" s="285">
        <f>'Dados gerais'!N21/1000</f>
        <v>32.78083693</v>
      </c>
      <c r="O80" s="285">
        <f>'Dados gerais'!O21/1000</f>
        <v>33.644098830000011</v>
      </c>
      <c r="P80" s="285">
        <f>'Dados gerais'!P21/1000</f>
        <v>29.614999999999998</v>
      </c>
      <c r="Q80" s="285">
        <f>'Dados gerais'!Q21/1000</f>
        <v>30.42</v>
      </c>
      <c r="R80" s="285">
        <f>'Dados gerais'!R21/1000</f>
        <v>24.805</v>
      </c>
      <c r="S80" s="285">
        <f>'Dados gerais'!S21/1000</f>
        <v>17.692</v>
      </c>
      <c r="T80" s="285">
        <f>'Dados gerais'!T21/1000</f>
        <v>58.131</v>
      </c>
      <c r="U80" s="285">
        <f>'Dados gerais'!U21/1000</f>
        <v>59.986332511764701</v>
      </c>
      <c r="V80" s="285">
        <f>'Dados gerais'!V21/1000</f>
        <v>40.109000000000002</v>
      </c>
      <c r="W80" s="285">
        <f>'Dados gerais'!W21/1000</f>
        <v>40.018000000000001</v>
      </c>
      <c r="X80" s="285">
        <f>'Dados gerais'!X21/1000</f>
        <v>42.564</v>
      </c>
      <c r="Y80" s="285">
        <f>'Dados gerais'!Y21/1000</f>
        <v>61.956203289523117</v>
      </c>
      <c r="Z80" s="285">
        <f>'Dados gerais'!Z21/1000</f>
        <v>109.271</v>
      </c>
      <c r="AA80" s="285">
        <f>'Dados gerais'!AA21/1000</f>
        <v>71.042000000000002</v>
      </c>
    </row>
    <row r="81" spans="1:27" s="216" customFormat="1" x14ac:dyDescent="0.35">
      <c r="A81" s="284" t="s">
        <v>283</v>
      </c>
      <c r="B81" s="285">
        <f>'Dados gerais'!B22/1000</f>
        <v>15.895</v>
      </c>
      <c r="C81" s="285">
        <f>'Dados gerais'!C22/1000</f>
        <v>-9.7870000000000008</v>
      </c>
      <c r="D81" s="285">
        <f>'Dados gerais'!D22/1000</f>
        <v>2.8050000000000002</v>
      </c>
      <c r="E81" s="285">
        <f>'Dados gerais'!E22/1000</f>
        <v>8.0980000000000008</v>
      </c>
      <c r="F81" s="285">
        <f>'Dados gerais'!F22/1000</f>
        <v>5.3120000000000003</v>
      </c>
      <c r="G81" s="285">
        <f>'Dados gerais'!G22/1000</f>
        <v>14.237102</v>
      </c>
      <c r="H81" s="285">
        <f>'Dados gerais'!H22/1000</f>
        <v>12.765557219999998</v>
      </c>
      <c r="I81" s="285">
        <f>'Dados gerais'!I22/1000</f>
        <v>9.0875983300000005</v>
      </c>
      <c r="J81" s="285">
        <f>'Dados gerais'!J22/1000</f>
        <v>16.497354729999998</v>
      </c>
      <c r="K81" s="285">
        <f>'Dados gerais'!K22/1000</f>
        <v>19.71039028571429</v>
      </c>
      <c r="L81" s="285">
        <f>'Dados gerais'!L22/1000</f>
        <v>26.273891857142857</v>
      </c>
      <c r="M81" s="285">
        <f>'Dados gerais'!M22/1000</f>
        <v>24.912109571428569</v>
      </c>
      <c r="N81" s="285">
        <f>'Dados gerais'!N22/1000</f>
        <v>32.78083693</v>
      </c>
      <c r="O81" s="285">
        <f>'Dados gerais'!O22/1000</f>
        <v>33.644098830000011</v>
      </c>
      <c r="P81" s="285">
        <f>'Dados gerais'!P22/1000</f>
        <v>29.614999999999998</v>
      </c>
      <c r="Q81" s="285">
        <f>'Dados gerais'!Q22/1000</f>
        <v>30.42</v>
      </c>
      <c r="R81" s="285">
        <f>'Dados gerais'!R22/1000</f>
        <v>24.805</v>
      </c>
      <c r="S81" s="285">
        <f>'Dados gerais'!S22/1000</f>
        <v>17.692</v>
      </c>
      <c r="T81" s="285">
        <f>'Dados gerais'!T22/1000</f>
        <v>58.131</v>
      </c>
      <c r="U81" s="285">
        <f>'Dados gerais'!U22/1000</f>
        <v>59.986332511764701</v>
      </c>
      <c r="V81" s="285">
        <f>'Dados gerais'!V22/1000</f>
        <v>41.542999999999999</v>
      </c>
      <c r="W81" s="285">
        <f>'Dados gerais'!W22/1000</f>
        <v>40.593000000000004</v>
      </c>
      <c r="X81" s="285">
        <f>'Dados gerais'!X22/1000</f>
        <v>43.835999999999999</v>
      </c>
      <c r="Y81" s="285">
        <f>'Dados gerais'!Y22/1000</f>
        <v>63.756203289523114</v>
      </c>
      <c r="Z81" s="285">
        <f>'Dados gerais'!Z22/1000</f>
        <v>60.816000000000003</v>
      </c>
      <c r="AA81" s="285">
        <f>'Dados gerais'!AA22/1000</f>
        <v>72.213999999999999</v>
      </c>
    </row>
    <row r="82" spans="1:27" s="216" customFormat="1" x14ac:dyDescent="0.35">
      <c r="A82" s="284" t="s">
        <v>294</v>
      </c>
      <c r="B82" s="286">
        <f t="shared" ref="B82:N82" si="35">B80/B64</f>
        <v>0.22348921571384381</v>
      </c>
      <c r="C82" s="286">
        <f t="shared" si="35"/>
        <v>-0.20310878678454325</v>
      </c>
      <c r="D82" s="286">
        <f t="shared" si="35"/>
        <v>5.116092436208438E-2</v>
      </c>
      <c r="E82" s="286">
        <f t="shared" si="35"/>
        <v>0.11895179059314316</v>
      </c>
      <c r="F82" s="286">
        <f t="shared" si="35"/>
        <v>6.771968740837063E-2</v>
      </c>
      <c r="G82" s="286">
        <f t="shared" si="35"/>
        <v>0.12765953516731823</v>
      </c>
      <c r="H82" s="286">
        <f t="shared" si="35"/>
        <v>0.10329541457967518</v>
      </c>
      <c r="I82" s="286">
        <f t="shared" si="35"/>
        <v>7.5987711070045913E-2</v>
      </c>
      <c r="J82" s="286">
        <f t="shared" si="35"/>
        <v>0.12760159280056924</v>
      </c>
      <c r="K82" s="286">
        <f t="shared" si="35"/>
        <v>0.14067477791912669</v>
      </c>
      <c r="L82" s="286">
        <f t="shared" si="35"/>
        <v>0.22573976473732407</v>
      </c>
      <c r="M82" s="286">
        <f t="shared" si="35"/>
        <v>0.12588030912234313</v>
      </c>
      <c r="N82" s="286">
        <f t="shared" si="35"/>
        <v>0.13587235839046347</v>
      </c>
      <c r="O82" s="286">
        <f t="shared" ref="O82:U83" si="36">O80/O64</f>
        <v>0.13249098718175917</v>
      </c>
      <c r="P82" s="286">
        <f t="shared" si="36"/>
        <v>0.11011053811575827</v>
      </c>
      <c r="Q82" s="286">
        <f t="shared" si="36"/>
        <v>0.10777412074811255</v>
      </c>
      <c r="R82" s="286">
        <f t="shared" si="36"/>
        <v>0.1146092750114355</v>
      </c>
      <c r="S82" s="286">
        <f t="shared" si="36"/>
        <v>8.6193120919809033E-2</v>
      </c>
      <c r="T82" s="286">
        <f t="shared" si="36"/>
        <v>0.14803807719341136</v>
      </c>
      <c r="U82" s="286">
        <f t="shared" si="36"/>
        <v>0.1429290755665801</v>
      </c>
      <c r="V82" s="286">
        <f t="shared" ref="V82:W82" si="37">V80/V64</f>
        <v>0.10874215456357006</v>
      </c>
      <c r="W82" s="286">
        <f t="shared" si="37"/>
        <v>0.11057934091197975</v>
      </c>
      <c r="X82" s="286">
        <f t="shared" ref="X82:Y82" si="38">X80/X64</f>
        <v>0.11851843601552624</v>
      </c>
      <c r="Y82" s="286">
        <f t="shared" si="38"/>
        <v>0.1307782655187823</v>
      </c>
      <c r="Z82" s="286">
        <f t="shared" ref="Z82:AA82" si="39">Z80/Z64</f>
        <v>0.25942967305085268</v>
      </c>
      <c r="AA82" s="286">
        <f t="shared" si="39"/>
        <v>0.15356514446044037</v>
      </c>
    </row>
    <row r="83" spans="1:27" s="216" customFormat="1" x14ac:dyDescent="0.35">
      <c r="A83" s="284" t="s">
        <v>295</v>
      </c>
      <c r="B83" s="286">
        <f t="shared" ref="B83:N83" si="40">B81/B65</f>
        <v>0.22348921571384381</v>
      </c>
      <c r="C83" s="286">
        <f t="shared" si="40"/>
        <v>-0.20310878678454325</v>
      </c>
      <c r="D83" s="286">
        <f t="shared" si="40"/>
        <v>5.116092436208438E-2</v>
      </c>
      <c r="E83" s="286">
        <f t="shared" si="40"/>
        <v>0.11895179059314316</v>
      </c>
      <c r="F83" s="286">
        <f t="shared" si="40"/>
        <v>6.771968740837063E-2</v>
      </c>
      <c r="G83" s="286">
        <f t="shared" si="40"/>
        <v>0.12765953516731823</v>
      </c>
      <c r="H83" s="286">
        <f t="shared" si="40"/>
        <v>0.10329541457967518</v>
      </c>
      <c r="I83" s="286">
        <f t="shared" si="40"/>
        <v>7.5987711070045913E-2</v>
      </c>
      <c r="J83" s="286">
        <f t="shared" si="40"/>
        <v>0.12760159280056924</v>
      </c>
      <c r="K83" s="286">
        <f t="shared" si="40"/>
        <v>0.11557888634094413</v>
      </c>
      <c r="L83" s="286">
        <f t="shared" si="40"/>
        <v>0.1373595852662505</v>
      </c>
      <c r="M83" s="286">
        <f t="shared" si="40"/>
        <v>0.11340130092031273</v>
      </c>
      <c r="N83" s="286">
        <f t="shared" si="40"/>
        <v>0.13587235839046347</v>
      </c>
      <c r="O83" s="286">
        <f t="shared" si="36"/>
        <v>0.13249098718175917</v>
      </c>
      <c r="P83" s="286">
        <f t="shared" si="36"/>
        <v>0.11011053811575827</v>
      </c>
      <c r="Q83" s="286">
        <f t="shared" si="36"/>
        <v>0.10777412074811255</v>
      </c>
      <c r="R83" s="286">
        <f t="shared" si="36"/>
        <v>0.1146092750114355</v>
      </c>
      <c r="S83" s="286">
        <f t="shared" si="36"/>
        <v>8.6193120919809033E-2</v>
      </c>
      <c r="T83" s="286">
        <f t="shared" si="36"/>
        <v>0.14803807719341136</v>
      </c>
      <c r="U83" s="286">
        <f t="shared" si="36"/>
        <v>0.1429290755665801</v>
      </c>
      <c r="V83" s="286">
        <f t="shared" ref="V83:W83" si="41">V81/V65</f>
        <v>0.11262996651710067</v>
      </c>
      <c r="W83" s="286">
        <f t="shared" si="41"/>
        <v>0.11216820394922271</v>
      </c>
      <c r="X83" s="286">
        <f t="shared" ref="X83:Y83" si="42">X81/X65</f>
        <v>0.12206028947412385</v>
      </c>
      <c r="Y83" s="286">
        <f t="shared" si="42"/>
        <v>0.1345777378142968</v>
      </c>
      <c r="Z83" s="286">
        <f t="shared" ref="Z83:AA83" si="43">Z81/Z65</f>
        <v>0.14438849279553273</v>
      </c>
      <c r="AA83" s="286">
        <f t="shared" si="43"/>
        <v>0.15609855215318039</v>
      </c>
    </row>
    <row r="84" spans="1:27" s="216" customFormat="1" x14ac:dyDescent="0.35"/>
    <row r="85" spans="1:27" s="216" customFormat="1" x14ac:dyDescent="0.35">
      <c r="A85" s="282" t="s">
        <v>296</v>
      </c>
      <c r="B85" s="283" t="str">
        <f t="shared" ref="B85:O85" si="44">B79</f>
        <v>1T20</v>
      </c>
      <c r="C85" s="283" t="str">
        <f t="shared" si="44"/>
        <v>2T20</v>
      </c>
      <c r="D85" s="283" t="str">
        <f t="shared" si="44"/>
        <v>3T20</v>
      </c>
      <c r="E85" s="283" t="str">
        <f t="shared" si="44"/>
        <v>4T20</v>
      </c>
      <c r="F85" s="283" t="str">
        <f t="shared" si="44"/>
        <v>1T21</v>
      </c>
      <c r="G85" s="283" t="str">
        <f t="shared" si="44"/>
        <v>2T21</v>
      </c>
      <c r="H85" s="283" t="str">
        <f t="shared" si="44"/>
        <v>3T21</v>
      </c>
      <c r="I85" s="283" t="str">
        <f t="shared" si="44"/>
        <v>4T21</v>
      </c>
      <c r="J85" s="283" t="str">
        <f t="shared" si="44"/>
        <v>1T22</v>
      </c>
      <c r="K85" s="283" t="str">
        <f t="shared" si="44"/>
        <v>2T22</v>
      </c>
      <c r="L85" s="283" t="str">
        <f t="shared" si="44"/>
        <v>3T22</v>
      </c>
      <c r="M85" s="283" t="str">
        <f t="shared" si="44"/>
        <v>4T22</v>
      </c>
      <c r="N85" s="283" t="str">
        <f t="shared" si="44"/>
        <v>1T23</v>
      </c>
      <c r="O85" s="283" t="str">
        <f t="shared" si="44"/>
        <v>2T23</v>
      </c>
      <c r="P85" s="283" t="str">
        <f t="shared" ref="P85:U85" si="45">P79</f>
        <v>3T23</v>
      </c>
      <c r="Q85" s="283" t="str">
        <f t="shared" si="45"/>
        <v>4T23</v>
      </c>
      <c r="R85" s="283" t="str">
        <f t="shared" si="45"/>
        <v>1T24</v>
      </c>
      <c r="S85" s="283" t="str">
        <f t="shared" si="45"/>
        <v>2T24</v>
      </c>
      <c r="T85" s="283" t="str">
        <f t="shared" si="45"/>
        <v>3T24</v>
      </c>
      <c r="U85" s="283" t="str">
        <f t="shared" si="45"/>
        <v>4T24</v>
      </c>
      <c r="V85" s="283" t="str">
        <f t="shared" ref="V85:W85" si="46">V79</f>
        <v>1T25</v>
      </c>
      <c r="W85" s="283" t="str">
        <f t="shared" si="46"/>
        <v>2T25</v>
      </c>
      <c r="X85" s="283" t="str">
        <f t="shared" ref="X85:Y85" si="47">X79</f>
        <v>3T25</v>
      </c>
      <c r="Y85" s="283" t="str">
        <f t="shared" si="47"/>
        <v>4T25</v>
      </c>
      <c r="Z85" s="283" t="str">
        <f t="shared" ref="Z85:AA85" si="48">Z79</f>
        <v>1T26</v>
      </c>
      <c r="AA85" s="283" t="str">
        <f t="shared" si="48"/>
        <v>2T26</v>
      </c>
    </row>
    <row r="86" spans="1:27" s="216" customFormat="1" x14ac:dyDescent="0.35">
      <c r="A86" s="284" t="s">
        <v>496</v>
      </c>
      <c r="B86" s="287"/>
      <c r="C86" s="287"/>
      <c r="D86" s="287"/>
      <c r="E86" s="287"/>
      <c r="F86" s="287"/>
      <c r="G86" s="287"/>
      <c r="H86" s="287"/>
      <c r="I86" s="287"/>
      <c r="J86" s="288">
        <f>ROIC!B22</f>
        <v>0.13341984575321575</v>
      </c>
      <c r="K86" s="288">
        <f>ROIC!C22</f>
        <v>0.13786987129835901</v>
      </c>
      <c r="L86" s="288">
        <f>ROIC!D22</f>
        <v>0.14753357426412306</v>
      </c>
      <c r="M86" s="288">
        <f>ROIC!E22</f>
        <v>0.16566324639113172</v>
      </c>
      <c r="N86" s="288">
        <f>ROIC!F22</f>
        <v>0.17584875606494835</v>
      </c>
      <c r="O86" s="288">
        <f>ROIC!G22</f>
        <v>0.17767383321167929</v>
      </c>
      <c r="P86" s="288">
        <f>ROIC!H22</f>
        <v>0.17290381821532172</v>
      </c>
      <c r="Q86" s="288">
        <f>ROIC!I22</f>
        <v>0.16666845229152918</v>
      </c>
      <c r="R86" s="288">
        <f>ROIC!J22</f>
        <v>0.14560547377917002</v>
      </c>
      <c r="S86" s="288">
        <f>ROIC!K22</f>
        <v>0.13419899795960877</v>
      </c>
      <c r="T86" s="288">
        <f>ROIC!L22</f>
        <v>0.19381468183982339</v>
      </c>
      <c r="U86" s="288">
        <f>ROIC!M22</f>
        <v>0.17084248118009837</v>
      </c>
      <c r="V86" s="288">
        <f>ROIC!N22</f>
        <v>0.13934069394312162</v>
      </c>
      <c r="W86" s="288">
        <f>ROIC!O22</f>
        <v>0.14561464101273097</v>
      </c>
      <c r="X86" s="288">
        <f>ROIC!P22</f>
        <v>0.12564370746435821</v>
      </c>
      <c r="Y86" s="288">
        <f>ROIC!Q22</f>
        <v>0.1098822054270046</v>
      </c>
      <c r="Z86" s="288">
        <f>ROIC!R22</f>
        <v>0.14242283539816888</v>
      </c>
      <c r="AA86" s="288">
        <f>ROIC!S22</f>
        <v>0.14601976234764871</v>
      </c>
    </row>
    <row r="87" spans="1:27" s="216" customFormat="1" x14ac:dyDescent="0.35">
      <c r="A87" s="284" t="s">
        <v>505</v>
      </c>
      <c r="B87" s="287"/>
      <c r="C87" s="287"/>
      <c r="D87" s="287"/>
      <c r="E87" s="287"/>
      <c r="F87" s="287"/>
      <c r="G87" s="287"/>
      <c r="H87" s="287"/>
      <c r="I87" s="287"/>
      <c r="J87" s="287"/>
      <c r="K87" s="287"/>
      <c r="L87" s="287"/>
      <c r="M87" s="287"/>
      <c r="N87" s="287"/>
      <c r="O87" s="287"/>
      <c r="P87" s="287"/>
      <c r="Q87" s="287"/>
      <c r="R87" s="287"/>
      <c r="S87" s="287"/>
      <c r="T87" s="287"/>
      <c r="U87" s="288">
        <f>ROIC!M31</f>
        <v>0.19091901244084575</v>
      </c>
      <c r="V87" s="288">
        <f>ROIC!N31</f>
        <v>0.16468794929780958</v>
      </c>
      <c r="W87" s="288">
        <f>ROIC!O31</f>
        <v>0.18022015159381655</v>
      </c>
      <c r="X87" s="288">
        <f>ROIC!P31</f>
        <v>0.16630436621763839</v>
      </c>
      <c r="Y87" s="288">
        <f>ROIC!Q31</f>
        <v>0.1431987567704785</v>
      </c>
      <c r="Z87" s="288">
        <f>ROIC!R31</f>
        <v>0.13574213981546354</v>
      </c>
      <c r="AA87" s="288">
        <f>ROIC!S31</f>
        <v>0.14099574246956673</v>
      </c>
    </row>
    <row r="88" spans="1:27" s="216" customFormat="1" x14ac:dyDescent="0.35">
      <c r="A88" s="289" t="s">
        <v>399</v>
      </c>
      <c r="J88" s="288"/>
      <c r="K88" s="288"/>
      <c r="L88" s="288"/>
      <c r="M88" s="288"/>
      <c r="N88" s="288"/>
      <c r="O88" s="288"/>
      <c r="P88" s="288"/>
      <c r="Q88" s="288"/>
    </row>
    <row r="89" spans="1:27" s="216" customFormat="1" x14ac:dyDescent="0.35"/>
    <row r="90" spans="1:27" s="216" customFormat="1" x14ac:dyDescent="0.35">
      <c r="A90" s="282" t="s">
        <v>330</v>
      </c>
      <c r="B90" s="283" t="str">
        <f t="shared" ref="B90:Q90" si="49">B85</f>
        <v>1T20</v>
      </c>
      <c r="C90" s="283" t="str">
        <f t="shared" si="49"/>
        <v>2T20</v>
      </c>
      <c r="D90" s="283" t="str">
        <f t="shared" si="49"/>
        <v>3T20</v>
      </c>
      <c r="E90" s="283" t="str">
        <f t="shared" si="49"/>
        <v>4T20</v>
      </c>
      <c r="F90" s="283" t="str">
        <f t="shared" si="49"/>
        <v>1T21</v>
      </c>
      <c r="G90" s="283" t="str">
        <f t="shared" si="49"/>
        <v>2T21</v>
      </c>
      <c r="H90" s="283" t="str">
        <f t="shared" si="49"/>
        <v>3T21</v>
      </c>
      <c r="I90" s="283" t="str">
        <f t="shared" si="49"/>
        <v>4T21</v>
      </c>
      <c r="J90" s="283" t="str">
        <f t="shared" si="49"/>
        <v>1T22</v>
      </c>
      <c r="K90" s="283" t="str">
        <f t="shared" si="49"/>
        <v>2T22</v>
      </c>
      <c r="L90" s="283" t="str">
        <f t="shared" si="49"/>
        <v>3T22</v>
      </c>
      <c r="M90" s="283" t="str">
        <f t="shared" si="49"/>
        <v>4T22</v>
      </c>
      <c r="N90" s="283" t="str">
        <f t="shared" si="49"/>
        <v>1T23</v>
      </c>
      <c r="O90" s="283" t="str">
        <f t="shared" si="49"/>
        <v>2T23</v>
      </c>
      <c r="P90" s="283" t="str">
        <f t="shared" si="49"/>
        <v>3T23</v>
      </c>
      <c r="Q90" s="283" t="str">
        <f t="shared" si="49"/>
        <v>4T23</v>
      </c>
      <c r="R90" s="283" t="str">
        <f t="shared" ref="R90:W90" si="50">R85</f>
        <v>1T24</v>
      </c>
      <c r="S90" s="283" t="str">
        <f t="shared" si="50"/>
        <v>2T24</v>
      </c>
      <c r="T90" s="283" t="str">
        <f t="shared" si="50"/>
        <v>3T24</v>
      </c>
      <c r="U90" s="283" t="str">
        <f t="shared" si="50"/>
        <v>4T24</v>
      </c>
      <c r="V90" s="283" t="str">
        <f t="shared" si="50"/>
        <v>1T25</v>
      </c>
      <c r="W90" s="283" t="str">
        <f t="shared" si="50"/>
        <v>2T25</v>
      </c>
      <c r="X90" s="283" t="str">
        <f t="shared" ref="X90:Y90" si="51">X85</f>
        <v>3T25</v>
      </c>
      <c r="Y90" s="283" t="str">
        <f t="shared" si="51"/>
        <v>4T25</v>
      </c>
      <c r="Z90" s="283" t="str">
        <f t="shared" ref="Z90:AA90" si="52">Z85</f>
        <v>1T26</v>
      </c>
      <c r="AA90" s="283" t="str">
        <f t="shared" si="52"/>
        <v>2T26</v>
      </c>
    </row>
    <row r="91" spans="1:27" s="216" customFormat="1" x14ac:dyDescent="0.35">
      <c r="A91" s="284" t="s">
        <v>328</v>
      </c>
      <c r="B91" s="285">
        <f>'Dados para gráficos'!B36</f>
        <v>9885.5937619838951</v>
      </c>
      <c r="C91" s="285">
        <f>'Dados para gráficos'!C36</f>
        <v>10834.30799220273</v>
      </c>
      <c r="D91" s="285">
        <f>'Dados para gráficos'!D36</f>
        <v>11915.296847805066</v>
      </c>
      <c r="E91" s="285">
        <f>'Dados para gráficos'!E36</f>
        <v>11596.252927400468</v>
      </c>
      <c r="F91" s="285">
        <f>'Dados para gráficos'!F36</f>
        <v>11425.702811244981</v>
      </c>
      <c r="G91" s="285">
        <f>'Dados para gráficos'!G36</f>
        <v>13605.771390074109</v>
      </c>
      <c r="H91" s="285">
        <f>'Dados para gráficos'!H36</f>
        <v>14170.223896212598</v>
      </c>
      <c r="I91" s="285">
        <f>'Dados para gráficos'!I36</f>
        <v>13610.437844361215</v>
      </c>
      <c r="J91" s="285">
        <f>'Dados para gráficos'!J36</f>
        <v>13235.597189695549</v>
      </c>
      <c r="K91" s="285">
        <f>'Dados para gráficos'!K36</f>
        <v>16308.448415922016</v>
      </c>
      <c r="L91" s="285">
        <f>'Dados para gráficos'!L36</f>
        <v>18801.727656101211</v>
      </c>
      <c r="M91" s="285">
        <f>'Dados para gráficos'!M36</f>
        <v>17019.788076088342</v>
      </c>
      <c r="N91" s="285">
        <f>'Dados para gráficos'!N36</f>
        <v>15173.351609908916</v>
      </c>
      <c r="O91" s="285">
        <f>'Dados para gráficos'!O36</f>
        <v>15845.615233698787</v>
      </c>
      <c r="P91" s="285">
        <f>'Dados para gráficos'!P36</f>
        <v>16769.760701834603</v>
      </c>
      <c r="Q91" s="285">
        <f>'Dados para gráficos'!Q36</f>
        <v>18563.049275535865</v>
      </c>
      <c r="R91" s="285">
        <f>'Dados para gráficos'!R36</f>
        <v>18551.385861102463</v>
      </c>
      <c r="S91" s="285">
        <f>'Dados para gráficos'!S36</f>
        <v>16339.905022305365</v>
      </c>
      <c r="T91" s="285">
        <f>'Dados para gráficos'!T36</f>
        <v>19825.682609492393</v>
      </c>
      <c r="U91" s="285">
        <f>'Dados para gráficos'!U36</f>
        <v>20909.801249657387</v>
      </c>
      <c r="V91" s="285">
        <f>'Dados para gráficos'!V36</f>
        <v>19402.455358211377</v>
      </c>
      <c r="W91" s="285">
        <f>'Dados para gráficos'!W36</f>
        <v>19469.52895009625</v>
      </c>
      <c r="X91" s="285">
        <f>'Dados para gráficos'!X36</f>
        <v>20654.617842736654</v>
      </c>
      <c r="Y91" s="285">
        <f>'Dados para gráficos'!Y36</f>
        <v>22014.059753954301</v>
      </c>
      <c r="Z91" s="285">
        <f>'Dados para gráficos'!Z36</f>
        <v>20091.37949049204</v>
      </c>
      <c r="AA91" s="285">
        <f>'Dados para gráficos'!AA36</f>
        <v>21331.305784436121</v>
      </c>
    </row>
    <row r="92" spans="1:27" s="216" customFormat="1" x14ac:dyDescent="0.35">
      <c r="A92" s="284" t="s">
        <v>329</v>
      </c>
      <c r="B92" s="285">
        <f>'Dados Operacionais_Consolidado'!N14</f>
        <v>1203.5024926498788</v>
      </c>
      <c r="C92" s="285">
        <f>'Dados Operacionais_Consolidado'!O14</f>
        <v>-828.26510721247575</v>
      </c>
      <c r="D92" s="285">
        <f>'Dados Operacionais_Consolidado'!P14</f>
        <v>1826.9193579578416</v>
      </c>
      <c r="E92" s="285">
        <f>'Dados Operacionais_Consolidado'!Q14</f>
        <v>1957.2209211553472</v>
      </c>
      <c r="F92" s="285">
        <f>'Dados Operacionais_Consolidado'!R14</f>
        <v>1527.5769745649263</v>
      </c>
      <c r="G92" s="285">
        <f>'Dados Operacionais_Consolidado'!S14</f>
        <v>2410.734336402425</v>
      </c>
      <c r="H92" s="285">
        <f>'Dados Operacionais_Consolidado'!T14</f>
        <v>2214.0615191462653</v>
      </c>
      <c r="I92" s="285">
        <f>'Dados Operacionais_Consolidado'!U14</f>
        <v>1707.344985434873</v>
      </c>
      <c r="J92" s="285">
        <f>'Dados Operacionais_Consolidado'!V14</f>
        <v>2390.913348946136</v>
      </c>
      <c r="K92" s="285">
        <f>'Dados Operacionais_Consolidado'!W14</f>
        <v>3201.1372867587329</v>
      </c>
      <c r="L92" s="285">
        <f>'Dados Operacionais_Consolidado'!X14</f>
        <v>5310.2299006937828</v>
      </c>
      <c r="M92" s="285">
        <f>'Dados Operacionais_Consolidado'!Y14</f>
        <v>3547.9382101366018</v>
      </c>
      <c r="N92" s="285">
        <f>'Dados Operacionais_Consolidado'!Z14</f>
        <v>2877.0087602250969</v>
      </c>
      <c r="O92" s="285">
        <f>'Dados Operacionais_Consolidado'!AA14</f>
        <v>3165.2625504904786</v>
      </c>
      <c r="P92" s="285">
        <f>'Dados Operacionais_Consolidado'!AB14</f>
        <v>2944.0475510087444</v>
      </c>
      <c r="Q92" s="285">
        <f>'Dados Operacionais_Consolidado'!AC14</f>
        <v>3569.2731409412049</v>
      </c>
      <c r="R92" s="285">
        <f>'Dados Operacionais_Consolidado'!AD14</f>
        <v>3387.9632513235756</v>
      </c>
      <c r="S92" s="285">
        <f>'Dados Operacionais_Consolidado'!AE14</f>
        <v>2805.3676788027051</v>
      </c>
      <c r="T92" s="285">
        <f>'Dados Operacionais_Consolidado'!AF14</f>
        <v>4070.5057724024191</v>
      </c>
      <c r="U92" s="285">
        <f>'Dados Operacionais_Consolidado'!AG14</f>
        <v>4667.21446179129</v>
      </c>
      <c r="V92" s="285">
        <f>'Dados Operacionais_Consolidado'!AH14</f>
        <v>3553.2457533323714</v>
      </c>
      <c r="W92" s="285">
        <f>'Dados Operacionais_Consolidado'!AI14</f>
        <v>3544.2519374105336</v>
      </c>
      <c r="X92" s="285">
        <f>'Dados Operacionais_Consolidado'!AJ14</f>
        <v>3880.19278118288</v>
      </c>
      <c r="Y92" s="285">
        <f>'Dados Operacionais_Consolidado'!AK14</f>
        <v>3792.61862917399</v>
      </c>
      <c r="Z92" s="285">
        <f>'Dados Operacionais_Consolidado'!AL14</f>
        <v>2729.6409994030869</v>
      </c>
      <c r="AA92" s="285">
        <f>'Dados Operacionais_Consolidado'!AM14</f>
        <v>3639.076154806492</v>
      </c>
    </row>
    <row r="93" spans="1:27" s="216" customFormat="1" x14ac:dyDescent="0.35">
      <c r="A93" s="284" t="s">
        <v>531</v>
      </c>
      <c r="B93" s="287"/>
      <c r="C93" s="287"/>
      <c r="D93" s="287"/>
      <c r="E93" s="287"/>
      <c r="F93" s="287"/>
      <c r="G93" s="287"/>
      <c r="H93" s="287"/>
      <c r="I93" s="287"/>
      <c r="J93" s="287"/>
      <c r="K93" s="287"/>
      <c r="L93" s="287"/>
      <c r="M93" s="287"/>
      <c r="N93" s="287"/>
      <c r="O93" s="287"/>
      <c r="P93" s="287"/>
      <c r="Q93" s="287"/>
      <c r="R93" s="287"/>
      <c r="S93" s="287"/>
      <c r="T93" s="287"/>
      <c r="U93" s="287"/>
      <c r="V93" s="285">
        <f>'Dados Operacionais_Consolidado'!AH19</f>
        <v>1246.6676290842595</v>
      </c>
      <c r="W93" s="285">
        <f>'Dados Operacionais_Consolidado'!AI19</f>
        <v>1361.8145021965547</v>
      </c>
      <c r="X93" s="285">
        <f>'Dados Operacionais_Consolidado'!AJ19</f>
        <v>1563.3610980145634</v>
      </c>
      <c r="Y93" s="285">
        <f>'Dados Operacionais_Consolidado'!AK19</f>
        <v>1810.193321616872</v>
      </c>
      <c r="Z93" s="285">
        <f>'Dados Operacionais_Consolidado'!AL19</f>
        <v>1213.4390722264864</v>
      </c>
      <c r="AA93" s="285">
        <f>'Dados Operacionais_Consolidado'!AM19</f>
        <v>1754.3071161048688</v>
      </c>
    </row>
    <row r="94" spans="1:27" s="216" customFormat="1" x14ac:dyDescent="0.35">
      <c r="A94" s="289" t="s">
        <v>331</v>
      </c>
    </row>
    <row r="95" spans="1:27" s="216" customFormat="1" x14ac:dyDescent="0.35">
      <c r="A95" s="289"/>
    </row>
    <row r="96" spans="1:27" s="216" customFormat="1" x14ac:dyDescent="0.35">
      <c r="A96" s="282" t="s">
        <v>397</v>
      </c>
      <c r="B96" s="283" t="str">
        <f t="shared" ref="B96:M96" si="53">B90</f>
        <v>1T20</v>
      </c>
      <c r="C96" s="283" t="str">
        <f t="shared" si="53"/>
        <v>2T20</v>
      </c>
      <c r="D96" s="283" t="str">
        <f t="shared" si="53"/>
        <v>3T20</v>
      </c>
      <c r="E96" s="283" t="str">
        <f t="shared" si="53"/>
        <v>4T20</v>
      </c>
      <c r="F96" s="283" t="str">
        <f t="shared" si="53"/>
        <v>1T21</v>
      </c>
      <c r="G96" s="283" t="str">
        <f t="shared" si="53"/>
        <v>2T21</v>
      </c>
      <c r="H96" s="283" t="str">
        <f t="shared" si="53"/>
        <v>3T21</v>
      </c>
      <c r="I96" s="283" t="str">
        <f t="shared" si="53"/>
        <v>4T21</v>
      </c>
      <c r="J96" s="283" t="str">
        <f t="shared" si="53"/>
        <v>1T22</v>
      </c>
      <c r="K96" s="283" t="str">
        <f t="shared" si="53"/>
        <v>2T22</v>
      </c>
      <c r="L96" s="283" t="str">
        <f t="shared" si="53"/>
        <v>3T22</v>
      </c>
      <c r="M96" s="283" t="str">
        <f t="shared" si="53"/>
        <v>4T22</v>
      </c>
      <c r="N96" s="283" t="str">
        <f t="shared" ref="N96:S96" si="54">N90</f>
        <v>1T23</v>
      </c>
      <c r="O96" s="283" t="str">
        <f t="shared" si="54"/>
        <v>2T23</v>
      </c>
      <c r="P96" s="283" t="str">
        <f t="shared" si="54"/>
        <v>3T23</v>
      </c>
      <c r="Q96" s="283" t="str">
        <f t="shared" si="54"/>
        <v>4T23</v>
      </c>
      <c r="R96" s="283" t="str">
        <f t="shared" si="54"/>
        <v>1T24</v>
      </c>
      <c r="S96" s="283" t="str">
        <f t="shared" si="54"/>
        <v>2T24</v>
      </c>
      <c r="T96" s="283" t="str">
        <f t="shared" ref="T96:Y96" si="55">T90</f>
        <v>3T24</v>
      </c>
      <c r="U96" s="283" t="str">
        <f t="shared" si="55"/>
        <v>4T24</v>
      </c>
      <c r="V96" s="283" t="str">
        <f t="shared" si="55"/>
        <v>1T25</v>
      </c>
      <c r="W96" s="283" t="str">
        <f t="shared" si="55"/>
        <v>2T25</v>
      </c>
      <c r="X96" s="283" t="str">
        <f t="shared" si="55"/>
        <v>3T25</v>
      </c>
      <c r="Y96" s="283" t="str">
        <f t="shared" si="55"/>
        <v>4T25</v>
      </c>
      <c r="Z96" s="283" t="str">
        <f t="shared" ref="Z96:AA96" si="56">Z90</f>
        <v>1T26</v>
      </c>
      <c r="AA96" s="283" t="str">
        <f t="shared" si="56"/>
        <v>2T26</v>
      </c>
    </row>
    <row r="97" spans="1:41" s="216" customFormat="1" x14ac:dyDescent="0.35">
      <c r="A97" s="284" t="s">
        <v>397</v>
      </c>
      <c r="B97" s="287"/>
      <c r="C97" s="287"/>
      <c r="D97" s="287"/>
      <c r="E97" s="287"/>
      <c r="F97" s="287"/>
      <c r="G97" s="287"/>
      <c r="H97" s="287"/>
      <c r="I97" s="287"/>
      <c r="J97" s="287"/>
      <c r="K97" s="287"/>
      <c r="L97" s="287"/>
      <c r="M97" s="290">
        <f>'Dados para gráficos'!M42</f>
        <v>0.37421119068815467</v>
      </c>
      <c r="N97" s="290">
        <f>'Dados para gráficos'!N42</f>
        <v>0.60820752280783563</v>
      </c>
      <c r="O97" s="290">
        <f>'Dados para gráficos'!O42</f>
        <v>1.4224345158330862</v>
      </c>
      <c r="P97" s="290">
        <f>'Dados para gráficos'!P42</f>
        <v>1.6335054424794566</v>
      </c>
      <c r="Q97" s="290">
        <f>'Dados para gráficos'!Q42</f>
        <v>2.0634951492276739</v>
      </c>
      <c r="R97" s="290">
        <f>'Dados para gráficos'!R42</f>
        <v>1.5682005352507651</v>
      </c>
      <c r="S97" s="290">
        <f>'Dados para gráficos'!S42</f>
        <v>2.1715879756486065</v>
      </c>
      <c r="T97" s="290">
        <f>'Dados para gráficos'!T42</f>
        <v>1.8339178543505024</v>
      </c>
      <c r="U97" s="290">
        <f>'Dados para gráficos'!U42</f>
        <v>1.879703050140171</v>
      </c>
      <c r="V97" s="290">
        <f>'Dados para gráficos'!V42</f>
        <v>2.3644623982964648</v>
      </c>
      <c r="W97" s="290">
        <f>'Dados para gráficos'!W42</f>
        <v>2.4297379296224135</v>
      </c>
      <c r="X97" s="290">
        <f>'Dados para gráficos'!X42</f>
        <v>1.7675521133801499</v>
      </c>
      <c r="Y97" s="290">
        <f>'Dados para gráficos'!Y42</f>
        <v>2.3198247945729196</v>
      </c>
      <c r="Z97" s="290">
        <f>'Dados para gráficos'!Z42</f>
        <v>1.9765701480554771</v>
      </c>
      <c r="AA97" s="290">
        <f>'Dados para gráficos'!AA42</f>
        <v>2.2723548913476557</v>
      </c>
    </row>
    <row r="98" spans="1:41" s="216" customFormat="1" x14ac:dyDescent="0.35">
      <c r="A98" s="289" t="s">
        <v>398</v>
      </c>
      <c r="Y98" s="291"/>
      <c r="Z98" s="291"/>
      <c r="AA98" s="291"/>
      <c r="AB98" s="291"/>
      <c r="AC98" s="291"/>
    </row>
    <row r="99" spans="1:41" s="216" customFormat="1" x14ac:dyDescent="0.35">
      <c r="A99" s="203"/>
      <c r="B99" s="203"/>
      <c r="C99" s="203"/>
      <c r="D99" s="203"/>
      <c r="E99" s="203"/>
      <c r="F99" s="203"/>
      <c r="G99" s="203"/>
      <c r="H99" s="203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03"/>
      <c r="X99" s="203"/>
      <c r="Y99" s="203"/>
      <c r="Z99" s="203"/>
      <c r="AA99" s="203"/>
      <c r="AB99" s="203"/>
      <c r="AC99" s="203"/>
      <c r="AD99" s="203"/>
      <c r="AE99" s="203"/>
      <c r="AF99" s="203"/>
      <c r="AG99" s="203"/>
      <c r="AH99" s="203"/>
      <c r="AI99" s="203"/>
      <c r="AJ99" s="203"/>
      <c r="AK99" s="203"/>
      <c r="AL99" s="203"/>
      <c r="AM99" s="203"/>
      <c r="AN99" s="203"/>
      <c r="AO99" s="203"/>
    </row>
    <row r="100" spans="1:41" x14ac:dyDescent="0.35">
      <c r="A100" s="203"/>
      <c r="B100" s="203"/>
      <c r="C100" s="203"/>
      <c r="D100" s="203"/>
      <c r="E100" s="203"/>
      <c r="F100" s="203"/>
      <c r="G100" s="203"/>
      <c r="H100" s="203"/>
      <c r="I100" s="203"/>
      <c r="J100" s="203"/>
      <c r="K100" s="203"/>
      <c r="L100" s="203"/>
      <c r="M100" s="203"/>
      <c r="N100" s="203"/>
      <c r="O100" s="203"/>
      <c r="P100" s="203"/>
      <c r="Q100" s="203"/>
      <c r="R100" s="203"/>
      <c r="S100" s="203"/>
      <c r="T100" s="203"/>
      <c r="U100" s="203"/>
      <c r="V100" s="203"/>
      <c r="W100" s="203"/>
      <c r="X100" s="203"/>
      <c r="Y100" s="203"/>
      <c r="Z100" s="203"/>
      <c r="AA100" s="203"/>
      <c r="AB100" s="203"/>
      <c r="AC100" s="203"/>
      <c r="AD100" s="203"/>
      <c r="AE100" s="203"/>
      <c r="AF100" s="203"/>
      <c r="AG100" s="203"/>
      <c r="AH100" s="203"/>
      <c r="AI100" s="203"/>
      <c r="AJ100" s="203"/>
      <c r="AK100" s="203"/>
      <c r="AL100" s="203"/>
      <c r="AM100" s="203"/>
      <c r="AN100" s="203"/>
      <c r="AO100" s="203"/>
    </row>
    <row r="101" spans="1:41" x14ac:dyDescent="0.35">
      <c r="A101" s="273"/>
      <c r="B101" s="203"/>
      <c r="C101" s="203"/>
      <c r="D101" s="203"/>
      <c r="E101" s="203"/>
      <c r="F101" s="203"/>
      <c r="G101" s="203"/>
      <c r="H101" s="203"/>
      <c r="I101" s="203"/>
      <c r="J101" s="203"/>
      <c r="K101" s="203"/>
      <c r="L101" s="203"/>
      <c r="M101" s="203"/>
      <c r="N101" s="203"/>
      <c r="O101" s="203"/>
      <c r="P101" s="203"/>
      <c r="Q101" s="203"/>
      <c r="R101" s="203"/>
      <c r="S101" s="203"/>
      <c r="T101" s="203"/>
      <c r="U101" s="203"/>
      <c r="V101" s="203"/>
      <c r="W101" s="203"/>
      <c r="X101" s="203"/>
      <c r="Y101" s="203"/>
      <c r="Z101" s="203"/>
      <c r="AA101" s="203"/>
      <c r="AB101" s="203"/>
      <c r="AC101" s="203"/>
      <c r="AD101" s="203"/>
      <c r="AE101" s="203"/>
      <c r="AF101" s="203"/>
      <c r="AG101" s="203"/>
      <c r="AH101" s="203"/>
      <c r="AI101" s="203"/>
      <c r="AJ101" s="203"/>
      <c r="AK101" s="203"/>
      <c r="AL101" s="203"/>
      <c r="AM101" s="203"/>
      <c r="AN101" s="203"/>
      <c r="AO101" s="203"/>
    </row>
    <row r="102" spans="1:41" x14ac:dyDescent="0.35">
      <c r="A102" s="203"/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/>
      <c r="O102" s="203"/>
      <c r="P102" s="203"/>
      <c r="Q102" s="203"/>
      <c r="R102" s="203"/>
      <c r="S102" s="203"/>
      <c r="T102" s="203"/>
      <c r="U102" s="203"/>
      <c r="V102" s="203"/>
      <c r="W102" s="203"/>
      <c r="X102" s="203"/>
      <c r="Y102" s="203"/>
      <c r="Z102" s="203"/>
      <c r="AA102" s="203"/>
      <c r="AB102" s="203"/>
      <c r="AC102" s="203"/>
      <c r="AD102" s="203"/>
      <c r="AE102" s="203"/>
      <c r="AF102" s="203"/>
      <c r="AG102" s="203"/>
      <c r="AH102" s="203"/>
      <c r="AI102" s="203"/>
      <c r="AJ102" s="203"/>
      <c r="AK102" s="203"/>
      <c r="AL102" s="203"/>
      <c r="AM102" s="203"/>
      <c r="AN102" s="203"/>
      <c r="AO102" s="203"/>
    </row>
    <row r="103" spans="1:41" x14ac:dyDescent="0.35">
      <c r="A103" s="203"/>
      <c r="B103" s="203"/>
      <c r="C103" s="203"/>
      <c r="D103" s="203"/>
      <c r="E103" s="203"/>
      <c r="F103" s="203"/>
      <c r="G103" s="203"/>
      <c r="H103" s="203"/>
      <c r="I103" s="203"/>
      <c r="J103" s="203"/>
      <c r="K103" s="203"/>
      <c r="L103" s="203"/>
      <c r="M103" s="203"/>
      <c r="N103" s="203"/>
      <c r="O103" s="203"/>
      <c r="P103" s="203"/>
      <c r="Q103" s="203"/>
      <c r="R103" s="203"/>
      <c r="S103" s="203"/>
      <c r="T103" s="203"/>
      <c r="U103" s="203"/>
      <c r="V103" s="203"/>
      <c r="W103" s="203"/>
      <c r="X103" s="203"/>
      <c r="Y103" s="203"/>
      <c r="Z103" s="203"/>
      <c r="AA103" s="203"/>
      <c r="AB103" s="203"/>
      <c r="AC103" s="203"/>
      <c r="AD103" s="203"/>
      <c r="AE103" s="203"/>
      <c r="AF103" s="203"/>
      <c r="AG103" s="203"/>
      <c r="AH103" s="203"/>
      <c r="AI103" s="203"/>
      <c r="AJ103" s="203"/>
      <c r="AK103" s="203"/>
      <c r="AL103" s="203"/>
      <c r="AM103" s="203"/>
      <c r="AN103" s="203"/>
      <c r="AO103" s="203"/>
    </row>
    <row r="104" spans="1:41" s="203" customFormat="1" x14ac:dyDescent="0.35"/>
    <row r="105" spans="1:41" s="203" customFormat="1" x14ac:dyDescent="0.35"/>
    <row r="106" spans="1:41" s="203" customFormat="1" x14ac:dyDescent="0.35"/>
    <row r="107" spans="1:41" s="203" customFormat="1" x14ac:dyDescent="0.35"/>
    <row r="108" spans="1:41" s="203" customFormat="1" x14ac:dyDescent="0.35"/>
    <row r="109" spans="1:41" s="203" customFormat="1" x14ac:dyDescent="0.35"/>
    <row r="110" spans="1:41" s="203" customFormat="1" x14ac:dyDescent="0.35"/>
    <row r="111" spans="1:41" s="203" customFormat="1" x14ac:dyDescent="0.35"/>
    <row r="112" spans="1:41" s="203" customFormat="1" x14ac:dyDescent="0.35"/>
    <row r="113" s="203" customFormat="1" x14ac:dyDescent="0.35"/>
    <row r="114" s="203" customFormat="1" x14ac:dyDescent="0.35"/>
    <row r="115" s="203" customFormat="1" x14ac:dyDescent="0.35"/>
    <row r="116" s="203" customFormat="1" x14ac:dyDescent="0.35"/>
    <row r="117" s="203" customFormat="1" x14ac:dyDescent="0.35"/>
    <row r="118" s="203" customFormat="1" x14ac:dyDescent="0.35"/>
    <row r="119" s="203" customFormat="1" x14ac:dyDescent="0.35"/>
    <row r="120" s="203" customFormat="1" x14ac:dyDescent="0.35"/>
    <row r="121" s="203" customFormat="1" x14ac:dyDescent="0.35"/>
    <row r="122" s="203" customFormat="1" x14ac:dyDescent="0.35"/>
    <row r="123" s="203" customFormat="1" x14ac:dyDescent="0.35"/>
    <row r="124" s="203" customFormat="1" x14ac:dyDescent="0.35"/>
    <row r="125" s="203" customFormat="1" x14ac:dyDescent="0.35"/>
    <row r="126" s="203" customFormat="1" x14ac:dyDescent="0.35"/>
    <row r="127" s="203" customFormat="1" x14ac:dyDescent="0.35"/>
    <row r="128" s="203" customFormat="1" x14ac:dyDescent="0.35"/>
    <row r="129" s="203" customFormat="1" x14ac:dyDescent="0.35"/>
    <row r="130" s="203" customFormat="1" x14ac:dyDescent="0.35"/>
    <row r="131" s="203" customFormat="1" x14ac:dyDescent="0.35"/>
    <row r="132" s="203" customFormat="1" x14ac:dyDescent="0.35"/>
    <row r="133" s="203" customFormat="1" x14ac:dyDescent="0.35"/>
    <row r="134" s="203" customFormat="1" x14ac:dyDescent="0.35"/>
    <row r="135" s="203" customFormat="1" x14ac:dyDescent="0.35"/>
    <row r="136" s="203" customFormat="1" x14ac:dyDescent="0.35"/>
    <row r="137" s="203" customFormat="1" x14ac:dyDescent="0.35"/>
    <row r="138" s="203" customFormat="1" x14ac:dyDescent="0.35"/>
    <row r="139" s="203" customFormat="1" x14ac:dyDescent="0.35"/>
    <row r="140" s="203" customFormat="1" x14ac:dyDescent="0.35"/>
    <row r="141" s="203" customFormat="1" x14ac:dyDescent="0.35"/>
    <row r="142" s="203" customFormat="1" x14ac:dyDescent="0.35"/>
    <row r="143" s="203" customFormat="1" x14ac:dyDescent="0.35"/>
    <row r="144" s="203" customFormat="1" x14ac:dyDescent="0.35"/>
    <row r="145" s="203" customFormat="1" x14ac:dyDescent="0.35"/>
    <row r="146" s="203" customFormat="1" x14ac:dyDescent="0.35"/>
    <row r="147" s="203" customFormat="1" x14ac:dyDescent="0.35"/>
    <row r="148" s="203" customFormat="1" x14ac:dyDescent="0.35"/>
    <row r="149" s="203" customFormat="1" x14ac:dyDescent="0.35"/>
    <row r="150" s="203" customFormat="1" x14ac:dyDescent="0.35"/>
    <row r="151" s="203" customFormat="1" x14ac:dyDescent="0.35"/>
    <row r="152" s="203" customFormat="1" x14ac:dyDescent="0.35"/>
    <row r="153" s="203" customFormat="1" x14ac:dyDescent="0.35"/>
    <row r="154" s="203" customFormat="1" x14ac:dyDescent="0.35"/>
    <row r="155" s="203" customFormat="1" x14ac:dyDescent="0.35"/>
    <row r="156" s="203" customFormat="1" x14ac:dyDescent="0.35"/>
    <row r="157" s="203" customFormat="1" x14ac:dyDescent="0.35"/>
    <row r="158" s="203" customFormat="1" x14ac:dyDescent="0.35"/>
    <row r="159" s="203" customFormat="1" x14ac:dyDescent="0.35"/>
    <row r="160" s="203" customFormat="1" x14ac:dyDescent="0.35"/>
    <row r="161" s="203" customFormat="1" x14ac:dyDescent="0.35"/>
    <row r="162" s="203" customFormat="1" x14ac:dyDescent="0.35"/>
    <row r="163" s="203" customFormat="1" x14ac:dyDescent="0.35"/>
    <row r="164" s="203" customFormat="1" x14ac:dyDescent="0.35"/>
    <row r="165" s="203" customFormat="1" x14ac:dyDescent="0.35"/>
    <row r="166" s="203" customFormat="1" x14ac:dyDescent="0.35"/>
    <row r="167" s="203" customFormat="1" x14ac:dyDescent="0.35"/>
    <row r="168" s="203" customFormat="1" x14ac:dyDescent="0.35"/>
    <row r="169" s="203" customFormat="1" x14ac:dyDescent="0.35"/>
    <row r="170" s="203" customFormat="1" x14ac:dyDescent="0.35"/>
    <row r="171" s="203" customFormat="1" x14ac:dyDescent="0.35"/>
    <row r="172" s="203" customFormat="1" x14ac:dyDescent="0.35"/>
    <row r="173" s="203" customFormat="1" x14ac:dyDescent="0.35"/>
    <row r="174" s="203" customFormat="1" x14ac:dyDescent="0.35"/>
    <row r="175" s="203" customFormat="1" x14ac:dyDescent="0.35"/>
    <row r="176" s="203" customFormat="1" x14ac:dyDescent="0.35"/>
    <row r="177" s="203" customFormat="1" x14ac:dyDescent="0.35"/>
    <row r="178" s="203" customFormat="1" x14ac:dyDescent="0.35"/>
    <row r="179" s="203" customFormat="1" x14ac:dyDescent="0.35"/>
    <row r="180" s="203" customFormat="1" x14ac:dyDescent="0.35"/>
    <row r="181" s="203" customFormat="1" x14ac:dyDescent="0.35"/>
    <row r="182" s="203" customFormat="1" x14ac:dyDescent="0.35"/>
    <row r="183" s="203" customFormat="1" x14ac:dyDescent="0.35"/>
    <row r="184" s="203" customFormat="1" x14ac:dyDescent="0.35"/>
    <row r="185" s="203" customFormat="1" x14ac:dyDescent="0.35"/>
    <row r="186" s="203" customFormat="1" x14ac:dyDescent="0.35"/>
    <row r="187" s="203" customFormat="1" x14ac:dyDescent="0.35"/>
    <row r="188" s="203" customFormat="1" x14ac:dyDescent="0.35"/>
    <row r="189" s="203" customFormat="1" x14ac:dyDescent="0.35"/>
    <row r="190" s="203" customFormat="1" x14ac:dyDescent="0.35"/>
    <row r="191" s="203" customFormat="1" x14ac:dyDescent="0.35"/>
    <row r="192" s="203" customFormat="1" x14ac:dyDescent="0.35"/>
    <row r="193" s="203" customFormat="1" x14ac:dyDescent="0.35"/>
    <row r="194" s="203" customFormat="1" x14ac:dyDescent="0.35"/>
    <row r="195" s="203" customFormat="1" x14ac:dyDescent="0.35"/>
    <row r="196" s="203" customFormat="1" x14ac:dyDescent="0.35"/>
    <row r="197" s="203" customFormat="1" x14ac:dyDescent="0.35"/>
    <row r="198" s="203" customFormat="1" x14ac:dyDescent="0.35"/>
    <row r="199" s="203" customFormat="1" x14ac:dyDescent="0.35"/>
    <row r="200" s="203" customFormat="1" x14ac:dyDescent="0.35"/>
    <row r="201" s="203" customFormat="1" x14ac:dyDescent="0.35"/>
    <row r="202" s="203" customFormat="1" x14ac:dyDescent="0.35"/>
    <row r="203" s="203" customFormat="1" x14ac:dyDescent="0.35"/>
    <row r="204" s="203" customFormat="1" x14ac:dyDescent="0.35"/>
    <row r="205" s="203" customFormat="1" x14ac:dyDescent="0.35"/>
    <row r="206" s="203" customFormat="1" x14ac:dyDescent="0.35"/>
    <row r="207" s="203" customFormat="1" x14ac:dyDescent="0.35"/>
    <row r="208" s="203" customFormat="1" x14ac:dyDescent="0.35"/>
    <row r="209" s="203" customFormat="1" x14ac:dyDescent="0.35"/>
    <row r="210" s="203" customFormat="1" x14ac:dyDescent="0.35"/>
    <row r="211" s="203" customFormat="1" x14ac:dyDescent="0.35"/>
    <row r="212" s="203" customFormat="1" x14ac:dyDescent="0.35"/>
    <row r="213" s="203" customFormat="1" x14ac:dyDescent="0.35"/>
    <row r="214" s="203" customFormat="1" x14ac:dyDescent="0.35"/>
    <row r="215" s="203" customFormat="1" x14ac:dyDescent="0.35"/>
    <row r="216" s="203" customFormat="1" x14ac:dyDescent="0.35"/>
    <row r="217" s="203" customFormat="1" x14ac:dyDescent="0.35"/>
  </sheetData>
  <phoneticPr fontId="6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DE7ED-66E2-4D0F-AE8C-BB5AB9910758}">
  <sheetPr>
    <tabColor rgb="FF92D050"/>
  </sheetPr>
  <dimension ref="A1:AA69"/>
  <sheetViews>
    <sheetView showGridLines="0" zoomScale="85" zoomScaleNormal="85" workbookViewId="0">
      <pane xSplit="1" topLeftCell="B1" activePane="topRight" state="frozen"/>
      <selection pane="topRight" activeCell="V27" sqref="V27"/>
    </sheetView>
  </sheetViews>
  <sheetFormatPr defaultColWidth="9.1796875" defaultRowHeight="14.5" x14ac:dyDescent="0.35"/>
  <cols>
    <col min="1" max="1" width="33.26953125" style="156" customWidth="1"/>
    <col min="2" max="16384" width="9.1796875" style="156"/>
  </cols>
  <sheetData>
    <row r="1" spans="1:27" s="186" customFormat="1" ht="30" customHeight="1" x14ac:dyDescent="0.35"/>
    <row r="2" spans="1:27" x14ac:dyDescent="0.35">
      <c r="A2" s="165" t="s">
        <v>288</v>
      </c>
    </row>
    <row r="3" spans="1:27" x14ac:dyDescent="0.35">
      <c r="A3" s="201" t="s">
        <v>382</v>
      </c>
    </row>
    <row r="4" spans="1:27" x14ac:dyDescent="0.35">
      <c r="A4" s="164" t="s">
        <v>263</v>
      </c>
      <c r="B4" s="167" t="s">
        <v>249</v>
      </c>
      <c r="C4" s="167" t="s">
        <v>250</v>
      </c>
      <c r="D4" s="167" t="s">
        <v>251</v>
      </c>
      <c r="E4" s="167" t="s">
        <v>252</v>
      </c>
      <c r="F4" s="167" t="s">
        <v>253</v>
      </c>
      <c r="G4" s="167" t="s">
        <v>254</v>
      </c>
      <c r="H4" s="167" t="s">
        <v>255</v>
      </c>
      <c r="I4" s="167" t="s">
        <v>256</v>
      </c>
      <c r="J4" s="167" t="s">
        <v>257</v>
      </c>
      <c r="K4" s="167" t="s">
        <v>258</v>
      </c>
      <c r="L4" s="167" t="s">
        <v>259</v>
      </c>
      <c r="M4" s="167" t="s">
        <v>318</v>
      </c>
      <c r="N4" s="167" t="s">
        <v>319</v>
      </c>
      <c r="O4" s="167" t="s">
        <v>384</v>
      </c>
      <c r="P4" s="167" t="s">
        <v>389</v>
      </c>
      <c r="Q4" s="167" t="s">
        <v>392</v>
      </c>
      <c r="R4" s="167" t="s">
        <v>403</v>
      </c>
      <c r="S4" s="167" t="s">
        <v>407</v>
      </c>
      <c r="T4" s="167" t="s">
        <v>411</v>
      </c>
      <c r="U4" s="167" t="s">
        <v>440</v>
      </c>
      <c r="V4" s="167" t="s">
        <v>452</v>
      </c>
      <c r="W4" s="167" t="s">
        <v>464</v>
      </c>
      <c r="X4" s="167" t="s">
        <v>473</v>
      </c>
      <c r="Y4" s="167" t="s">
        <v>475</v>
      </c>
      <c r="Z4" s="167" t="s">
        <v>507</v>
      </c>
      <c r="AA4" s="167" t="s">
        <v>524</v>
      </c>
    </row>
    <row r="5" spans="1:27" x14ac:dyDescent="0.35">
      <c r="A5" s="163" t="s">
        <v>286</v>
      </c>
      <c r="B5" s="166">
        <f>'Dados gerais'!B7/1000</f>
        <v>77.334999999999994</v>
      </c>
      <c r="C5" s="166">
        <f>'Dados gerais'!C7/1000</f>
        <v>55.58</v>
      </c>
      <c r="D5" s="166">
        <f>'Dados gerais'!D7/1000</f>
        <v>61.613999999999997</v>
      </c>
      <c r="E5" s="166">
        <f>'Dados gerais'!E7/1000</f>
        <v>74.274000000000001</v>
      </c>
      <c r="F5" s="166">
        <f>'Dados gerais'!F7/1000</f>
        <v>85.35</v>
      </c>
      <c r="G5" s="166">
        <f>'Dados gerais'!G7/1000</f>
        <v>121.173</v>
      </c>
      <c r="H5" s="166">
        <f>'Dados gerais'!H7/1000</f>
        <v>135.43899999999999</v>
      </c>
      <c r="I5" s="166">
        <f>'Dados gerais'!I7/1000</f>
        <v>130.82352856</v>
      </c>
      <c r="J5" s="166">
        <f>'Dados gerais'!J7/1000</f>
        <v>141.29</v>
      </c>
      <c r="K5" s="166">
        <f>'Dados gerais'!K7/1000</f>
        <v>200.75700000000001</v>
      </c>
      <c r="L5" s="166">
        <f>'Dados gerais'!L7/1000</f>
        <v>276.423</v>
      </c>
      <c r="M5" s="166">
        <f>'Dados gerais'!M7/1000</f>
        <v>266.63200000000001</v>
      </c>
      <c r="N5" s="166">
        <f>'Dados gerais'!N7/1000</f>
        <v>261.54306170000001</v>
      </c>
      <c r="O5" s="166">
        <f>'Dados gerais'!O7/1000</f>
        <v>274.604512</v>
      </c>
      <c r="P5" s="166">
        <f>'Dados gerais'!P7/1000</f>
        <v>293.42050300000005</v>
      </c>
      <c r="Q5" s="166">
        <f>'Dados gerais'!Q7/1000</f>
        <v>310.04004900000001</v>
      </c>
      <c r="R5" s="166">
        <f>'Dados gerais'!R7/1000</f>
        <v>238.274</v>
      </c>
      <c r="S5" s="166">
        <f>'Dados gerais'!S7/1000</f>
        <v>227.09200000000001</v>
      </c>
      <c r="T5" s="166">
        <f>'Dados gerais'!T7/1000</f>
        <v>432.755</v>
      </c>
      <c r="U5" s="166">
        <f>'Dados gerais'!U7/1000</f>
        <v>458.05010617499477</v>
      </c>
      <c r="V5" s="166">
        <f>'Dados gerais'!V7/1000</f>
        <v>403.20242479899059</v>
      </c>
      <c r="W5" s="166">
        <f>'Dados gerais'!W7/1000</f>
        <v>394.43318699999998</v>
      </c>
      <c r="X5" s="166">
        <f>'Dados gerais'!X7/1000</f>
        <v>394.27600000000001</v>
      </c>
      <c r="Y5" s="166">
        <f>'Dados gerais'!Y7/1000</f>
        <v>526.09199999999998</v>
      </c>
      <c r="Z5" s="166">
        <f>'Dados gerais'!Z7/1000</f>
        <v>471.22321457000027</v>
      </c>
      <c r="AA5" s="166">
        <f>'Dados gerais'!AA7/1000</f>
        <v>512.59127799999999</v>
      </c>
    </row>
    <row r="6" spans="1:27" x14ac:dyDescent="0.35">
      <c r="A6" s="163" t="s">
        <v>325</v>
      </c>
      <c r="B6" s="166">
        <f>'Dados gerais'!B8/1000</f>
        <v>77.334999999999994</v>
      </c>
      <c r="C6" s="166">
        <f>'Dados gerais'!C8/1000</f>
        <v>55.58</v>
      </c>
      <c r="D6" s="166">
        <f>'Dados gerais'!D8/1000</f>
        <v>61.613999999999997</v>
      </c>
      <c r="E6" s="166">
        <f>'Dados gerais'!E8/1000</f>
        <v>74.274000000000001</v>
      </c>
      <c r="F6" s="166">
        <f>'Dados gerais'!F8/1000</f>
        <v>85.35</v>
      </c>
      <c r="G6" s="166">
        <f>'Dados gerais'!G8/1000</f>
        <v>121.173</v>
      </c>
      <c r="H6" s="166">
        <f>'Dados gerais'!H8/1000</f>
        <v>135.43899999999999</v>
      </c>
      <c r="I6" s="166">
        <f>'Dados gerais'!I8/1000</f>
        <v>130.82352856</v>
      </c>
      <c r="J6" s="166">
        <f>'Dados gerais'!J8/1000</f>
        <v>141.29</v>
      </c>
      <c r="K6" s="166">
        <f>'Dados gerais'!K8/1000</f>
        <v>186.08153062</v>
      </c>
      <c r="L6" s="166">
        <f>'Dados gerais'!L8/1000</f>
        <v>207.28144968000001</v>
      </c>
      <c r="M6" s="166">
        <f>'Dados gerais'!M8/1000</f>
        <v>238.01244088000001</v>
      </c>
      <c r="N6" s="166">
        <f>'Dados gerais'!N8/1000</f>
        <v>261.54306170000001</v>
      </c>
      <c r="O6" s="166">
        <f>'Dados gerais'!O8/1000</f>
        <v>274.604512</v>
      </c>
      <c r="P6" s="166">
        <f>'Dados gerais'!P8/1000</f>
        <v>293.42050300000005</v>
      </c>
      <c r="Q6" s="166">
        <f>'Dados gerais'!Q8/1000</f>
        <v>310.04004900000001</v>
      </c>
      <c r="R6" s="166">
        <f>'Dados gerais'!R8/1000</f>
        <v>238.274</v>
      </c>
      <c r="S6" s="166">
        <f>'Dados gerais'!S8/1000</f>
        <v>227.09200000000001</v>
      </c>
      <c r="T6" s="166">
        <f>'Dados gerais'!T8/1000</f>
        <v>432.755</v>
      </c>
      <c r="U6" s="166">
        <f>'Dados gerais'!U8/1000</f>
        <v>458.05010617499477</v>
      </c>
      <c r="V6" s="166">
        <f>'Dados gerais'!V8/1000</f>
        <v>403.20242479899059</v>
      </c>
      <c r="W6" s="166">
        <f>'Dados gerais'!W8/1000</f>
        <v>394.43318699999998</v>
      </c>
      <c r="X6" s="166">
        <f>'Dados gerais'!X8/1000</f>
        <v>394.27600000000001</v>
      </c>
      <c r="Y6" s="166">
        <f>'Dados gerais'!Y8/1000</f>
        <v>526.09199999999998</v>
      </c>
      <c r="Z6" s="166">
        <f>'Dados gerais'!Z8/1000</f>
        <v>471.22321457000027</v>
      </c>
      <c r="AA6" s="166">
        <f>'Dados gerais'!AA8/1000</f>
        <v>512.59127799999999</v>
      </c>
    </row>
    <row r="8" spans="1:27" x14ac:dyDescent="0.35">
      <c r="A8" s="164" t="s">
        <v>289</v>
      </c>
      <c r="B8" s="167" t="str">
        <f t="shared" ref="B8:O8" si="0">B4</f>
        <v>1T20</v>
      </c>
      <c r="C8" s="167" t="str">
        <f t="shared" si="0"/>
        <v>2T20</v>
      </c>
      <c r="D8" s="167" t="str">
        <f t="shared" si="0"/>
        <v>3T20</v>
      </c>
      <c r="E8" s="167" t="str">
        <f t="shared" si="0"/>
        <v>4T20</v>
      </c>
      <c r="F8" s="167" t="str">
        <f t="shared" si="0"/>
        <v>1T21</v>
      </c>
      <c r="G8" s="167" t="str">
        <f t="shared" si="0"/>
        <v>2T21</v>
      </c>
      <c r="H8" s="167" t="str">
        <f t="shared" si="0"/>
        <v>3T21</v>
      </c>
      <c r="I8" s="167" t="str">
        <f t="shared" si="0"/>
        <v>4T21</v>
      </c>
      <c r="J8" s="167" t="str">
        <f t="shared" si="0"/>
        <v>1T22</v>
      </c>
      <c r="K8" s="167" t="str">
        <f t="shared" si="0"/>
        <v>2T22</v>
      </c>
      <c r="L8" s="167" t="str">
        <f t="shared" si="0"/>
        <v>3T22</v>
      </c>
      <c r="M8" s="167" t="str">
        <f t="shared" si="0"/>
        <v>4T22</v>
      </c>
      <c r="N8" s="167" t="str">
        <f t="shared" si="0"/>
        <v>1T23</v>
      </c>
      <c r="O8" s="167" t="str">
        <f t="shared" si="0"/>
        <v>2T23</v>
      </c>
      <c r="P8" s="167" t="str">
        <f t="shared" ref="P8:U8" si="1">P4</f>
        <v>3T23</v>
      </c>
      <c r="Q8" s="167" t="str">
        <f t="shared" si="1"/>
        <v>4T23</v>
      </c>
      <c r="R8" s="167" t="str">
        <f t="shared" si="1"/>
        <v>1T24</v>
      </c>
      <c r="S8" s="167" t="str">
        <f t="shared" si="1"/>
        <v>2T24</v>
      </c>
      <c r="T8" s="167" t="str">
        <f t="shared" si="1"/>
        <v>3T24</v>
      </c>
      <c r="U8" s="167" t="str">
        <f t="shared" si="1"/>
        <v>4T24</v>
      </c>
      <c r="V8" s="167" t="str">
        <f t="shared" ref="V8:W8" si="2">V4</f>
        <v>1T25</v>
      </c>
      <c r="W8" s="167" t="str">
        <f t="shared" si="2"/>
        <v>2T25</v>
      </c>
      <c r="X8" s="167" t="str">
        <f t="shared" ref="X8:Y8" si="3">X4</f>
        <v>3T25</v>
      </c>
      <c r="Y8" s="167" t="str">
        <f t="shared" si="3"/>
        <v>4T25</v>
      </c>
      <c r="Z8" s="167" t="str">
        <f t="shared" ref="Z8:AA8" si="4">Z4</f>
        <v>1T26</v>
      </c>
      <c r="AA8" s="167" t="str">
        <f t="shared" si="4"/>
        <v>2T26</v>
      </c>
    </row>
    <row r="9" spans="1:27" x14ac:dyDescent="0.35">
      <c r="A9" s="163" t="s">
        <v>260</v>
      </c>
      <c r="B9" s="166">
        <f>'Dados gerais'!B9/1000</f>
        <v>71.122</v>
      </c>
      <c r="C9" s="166">
        <f>'Dados gerais'!C9/1000</f>
        <v>48.186</v>
      </c>
      <c r="D9" s="166">
        <f>'Dados gerais'!D9/1000</f>
        <v>54.826999999999998</v>
      </c>
      <c r="E9" s="166">
        <f>'Dados gerais'!E9/1000</f>
        <v>68.078000000000003</v>
      </c>
      <c r="F9" s="166">
        <f>'Dados gerais'!F9/1000</f>
        <v>78.441000000000003</v>
      </c>
      <c r="G9" s="166">
        <f>'Dados gerais'!G9/1000</f>
        <v>111.524</v>
      </c>
      <c r="H9" s="166">
        <f>'Dados gerais'!H9/1000</f>
        <v>123.583</v>
      </c>
      <c r="I9" s="166">
        <f>'Dados gerais'!I9/1000</f>
        <v>119.593</v>
      </c>
      <c r="J9" s="166">
        <f>'Dados gerais'!J9/1000</f>
        <v>129.28800000000001</v>
      </c>
      <c r="K9" s="166">
        <f>'Dados gerais'!K9/1000</f>
        <v>183.94200000000001</v>
      </c>
      <c r="L9" s="166">
        <f>'Dados gerais'!L9/1000</f>
        <v>254.43899999999999</v>
      </c>
      <c r="M9" s="166">
        <f>'Dados gerais'!M9/1000</f>
        <v>245.82499999999999</v>
      </c>
      <c r="N9" s="166">
        <f>'Dados gerais'!N9/1000</f>
        <v>241.262</v>
      </c>
      <c r="O9" s="166">
        <f>'Dados gerais'!O9/1000</f>
        <v>253.935</v>
      </c>
      <c r="P9" s="166">
        <f>'Dados gerais'!P9/1000</f>
        <v>268.95699999999999</v>
      </c>
      <c r="Q9" s="166">
        <f>'Dados gerais'!Q9/1000</f>
        <v>282.25700000000001</v>
      </c>
      <c r="R9" s="166">
        <f>'Dados gerais'!R9/1000</f>
        <v>216.43100000000001</v>
      </c>
      <c r="S9" s="166">
        <f>'Dados gerais'!S9/1000</f>
        <v>205.26</v>
      </c>
      <c r="T9" s="166">
        <f>'Dados gerais'!T9/1000</f>
        <v>392.67599999999999</v>
      </c>
      <c r="U9" s="166">
        <f>'Dados gerais'!U9/1000</f>
        <v>419.69299999999998</v>
      </c>
      <c r="V9" s="166">
        <f>'Dados gerais'!V9/1000</f>
        <v>368.84500000000003</v>
      </c>
      <c r="W9" s="166">
        <f>'Dados gerais'!W9/1000</f>
        <v>361.89400000000001</v>
      </c>
      <c r="X9" s="166">
        <f>'Dados gerais'!X9/1000</f>
        <v>359.13400000000001</v>
      </c>
      <c r="Y9" s="166">
        <f>'Dados gerais'!Y9/1000</f>
        <v>473.75</v>
      </c>
      <c r="Z9" s="166">
        <f>'Dados gerais'!Z9/1000</f>
        <v>421.197</v>
      </c>
      <c r="AA9" s="166">
        <f>'Dados gerais'!AA9/1000</f>
        <v>462.61799999999999</v>
      </c>
    </row>
    <row r="10" spans="1:27" x14ac:dyDescent="0.35">
      <c r="A10" s="163" t="s">
        <v>280</v>
      </c>
      <c r="B10" s="166">
        <f>'Dados gerais'!B10/1000</f>
        <v>71.122</v>
      </c>
      <c r="C10" s="166">
        <f>'Dados gerais'!C10/1000</f>
        <v>48.186</v>
      </c>
      <c r="D10" s="166">
        <f>'Dados gerais'!D10/1000</f>
        <v>54.826999999999998</v>
      </c>
      <c r="E10" s="166">
        <f>'Dados gerais'!E10/1000</f>
        <v>68.078000000000003</v>
      </c>
      <c r="F10" s="166">
        <f>'Dados gerais'!F10/1000</f>
        <v>78.441000000000003</v>
      </c>
      <c r="G10" s="166">
        <f>'Dados gerais'!G10/1000</f>
        <v>111.524</v>
      </c>
      <c r="H10" s="166">
        <f>'Dados gerais'!H10/1000</f>
        <v>123.583</v>
      </c>
      <c r="I10" s="166">
        <f>'Dados gerais'!I10/1000</f>
        <v>119.593</v>
      </c>
      <c r="J10" s="166">
        <f>'Dados gerais'!J10/1000</f>
        <v>129.28800000000001</v>
      </c>
      <c r="K10" s="166">
        <f>'Dados gerais'!K10/1000</f>
        <v>170.53625371999999</v>
      </c>
      <c r="L10" s="166">
        <f>'Dados gerais'!L10/1000</f>
        <v>191.27818278000001</v>
      </c>
      <c r="M10" s="166">
        <f>'Dados gerais'!M10/1000</f>
        <v>219.68098574931119</v>
      </c>
      <c r="N10" s="166">
        <f>'Dados gerais'!N10/1000</f>
        <v>241.262</v>
      </c>
      <c r="O10" s="166">
        <f>'Dados gerais'!O10/1000</f>
        <v>253.935</v>
      </c>
      <c r="P10" s="166">
        <f>'Dados gerais'!P10/1000</f>
        <v>268.95699999999999</v>
      </c>
      <c r="Q10" s="166">
        <f>'Dados gerais'!Q10/1000</f>
        <v>282.25700000000001</v>
      </c>
      <c r="R10" s="166">
        <f>'Dados gerais'!R10/1000</f>
        <v>216.43100000000001</v>
      </c>
      <c r="S10" s="166">
        <f>'Dados gerais'!S10/1000</f>
        <v>205.26</v>
      </c>
      <c r="T10" s="166">
        <f>'Dados gerais'!T10/1000</f>
        <v>392.67599999999999</v>
      </c>
      <c r="U10" s="166">
        <f>'Dados gerais'!U10/1000</f>
        <v>419.69299999999998</v>
      </c>
      <c r="V10" s="166">
        <f>'Dados gerais'!V10/1000</f>
        <v>368.84500000000003</v>
      </c>
      <c r="W10" s="166">
        <f>'Dados gerais'!W10/1000</f>
        <v>361.89400000000001</v>
      </c>
      <c r="X10" s="166">
        <f>'Dados gerais'!X10/1000</f>
        <v>359.13400000000001</v>
      </c>
      <c r="Y10" s="166">
        <f>'Dados gerais'!Y10/1000</f>
        <v>473.75</v>
      </c>
      <c r="Z10" s="166">
        <f>'Dados gerais'!Z10/1000</f>
        <v>421.197</v>
      </c>
      <c r="AA10" s="166">
        <f>'Dados gerais'!AA10/1000</f>
        <v>462.61799999999999</v>
      </c>
    </row>
    <row r="12" spans="1:27" x14ac:dyDescent="0.35">
      <c r="A12" s="164" t="s">
        <v>326</v>
      </c>
      <c r="B12" s="167" t="str">
        <f t="shared" ref="B12:O12" si="5">B8</f>
        <v>1T20</v>
      </c>
      <c r="C12" s="167" t="str">
        <f t="shared" si="5"/>
        <v>2T20</v>
      </c>
      <c r="D12" s="167" t="str">
        <f t="shared" si="5"/>
        <v>3T20</v>
      </c>
      <c r="E12" s="167" t="str">
        <f t="shared" si="5"/>
        <v>4T20</v>
      </c>
      <c r="F12" s="167" t="str">
        <f t="shared" si="5"/>
        <v>1T21</v>
      </c>
      <c r="G12" s="167" t="str">
        <f t="shared" si="5"/>
        <v>2T21</v>
      </c>
      <c r="H12" s="167" t="str">
        <f t="shared" si="5"/>
        <v>3T21</v>
      </c>
      <c r="I12" s="167" t="str">
        <f t="shared" si="5"/>
        <v>4T21</v>
      </c>
      <c r="J12" s="167" t="str">
        <f t="shared" si="5"/>
        <v>1T22</v>
      </c>
      <c r="K12" s="167" t="str">
        <f t="shared" si="5"/>
        <v>2T22</v>
      </c>
      <c r="L12" s="167" t="str">
        <f t="shared" si="5"/>
        <v>3T22</v>
      </c>
      <c r="M12" s="167" t="str">
        <f t="shared" si="5"/>
        <v>4T22</v>
      </c>
      <c r="N12" s="167" t="str">
        <f t="shared" si="5"/>
        <v>1T23</v>
      </c>
      <c r="O12" s="167" t="str">
        <f t="shared" si="5"/>
        <v>2T23</v>
      </c>
      <c r="P12" s="167" t="str">
        <f t="shared" ref="P12:U12" si="6">P8</f>
        <v>3T23</v>
      </c>
      <c r="Q12" s="167" t="str">
        <f t="shared" si="6"/>
        <v>4T23</v>
      </c>
      <c r="R12" s="167" t="str">
        <f t="shared" si="6"/>
        <v>1T24</v>
      </c>
      <c r="S12" s="167" t="str">
        <f t="shared" si="6"/>
        <v>2T24</v>
      </c>
      <c r="T12" s="167" t="str">
        <f t="shared" si="6"/>
        <v>3T24</v>
      </c>
      <c r="U12" s="167" t="str">
        <f t="shared" si="6"/>
        <v>4T24</v>
      </c>
      <c r="V12" s="167" t="str">
        <f t="shared" ref="V12:W12" si="7">V8</f>
        <v>1T25</v>
      </c>
      <c r="W12" s="167" t="str">
        <f t="shared" si="7"/>
        <v>2T25</v>
      </c>
      <c r="X12" s="167" t="str">
        <f t="shared" ref="X12:Y12" si="8">X8</f>
        <v>3T25</v>
      </c>
      <c r="Y12" s="167" t="str">
        <f t="shared" si="8"/>
        <v>4T25</v>
      </c>
      <c r="Z12" s="167" t="str">
        <f t="shared" ref="Z12:AA12" si="9">Z8</f>
        <v>1T26</v>
      </c>
      <c r="AA12" s="167" t="str">
        <f t="shared" si="9"/>
        <v>2T26</v>
      </c>
    </row>
    <row r="13" spans="1:27" x14ac:dyDescent="0.35">
      <c r="A13" s="163" t="s">
        <v>261</v>
      </c>
      <c r="B13" s="166">
        <f>'Dados gerais'!B13/1000</f>
        <v>9.4149999999999991</v>
      </c>
      <c r="C13" s="166">
        <f>'Dados gerais'!C13/1000</f>
        <v>-4.2489999999999997</v>
      </c>
      <c r="D13" s="166">
        <f>'Dados gerais'!D13/1000</f>
        <v>9.4469999999999992</v>
      </c>
      <c r="E13" s="166">
        <f>'Dados gerais'!E13/1000</f>
        <v>12.536</v>
      </c>
      <c r="F13" s="166">
        <f>'Dados gerais'!F13/1000</f>
        <v>11.411</v>
      </c>
      <c r="G13" s="166">
        <f>'Dados gerais'!G13/1000</f>
        <v>21.47</v>
      </c>
      <c r="H13" s="166">
        <f>'Dados gerais'!H13/1000</f>
        <v>21.161999999999999</v>
      </c>
      <c r="I13" s="166">
        <f>'Dados gerais'!I13/1000</f>
        <v>16.411000000000001</v>
      </c>
      <c r="J13" s="166">
        <f>'Dados gerais'!J13/1000</f>
        <v>25.523</v>
      </c>
      <c r="K13" s="166">
        <f>'Dados gerais'!K13/1000</f>
        <v>39.405999999999999</v>
      </c>
      <c r="L13" s="166">
        <f>'Dados gerais'!L13/1000</f>
        <v>78.070999999999998</v>
      </c>
      <c r="M13" s="166">
        <f>'Dados gerais'!M13/1000</f>
        <v>55.582000000000001</v>
      </c>
      <c r="N13" s="166">
        <f>'Dados gerais'!N13/1000</f>
        <v>49.591000000000001</v>
      </c>
      <c r="O13" s="166">
        <f>'Dados gerais'!O13/1000</f>
        <v>54.853999999999999</v>
      </c>
      <c r="P13" s="166">
        <f>'Dados gerais'!P13/1000</f>
        <v>51.512</v>
      </c>
      <c r="Q13" s="166">
        <f>'Dados gerais'!Q13/1000</f>
        <v>59.613999999999997</v>
      </c>
      <c r="R13" s="166">
        <f>'Dados gerais'!R13/1000</f>
        <v>43.515000000000001</v>
      </c>
      <c r="S13" s="166">
        <f>'Dados gerais'!S13/1000</f>
        <v>38.988999999999997</v>
      </c>
      <c r="T13" s="166">
        <f>'Dados gerais'!T13/1000</f>
        <v>88.850999999999999</v>
      </c>
      <c r="U13" s="166">
        <f>'Dados gerais'!U13/1000</f>
        <v>102.24</v>
      </c>
      <c r="V13" s="166">
        <f>'Dados gerais'!V13/1000</f>
        <v>73.84</v>
      </c>
      <c r="W13" s="166">
        <f>'Dados gerais'!W13/1000</f>
        <v>71.802999999999997</v>
      </c>
      <c r="X13" s="166">
        <f>'Dados gerais'!X13/1000</f>
        <v>74.069000000000003</v>
      </c>
      <c r="Y13" s="166">
        <f>'Dados gerais'!Y13/1000</f>
        <v>90.635999999999996</v>
      </c>
      <c r="Z13" s="166">
        <f>'Dados gerais'!Z13/1000</f>
        <v>64.021000000000001</v>
      </c>
      <c r="AA13" s="166">
        <f>'Dados gerais'!AA13/1000</f>
        <v>87.447000000000003</v>
      </c>
    </row>
    <row r="14" spans="1:27" x14ac:dyDescent="0.35">
      <c r="A14" s="163" t="s">
        <v>282</v>
      </c>
      <c r="B14" s="166">
        <f>'Dados gerais'!B14/1000</f>
        <v>9.4149999999999991</v>
      </c>
      <c r="C14" s="166">
        <f>'Dados gerais'!C14/1000</f>
        <v>-4.2489999999999997</v>
      </c>
      <c r="D14" s="166">
        <f>'Dados gerais'!D14/1000</f>
        <v>9.4469999999999992</v>
      </c>
      <c r="E14" s="166">
        <f>'Dados gerais'!E14/1000</f>
        <v>12.536</v>
      </c>
      <c r="F14" s="166">
        <f>'Dados gerais'!F14/1000</f>
        <v>11.411</v>
      </c>
      <c r="G14" s="166">
        <f>'Dados gerais'!G14/1000</f>
        <v>21.47</v>
      </c>
      <c r="H14" s="166">
        <f>'Dados gerais'!H14/1000</f>
        <v>21.161999999999999</v>
      </c>
      <c r="I14" s="166">
        <f>'Dados gerais'!I14/1000</f>
        <v>16.411000000000001</v>
      </c>
      <c r="J14" s="166">
        <f>'Dados gerais'!J14/1000</f>
        <v>25.523</v>
      </c>
      <c r="K14" s="166">
        <f>'Dados gerais'!K14/1000</f>
        <v>33.4637072935624</v>
      </c>
      <c r="L14" s="166">
        <f>'Dados gerais'!L14/1000</f>
        <v>45.806971386851032</v>
      </c>
      <c r="M14" s="166">
        <f>'Dados gerais'!M14/1000</f>
        <v>48.267196048268609</v>
      </c>
      <c r="N14" s="166">
        <f>'Dados gerais'!N14/1000</f>
        <v>49.591000000000001</v>
      </c>
      <c r="O14" s="166">
        <f>'Dados gerais'!O14/1000</f>
        <v>54.853999999999999</v>
      </c>
      <c r="P14" s="166">
        <f>'Dados gerais'!P14/1000</f>
        <v>51.512</v>
      </c>
      <c r="Q14" s="166">
        <f>'Dados gerais'!Q14/1000</f>
        <v>59.613999999999997</v>
      </c>
      <c r="R14" s="166">
        <f>'Dados gerais'!R14/1000</f>
        <v>43.515000000000001</v>
      </c>
      <c r="S14" s="166">
        <f>'Dados gerais'!S14/1000</f>
        <v>38.988999999999997</v>
      </c>
      <c r="T14" s="166">
        <f>'Dados gerais'!T14/1000</f>
        <v>88.850999999999999</v>
      </c>
      <c r="U14" s="166">
        <f>'Dados gerais'!U14/1000</f>
        <v>102.24</v>
      </c>
      <c r="V14" s="166">
        <f>'Dados gerais'!V14/1000</f>
        <v>73.84</v>
      </c>
      <c r="W14" s="166">
        <f>'Dados gerais'!W14/1000</f>
        <v>71.802999999999997</v>
      </c>
      <c r="X14" s="166">
        <f>'Dados gerais'!X14/1000</f>
        <v>74.069000000000003</v>
      </c>
      <c r="Y14" s="166">
        <f>'Dados gerais'!Y14/1000</f>
        <v>90.635999999999996</v>
      </c>
      <c r="Z14" s="166">
        <f>'Dados gerais'!Z14/1000</f>
        <v>64.021000000000001</v>
      </c>
      <c r="AA14" s="166">
        <f>'Dados gerais'!AA14/1000</f>
        <v>87.447000000000003</v>
      </c>
    </row>
    <row r="15" spans="1:27" x14ac:dyDescent="0.35">
      <c r="A15" s="163" t="s">
        <v>290</v>
      </c>
      <c r="B15" s="179">
        <f t="shared" ref="B15:N16" si="10">B13/B9</f>
        <v>0.13237816709316386</v>
      </c>
      <c r="C15" s="179">
        <f t="shared" si="10"/>
        <v>-8.8179139169053247E-2</v>
      </c>
      <c r="D15" s="179">
        <f t="shared" si="10"/>
        <v>0.17230561584620716</v>
      </c>
      <c r="E15" s="179">
        <f t="shared" si="10"/>
        <v>0.18414171979200328</v>
      </c>
      <c r="F15" s="179">
        <f t="shared" si="10"/>
        <v>0.14547239326372688</v>
      </c>
      <c r="G15" s="179">
        <f t="shared" si="10"/>
        <v>0.19251461568810299</v>
      </c>
      <c r="H15" s="179">
        <f t="shared" si="10"/>
        <v>0.1712371442674154</v>
      </c>
      <c r="I15" s="179">
        <f t="shared" si="10"/>
        <v>0.13722375055396219</v>
      </c>
      <c r="J15" s="179">
        <f t="shared" si="10"/>
        <v>0.19741197945671676</v>
      </c>
      <c r="K15" s="179">
        <f t="shared" si="10"/>
        <v>0.21423057268051884</v>
      </c>
      <c r="L15" s="179">
        <f t="shared" si="10"/>
        <v>0.30683582312459962</v>
      </c>
      <c r="M15" s="179">
        <f t="shared" si="10"/>
        <v>0.22610393572663481</v>
      </c>
      <c r="N15" s="179">
        <f t="shared" si="10"/>
        <v>0.20554832505740647</v>
      </c>
      <c r="O15" s="179">
        <f t="shared" ref="O15:U16" si="11">O13/O9</f>
        <v>0.21601590958316105</v>
      </c>
      <c r="P15" s="179">
        <f t="shared" si="11"/>
        <v>0.19152503931855278</v>
      </c>
      <c r="Q15" s="179">
        <f t="shared" si="11"/>
        <v>0.21120468225765879</v>
      </c>
      <c r="R15" s="179">
        <f t="shared" si="11"/>
        <v>0.20105714985376402</v>
      </c>
      <c r="S15" s="179">
        <f t="shared" si="11"/>
        <v>0.18994933255383414</v>
      </c>
      <c r="T15" s="179">
        <f t="shared" si="11"/>
        <v>0.22627051309476515</v>
      </c>
      <c r="U15" s="179">
        <f t="shared" si="11"/>
        <v>0.24360663627937565</v>
      </c>
      <c r="V15" s="179">
        <f t="shared" ref="V15:W15" si="12">V13/V9</f>
        <v>0.20019249278152068</v>
      </c>
      <c r="W15" s="179">
        <f t="shared" si="12"/>
        <v>0.19840892637070523</v>
      </c>
      <c r="X15" s="179">
        <f t="shared" ref="X15:Y15" si="13">X13/X9</f>
        <v>0.20624335206357516</v>
      </c>
      <c r="Y15" s="179">
        <f t="shared" si="13"/>
        <v>0.19131609498680738</v>
      </c>
      <c r="Z15" s="179">
        <f t="shared" ref="Z15:AA15" si="14">Z13/Z9</f>
        <v>0.15199775876846228</v>
      </c>
      <c r="AA15" s="179">
        <f t="shared" si="14"/>
        <v>0.18902636732682257</v>
      </c>
    </row>
    <row r="16" spans="1:27" x14ac:dyDescent="0.35">
      <c r="A16" s="163" t="s">
        <v>291</v>
      </c>
      <c r="B16" s="179">
        <f t="shared" si="10"/>
        <v>0.13237816709316386</v>
      </c>
      <c r="C16" s="179">
        <f t="shared" si="10"/>
        <v>-8.8179139169053247E-2</v>
      </c>
      <c r="D16" s="179">
        <f t="shared" si="10"/>
        <v>0.17230561584620716</v>
      </c>
      <c r="E16" s="179">
        <f t="shared" si="10"/>
        <v>0.18414171979200328</v>
      </c>
      <c r="F16" s="179">
        <f t="shared" si="10"/>
        <v>0.14547239326372688</v>
      </c>
      <c r="G16" s="179">
        <f t="shared" si="10"/>
        <v>0.19251461568810299</v>
      </c>
      <c r="H16" s="179">
        <f t="shared" si="10"/>
        <v>0.1712371442674154</v>
      </c>
      <c r="I16" s="179">
        <f t="shared" si="10"/>
        <v>0.13722375055396219</v>
      </c>
      <c r="J16" s="179">
        <f t="shared" si="10"/>
        <v>0.19741197945671676</v>
      </c>
      <c r="K16" s="179">
        <f t="shared" si="10"/>
        <v>0.19622635400743457</v>
      </c>
      <c r="L16" s="179">
        <f t="shared" si="10"/>
        <v>0.2394782861333237</v>
      </c>
      <c r="M16" s="179">
        <f t="shared" si="10"/>
        <v>0.21971494657871157</v>
      </c>
      <c r="N16" s="179">
        <f t="shared" si="10"/>
        <v>0.20554832505740647</v>
      </c>
      <c r="O16" s="179">
        <f t="shared" si="11"/>
        <v>0.21601590958316105</v>
      </c>
      <c r="P16" s="179">
        <f t="shared" si="11"/>
        <v>0.19152503931855278</v>
      </c>
      <c r="Q16" s="179">
        <f t="shared" si="11"/>
        <v>0.21120468225765879</v>
      </c>
      <c r="R16" s="179">
        <f t="shared" si="11"/>
        <v>0.20105714985376402</v>
      </c>
      <c r="S16" s="179">
        <f t="shared" si="11"/>
        <v>0.18994933255383414</v>
      </c>
      <c r="T16" s="179">
        <f t="shared" si="11"/>
        <v>0.22627051309476515</v>
      </c>
      <c r="U16" s="179">
        <f t="shared" si="11"/>
        <v>0.24360663627937565</v>
      </c>
      <c r="V16" s="179">
        <f t="shared" ref="V16:W16" si="15">V14/V10</f>
        <v>0.20019249278152068</v>
      </c>
      <c r="W16" s="179">
        <f t="shared" si="15"/>
        <v>0.19840892637070523</v>
      </c>
      <c r="X16" s="179">
        <f t="shared" ref="X16:Y16" si="16">X14/X10</f>
        <v>0.20624335206357516</v>
      </c>
      <c r="Y16" s="179">
        <f t="shared" si="16"/>
        <v>0.19131609498680738</v>
      </c>
      <c r="Z16" s="179">
        <f t="shared" ref="Z16:AA16" si="17">Z14/Z10</f>
        <v>0.15199775876846228</v>
      </c>
      <c r="AA16" s="179">
        <f t="shared" si="17"/>
        <v>0.18902636732682257</v>
      </c>
    </row>
    <row r="17" spans="1:27" x14ac:dyDescent="0.35">
      <c r="A17" s="163"/>
    </row>
    <row r="18" spans="1:27" x14ac:dyDescent="0.35">
      <c r="A18" s="164" t="s">
        <v>327</v>
      </c>
      <c r="B18" s="167" t="str">
        <f t="shared" ref="B18:O18" si="18">B12</f>
        <v>1T20</v>
      </c>
      <c r="C18" s="167" t="str">
        <f t="shared" si="18"/>
        <v>2T20</v>
      </c>
      <c r="D18" s="167" t="str">
        <f t="shared" si="18"/>
        <v>3T20</v>
      </c>
      <c r="E18" s="167" t="str">
        <f t="shared" si="18"/>
        <v>4T20</v>
      </c>
      <c r="F18" s="167" t="str">
        <f t="shared" si="18"/>
        <v>1T21</v>
      </c>
      <c r="G18" s="167" t="str">
        <f t="shared" si="18"/>
        <v>2T21</v>
      </c>
      <c r="H18" s="167" t="str">
        <f t="shared" si="18"/>
        <v>3T21</v>
      </c>
      <c r="I18" s="167" t="str">
        <f t="shared" si="18"/>
        <v>4T21</v>
      </c>
      <c r="J18" s="167" t="str">
        <f t="shared" si="18"/>
        <v>1T22</v>
      </c>
      <c r="K18" s="167" t="str">
        <f t="shared" si="18"/>
        <v>2T22</v>
      </c>
      <c r="L18" s="167" t="str">
        <f t="shared" si="18"/>
        <v>3T22</v>
      </c>
      <c r="M18" s="167" t="str">
        <f t="shared" si="18"/>
        <v>4T22</v>
      </c>
      <c r="N18" s="167" t="str">
        <f t="shared" si="18"/>
        <v>1T23</v>
      </c>
      <c r="O18" s="167" t="str">
        <f t="shared" si="18"/>
        <v>2T23</v>
      </c>
      <c r="P18" s="167" t="str">
        <f t="shared" ref="P18:U18" si="19">P12</f>
        <v>3T23</v>
      </c>
      <c r="Q18" s="167" t="str">
        <f t="shared" si="19"/>
        <v>4T23</v>
      </c>
      <c r="R18" s="167" t="str">
        <f t="shared" si="19"/>
        <v>1T24</v>
      </c>
      <c r="S18" s="167" t="str">
        <f t="shared" si="19"/>
        <v>2T24</v>
      </c>
      <c r="T18" s="167" t="str">
        <f t="shared" si="19"/>
        <v>3T24</v>
      </c>
      <c r="U18" s="167" t="str">
        <f t="shared" si="19"/>
        <v>4T24</v>
      </c>
      <c r="V18" s="167" t="str">
        <f t="shared" ref="V18:W18" si="20">V12</f>
        <v>1T25</v>
      </c>
      <c r="W18" s="167" t="str">
        <f t="shared" si="20"/>
        <v>2T25</v>
      </c>
      <c r="X18" s="167" t="str">
        <f t="shared" ref="X18:Y18" si="21">X12</f>
        <v>3T25</v>
      </c>
      <c r="Y18" s="167" t="str">
        <f t="shared" si="21"/>
        <v>4T25</v>
      </c>
      <c r="Z18" s="167" t="str">
        <f t="shared" ref="Z18:AA18" si="22">Z12</f>
        <v>1T26</v>
      </c>
      <c r="AA18" s="167" t="str">
        <f t="shared" si="22"/>
        <v>2T26</v>
      </c>
    </row>
    <row r="19" spans="1:27" x14ac:dyDescent="0.35">
      <c r="A19" s="163" t="s">
        <v>262</v>
      </c>
      <c r="B19" s="166">
        <f>'Dados gerais'!B25/1000</f>
        <v>3.27</v>
      </c>
      <c r="C19" s="166">
        <f>'Dados gerais'!C25/1000</f>
        <v>-18.152000000000001</v>
      </c>
      <c r="D19" s="166">
        <f>'Dados gerais'!D25/1000</f>
        <v>-4.93</v>
      </c>
      <c r="E19" s="166">
        <f>'Dados gerais'!E25/1000</f>
        <v>16.716000000000001</v>
      </c>
      <c r="F19" s="166">
        <f>'Dados gerais'!F25/1000</f>
        <v>-1.0309999999999999</v>
      </c>
      <c r="G19" s="166">
        <f>'Dados gerais'!G25/1000</f>
        <v>6.2039999999999997</v>
      </c>
      <c r="H19" s="166">
        <f>'Dados gerais'!H25/1000</f>
        <v>3.7810000000000001</v>
      </c>
      <c r="I19" s="166">
        <f>'Dados gerais'!I25/1000</f>
        <v>5.5449999999999999</v>
      </c>
      <c r="J19" s="166">
        <f>'Dados gerais'!J25/1000</f>
        <v>5.23</v>
      </c>
      <c r="K19" s="166">
        <f>'Dados gerais'!K25/1000</f>
        <v>10.946</v>
      </c>
      <c r="L19" s="166">
        <f>'Dados gerais'!L25/1000</f>
        <v>36.381</v>
      </c>
      <c r="M19" s="166">
        <f>'Dados gerais'!M25/1000</f>
        <v>12.377000000000001</v>
      </c>
      <c r="N19" s="166">
        <f>'Dados gerais'!N25/1000</f>
        <v>8.8650000000000002</v>
      </c>
      <c r="O19" s="166">
        <f>'Dados gerais'!O25/1000</f>
        <v>8.9499999999999993</v>
      </c>
      <c r="P19" s="166">
        <f>'Dados gerais'!P25/1000</f>
        <v>2.339</v>
      </c>
      <c r="Q19" s="166">
        <f>'Dados gerais'!Q25/1000</f>
        <v>4.9260000000000002</v>
      </c>
      <c r="R19" s="166">
        <f>'Dados gerais'!R25/1000</f>
        <v>2.835</v>
      </c>
      <c r="S19" s="166">
        <f>'Dados gerais'!S25/1000</f>
        <v>-2.6960000000000002</v>
      </c>
      <c r="T19" s="166">
        <f>'Dados gerais'!T25/1000</f>
        <v>20.766999999999999</v>
      </c>
      <c r="U19" s="166">
        <f>'Dados gerais'!U25/1000</f>
        <v>21.349</v>
      </c>
      <c r="V19" s="166">
        <f>'Dados gerais'!V25/1000</f>
        <v>4.0170000000000003</v>
      </c>
      <c r="W19" s="166">
        <f>'Dados gerais'!W25/1000</f>
        <v>0.50800000000000001</v>
      </c>
      <c r="X19" s="166">
        <f>'Dados gerais'!X25/1000</f>
        <v>3.06</v>
      </c>
      <c r="Y19" s="166">
        <f>'Dados gerais'!Y25/1000</f>
        <v>0.81899999999999995</v>
      </c>
      <c r="Z19" s="166">
        <f>'Dados gerais'!Z25/1000</f>
        <v>52.715000000000003</v>
      </c>
      <c r="AA19" s="166">
        <f>'Dados gerais'!AA25/1000</f>
        <v>-1.03</v>
      </c>
    </row>
    <row r="20" spans="1:27" x14ac:dyDescent="0.35">
      <c r="A20" s="163" t="s">
        <v>320</v>
      </c>
      <c r="B20" s="166">
        <f>'Dados gerais'!B27/1000</f>
        <v>3.27</v>
      </c>
      <c r="C20" s="166">
        <f>'Dados gerais'!C27/1000</f>
        <v>-18.152000000000001</v>
      </c>
      <c r="D20" s="166">
        <f>'Dados gerais'!D27/1000</f>
        <v>-4.93</v>
      </c>
      <c r="E20" s="166">
        <f>'Dados gerais'!E27/1000</f>
        <v>16.716000000000001</v>
      </c>
      <c r="F20" s="166">
        <f>'Dados gerais'!F27/1000</f>
        <v>-1.0309999999999999</v>
      </c>
      <c r="G20" s="166">
        <f>'Dados gerais'!G27/1000</f>
        <v>6.2039999999999997</v>
      </c>
      <c r="H20" s="166">
        <f>'Dados gerais'!H27/1000</f>
        <v>3.7810000000000001</v>
      </c>
      <c r="I20" s="166">
        <f>'Dados gerais'!I27/1000</f>
        <v>5.5449999999999999</v>
      </c>
      <c r="J20" s="166">
        <f>'Dados gerais'!J27/1000</f>
        <v>5.23</v>
      </c>
      <c r="K20" s="166">
        <f>'Dados gerais'!K27/1000</f>
        <v>5.354245759756461</v>
      </c>
      <c r="L20" s="166">
        <f>'Dados gerais'!L27/1000</f>
        <v>7.6660680084476276</v>
      </c>
      <c r="M20" s="166">
        <f>'Dados gerais'!M27/1000</f>
        <v>6.9410854003812243</v>
      </c>
      <c r="N20" s="166">
        <f>'Dados gerais'!N27/1000</f>
        <v>8.8650000000000002</v>
      </c>
      <c r="O20" s="166">
        <f>'Dados gerais'!O27/1000</f>
        <v>8.9499999999999993</v>
      </c>
      <c r="P20" s="166">
        <f>'Dados gerais'!P27/1000</f>
        <v>2.339</v>
      </c>
      <c r="Q20" s="166">
        <f>'Dados gerais'!Q27/1000</f>
        <v>4.9260000000000002</v>
      </c>
      <c r="R20" s="166">
        <f>'Dados gerais'!R27/1000</f>
        <v>2.835</v>
      </c>
      <c r="S20" s="166">
        <f>'Dados gerais'!S27/1000</f>
        <v>-2.6960000000000002</v>
      </c>
      <c r="T20" s="166">
        <f>'Dados gerais'!T27/1000</f>
        <v>20.766999999999999</v>
      </c>
      <c r="U20" s="166">
        <f>'Dados gerais'!U27/1000</f>
        <v>21.349</v>
      </c>
      <c r="V20" s="166">
        <f>'Dados gerais'!V27/1000</f>
        <v>11.542999999999999</v>
      </c>
      <c r="W20" s="166">
        <f>'Dados gerais'!W27/1000</f>
        <v>7.3689999999999998</v>
      </c>
      <c r="X20" s="166">
        <f>'Dados gerais'!X27/1000</f>
        <v>10.538</v>
      </c>
      <c r="Y20" s="166">
        <f>'Dados gerais'!Y27/1000</f>
        <v>11.596</v>
      </c>
      <c r="Z20" s="166">
        <f>'Dados gerais'!Z27/1000</f>
        <v>1.1522080000000006</v>
      </c>
      <c r="AA20" s="166">
        <f>'Dados gerais'!AA27/1000</f>
        <v>8.0229999999999997</v>
      </c>
    </row>
    <row r="21" spans="1:27" x14ac:dyDescent="0.35">
      <c r="A21" s="163" t="s">
        <v>292</v>
      </c>
      <c r="B21" s="179">
        <f t="shared" ref="B21:N22" si="23">B19/B9</f>
        <v>4.5977334720620905E-2</v>
      </c>
      <c r="C21" s="179">
        <f t="shared" si="23"/>
        <v>-0.37670692732328892</v>
      </c>
      <c r="D21" s="179">
        <f t="shared" si="23"/>
        <v>-8.9919200393966475E-2</v>
      </c>
      <c r="E21" s="179">
        <f t="shared" si="23"/>
        <v>0.24554187843356151</v>
      </c>
      <c r="F21" s="179">
        <f t="shared" si="23"/>
        <v>-1.3143636618605065E-2</v>
      </c>
      <c r="G21" s="179">
        <f t="shared" si="23"/>
        <v>5.5629281589612993E-2</v>
      </c>
      <c r="H21" s="179">
        <f t="shared" si="23"/>
        <v>3.0594822912536516E-2</v>
      </c>
      <c r="I21" s="179">
        <f t="shared" si="23"/>
        <v>4.6365589959278551E-2</v>
      </c>
      <c r="J21" s="179">
        <f t="shared" si="23"/>
        <v>4.0452323494833242E-2</v>
      </c>
      <c r="K21" s="179">
        <f t="shared" si="23"/>
        <v>5.9507888356112246E-2</v>
      </c>
      <c r="L21" s="179">
        <f t="shared" si="23"/>
        <v>0.14298515557756478</v>
      </c>
      <c r="M21" s="179">
        <f t="shared" si="23"/>
        <v>5.0348825383911326E-2</v>
      </c>
      <c r="N21" s="179">
        <f t="shared" si="23"/>
        <v>3.6744286294567732E-2</v>
      </c>
      <c r="O21" s="179">
        <f t="shared" ref="O21:U22" si="24">O19/O9</f>
        <v>3.5245239923602491E-2</v>
      </c>
      <c r="P21" s="179">
        <f t="shared" si="24"/>
        <v>8.696557442267723E-3</v>
      </c>
      <c r="Q21" s="179">
        <f t="shared" si="24"/>
        <v>1.7452180105364968E-2</v>
      </c>
      <c r="R21" s="179">
        <f t="shared" si="24"/>
        <v>1.3098862917049774E-2</v>
      </c>
      <c r="S21" s="179">
        <f t="shared" si="24"/>
        <v>-1.3134561044528892E-2</v>
      </c>
      <c r="T21" s="179">
        <f t="shared" si="24"/>
        <v>5.2885839725371551E-2</v>
      </c>
      <c r="U21" s="179">
        <f t="shared" si="24"/>
        <v>5.0868134565027298E-2</v>
      </c>
      <c r="V21" s="179">
        <f t="shared" ref="V21:W21" si="25">V19/V9</f>
        <v>1.0890753568572165E-2</v>
      </c>
      <c r="W21" s="179">
        <f t="shared" si="25"/>
        <v>1.4037259529033363E-3</v>
      </c>
      <c r="X21" s="179">
        <f t="shared" ref="X21:Y21" si="26">X19/X9</f>
        <v>8.5204965277584418E-3</v>
      </c>
      <c r="Y21" s="179">
        <f t="shared" si="26"/>
        <v>1.7287598944591028E-3</v>
      </c>
      <c r="Z21" s="179">
        <f t="shared" ref="Z21:AA21" si="27">Z19/Z9</f>
        <v>0.12515521240654612</v>
      </c>
      <c r="AA21" s="179">
        <f t="shared" si="27"/>
        <v>-2.2264589791145179E-3</v>
      </c>
    </row>
    <row r="22" spans="1:27" x14ac:dyDescent="0.35">
      <c r="A22" s="163" t="s">
        <v>293</v>
      </c>
      <c r="B22" s="179">
        <f t="shared" si="23"/>
        <v>4.5977334720620905E-2</v>
      </c>
      <c r="C22" s="179">
        <f t="shared" si="23"/>
        <v>-0.37670692732328892</v>
      </c>
      <c r="D22" s="179">
        <f t="shared" si="23"/>
        <v>-8.9919200393966475E-2</v>
      </c>
      <c r="E22" s="179">
        <f t="shared" si="23"/>
        <v>0.24554187843356151</v>
      </c>
      <c r="F22" s="179">
        <f t="shared" si="23"/>
        <v>-1.3143636618605065E-2</v>
      </c>
      <c r="G22" s="179">
        <f t="shared" si="23"/>
        <v>5.5629281589612993E-2</v>
      </c>
      <c r="H22" s="179">
        <f t="shared" si="23"/>
        <v>3.0594822912536516E-2</v>
      </c>
      <c r="I22" s="179">
        <f t="shared" si="23"/>
        <v>4.6365589959278551E-2</v>
      </c>
      <c r="J22" s="179">
        <f t="shared" si="23"/>
        <v>4.0452323494833242E-2</v>
      </c>
      <c r="K22" s="179">
        <f t="shared" si="23"/>
        <v>3.1396525037705403E-2</v>
      </c>
      <c r="L22" s="179">
        <f t="shared" si="23"/>
        <v>4.0078109782466995E-2</v>
      </c>
      <c r="M22" s="179">
        <f t="shared" si="23"/>
        <v>3.1596204727076561E-2</v>
      </c>
      <c r="N22" s="179">
        <f t="shared" si="23"/>
        <v>3.6744286294567732E-2</v>
      </c>
      <c r="O22" s="179">
        <f t="shared" si="24"/>
        <v>3.5245239923602491E-2</v>
      </c>
      <c r="P22" s="179">
        <f t="shared" si="24"/>
        <v>8.696557442267723E-3</v>
      </c>
      <c r="Q22" s="179">
        <f t="shared" si="24"/>
        <v>1.7452180105364968E-2</v>
      </c>
      <c r="R22" s="179">
        <f t="shared" si="24"/>
        <v>1.3098862917049774E-2</v>
      </c>
      <c r="S22" s="179">
        <f t="shared" si="24"/>
        <v>-1.3134561044528892E-2</v>
      </c>
      <c r="T22" s="179">
        <f t="shared" si="24"/>
        <v>5.2885839725371551E-2</v>
      </c>
      <c r="U22" s="179">
        <f t="shared" si="24"/>
        <v>5.0868134565027298E-2</v>
      </c>
      <c r="V22" s="179">
        <f t="shared" ref="V22:W22" si="28">V20/V10</f>
        <v>3.1294988409765613E-2</v>
      </c>
      <c r="W22" s="179">
        <f t="shared" si="28"/>
        <v>2.0362316037292688E-2</v>
      </c>
      <c r="X22" s="179">
        <f t="shared" ref="X22:Y22" si="29">X20/X10</f>
        <v>2.9342807976966815E-2</v>
      </c>
      <c r="Y22" s="179">
        <f t="shared" si="29"/>
        <v>2.4477044854881266E-2</v>
      </c>
      <c r="Z22" s="179">
        <f t="shared" ref="Z22:AA22" si="30">Z20/Z10</f>
        <v>2.7355560462206533E-3</v>
      </c>
      <c r="AA22" s="179">
        <f t="shared" si="30"/>
        <v>1.7342602319840559E-2</v>
      </c>
    </row>
    <row r="24" spans="1:27" x14ac:dyDescent="0.35">
      <c r="A24" s="164" t="s">
        <v>212</v>
      </c>
      <c r="B24" s="167" t="str">
        <f t="shared" ref="B24:O24" si="31">B18</f>
        <v>1T20</v>
      </c>
      <c r="C24" s="167" t="str">
        <f t="shared" si="31"/>
        <v>2T20</v>
      </c>
      <c r="D24" s="167" t="str">
        <f t="shared" si="31"/>
        <v>3T20</v>
      </c>
      <c r="E24" s="167" t="str">
        <f t="shared" si="31"/>
        <v>4T20</v>
      </c>
      <c r="F24" s="167" t="str">
        <f t="shared" si="31"/>
        <v>1T21</v>
      </c>
      <c r="G24" s="167" t="str">
        <f t="shared" si="31"/>
        <v>2T21</v>
      </c>
      <c r="H24" s="167" t="str">
        <f t="shared" si="31"/>
        <v>3T21</v>
      </c>
      <c r="I24" s="167" t="str">
        <f t="shared" si="31"/>
        <v>4T21</v>
      </c>
      <c r="J24" s="167" t="str">
        <f t="shared" si="31"/>
        <v>1T22</v>
      </c>
      <c r="K24" s="167" t="str">
        <f t="shared" si="31"/>
        <v>2T22</v>
      </c>
      <c r="L24" s="167" t="str">
        <f t="shared" si="31"/>
        <v>3T22</v>
      </c>
      <c r="M24" s="167" t="str">
        <f t="shared" si="31"/>
        <v>4T22</v>
      </c>
      <c r="N24" s="167" t="str">
        <f t="shared" si="31"/>
        <v>1T23</v>
      </c>
      <c r="O24" s="167" t="str">
        <f t="shared" si="31"/>
        <v>2T23</v>
      </c>
      <c r="P24" s="167" t="str">
        <f t="shared" ref="P24:U24" si="32">P18</f>
        <v>3T23</v>
      </c>
      <c r="Q24" s="167" t="str">
        <f t="shared" si="32"/>
        <v>4T23</v>
      </c>
      <c r="R24" s="167" t="str">
        <f t="shared" si="32"/>
        <v>1T24</v>
      </c>
      <c r="S24" s="167" t="str">
        <f t="shared" si="32"/>
        <v>2T24</v>
      </c>
      <c r="T24" s="167" t="str">
        <f t="shared" si="32"/>
        <v>3T24</v>
      </c>
      <c r="U24" s="167" t="str">
        <f t="shared" si="32"/>
        <v>4T24</v>
      </c>
      <c r="V24" s="167" t="str">
        <f t="shared" ref="V24:W24" si="33">V18</f>
        <v>1T25</v>
      </c>
      <c r="W24" s="167" t="str">
        <f t="shared" si="33"/>
        <v>2T25</v>
      </c>
      <c r="X24" s="167" t="str">
        <f t="shared" ref="X24:Y24" si="34">X18</f>
        <v>3T25</v>
      </c>
      <c r="Y24" s="167" t="str">
        <f t="shared" si="34"/>
        <v>4T25</v>
      </c>
      <c r="Z24" s="167" t="str">
        <f t="shared" ref="Z24:AA24" si="35">Z18</f>
        <v>1T26</v>
      </c>
      <c r="AA24" s="167" t="str">
        <f t="shared" si="35"/>
        <v>2T26</v>
      </c>
    </row>
    <row r="25" spans="1:27" x14ac:dyDescent="0.35">
      <c r="A25" s="163" t="s">
        <v>264</v>
      </c>
      <c r="B25" s="166">
        <f>'Dados gerais'!B21/1000</f>
        <v>15.895</v>
      </c>
      <c r="C25" s="166">
        <f>'Dados gerais'!C21/1000</f>
        <v>-9.7870000000000008</v>
      </c>
      <c r="D25" s="166">
        <f>'Dados gerais'!D21/1000</f>
        <v>2.8050000000000002</v>
      </c>
      <c r="E25" s="166">
        <f>'Dados gerais'!E21/1000</f>
        <v>8.0980000000000008</v>
      </c>
      <c r="F25" s="166">
        <f>'Dados gerais'!F21/1000</f>
        <v>5.3120000000000003</v>
      </c>
      <c r="G25" s="166">
        <f>'Dados gerais'!G21/1000</f>
        <v>14.237102</v>
      </c>
      <c r="H25" s="166">
        <f>'Dados gerais'!H21/1000</f>
        <v>12.765557219999998</v>
      </c>
      <c r="I25" s="166">
        <f>'Dados gerais'!I21/1000</f>
        <v>9.0875983300000005</v>
      </c>
      <c r="J25" s="166">
        <f>'Dados gerais'!J21/1000</f>
        <v>16.497354729999998</v>
      </c>
      <c r="K25" s="166">
        <f>'Dados gerais'!K21/1000</f>
        <v>25.876000000000001</v>
      </c>
      <c r="L25" s="166">
        <f>'Dados gerais'!L21/1000</f>
        <v>57.436999999999998</v>
      </c>
      <c r="M25" s="166">
        <f>'Dados gerais'!M21/1000</f>
        <v>30.94452699</v>
      </c>
      <c r="N25" s="166">
        <f>'Dados gerais'!N21/1000</f>
        <v>32.78083693</v>
      </c>
      <c r="O25" s="166">
        <f>'Dados gerais'!O21/1000</f>
        <v>33.644098830000011</v>
      </c>
      <c r="P25" s="166">
        <f>'Dados gerais'!P21/1000</f>
        <v>29.614999999999998</v>
      </c>
      <c r="Q25" s="166">
        <f>'Dados gerais'!Q21/1000</f>
        <v>30.42</v>
      </c>
      <c r="R25" s="166">
        <f>'Dados gerais'!R21/1000</f>
        <v>24.805</v>
      </c>
      <c r="S25" s="166">
        <f>'Dados gerais'!S21/1000</f>
        <v>17.692</v>
      </c>
      <c r="T25" s="166">
        <f>'Dados gerais'!T21/1000</f>
        <v>58.131</v>
      </c>
      <c r="U25" s="166">
        <f>'Dados gerais'!U21/1000</f>
        <v>59.986332511764701</v>
      </c>
      <c r="V25" s="166">
        <f>'Dados gerais'!V21/1000</f>
        <v>40.109000000000002</v>
      </c>
      <c r="W25" s="166">
        <f>'Dados gerais'!W21/1000</f>
        <v>40.018000000000001</v>
      </c>
      <c r="X25" s="166">
        <f>'Dados gerais'!X21/1000</f>
        <v>42.564</v>
      </c>
      <c r="Y25" s="166">
        <f>'Dados gerais'!Y21/1000</f>
        <v>61.956203289523117</v>
      </c>
      <c r="Z25" s="166">
        <f>'Dados gerais'!Z21/1000</f>
        <v>109.271</v>
      </c>
      <c r="AA25" s="166">
        <f>'Dados gerais'!AA21/1000</f>
        <v>71.042000000000002</v>
      </c>
    </row>
    <row r="26" spans="1:27" x14ac:dyDescent="0.35">
      <c r="A26" s="163" t="s">
        <v>283</v>
      </c>
      <c r="B26" s="166">
        <f>'Dados gerais'!B22/1000</f>
        <v>15.895</v>
      </c>
      <c r="C26" s="166">
        <f>'Dados gerais'!C22/1000</f>
        <v>-9.7870000000000008</v>
      </c>
      <c r="D26" s="166">
        <f>'Dados gerais'!D22/1000</f>
        <v>2.8050000000000002</v>
      </c>
      <c r="E26" s="166">
        <f>'Dados gerais'!E22/1000</f>
        <v>8.0980000000000008</v>
      </c>
      <c r="F26" s="166">
        <f>'Dados gerais'!F22/1000</f>
        <v>5.3120000000000003</v>
      </c>
      <c r="G26" s="166">
        <f>'Dados gerais'!G22/1000</f>
        <v>14.237102</v>
      </c>
      <c r="H26" s="166">
        <f>'Dados gerais'!H22/1000</f>
        <v>12.765557219999998</v>
      </c>
      <c r="I26" s="166">
        <f>'Dados gerais'!I22/1000</f>
        <v>9.0875983300000005</v>
      </c>
      <c r="J26" s="166">
        <f>'Dados gerais'!J22/1000</f>
        <v>16.497354729999998</v>
      </c>
      <c r="K26" s="166">
        <f>'Dados gerais'!K22/1000</f>
        <v>19.71039028571429</v>
      </c>
      <c r="L26" s="166">
        <f>'Dados gerais'!L22/1000</f>
        <v>26.273891857142857</v>
      </c>
      <c r="M26" s="166">
        <f>'Dados gerais'!M22/1000</f>
        <v>24.912109571428569</v>
      </c>
      <c r="N26" s="166">
        <f>'Dados gerais'!N22/1000</f>
        <v>32.78083693</v>
      </c>
      <c r="O26" s="166">
        <f>'Dados gerais'!O22/1000</f>
        <v>33.644098830000011</v>
      </c>
      <c r="P26" s="166">
        <f>'Dados gerais'!P22/1000</f>
        <v>29.614999999999998</v>
      </c>
      <c r="Q26" s="166">
        <f>'Dados gerais'!Q22/1000</f>
        <v>30.42</v>
      </c>
      <c r="R26" s="166">
        <f>'Dados gerais'!R22/1000</f>
        <v>24.805</v>
      </c>
      <c r="S26" s="166">
        <f>'Dados gerais'!S22/1000</f>
        <v>17.692</v>
      </c>
      <c r="T26" s="166">
        <f>'Dados gerais'!T22/1000</f>
        <v>58.131</v>
      </c>
      <c r="U26" s="166">
        <f>'Dados gerais'!U22/1000</f>
        <v>59.986332511764701</v>
      </c>
      <c r="V26" s="166">
        <f>'Dados gerais'!V22/1000</f>
        <v>41.542999999999999</v>
      </c>
      <c r="W26" s="166">
        <f>'Dados gerais'!W22/1000</f>
        <v>40.593000000000004</v>
      </c>
      <c r="X26" s="166">
        <f>'Dados gerais'!X22/1000</f>
        <v>43.835999999999999</v>
      </c>
      <c r="Y26" s="166">
        <f>'Dados gerais'!Y22/1000</f>
        <v>63.756203289523114</v>
      </c>
      <c r="Z26" s="166">
        <f>'Dados gerais'!Z22/1000</f>
        <v>60.816000000000003</v>
      </c>
      <c r="AA26" s="166">
        <f>'Dados gerais'!AA22/1000</f>
        <v>72.213999999999999</v>
      </c>
    </row>
    <row r="27" spans="1:27" x14ac:dyDescent="0.35">
      <c r="A27" s="163" t="s">
        <v>294</v>
      </c>
      <c r="B27" s="179">
        <f t="shared" ref="B27:N28" si="36">B25/B9</f>
        <v>0.22348921571384381</v>
      </c>
      <c r="C27" s="179">
        <f t="shared" si="36"/>
        <v>-0.20310878678454325</v>
      </c>
      <c r="D27" s="179">
        <f t="shared" si="36"/>
        <v>5.116092436208438E-2</v>
      </c>
      <c r="E27" s="179">
        <f t="shared" si="36"/>
        <v>0.11895179059314316</v>
      </c>
      <c r="F27" s="179">
        <f t="shared" si="36"/>
        <v>6.771968740837063E-2</v>
      </c>
      <c r="G27" s="179">
        <f t="shared" si="36"/>
        <v>0.12765953516731823</v>
      </c>
      <c r="H27" s="179">
        <f t="shared" si="36"/>
        <v>0.10329541457967518</v>
      </c>
      <c r="I27" s="179">
        <f t="shared" si="36"/>
        <v>7.5987711070045913E-2</v>
      </c>
      <c r="J27" s="179">
        <f t="shared" si="36"/>
        <v>0.12760159280056924</v>
      </c>
      <c r="K27" s="179">
        <f t="shared" si="36"/>
        <v>0.14067477791912669</v>
      </c>
      <c r="L27" s="179">
        <f t="shared" si="36"/>
        <v>0.22573976473732407</v>
      </c>
      <c r="M27" s="179">
        <f t="shared" si="36"/>
        <v>0.12588030912234313</v>
      </c>
      <c r="N27" s="179">
        <f t="shared" si="36"/>
        <v>0.13587235839046347</v>
      </c>
      <c r="O27" s="179">
        <f t="shared" ref="O27:U28" si="37">O25/O9</f>
        <v>0.13249098718175917</v>
      </c>
      <c r="P27" s="179">
        <f t="shared" si="37"/>
        <v>0.11011053811575827</v>
      </c>
      <c r="Q27" s="179">
        <f t="shared" si="37"/>
        <v>0.10777412074811255</v>
      </c>
      <c r="R27" s="179">
        <f t="shared" si="37"/>
        <v>0.1146092750114355</v>
      </c>
      <c r="S27" s="179">
        <f t="shared" si="37"/>
        <v>8.6193120919809033E-2</v>
      </c>
      <c r="T27" s="179">
        <f t="shared" si="37"/>
        <v>0.14803807719341136</v>
      </c>
      <c r="U27" s="179">
        <f t="shared" si="37"/>
        <v>0.1429290755665801</v>
      </c>
      <c r="V27" s="179">
        <f t="shared" ref="V27:W27" si="38">V25/V9</f>
        <v>0.10874215456357006</v>
      </c>
      <c r="W27" s="179">
        <f t="shared" si="38"/>
        <v>0.11057934091197975</v>
      </c>
      <c r="X27" s="179">
        <f t="shared" ref="X27:Y27" si="39">X25/X9</f>
        <v>0.11851843601552624</v>
      </c>
      <c r="Y27" s="179">
        <f t="shared" si="39"/>
        <v>0.1307782655187823</v>
      </c>
      <c r="Z27" s="179">
        <f t="shared" ref="Z27:AA27" si="40">Z25/Z9</f>
        <v>0.25942967305085268</v>
      </c>
      <c r="AA27" s="179">
        <f t="shared" si="40"/>
        <v>0.15356514446044037</v>
      </c>
    </row>
    <row r="28" spans="1:27" x14ac:dyDescent="0.35">
      <c r="A28" s="163" t="s">
        <v>295</v>
      </c>
      <c r="B28" s="179">
        <f t="shared" si="36"/>
        <v>0.22348921571384381</v>
      </c>
      <c r="C28" s="179">
        <f t="shared" si="36"/>
        <v>-0.20310878678454325</v>
      </c>
      <c r="D28" s="179">
        <f t="shared" si="36"/>
        <v>5.116092436208438E-2</v>
      </c>
      <c r="E28" s="179">
        <f t="shared" si="36"/>
        <v>0.11895179059314316</v>
      </c>
      <c r="F28" s="179">
        <f t="shared" si="36"/>
        <v>6.771968740837063E-2</v>
      </c>
      <c r="G28" s="179">
        <f t="shared" si="36"/>
        <v>0.12765953516731823</v>
      </c>
      <c r="H28" s="179">
        <f t="shared" si="36"/>
        <v>0.10329541457967518</v>
      </c>
      <c r="I28" s="179">
        <f t="shared" si="36"/>
        <v>7.5987711070045913E-2</v>
      </c>
      <c r="J28" s="179">
        <f t="shared" si="36"/>
        <v>0.12760159280056924</v>
      </c>
      <c r="K28" s="179">
        <f t="shared" si="36"/>
        <v>0.11557888634094413</v>
      </c>
      <c r="L28" s="179">
        <f t="shared" si="36"/>
        <v>0.1373595852662505</v>
      </c>
      <c r="M28" s="179">
        <f t="shared" si="36"/>
        <v>0.11340130092031273</v>
      </c>
      <c r="N28" s="179">
        <f t="shared" si="36"/>
        <v>0.13587235839046347</v>
      </c>
      <c r="O28" s="179">
        <f t="shared" si="37"/>
        <v>0.13249098718175917</v>
      </c>
      <c r="P28" s="179">
        <f t="shared" si="37"/>
        <v>0.11011053811575827</v>
      </c>
      <c r="Q28" s="179">
        <f t="shared" si="37"/>
        <v>0.10777412074811255</v>
      </c>
      <c r="R28" s="179">
        <f t="shared" si="37"/>
        <v>0.1146092750114355</v>
      </c>
      <c r="S28" s="179">
        <f t="shared" si="37"/>
        <v>8.6193120919809033E-2</v>
      </c>
      <c r="T28" s="179">
        <f t="shared" si="37"/>
        <v>0.14803807719341136</v>
      </c>
      <c r="U28" s="179">
        <f t="shared" si="37"/>
        <v>0.1429290755665801</v>
      </c>
      <c r="V28" s="179">
        <f t="shared" ref="V28:W28" si="41">V26/V10</f>
        <v>0.11262996651710067</v>
      </c>
      <c r="W28" s="179">
        <f t="shared" si="41"/>
        <v>0.11216820394922271</v>
      </c>
      <c r="X28" s="179">
        <f t="shared" ref="X28:Y28" si="42">X26/X10</f>
        <v>0.12206028947412385</v>
      </c>
      <c r="Y28" s="179">
        <f t="shared" si="42"/>
        <v>0.1345777378142968</v>
      </c>
      <c r="Z28" s="179">
        <f t="shared" ref="Z28:AA28" si="43">Z26/Z10</f>
        <v>0.14438849279553273</v>
      </c>
      <c r="AA28" s="179">
        <f t="shared" si="43"/>
        <v>0.15609855215318039</v>
      </c>
    </row>
    <row r="30" spans="1:27" x14ac:dyDescent="0.35">
      <c r="A30" s="164" t="s">
        <v>296</v>
      </c>
      <c r="B30" s="167" t="str">
        <f t="shared" ref="B30:O30" si="44">B24</f>
        <v>1T20</v>
      </c>
      <c r="C30" s="167" t="str">
        <f t="shared" si="44"/>
        <v>2T20</v>
      </c>
      <c r="D30" s="167" t="str">
        <f t="shared" si="44"/>
        <v>3T20</v>
      </c>
      <c r="E30" s="167" t="str">
        <f t="shared" si="44"/>
        <v>4T20</v>
      </c>
      <c r="F30" s="167" t="str">
        <f t="shared" si="44"/>
        <v>1T21</v>
      </c>
      <c r="G30" s="167" t="str">
        <f t="shared" si="44"/>
        <v>2T21</v>
      </c>
      <c r="H30" s="167" t="str">
        <f t="shared" si="44"/>
        <v>3T21</v>
      </c>
      <c r="I30" s="167" t="str">
        <f t="shared" si="44"/>
        <v>4T21</v>
      </c>
      <c r="J30" s="167" t="str">
        <f t="shared" si="44"/>
        <v>1T22</v>
      </c>
      <c r="K30" s="167" t="str">
        <f t="shared" si="44"/>
        <v>2T22</v>
      </c>
      <c r="L30" s="167" t="str">
        <f t="shared" si="44"/>
        <v>3T22</v>
      </c>
      <c r="M30" s="167" t="str">
        <f t="shared" si="44"/>
        <v>4T22</v>
      </c>
      <c r="N30" s="167" t="str">
        <f t="shared" si="44"/>
        <v>1T23</v>
      </c>
      <c r="O30" s="167" t="str">
        <f t="shared" si="44"/>
        <v>2T23</v>
      </c>
      <c r="P30" s="167" t="str">
        <f t="shared" ref="P30:U30" si="45">P24</f>
        <v>3T23</v>
      </c>
      <c r="Q30" s="167" t="str">
        <f t="shared" si="45"/>
        <v>4T23</v>
      </c>
      <c r="R30" s="167" t="str">
        <f t="shared" si="45"/>
        <v>1T24</v>
      </c>
      <c r="S30" s="167" t="str">
        <f t="shared" si="45"/>
        <v>2T24</v>
      </c>
      <c r="T30" s="167" t="str">
        <f t="shared" si="45"/>
        <v>3T24</v>
      </c>
      <c r="U30" s="167" t="str">
        <f t="shared" si="45"/>
        <v>4T24</v>
      </c>
      <c r="V30" s="167" t="str">
        <f t="shared" ref="V30:W30" si="46">V24</f>
        <v>1T25</v>
      </c>
      <c r="W30" s="167" t="str">
        <f t="shared" si="46"/>
        <v>2T25</v>
      </c>
      <c r="X30" s="167" t="str">
        <f t="shared" ref="X30:Y30" si="47">X24</f>
        <v>3T25</v>
      </c>
      <c r="Y30" s="167" t="str">
        <f t="shared" si="47"/>
        <v>4T25</v>
      </c>
      <c r="Z30" s="167" t="str">
        <f t="shared" ref="Z30:AA30" si="48">Z24</f>
        <v>1T26</v>
      </c>
      <c r="AA30" s="167" t="str">
        <f t="shared" si="48"/>
        <v>2T26</v>
      </c>
    </row>
    <row r="31" spans="1:27" x14ac:dyDescent="0.35">
      <c r="A31" s="163" t="s">
        <v>496</v>
      </c>
      <c r="B31" s="162"/>
      <c r="C31" s="162"/>
      <c r="D31" s="162"/>
      <c r="E31" s="162"/>
      <c r="F31" s="162"/>
      <c r="G31" s="162"/>
      <c r="H31" s="162"/>
      <c r="I31" s="162"/>
      <c r="J31" s="168">
        <f>ROIC!B22</f>
        <v>0.13341984575321575</v>
      </c>
      <c r="K31" s="168">
        <f>ROIC!C22</f>
        <v>0.13786987129835901</v>
      </c>
      <c r="L31" s="168">
        <f>ROIC!D22</f>
        <v>0.14753357426412306</v>
      </c>
      <c r="M31" s="168">
        <f>ROIC!E22</f>
        <v>0.16566324639113172</v>
      </c>
      <c r="N31" s="168">
        <f>ROIC!F22</f>
        <v>0.17584875606494835</v>
      </c>
      <c r="O31" s="168">
        <f>ROIC!G22</f>
        <v>0.17767383321167929</v>
      </c>
      <c r="P31" s="168">
        <f>ROIC!H22</f>
        <v>0.17290381821532172</v>
      </c>
      <c r="Q31" s="168">
        <f>ROIC!I22</f>
        <v>0.16666845229152918</v>
      </c>
      <c r="R31" s="168">
        <f>ROIC!J22</f>
        <v>0.14560547377917002</v>
      </c>
      <c r="S31" s="168">
        <f>ROIC!K22</f>
        <v>0.13419899795960877</v>
      </c>
      <c r="T31" s="168">
        <f>ROIC!L22</f>
        <v>0.19381468183982339</v>
      </c>
      <c r="U31" s="168">
        <f>ROIC!M22</f>
        <v>0.17084248118009837</v>
      </c>
      <c r="V31" s="168">
        <f>ROIC!N22</f>
        <v>0.13934069394312162</v>
      </c>
      <c r="W31" s="168">
        <f>ROIC!O22</f>
        <v>0.14561464101273097</v>
      </c>
      <c r="X31" s="168">
        <f>ROIC!P22</f>
        <v>0.12564370746435821</v>
      </c>
      <c r="Y31" s="168">
        <f>ROIC!Q22</f>
        <v>0.1098822054270046</v>
      </c>
      <c r="Z31" s="168">
        <f>ROIC!R22</f>
        <v>0.14242283539816888</v>
      </c>
      <c r="AA31" s="168">
        <f>ROIC!S22</f>
        <v>0.14601976234764871</v>
      </c>
    </row>
    <row r="32" spans="1:27" x14ac:dyDescent="0.35">
      <c r="A32" s="163" t="s">
        <v>505</v>
      </c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8">
        <f>ROIC!M31</f>
        <v>0.19091901244084575</v>
      </c>
      <c r="V32" s="168">
        <f>ROIC!N31</f>
        <v>0.16468794929780958</v>
      </c>
      <c r="W32" s="168">
        <f>ROIC!O31</f>
        <v>0.18022015159381655</v>
      </c>
      <c r="X32" s="168">
        <f>ROIC!P31</f>
        <v>0.16630436621763839</v>
      </c>
      <c r="Y32" s="168">
        <f>ROIC!Q31</f>
        <v>0.1431987567704785</v>
      </c>
      <c r="Z32" s="168">
        <f>ROIC!R31</f>
        <v>0.13574213981546354</v>
      </c>
      <c r="AA32" s="168">
        <f>ROIC!S31</f>
        <v>0.14099574246956673</v>
      </c>
    </row>
    <row r="33" spans="1:27" x14ac:dyDescent="0.35">
      <c r="A33" s="178" t="s">
        <v>399</v>
      </c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</row>
    <row r="35" spans="1:27" x14ac:dyDescent="0.35">
      <c r="A35" s="164" t="s">
        <v>330</v>
      </c>
      <c r="B35" s="167" t="str">
        <f t="shared" ref="B35:Q35" si="49">B30</f>
        <v>1T20</v>
      </c>
      <c r="C35" s="167" t="str">
        <f t="shared" si="49"/>
        <v>2T20</v>
      </c>
      <c r="D35" s="167" t="str">
        <f t="shared" si="49"/>
        <v>3T20</v>
      </c>
      <c r="E35" s="167" t="str">
        <f t="shared" si="49"/>
        <v>4T20</v>
      </c>
      <c r="F35" s="167" t="str">
        <f t="shared" si="49"/>
        <v>1T21</v>
      </c>
      <c r="G35" s="167" t="str">
        <f t="shared" si="49"/>
        <v>2T21</v>
      </c>
      <c r="H35" s="167" t="str">
        <f t="shared" si="49"/>
        <v>3T21</v>
      </c>
      <c r="I35" s="167" t="str">
        <f t="shared" si="49"/>
        <v>4T21</v>
      </c>
      <c r="J35" s="167" t="str">
        <f t="shared" si="49"/>
        <v>1T22</v>
      </c>
      <c r="K35" s="167" t="str">
        <f t="shared" si="49"/>
        <v>2T22</v>
      </c>
      <c r="L35" s="167" t="str">
        <f t="shared" si="49"/>
        <v>3T22</v>
      </c>
      <c r="M35" s="167" t="str">
        <f t="shared" si="49"/>
        <v>4T22</v>
      </c>
      <c r="N35" s="167" t="str">
        <f t="shared" si="49"/>
        <v>1T23</v>
      </c>
      <c r="O35" s="167" t="str">
        <f t="shared" si="49"/>
        <v>2T23</v>
      </c>
      <c r="P35" s="167" t="str">
        <f t="shared" si="49"/>
        <v>3T23</v>
      </c>
      <c r="Q35" s="167" t="str">
        <f t="shared" si="49"/>
        <v>4T23</v>
      </c>
      <c r="R35" s="167" t="str">
        <f t="shared" ref="R35:AA35" si="50">R30</f>
        <v>1T24</v>
      </c>
      <c r="S35" s="167" t="str">
        <f t="shared" si="50"/>
        <v>2T24</v>
      </c>
      <c r="T35" s="167" t="str">
        <f t="shared" si="50"/>
        <v>3T24</v>
      </c>
      <c r="U35" s="167" t="str">
        <f t="shared" si="50"/>
        <v>4T24</v>
      </c>
      <c r="V35" s="167" t="str">
        <f t="shared" si="50"/>
        <v>1T25</v>
      </c>
      <c r="W35" s="167" t="str">
        <f t="shared" si="50"/>
        <v>2T25</v>
      </c>
      <c r="X35" s="167" t="str">
        <f t="shared" si="50"/>
        <v>3T25</v>
      </c>
      <c r="Y35" s="167" t="str">
        <f t="shared" si="50"/>
        <v>4T25</v>
      </c>
      <c r="Z35" s="167" t="str">
        <f t="shared" si="50"/>
        <v>1T26</v>
      </c>
      <c r="AA35" s="167" t="str">
        <f t="shared" si="50"/>
        <v>2T26</v>
      </c>
    </row>
    <row r="36" spans="1:27" x14ac:dyDescent="0.35">
      <c r="A36" s="163" t="s">
        <v>328</v>
      </c>
      <c r="B36" s="166">
        <v>9885.5937619838951</v>
      </c>
      <c r="C36" s="166">
        <v>10834.30799220273</v>
      </c>
      <c r="D36" s="166">
        <v>11915.296847805066</v>
      </c>
      <c r="E36" s="166">
        <v>11596.252927400468</v>
      </c>
      <c r="F36" s="166">
        <v>11425.702811244981</v>
      </c>
      <c r="G36" s="166">
        <v>13605.771390074109</v>
      </c>
      <c r="H36" s="166">
        <v>14170.223896212598</v>
      </c>
      <c r="I36" s="166">
        <v>13610.437844361215</v>
      </c>
      <c r="J36" s="166">
        <v>13235.597189695549</v>
      </c>
      <c r="K36" s="166">
        <v>16308.448415922016</v>
      </c>
      <c r="L36" s="166">
        <v>18801.727656101211</v>
      </c>
      <c r="M36" s="166">
        <v>17019.788076088342</v>
      </c>
      <c r="N36" s="166">
        <v>15173.351609908916</v>
      </c>
      <c r="O36" s="166">
        <v>15845.615233698787</v>
      </c>
      <c r="P36" s="166">
        <v>16769.760701834603</v>
      </c>
      <c r="Q36" s="166">
        <v>18563.049275535865</v>
      </c>
      <c r="R36" s="166">
        <v>18551.385861102463</v>
      </c>
      <c r="S36" s="166">
        <v>16339.905022305365</v>
      </c>
      <c r="T36" s="166">
        <v>19825.682609492393</v>
      </c>
      <c r="U36" s="166">
        <v>20909.801249657387</v>
      </c>
      <c r="V36" s="166">
        <v>19402.455358211377</v>
      </c>
      <c r="W36" s="166">
        <v>19469.52895009625</v>
      </c>
      <c r="X36" s="166">
        <v>20654.617842736654</v>
      </c>
      <c r="Y36" s="166">
        <v>22014.059753954301</v>
      </c>
      <c r="Z36" s="166">
        <v>20091.37949049204</v>
      </c>
      <c r="AA36" s="156">
        <v>21331.305784436121</v>
      </c>
    </row>
    <row r="37" spans="1:27" x14ac:dyDescent="0.35">
      <c r="A37" s="163" t="s">
        <v>329</v>
      </c>
      <c r="B37" s="166">
        <v>1179.6028315479548</v>
      </c>
      <c r="C37" s="166">
        <v>-655.55812697678004</v>
      </c>
      <c r="D37" s="166">
        <v>1746.0493484890492</v>
      </c>
      <c r="E37" s="166">
        <v>2023.5673930589187</v>
      </c>
      <c r="F37" s="166">
        <v>1616.174491891509</v>
      </c>
      <c r="G37" s="166">
        <v>2566.4933357241048</v>
      </c>
      <c r="H37" s="166">
        <v>2223.8335435056747</v>
      </c>
      <c r="I37" s="166">
        <v>1689.6782496782496</v>
      </c>
      <c r="J37" s="166">
        <v>2377.1071994039303</v>
      </c>
      <c r="K37" s="166">
        <v>2791.7830303727028</v>
      </c>
      <c r="L37" s="166">
        <v>3513.7476613240542</v>
      </c>
      <c r="M37" s="166">
        <v>3278.7987261917401</v>
      </c>
      <c r="N37" s="166">
        <v>2953.427431362039</v>
      </c>
      <c r="O37" s="166">
        <f>'Dados Operacionais_Consolidado'!AA14</f>
        <v>3165.2625504904786</v>
      </c>
      <c r="P37" s="166">
        <f>'Dados Operacionais_Consolidado'!AB14</f>
        <v>2944.0475510087444</v>
      </c>
      <c r="Q37" s="166">
        <f>'Dados Operacionais_Consolidado'!AC14</f>
        <v>3569.2731409412049</v>
      </c>
      <c r="R37" s="166">
        <f>'Dados Operacionais_Consolidado'!AD14</f>
        <v>3387.9632513235756</v>
      </c>
      <c r="S37" s="166">
        <f>'Dados Operacionais_Consolidado'!AE14</f>
        <v>2805.3676788027051</v>
      </c>
      <c r="T37" s="166">
        <f>'Dados Operacionais_Consolidado'!AF14</f>
        <v>4070.5057724024191</v>
      </c>
      <c r="U37" s="166">
        <f>'Dados Operacionais_Consolidado'!AG14</f>
        <v>4667.21446179129</v>
      </c>
      <c r="V37" s="166">
        <f>'Dados Operacionais_Consolidado'!AH14</f>
        <v>3553.2457533323714</v>
      </c>
      <c r="W37" s="166">
        <f>'Dados Operacionais_Consolidado'!AI14</f>
        <v>3544.2519374105336</v>
      </c>
      <c r="X37" s="166">
        <f>'Dados Operacionais_Consolidado'!AJ14</f>
        <v>3880.19278118288</v>
      </c>
      <c r="Y37" s="166">
        <f>'Dados Operacionais_Consolidado'!AK14</f>
        <v>3792.61862917399</v>
      </c>
      <c r="Z37" s="166">
        <f>'Dados Operacionais_Consolidado'!AL14</f>
        <v>2729.6409994030869</v>
      </c>
      <c r="AA37" s="166">
        <f>'Dados Operacionais_Consolidado'!AM14</f>
        <v>3639.076154806492</v>
      </c>
    </row>
    <row r="38" spans="1:27" x14ac:dyDescent="0.35">
      <c r="A38" s="163" t="s">
        <v>531</v>
      </c>
      <c r="B38" s="166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>
        <f>'Dados Operacionais_Consolidado'!AH19</f>
        <v>1246.6676290842595</v>
      </c>
      <c r="W38" s="166">
        <f>'Dados Operacionais_Consolidado'!AI19</f>
        <v>1361.8145021965547</v>
      </c>
      <c r="X38" s="166">
        <f>'Dados Operacionais_Consolidado'!AJ19</f>
        <v>1563.3610980145634</v>
      </c>
      <c r="Y38" s="166">
        <f>'Dados Operacionais_Consolidado'!AK19</f>
        <v>1810.193321616872</v>
      </c>
      <c r="Z38" s="166">
        <f>'Dados Operacionais_Consolidado'!AL19</f>
        <v>1213.4390722264864</v>
      </c>
      <c r="AA38" s="166">
        <f>'Dados Operacionais_Consolidado'!AM19</f>
        <v>1754.3071161048688</v>
      </c>
    </row>
    <row r="39" spans="1:27" x14ac:dyDescent="0.35">
      <c r="A39" s="178" t="s">
        <v>441</v>
      </c>
    </row>
    <row r="40" spans="1:27" x14ac:dyDescent="0.35">
      <c r="A40" s="178"/>
    </row>
    <row r="41" spans="1:27" x14ac:dyDescent="0.35">
      <c r="A41" s="164" t="s">
        <v>397</v>
      </c>
      <c r="B41" s="167" t="str">
        <f t="shared" ref="B41:O41" si="51">B35</f>
        <v>1T20</v>
      </c>
      <c r="C41" s="167" t="str">
        <f t="shared" si="51"/>
        <v>2T20</v>
      </c>
      <c r="D41" s="167" t="str">
        <f t="shared" si="51"/>
        <v>3T20</v>
      </c>
      <c r="E41" s="167" t="str">
        <f t="shared" si="51"/>
        <v>4T20</v>
      </c>
      <c r="F41" s="167" t="str">
        <f t="shared" si="51"/>
        <v>1T21</v>
      </c>
      <c r="G41" s="167" t="str">
        <f t="shared" si="51"/>
        <v>2T21</v>
      </c>
      <c r="H41" s="167" t="str">
        <f t="shared" si="51"/>
        <v>3T21</v>
      </c>
      <c r="I41" s="167" t="str">
        <f t="shared" si="51"/>
        <v>4T21</v>
      </c>
      <c r="J41" s="167" t="str">
        <f t="shared" si="51"/>
        <v>1T22</v>
      </c>
      <c r="K41" s="167" t="str">
        <f t="shared" si="51"/>
        <v>2T22</v>
      </c>
      <c r="L41" s="167" t="str">
        <f t="shared" si="51"/>
        <v>3T22</v>
      </c>
      <c r="M41" s="167" t="str">
        <f t="shared" si="51"/>
        <v>4T22</v>
      </c>
      <c r="N41" s="167" t="str">
        <f t="shared" si="51"/>
        <v>1T23</v>
      </c>
      <c r="O41" s="167" t="str">
        <f t="shared" si="51"/>
        <v>2T23</v>
      </c>
      <c r="P41" s="167" t="str">
        <f t="shared" ref="P41:U41" si="52">P35</f>
        <v>3T23</v>
      </c>
      <c r="Q41" s="167" t="str">
        <f t="shared" si="52"/>
        <v>4T23</v>
      </c>
      <c r="R41" s="167" t="str">
        <f t="shared" si="52"/>
        <v>1T24</v>
      </c>
      <c r="S41" s="167" t="str">
        <f t="shared" si="52"/>
        <v>2T24</v>
      </c>
      <c r="T41" s="167" t="str">
        <f t="shared" si="52"/>
        <v>3T24</v>
      </c>
      <c r="U41" s="167" t="str">
        <f t="shared" si="52"/>
        <v>4T24</v>
      </c>
      <c r="V41" s="167" t="str">
        <f t="shared" ref="V41:W41" si="53">V35</f>
        <v>1T25</v>
      </c>
      <c r="W41" s="167" t="str">
        <f t="shared" si="53"/>
        <v>2T25</v>
      </c>
      <c r="X41" s="167" t="str">
        <f t="shared" ref="X41:AA41" si="54">X35</f>
        <v>3T25</v>
      </c>
      <c r="Y41" s="167" t="str">
        <f t="shared" si="54"/>
        <v>4T25</v>
      </c>
      <c r="Z41" s="167" t="str">
        <f t="shared" si="54"/>
        <v>1T26</v>
      </c>
      <c r="AA41" s="167" t="str">
        <f t="shared" si="54"/>
        <v>2T26</v>
      </c>
    </row>
    <row r="42" spans="1:27" x14ac:dyDescent="0.35">
      <c r="A42" s="163" t="s">
        <v>397</v>
      </c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277">
        <v>0.37421119068815467</v>
      </c>
      <c r="N42" s="277">
        <v>0.60820752280783563</v>
      </c>
      <c r="O42" s="277">
        <v>1.4224345158330862</v>
      </c>
      <c r="P42" s="277">
        <v>1.6335054424794566</v>
      </c>
      <c r="Q42" s="277">
        <v>2.0634951492276739</v>
      </c>
      <c r="R42" s="277">
        <v>1.5682005352507651</v>
      </c>
      <c r="S42" s="277">
        <v>2.1715879756486065</v>
      </c>
      <c r="T42" s="277">
        <v>1.8339178543505024</v>
      </c>
      <c r="U42" s="277">
        <v>1.879703050140171</v>
      </c>
      <c r="V42" s="277">
        <v>2.3644623982964648</v>
      </c>
      <c r="W42" s="277">
        <v>2.4297379296224135</v>
      </c>
      <c r="X42" s="277">
        <v>1.7675521133801499</v>
      </c>
      <c r="Y42" s="277">
        <v>2.3198247945729196</v>
      </c>
      <c r="Z42" s="277">
        <v>1.9765701480554771</v>
      </c>
      <c r="AA42" s="277">
        <v>2.2723548913476557</v>
      </c>
    </row>
    <row r="43" spans="1:27" x14ac:dyDescent="0.35">
      <c r="A43" s="178" t="s">
        <v>398</v>
      </c>
      <c r="B43" s="177"/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  <c r="Q43" s="177"/>
    </row>
    <row r="45" spans="1:27" x14ac:dyDescent="0.35">
      <c r="D45" s="167"/>
      <c r="E45" s="167"/>
      <c r="F45" s="167"/>
      <c r="G45" s="167"/>
      <c r="H45" s="167"/>
      <c r="I45" s="167"/>
      <c r="J45" s="167"/>
      <c r="K45" s="167"/>
      <c r="L45" s="167"/>
    </row>
    <row r="69" spans="1:1" x14ac:dyDescent="0.35">
      <c r="A69" s="163"/>
    </row>
  </sheetData>
  <phoneticPr fontId="6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EFCD613DF50248A845D03582798B8F" ma:contentTypeVersion="22" ma:contentTypeDescription="Crie um novo documento." ma:contentTypeScope="" ma:versionID="e0536851290ccf5fb9fba882b2991f3a">
  <xsd:schema xmlns:xsd="http://www.w3.org/2001/XMLSchema" xmlns:xs="http://www.w3.org/2001/XMLSchema" xmlns:p="http://schemas.microsoft.com/office/2006/metadata/properties" xmlns:ns2="22791e92-6721-4272-a487-2868edbe2d2d" xmlns:ns3="c3703e51-281d-45cb-ad73-50444a307aef" targetNamespace="http://schemas.microsoft.com/office/2006/metadata/properties" ma:root="true" ma:fieldsID="90ec12a36de2d24e23c5c72c4595deb9" ns2:_="" ns3:_="">
    <xsd:import namespace="22791e92-6721-4272-a487-2868edbe2d2d"/>
    <xsd:import namespace="c3703e51-281d-45cb-ad73-50444a307ae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Pessoa" minOccurs="0"/>
                <xsd:element ref="ns3:_Flow_SignoffStatu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791e92-6721-4272-a487-2868edbe2d2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53268c90-2e32-4825-bdd8-3b915ebee7af}" ma:internalName="TaxCatchAll" ma:showField="CatchAllData" ma:web="22791e92-6721-4272-a487-2868edbe2d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03e51-281d-45cb-ad73-50444a307a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Pessoa" ma:index="21" nillable="true" ma:displayName="Pessoa" ma:indexed="true" ma:list="UserInfo" ma:SharePointGroup="0" ma:internalName="Pessoa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Flow_SignoffStatus" ma:index="22" nillable="true" ma:displayName="Status de liberação" ma:internalName="Status_x0020_de_x0020_libera_x00e7__x00e3_o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Marcações de imagem" ma:readOnly="false" ma:fieldId="{5cf76f15-5ced-4ddc-b409-7134ff3c332f}" ma:taxonomyMulti="true" ma:sspId="44f14260-4fd7-4805-aaa6-160f1c5a97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703e51-281d-45cb-ad73-50444a307aef" xsi:nil="true"/>
    <Pessoa xmlns="c3703e51-281d-45cb-ad73-50444a307aef">
      <UserInfo>
        <DisplayName/>
        <AccountId xsi:nil="true"/>
        <AccountType/>
      </UserInfo>
    </Pessoa>
    <lcf76f155ced4ddcb4097134ff3c332f xmlns="c3703e51-281d-45cb-ad73-50444a307aef">
      <Terms xmlns="http://schemas.microsoft.com/office/infopath/2007/PartnerControls"/>
    </lcf76f155ced4ddcb4097134ff3c332f>
    <TaxCatchAll xmlns="22791e92-6721-4272-a487-2868edbe2d2d" xsi:nil="true"/>
  </documentManagement>
</p:properties>
</file>

<file path=customXml/itemProps1.xml><?xml version="1.0" encoding="utf-8"?>
<ds:datastoreItem xmlns:ds="http://schemas.openxmlformats.org/officeDocument/2006/customXml" ds:itemID="{B91CAE49-7CB8-49C1-A091-69A04461D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791e92-6721-4272-a487-2868edbe2d2d"/>
    <ds:schemaRef ds:uri="c3703e51-281d-45cb-ad73-50444a307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BC9EF9-D6F0-4CA3-BF09-DF16D7DA8E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96E6F2-125E-478D-9B05-825441421D92}">
  <ds:schemaRefs>
    <ds:schemaRef ds:uri="http://schemas.microsoft.com/office/2006/metadata/properties"/>
    <ds:schemaRef ds:uri="http://schemas.microsoft.com/office/infopath/2007/PartnerControls"/>
    <ds:schemaRef ds:uri="c3703e51-281d-45cb-ad73-50444a307aef"/>
    <ds:schemaRef ds:uri="22791e92-6721-4272-a487-2868edbe2d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17</vt:i4>
      </vt:variant>
      <vt:variant>
        <vt:lpstr>Intervalos Nomeados</vt:lpstr>
      </vt:variant>
      <vt:variant>
        <vt:i4>6</vt:i4>
      </vt:variant>
    </vt:vector>
  </HeadingPairs>
  <TitlesOfParts>
    <vt:vector size="23" baseType="lpstr">
      <vt:lpstr>Capa</vt:lpstr>
      <vt:lpstr>BP Ativo</vt:lpstr>
      <vt:lpstr>BP Passivo</vt:lpstr>
      <vt:lpstr>DRE</vt:lpstr>
      <vt:lpstr>DRA</vt:lpstr>
      <vt:lpstr>DMPL</vt:lpstr>
      <vt:lpstr>DFC</vt:lpstr>
      <vt:lpstr>DVA</vt:lpstr>
      <vt:lpstr>BP Histórico_Consolidado</vt:lpstr>
      <vt:lpstr>DRE Histórico_Consolidado</vt:lpstr>
      <vt:lpstr>DFC Histórico_Consolidado</vt:lpstr>
      <vt:lpstr>Dados Operacionais_Consolidado</vt:lpstr>
      <vt:lpstr>Dados gerais</vt:lpstr>
      <vt:lpstr>LB por segmento</vt:lpstr>
      <vt:lpstr>ROIC</vt:lpstr>
      <vt:lpstr>Gráficos</vt:lpstr>
      <vt:lpstr>Dados para gráficos</vt:lpstr>
      <vt:lpstr>'BP Ativo'!Area_de_impressao</vt:lpstr>
      <vt:lpstr>'BP Passivo'!Area_de_impressao</vt:lpstr>
      <vt:lpstr>DFC!Area_de_impressao</vt:lpstr>
      <vt:lpstr>DMPL!Area_de_impressao</vt:lpstr>
      <vt:lpstr>DVA!Area_de_impressao</vt:lpstr>
      <vt:lpstr>ROIC!Area_de_impressao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Jucilea Silveira Dutra Carollo</dc:creator>
  <cp:keywords/>
  <dc:description/>
  <cp:lastModifiedBy>Aline Rodrigues Santos</cp:lastModifiedBy>
  <cp:revision/>
  <dcterms:created xsi:type="dcterms:W3CDTF">2017-03-22T12:16:40Z</dcterms:created>
  <dcterms:modified xsi:type="dcterms:W3CDTF">2026-08-14T15:21:39Z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0x010100E1EFCD613DF50248A845D03582798B8F</vt:lpwstr>
  </property>
  <property fmtid="{D5CDD505-2E9C-101B-9397-08002B2CF9AE}" pid="3" name="_dlc_DocIdItemGuid">
    <vt:lpwstr>df15c2c3-2672-4e3f-92f2-46e1924c0467</vt:lpwstr>
  </property>
  <property fmtid="{D5CDD505-2E9C-101B-9397-08002B2CF9AE}" pid="4" name="Order">
    <vt:r8>9351600</vt:r8>
  </property>
  <property fmtid="{D5CDD505-2E9C-101B-9397-08002B2CF9AE}" pid="5" name="MediaServiceImageTags">
    <vt:lpwstr/>
  </property>
</Properties>
</file>